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3\Charging Models From DCUSA\Broken Links\"/>
    </mc:Choice>
  </mc:AlternateContent>
  <workbookProtection lockStructure="1"/>
  <bookViews>
    <workbookView xWindow="22935" yWindow="-4410" windowWidth="30930" windowHeight="16890" tabRatio="933" firstSheet="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calcOnSave="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81" i="87" l="1"/>
  <c r="N180" i="87"/>
  <c r="L180" i="87"/>
  <c r="L181" i="87" s="1"/>
  <c r="K180" i="87"/>
  <c r="K181" i="87" s="1"/>
  <c r="M180" i="87"/>
  <c r="M181" i="87" s="1"/>
  <c r="L176" i="87"/>
  <c r="K176" i="87"/>
  <c r="L175" i="87"/>
  <c r="K175" i="87"/>
  <c r="N175" i="87"/>
  <c r="N176" i="87" s="1"/>
  <c r="M175" i="87"/>
  <c r="M176" i="87" s="1"/>
  <c r="N170" i="87"/>
  <c r="N171" i="87" s="1"/>
  <c r="M170" i="87"/>
  <c r="M171" i="87" s="1"/>
  <c r="K170" i="87"/>
  <c r="K171" i="87" s="1"/>
  <c r="L170" i="87"/>
  <c r="L171" i="87" s="1"/>
  <c r="L21" i="86" l="1"/>
  <c r="H57" i="89"/>
  <c r="H80" i="89"/>
  <c r="M21" i="86" l="1"/>
  <c r="H70" i="89"/>
  <c r="H44" i="89"/>
  <c r="H45" i="89" s="1"/>
  <c r="H73" i="89" s="1"/>
  <c r="H81" i="89" s="1"/>
  <c r="N21" i="86" l="1"/>
  <c r="O21" i="86" l="1"/>
  <c r="P21" i="86" l="1"/>
  <c r="Q21" i="86" l="1"/>
  <c r="R21" i="86" l="1"/>
  <c r="S21" i="86" l="1"/>
  <c r="H66" i="41" l="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L142" i="105" s="1"/>
  <c r="AC36" i="105"/>
  <c r="AC141" i="105" s="1"/>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8" i="105"/>
  <c r="L147" i="105"/>
  <c r="AB147" i="105"/>
  <c r="R148"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6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S39" i="112" s="1"/>
  <c r="R20" i="112"/>
  <c r="R39" i="112" s="1"/>
  <c r="Q20" i="112"/>
  <c r="P20" i="112"/>
  <c r="O20" i="112"/>
  <c r="N20" i="112"/>
  <c r="M20" i="112"/>
  <c r="L20" i="112"/>
  <c r="K20" i="112"/>
  <c r="K39" i="112" s="1"/>
  <c r="A2" i="112"/>
  <c r="A1" i="112"/>
  <c r="C16" i="112" s="1"/>
  <c r="G195" i="85" s="1"/>
  <c r="Q39" i="112" l="1"/>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W51" i="112" l="1"/>
  <c r="V51" i="112"/>
  <c r="T51" i="112"/>
  <c r="S51" i="112"/>
  <c r="M51" i="112"/>
  <c r="U51" i="112"/>
  <c r="Q51" i="112"/>
  <c r="R51" i="112"/>
  <c r="K51" i="112"/>
  <c r="X51" i="112"/>
  <c r="Y51"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7" i="89"/>
  <c r="S70" i="31"/>
  <c r="S72" i="31"/>
  <c r="K66" i="31"/>
  <c r="R80" i="31"/>
  <c r="K70" i="31"/>
  <c r="S66" i="31"/>
  <c r="Q70" i="31"/>
  <c r="S73" i="31"/>
  <c r="Q76" i="31"/>
  <c r="Q80" i="31"/>
  <c r="A2" i="90"/>
  <c r="A1" i="90"/>
  <c r="C162" i="90" s="1"/>
  <c r="G89" i="85" s="1"/>
  <c r="P44" i="23"/>
  <c r="N44" i="23"/>
  <c r="Q44" i="23"/>
  <c r="Q27" i="31"/>
  <c r="Q29" i="31" s="1"/>
  <c r="L45" i="23"/>
  <c r="L46" i="23"/>
  <c r="H106" i="53"/>
  <c r="K27" i="31"/>
  <c r="J28" i="31" s="1"/>
  <c r="J29" i="31" s="1"/>
  <c r="L54" i="81"/>
  <c r="S44" i="23"/>
  <c r="M44" i="23"/>
  <c r="O44" i="23"/>
  <c r="R44" i="23"/>
  <c r="L44" i="23"/>
  <c r="H104" i="53"/>
  <c r="H105"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P54" i="81"/>
  <c r="K76" i="81"/>
  <c r="K108" i="81" s="1"/>
  <c r="K29" i="31" l="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08" i="53"/>
  <c r="Q179" i="53" s="1"/>
  <c r="Q251" i="53" s="1"/>
  <c r="K53" i="82"/>
  <c r="M53"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90" i="81"/>
  <c r="H122" i="81" s="1"/>
  <c r="H20" i="76" s="1"/>
  <c r="P76" i="31"/>
  <c r="M38" i="31"/>
  <c r="M65" i="31" s="1"/>
  <c r="P72" i="31"/>
  <c r="N31" i="81"/>
  <c r="P28" i="31"/>
  <c r="P29" i="31" s="1"/>
  <c r="H35" i="72" s="1" a="1"/>
  <c r="N38" i="31"/>
  <c r="H46" i="80"/>
  <c r="L31" i="8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R179" i="53"/>
  <c r="R251" i="53" s="1"/>
  <c r="S179" i="53"/>
  <c r="S251" i="53" s="1"/>
  <c r="R178" i="53"/>
  <c r="R240" i="53" s="1"/>
  <c r="S178" i="53"/>
  <c r="S240"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R177" i="53"/>
  <c r="R229" i="53" s="1"/>
  <c r="S177" i="53"/>
  <c r="S229"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M57" i="23"/>
  <c r="R57" i="23"/>
  <c r="M31" i="81"/>
  <c r="P79" i="31"/>
  <c r="Q67" i="31"/>
  <c r="J75" i="31"/>
  <c r="Q69" i="31"/>
  <c r="R76" i="31"/>
  <c r="S65" i="31"/>
  <c r="S126" i="31" s="1"/>
  <c r="Q68" i="31"/>
  <c r="K75" i="31"/>
  <c r="Q78" i="31"/>
  <c r="J73" i="31"/>
  <c r="L78" i="31"/>
  <c r="P67" i="31"/>
  <c r="P73" i="31"/>
  <c r="L79" i="31"/>
  <c r="L72" i="31"/>
  <c r="S71" i="31"/>
  <c r="S132" i="31" s="1"/>
  <c r="S79" i="31"/>
  <c r="S140" i="31" s="1"/>
  <c r="K73" i="31"/>
  <c r="K67" i="31"/>
  <c r="P70" i="31"/>
  <c r="K65" i="31"/>
  <c r="J80" i="31"/>
  <c r="R70" i="31"/>
  <c r="R131" i="31" s="1"/>
  <c r="H191" i="90"/>
  <c r="H193" i="90"/>
  <c r="H194" i="90"/>
  <c r="H195" i="90"/>
  <c r="A3" i="80"/>
  <c r="S134" i="31"/>
  <c r="H53" i="80"/>
  <c r="S31" i="81"/>
  <c r="S133" i="31"/>
  <c r="H48" i="80"/>
  <c r="H47" i="80"/>
  <c r="L53" i="82"/>
  <c r="H113" i="89"/>
  <c r="H112" i="89"/>
  <c r="Q31" i="81"/>
  <c r="H88" i="89"/>
  <c r="H61" i="41" s="1"/>
  <c r="H68" i="41" s="1"/>
  <c r="J53" i="82"/>
  <c r="K31" i="81"/>
  <c r="A3" i="53"/>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4" i="31" l="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R283" i="53"/>
  <c r="R272" i="53"/>
  <c r="R294" i="53"/>
  <c r="V294" i="53"/>
  <c r="V272" i="53"/>
  <c r="V283" i="53"/>
  <c r="U294" i="53"/>
  <c r="U272" i="53"/>
  <c r="U283" i="53"/>
  <c r="Y294" i="53"/>
  <c r="Y272" i="53"/>
  <c r="Y283" i="53"/>
  <c r="W294" i="53"/>
  <c r="W272" i="53"/>
  <c r="W283" i="53"/>
  <c r="S294" i="53"/>
  <c r="S272" i="53"/>
  <c r="S28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J36" i="55"/>
  <c r="H70" i="23" a="1"/>
  <c r="H70" i="23" s="1"/>
  <c r="A4" i="23" s="1"/>
  <c r="A4" i="89"/>
  <c r="J39" i="55"/>
  <c r="A4" i="70"/>
  <c r="J40" i="55"/>
  <c r="N358" i="22" l="1"/>
  <c r="N511" i="22" s="1"/>
  <c r="R58" i="41" s="1"/>
  <c r="P445" i="22"/>
  <c r="P514" i="22" s="1"/>
  <c r="AE58" i="41" s="1"/>
  <c r="P444" i="22"/>
  <c r="P508" i="22" s="1"/>
  <c r="AE57" i="41" s="1"/>
  <c r="L412" i="22"/>
  <c r="L489" i="22" s="1"/>
  <c r="N54" i="41" s="1"/>
  <c r="O415" i="22"/>
  <c r="O507" i="22" s="1"/>
  <c r="Y57" i="41" s="1"/>
  <c r="P416" i="22"/>
  <c r="P513" i="22" s="1"/>
  <c r="AD58"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94" i="83"/>
  <c r="W93" i="83"/>
  <c r="W93" i="80"/>
  <c r="X94" i="83"/>
  <c r="X93" i="83"/>
  <c r="X93" i="80"/>
  <c r="U106" i="83"/>
  <c r="U105" i="83"/>
  <c r="U116" i="80"/>
  <c r="W106" i="83"/>
  <c r="W105" i="83"/>
  <c r="W116" i="80"/>
  <c r="W81" i="83"/>
  <c r="W82" i="83"/>
  <c r="W70" i="80"/>
  <c r="X106" i="83"/>
  <c r="X105" i="83"/>
  <c r="X116" i="80"/>
  <c r="X82" i="83"/>
  <c r="X81" i="83"/>
  <c r="X70" i="80"/>
  <c r="J42"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U82" i="83"/>
  <c r="U81" i="83"/>
  <c r="U70" i="80"/>
  <c r="U94" i="83"/>
  <c r="U93" i="83"/>
  <c r="U93"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T94" i="83"/>
  <c r="T93" i="83"/>
  <c r="T93" i="80"/>
  <c r="Y82" i="83"/>
  <c r="Y81" i="83"/>
  <c r="Y70" i="80"/>
  <c r="Y94" i="83"/>
  <c r="Y93" i="83"/>
  <c r="Y93" i="80"/>
  <c r="V94" i="83"/>
  <c r="V93" i="83"/>
  <c r="V93" i="80"/>
  <c r="V82" i="83"/>
  <c r="V81" i="83"/>
  <c r="V70" i="80"/>
  <c r="T106" i="83"/>
  <c r="T105" i="83"/>
  <c r="T116" i="80"/>
  <c r="T82" i="83"/>
  <c r="T81" i="83"/>
  <c r="T70" i="80"/>
  <c r="V106" i="83"/>
  <c r="V105" i="83"/>
  <c r="V116" i="80"/>
  <c r="Y106" i="83"/>
  <c r="Y105" i="83"/>
  <c r="Y116"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36" i="80"/>
  <c r="U37" i="80"/>
  <c r="U38" i="80"/>
  <c r="U39" i="80"/>
  <c r="U40" i="80"/>
  <c r="U41" i="80"/>
  <c r="U42" i="80"/>
  <c r="Y34" i="80"/>
  <c r="Y82" i="80" s="1"/>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Q202" i="80" s="1"/>
  <c r="T42" i="80"/>
  <c r="T41" i="80"/>
  <c r="T40" i="80"/>
  <c r="T39" i="80"/>
  <c r="T38" i="80"/>
  <c r="T37" i="80"/>
  <c r="T36" i="80"/>
  <c r="T35" i="80"/>
  <c r="T34" i="80"/>
  <c r="T128" i="80" s="1"/>
  <c r="S42" i="80"/>
  <c r="S204" i="80" s="1"/>
  <c r="S41" i="80"/>
  <c r="S40" i="80"/>
  <c r="S39" i="80"/>
  <c r="S38" i="80"/>
  <c r="S37" i="80"/>
  <c r="S36" i="80"/>
  <c r="P42" i="80"/>
  <c r="P204" i="80" s="1"/>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X82" i="80" s="1"/>
  <c r="O42" i="80"/>
  <c r="O202" i="80" s="1"/>
  <c r="W39" i="80"/>
  <c r="K37" i="80"/>
  <c r="W34" i="80"/>
  <c r="W128" i="80" s="1"/>
  <c r="V41" i="80"/>
  <c r="V39" i="80"/>
  <c r="L42" i="80"/>
  <c r="L204" i="80" s="1"/>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82" i="80" s="1"/>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W105" i="80" l="1"/>
  <c r="W82" i="80"/>
  <c r="X166" i="72"/>
  <c r="X201" i="72" s="1"/>
  <c r="X231" i="72" s="1"/>
  <c r="X165" i="72"/>
  <c r="X200" i="72" s="1"/>
  <c r="X230" i="72" s="1"/>
  <c r="U162" i="72"/>
  <c r="U197" i="72" s="1"/>
  <c r="U227" i="72" s="1"/>
  <c r="S161" i="72"/>
  <c r="S196" i="72" s="1"/>
  <c r="S226" i="72" s="1"/>
  <c r="U82" i="80"/>
  <c r="U128" i="80"/>
  <c r="U142" i="80" s="1"/>
  <c r="U168" i="80" s="1"/>
  <c r="T167" i="72"/>
  <c r="T202" i="72" s="1"/>
  <c r="T232" i="72" s="1"/>
  <c r="Y131" i="83"/>
  <c r="V132" i="83"/>
  <c r="Y160" i="72"/>
  <c r="Y195" i="72" s="1"/>
  <c r="Y225" i="72" s="1"/>
  <c r="V164" i="72"/>
  <c r="V199" i="72" s="1"/>
  <c r="V229" i="72" s="1"/>
  <c r="X127" i="83"/>
  <c r="U166" i="72"/>
  <c r="U201" i="72" s="1"/>
  <c r="U231" i="72" s="1"/>
  <c r="P202" i="80"/>
  <c r="P206" i="80" s="1"/>
  <c r="U163" i="72"/>
  <c r="U198" i="72" s="1"/>
  <c r="U228" i="72" s="1"/>
  <c r="Y164" i="72"/>
  <c r="Y199" i="72" s="1"/>
  <c r="Y229" i="72" s="1"/>
  <c r="S126" i="83"/>
  <c r="R127" i="83"/>
  <c r="V160" i="72"/>
  <c r="V195" i="72" s="1"/>
  <c r="V225" i="72" s="1"/>
  <c r="S166" i="72"/>
  <c r="S201" i="72" s="1"/>
  <c r="S231" i="72" s="1"/>
  <c r="X128" i="80"/>
  <c r="X125" i="83"/>
  <c r="T160" i="72"/>
  <c r="T195" i="72" s="1"/>
  <c r="T225" i="72" s="1"/>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Y105" i="80"/>
  <c r="T165" i="72"/>
  <c r="T200" i="72" s="1"/>
  <c r="T230" i="72" s="1"/>
  <c r="Y162" i="72"/>
  <c r="Y197" i="72" s="1"/>
  <c r="Y227" i="72" s="1"/>
  <c r="R162" i="72"/>
  <c r="R197" i="72" s="1"/>
  <c r="R227" i="72" s="1"/>
  <c r="S162" i="72"/>
  <c r="S197" i="72" s="1"/>
  <c r="S227" i="72" s="1"/>
  <c r="Y128" i="80"/>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52" i="83"/>
  <c r="T22" i="71" s="1"/>
  <c r="T127" i="71" s="1"/>
  <c r="T128" i="83"/>
  <c r="S132" i="83"/>
  <c r="X182" i="83"/>
  <c r="X53" i="71" s="1"/>
  <c r="X158" i="71" s="1"/>
  <c r="Y181" i="83"/>
  <c r="Y52" i="71" s="1"/>
  <c r="Y157" i="71" s="1"/>
  <c r="P77" i="53"/>
  <c r="P83" i="53" s="1"/>
  <c r="O79" i="53"/>
  <c r="O85" i="53" s="1"/>
  <c r="P79" i="53"/>
  <c r="P85" i="53" s="1"/>
  <c r="O77" i="53"/>
  <c r="O83" i="53" s="1"/>
  <c r="V128" i="83"/>
  <c r="U132" i="83"/>
  <c r="R128" i="83"/>
  <c r="X132" i="83"/>
  <c r="S128" i="83"/>
  <c r="Y132" i="83"/>
  <c r="U128" i="83"/>
  <c r="V131" i="83"/>
  <c r="Y152" i="83"/>
  <c r="Y22" i="71" s="1"/>
  <c r="Y127" i="71" s="1"/>
  <c r="Y129" i="83"/>
  <c r="X153" i="83"/>
  <c r="X23" i="71" s="1"/>
  <c r="X128" i="71" s="1"/>
  <c r="T181" i="83"/>
  <c r="T52" i="71" s="1"/>
  <c r="T157" i="71" s="1"/>
  <c r="T130" i="83"/>
  <c r="T127" i="83"/>
  <c r="X124" i="83"/>
  <c r="T210" i="83"/>
  <c r="T82" i="71" s="1"/>
  <c r="T187" i="71" s="1"/>
  <c r="W128" i="83"/>
  <c r="Y210" i="83"/>
  <c r="Y82" i="71" s="1"/>
  <c r="Y187" i="71" s="1"/>
  <c r="Y202" i="80"/>
  <c r="X210" i="83"/>
  <c r="X82" i="71" s="1"/>
  <c r="X187" i="71" s="1"/>
  <c r="W130" i="83"/>
  <c r="T105" i="80"/>
  <c r="U202" i="80"/>
  <c r="S202" i="80"/>
  <c r="S206" i="80" s="1"/>
  <c r="L202" i="80"/>
  <c r="L206" i="80" s="1"/>
  <c r="U204" i="80"/>
  <c r="V211" i="83"/>
  <c r="V83" i="71" s="1"/>
  <c r="V188" i="71" s="1"/>
  <c r="T82" i="80"/>
  <c r="V130" i="83"/>
  <c r="V182" i="83"/>
  <c r="V53" i="71" s="1"/>
  <c r="V158" i="71" s="1"/>
  <c r="V127" i="83"/>
  <c r="V126" i="83"/>
  <c r="X123" i="83"/>
  <c r="U127" i="83"/>
  <c r="X126" i="83"/>
  <c r="U124" i="83"/>
  <c r="X181" i="83"/>
  <c r="X52" i="71" s="1"/>
  <c r="X157" i="71" s="1"/>
  <c r="V153" i="83"/>
  <c r="V23" i="71" s="1"/>
  <c r="V128" i="71" s="1"/>
  <c r="U211" i="83"/>
  <c r="U83" i="71" s="1"/>
  <c r="U188" i="71" s="1"/>
  <c r="V204" i="80"/>
  <c r="T125" i="83"/>
  <c r="X130" i="83"/>
  <c r="Y130" i="83"/>
  <c r="X131" i="83"/>
  <c r="U182" i="83"/>
  <c r="U53" i="71" s="1"/>
  <c r="U158" i="71" s="1"/>
  <c r="W152" i="83"/>
  <c r="W22" i="71" s="1"/>
  <c r="W127" i="71" s="1"/>
  <c r="T131" i="83"/>
  <c r="Y127" i="83"/>
  <c r="U126" i="83"/>
  <c r="W153" i="83"/>
  <c r="W23" i="71" s="1"/>
  <c r="W128" i="71" s="1"/>
  <c r="W123" i="83"/>
  <c r="Y182" i="83"/>
  <c r="Y53" i="71" s="1"/>
  <c r="Y158" i="71" s="1"/>
  <c r="Y128" i="83"/>
  <c r="W127" i="83"/>
  <c r="W182" i="83"/>
  <c r="W53" i="71" s="1"/>
  <c r="W158" i="71" s="1"/>
  <c r="V202" i="80"/>
  <c r="W131" i="83"/>
  <c r="V129" i="83"/>
  <c r="U210" i="83"/>
  <c r="U82" i="71" s="1"/>
  <c r="U187" i="71" s="1"/>
  <c r="Q204" i="80"/>
  <c r="Q206" i="80" s="1"/>
  <c r="U181" i="83"/>
  <c r="U52" i="71" s="1"/>
  <c r="U157" i="71" s="1"/>
  <c r="T153" i="83"/>
  <c r="T23" i="71" s="1"/>
  <c r="T128" i="71" s="1"/>
  <c r="U123" i="83"/>
  <c r="T182" i="83"/>
  <c r="T53" i="71" s="1"/>
  <c r="T158" i="71" s="1"/>
  <c r="X202" i="80"/>
  <c r="X206" i="80" s="1"/>
  <c r="T211" i="83"/>
  <c r="T83" i="71" s="1"/>
  <c r="T188" i="71" s="1"/>
  <c r="V152" i="83"/>
  <c r="V22" i="71" s="1"/>
  <c r="V127" i="71" s="1"/>
  <c r="W124" i="83"/>
  <c r="W202" i="80"/>
  <c r="W210" i="83"/>
  <c r="W82" i="71" s="1"/>
  <c r="W187" i="71" s="1"/>
  <c r="T202" i="80"/>
  <c r="V181" i="83"/>
  <c r="V52" i="71" s="1"/>
  <c r="V157" i="71" s="1"/>
  <c r="Y211" i="83"/>
  <c r="Y83" i="71" s="1"/>
  <c r="Y188" i="71" s="1"/>
  <c r="V128" i="80"/>
  <c r="V210" i="83"/>
  <c r="V82" i="71" s="1"/>
  <c r="V187" i="71" s="1"/>
  <c r="W204" i="80"/>
  <c r="T204" i="80"/>
  <c r="Y153" i="83"/>
  <c r="Y23" i="71" s="1"/>
  <c r="Y128" i="71" s="1"/>
  <c r="O204" i="80"/>
  <c r="O206" i="80" s="1"/>
  <c r="V105" i="80"/>
  <c r="L77" i="53"/>
  <c r="L83" i="53" s="1"/>
  <c r="M77" i="53"/>
  <c r="M83" i="53" s="1"/>
  <c r="M79" i="53"/>
  <c r="M85" i="53" s="1"/>
  <c r="L79" i="53"/>
  <c r="L85" i="53" s="1"/>
  <c r="M54" i="53"/>
  <c r="W142" i="80"/>
  <c r="W168" i="80" s="1"/>
  <c r="X22" i="71"/>
  <c r="X127" i="71" s="1"/>
  <c r="Q21" i="31"/>
  <c r="Q23" i="31" s="1"/>
  <c r="R20" i="31"/>
  <c r="X188" i="71"/>
  <c r="W188" i="71"/>
  <c r="W157" i="71"/>
  <c r="U128" i="71"/>
  <c r="X142" i="80" l="1"/>
  <c r="X168"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S146" i="41"/>
  <c r="S148" i="41" s="1" a="1"/>
  <c r="V146" i="41"/>
  <c r="V148" i="41" s="1" a="1"/>
  <c r="AF146" i="41"/>
  <c r="AF148" i="41" s="1" a="1"/>
  <c r="AC146" i="41"/>
  <c r="AC148" i="41" s="1" a="1"/>
  <c r="Y146" i="41"/>
  <c r="Y148" i="41" s="1" a="1"/>
  <c r="N148" i="41" a="1"/>
  <c r="AG148" i="41" a="1"/>
  <c r="AD146" i="41"/>
  <c r="AA146" i="41"/>
  <c r="J146" i="41"/>
  <c r="O146" i="41"/>
  <c r="Y142" i="80"/>
  <c r="Y168" i="80" s="1"/>
  <c r="U206" i="80"/>
  <c r="Y206" i="80"/>
  <c r="V206" i="80"/>
  <c r="W206" i="80"/>
  <c r="O91" i="53"/>
  <c r="P91" i="53"/>
  <c r="T142" i="80"/>
  <c r="T168" i="80" s="1"/>
  <c r="V142" i="80"/>
  <c r="V168" i="80" s="1"/>
  <c r="T206" i="80"/>
  <c r="M91" i="53"/>
  <c r="L91" i="53"/>
  <c r="R21" i="31"/>
  <c r="R23" i="31" s="1"/>
  <c r="S20" i="31"/>
  <c r="S21" i="31" s="1"/>
  <c r="S23" i="31" s="1"/>
  <c r="R73" i="74"/>
  <c r="R72" i="74"/>
  <c r="R76" i="74"/>
  <c r="R75" i="74"/>
  <c r="R78" i="74"/>
  <c r="R77" i="74"/>
  <c r="R74" i="74"/>
  <c r="H214" i="80" l="1"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M93" i="53"/>
  <c r="M267" i="53"/>
  <c r="M78" i="83" s="1"/>
  <c r="L93" i="53"/>
  <c r="L267" i="53"/>
  <c r="L78" i="83" s="1"/>
  <c r="P93" i="53"/>
  <c r="P267" i="53"/>
  <c r="P78" i="83" s="1"/>
  <c r="O93" i="53"/>
  <c r="O267" i="53"/>
  <c r="O78" i="83" s="1"/>
  <c r="Q294" i="53"/>
  <c r="Q272" i="53"/>
  <c r="Q283" i="53"/>
  <c r="H183" i="31" a="1"/>
  <c r="H183" i="31" s="1"/>
  <c r="R106" i="83"/>
  <c r="R211" i="83" s="1"/>
  <c r="R83" i="71" s="1"/>
  <c r="R105" i="83"/>
  <c r="R210" i="83" s="1"/>
  <c r="R82" i="71" s="1"/>
  <c r="R116" i="80"/>
  <c r="R128" i="80" s="1"/>
  <c r="S93" i="83"/>
  <c r="S181" i="83" s="1"/>
  <c r="S52" i="71" s="1"/>
  <c r="S94" i="83"/>
  <c r="S182" i="83" s="1"/>
  <c r="S53" i="71" s="1"/>
  <c r="S93" i="80"/>
  <c r="S105" i="80" s="1"/>
  <c r="R94" i="83"/>
  <c r="R182" i="83" s="1"/>
  <c r="R53" i="71" s="1"/>
  <c r="R93" i="83"/>
  <c r="R181" i="83" s="1"/>
  <c r="R52" i="71" s="1"/>
  <c r="R93" i="80"/>
  <c r="R105" i="80" s="1"/>
  <c r="R82" i="83"/>
  <c r="R153" i="83" s="1"/>
  <c r="R23" i="71" s="1"/>
  <c r="R81" i="83"/>
  <c r="R152" i="83" s="1"/>
  <c r="R22" i="71" s="1"/>
  <c r="R127" i="71" s="1"/>
  <c r="R70" i="80"/>
  <c r="R82" i="80" s="1"/>
  <c r="S106" i="83"/>
  <c r="S211" i="83" s="1"/>
  <c r="S83" i="71" s="1"/>
  <c r="S105" i="83"/>
  <c r="S210" i="83" s="1"/>
  <c r="S82" i="71" s="1"/>
  <c r="S116" i="80"/>
  <c r="S128" i="80" s="1"/>
  <c r="S82" i="83"/>
  <c r="S153" i="83" s="1"/>
  <c r="S23" i="71" s="1"/>
  <c r="S81" i="83"/>
  <c r="S152" i="83" s="1"/>
  <c r="S70" i="80"/>
  <c r="S82" i="80" s="1"/>
  <c r="H219" i="80" l="1"/>
  <c r="H218" i="80"/>
  <c r="H222" i="80"/>
  <c r="H220" i="80"/>
  <c r="H215" i="80"/>
  <c r="H227" i="80" s="1"/>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L272" i="53"/>
  <c r="L81" i="83" s="1"/>
  <c r="L152" i="83" s="1"/>
  <c r="M294" i="53"/>
  <c r="M283" i="53"/>
  <c r="L283" i="53"/>
  <c r="L93" i="83" s="1"/>
  <c r="L181" i="83" s="1"/>
  <c r="M272" i="53"/>
  <c r="L294" i="53"/>
  <c r="L116" i="80" s="1"/>
  <c r="L128" i="80" s="1"/>
  <c r="P272" i="53"/>
  <c r="P81" i="83" s="1"/>
  <c r="P152" i="83" s="1"/>
  <c r="P22" i="71" s="1"/>
  <c r="P283" i="53"/>
  <c r="P93" i="80" s="1"/>
  <c r="P105" i="80" s="1"/>
  <c r="P294" i="53"/>
  <c r="P105" i="83" s="1"/>
  <c r="P210" i="83" s="1"/>
  <c r="P82" i="71" s="1"/>
  <c r="O294" i="53"/>
  <c r="O116" i="80" s="1"/>
  <c r="O128" i="80"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83" i="53"/>
  <c r="O93" i="83" s="1"/>
  <c r="O181" i="83" s="1"/>
  <c r="O52" i="71" s="1"/>
  <c r="O15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H233" i="80"/>
  <c r="H231" i="80"/>
  <c r="H232" i="80"/>
  <c r="H230" i="80"/>
  <c r="H228" i="80"/>
  <c r="H226" i="80"/>
  <c r="R142" i="80"/>
  <c r="R168" i="80" s="1"/>
  <c r="J41" i="55"/>
  <c r="A4" i="31"/>
  <c r="S142" i="80"/>
  <c r="S168" i="80" s="1"/>
  <c r="S22" i="71"/>
  <c r="Q82" i="83"/>
  <c r="Q153" i="83" s="1"/>
  <c r="Q81" i="83"/>
  <c r="Q152" i="83" s="1"/>
  <c r="Q22" i="71" s="1"/>
  <c r="Q127" i="71" s="1"/>
  <c r="Q70" i="80"/>
  <c r="Q82" i="80" s="1"/>
  <c r="Q94" i="83"/>
  <c r="Q182" i="83" s="1"/>
  <c r="Q93" i="83"/>
  <c r="Q181" i="83" s="1"/>
  <c r="Q93" i="80"/>
  <c r="Q105" i="80" s="1"/>
  <c r="Q106" i="83"/>
  <c r="Q211" i="83" s="1"/>
  <c r="Q105" i="83"/>
  <c r="Q210" i="83" s="1"/>
  <c r="Q116" i="80"/>
  <c r="Q128" i="80" s="1"/>
  <c r="R188" i="71"/>
  <c r="R187" i="71"/>
  <c r="R128" i="71"/>
  <c r="R158" i="71"/>
  <c r="R157" i="71"/>
  <c r="L93" i="80" l="1"/>
  <c r="L105" i="80" s="1"/>
  <c r="K50" i="82" a="1"/>
  <c r="L94" i="83"/>
  <c r="L182" i="83" s="1"/>
  <c r="L53" i="71" s="1"/>
  <c r="L158" i="71" s="1"/>
  <c r="P82" i="83"/>
  <c r="P153" i="83" s="1"/>
  <c r="P23" i="71" s="1"/>
  <c r="P128" i="71" s="1"/>
  <c r="P94" i="83"/>
  <c r="P182" i="83" s="1"/>
  <c r="P53" i="71" s="1"/>
  <c r="P158" i="71" s="1"/>
  <c r="P106" i="83"/>
  <c r="P211" i="83" s="1"/>
  <c r="P83" i="71" s="1"/>
  <c r="P188" i="71" s="1"/>
  <c r="P116" i="80"/>
  <c r="P128" i="80" s="1"/>
  <c r="P70" i="80"/>
  <c r="P82" i="80" s="1"/>
  <c r="P93" i="83"/>
  <c r="P181" i="83" s="1"/>
  <c r="P52" i="71" s="1"/>
  <c r="P157" i="71" s="1"/>
  <c r="O106" i="83"/>
  <c r="O211" i="83" s="1"/>
  <c r="O83" i="71" s="1"/>
  <c r="O188" i="71" s="1"/>
  <c r="O105" i="83"/>
  <c r="O210" i="83" s="1"/>
  <c r="O82" i="71" s="1"/>
  <c r="O70" i="80"/>
  <c r="O82" i="80" s="1"/>
  <c r="O93" i="80"/>
  <c r="O105" i="80" s="1"/>
  <c r="O81" i="83"/>
  <c r="O152" i="83" s="1"/>
  <c r="O22" i="71" s="1"/>
  <c r="O127" i="71" s="1"/>
  <c r="O94" i="83"/>
  <c r="O182" i="83" s="1"/>
  <c r="O53" i="71" s="1"/>
  <c r="O158" i="71" s="1"/>
  <c r="L22" i="71"/>
  <c r="L127"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70" i="80"/>
  <c r="L82" i="80" s="1"/>
  <c r="S188" i="71"/>
  <c r="Q83" i="71"/>
  <c r="Q188" i="71" s="1"/>
  <c r="S128" i="71"/>
  <c r="Q23" i="71"/>
  <c r="Q128" i="71" s="1"/>
  <c r="L52" i="71"/>
  <c r="L157" i="71" s="1"/>
  <c r="S157" i="71"/>
  <c r="Q52" i="71"/>
  <c r="Q157" i="71" s="1"/>
  <c r="S187" i="71"/>
  <c r="Q82" i="71"/>
  <c r="Q187" i="71" s="1"/>
  <c r="S158" i="71"/>
  <c r="Q53" i="71"/>
  <c r="Q158" i="71" s="1"/>
  <c r="M106" i="83"/>
  <c r="M211" i="83" s="1"/>
  <c r="M83" i="71" s="1"/>
  <c r="M188" i="71" s="1"/>
  <c r="M105" i="83"/>
  <c r="M210" i="83" s="1"/>
  <c r="M116" i="80"/>
  <c r="M128" i="80" s="1"/>
  <c r="Q142" i="80"/>
  <c r="Q168" i="80" s="1"/>
  <c r="M93" i="83"/>
  <c r="M181" i="83" s="1"/>
  <c r="M94" i="83"/>
  <c r="M182" i="83" s="1"/>
  <c r="M53" i="71" s="1"/>
  <c r="M158" i="71" s="1"/>
  <c r="M93" i="80"/>
  <c r="M105" i="80" s="1"/>
  <c r="S127" i="71"/>
  <c r="M82" i="83"/>
  <c r="M153" i="83" s="1"/>
  <c r="M23" i="71" s="1"/>
  <c r="M128" i="71" s="1"/>
  <c r="M81" i="83"/>
  <c r="M152" i="83" s="1"/>
  <c r="M70" i="80"/>
  <c r="M82" i="80" s="1"/>
  <c r="O128" i="71"/>
  <c r="L142" i="80" l="1"/>
  <c r="L168" i="80" s="1"/>
  <c r="K50" i="82"/>
  <c r="N50" i="82"/>
  <c r="M50" i="82"/>
  <c r="L50" i="82"/>
  <c r="O50" i="82"/>
  <c r="P142" i="80"/>
  <c r="P168" i="80" s="1"/>
  <c r="P269" i="80" s="1"/>
  <c r="O142" i="80"/>
  <c r="O168" i="80" s="1"/>
  <c r="O269" i="80" s="1"/>
  <c r="M22" i="71"/>
  <c r="M127" i="71" s="1"/>
  <c r="U269" i="80"/>
  <c r="L82" i="71"/>
  <c r="L187" i="71" s="1"/>
  <c r="S269" i="80"/>
  <c r="M142" i="80"/>
  <c r="M168" i="80" s="1"/>
  <c r="R269" i="80"/>
  <c r="W269" i="80"/>
  <c r="X269"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V269" i="80"/>
  <c r="Y269"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T269"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L269" i="80"/>
  <c r="M52" i="71"/>
  <c r="M157" i="71" s="1"/>
  <c r="M82" i="71"/>
  <c r="M187" i="71" s="1"/>
  <c r="O187" i="71"/>
  <c r="P127" i="71"/>
  <c r="P187" i="71"/>
  <c r="Q269" i="80"/>
  <c r="M269" i="80" l="1"/>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51" i="112" l="1"/>
  <c r="N29" i="41" s="1"/>
  <c r="T48" i="41" s="1"/>
  <c r="T47" i="65" s="1"/>
  <c r="T43" i="82" s="1"/>
  <c r="O51" i="112"/>
  <c r="O29" i="41" s="1"/>
  <c r="AA48" i="41" s="1"/>
  <c r="AA47" i="65" s="1"/>
  <c r="AA43" i="82" s="1"/>
  <c r="P51" i="112"/>
  <c r="P55" i="112" s="1"/>
  <c r="L51" i="112"/>
  <c r="L55" i="112" s="1"/>
  <c r="J29" i="41"/>
  <c r="J48" i="41" s="1"/>
  <c r="J47" i="65" s="1"/>
  <c r="J43" i="82" s="1"/>
  <c r="J59" i="112"/>
  <c r="J55" i="112"/>
  <c r="N43" i="53"/>
  <c r="N49" i="53" s="1"/>
  <c r="N44" i="53"/>
  <c r="N50" i="53" s="1"/>
  <c r="N69" i="53"/>
  <c r="N71" i="53"/>
  <c r="N73" i="53" s="1"/>
  <c r="P59" i="112"/>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59" i="112" l="1"/>
  <c r="N55" i="112"/>
  <c r="P29" i="41"/>
  <c r="AB48" i="41" s="1"/>
  <c r="AB47" i="65" s="1"/>
  <c r="AB43" i="82" s="1"/>
  <c r="L59" i="112"/>
  <c r="L65" i="112" s="1"/>
  <c r="O59" i="112"/>
  <c r="O55" i="112"/>
  <c r="H57" i="112" s="1"/>
  <c r="H86" i="105" s="1"/>
  <c r="H129" i="105" s="1"/>
  <c r="L29" i="41"/>
  <c r="M48" i="41" s="1"/>
  <c r="M47" i="65" s="1"/>
  <c r="M43" i="82" s="1"/>
  <c r="J65" i="112"/>
  <c r="U48" i="41"/>
  <c r="U47" i="65" s="1"/>
  <c r="U43" i="82" s="1"/>
  <c r="X48" i="41"/>
  <c r="X47" i="65" s="1"/>
  <c r="X43" i="82" s="1"/>
  <c r="V48" i="41"/>
  <c r="V47" i="65" s="1"/>
  <c r="V43" i="82" s="1"/>
  <c r="P65" i="112"/>
  <c r="O48" i="41"/>
  <c r="O47" i="65" s="1"/>
  <c r="O43" i="82" s="1"/>
  <c r="Y48" i="41"/>
  <c r="Y47" i="65" s="1"/>
  <c r="Y43" i="82" s="1"/>
  <c r="R48" i="41"/>
  <c r="R47" i="65" s="1"/>
  <c r="R43" i="82" s="1"/>
  <c r="Z48" i="41"/>
  <c r="Z47" i="65" s="1"/>
  <c r="Z43" i="82" s="1"/>
  <c r="W48" i="41"/>
  <c r="W47" i="65" s="1"/>
  <c r="W43" i="82" s="1"/>
  <c r="S48" i="41"/>
  <c r="S47" i="65" s="1"/>
  <c r="S43" i="82" s="1"/>
  <c r="N48" i="41"/>
  <c r="N47" i="65" s="1"/>
  <c r="N43" i="82" s="1"/>
  <c r="AC48" i="41"/>
  <c r="AC47" i="65" s="1"/>
  <c r="AC43" i="82" s="1"/>
  <c r="AD48" i="41"/>
  <c r="AD47" i="65" s="1"/>
  <c r="AD43" i="82" s="1"/>
  <c r="AE48" i="41"/>
  <c r="AE47" i="65" s="1"/>
  <c r="AE43" i="82" s="1"/>
  <c r="AF48" i="41"/>
  <c r="AF47" i="65" s="1"/>
  <c r="AF43" i="82" s="1"/>
  <c r="N65" i="112"/>
  <c r="N259" i="80"/>
  <c r="N256" i="80"/>
  <c r="N258" i="80"/>
  <c r="N255" i="80"/>
  <c r="N254" i="80"/>
  <c r="N253" i="80"/>
  <c r="N257" i="80"/>
  <c r="N252" i="80"/>
  <c r="N79" i="53"/>
  <c r="N85" i="53" s="1"/>
  <c r="N77" i="53"/>
  <c r="N83" i="53" s="1"/>
  <c r="N20" i="74"/>
  <c r="N204" i="80"/>
  <c r="N206" i="80" s="1"/>
  <c r="P48" i="41" l="1"/>
  <c r="P47" i="65" s="1"/>
  <c r="P43" i="82" s="1"/>
  <c r="L48" i="41"/>
  <c r="L47" i="65" s="1"/>
  <c r="L43" i="82" s="1"/>
  <c r="O65" i="112"/>
  <c r="H67" i="112" s="1"/>
  <c r="H69" i="112" s="1"/>
  <c r="H61" i="112"/>
  <c r="H87" i="105" s="1"/>
  <c r="H130" i="105" s="1"/>
  <c r="N91" i="53"/>
  <c r="N93" i="53" s="1"/>
  <c r="N72" i="74"/>
  <c r="N74" i="74"/>
  <c r="N77" i="74"/>
  <c r="N75" i="74"/>
  <c r="N78" i="74"/>
  <c r="N76" i="74"/>
  <c r="N73" i="74"/>
  <c r="H71" i="112" l="1" a="1"/>
  <c r="H71" i="112" s="1"/>
  <c r="A4" i="112" s="1"/>
  <c r="N267" i="53"/>
  <c r="N78" i="83" s="1"/>
  <c r="N124" i="83" s="1"/>
  <c r="N272" i="53"/>
  <c r="N81" i="83" s="1"/>
  <c r="N152" i="83" s="1"/>
  <c r="N294" i="53"/>
  <c r="N116" i="80" s="1"/>
  <c r="N128" i="80" s="1"/>
  <c r="N283" i="53"/>
  <c r="N93" i="83" s="1"/>
  <c r="N181" i="83" s="1"/>
  <c r="N52" i="71" s="1"/>
  <c r="N157" i="71"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4"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82" i="83"/>
  <c r="N153" i="83" s="1"/>
  <c r="N23" i="71" s="1"/>
  <c r="N128" i="71" s="1"/>
  <c r="N70" i="80"/>
  <c r="N82" i="80" s="1"/>
  <c r="N106" i="83"/>
  <c r="N211" i="83" s="1"/>
  <c r="N83" i="71" s="1"/>
  <c r="N188" i="71" s="1"/>
  <c r="N105" i="83"/>
  <c r="N210" i="83" s="1"/>
  <c r="N82" i="71" s="1"/>
  <c r="N187" i="71" s="1"/>
  <c r="N94" i="83"/>
  <c r="N182" i="83" s="1"/>
  <c r="N53" i="71" s="1"/>
  <c r="N158" i="71" s="1"/>
  <c r="N93" i="80"/>
  <c r="N105" i="80" s="1"/>
  <c r="N22" i="71"/>
  <c r="N142" i="80" l="1"/>
  <c r="N127" i="71"/>
  <c r="N168" i="80" l="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7"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3" i="55"/>
  <c r="A4" i="22"/>
  <c r="J46"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130" i="83"/>
  <c r="K130" i="72" s="1"/>
  <c r="K200" i="72" s="1"/>
  <c r="K230" i="72" s="1"/>
  <c r="J294" i="53"/>
  <c r="J106" i="83" s="1"/>
  <c r="J211" i="83" s="1"/>
  <c r="J83" i="71" s="1"/>
  <c r="J188" i="71" s="1"/>
  <c r="J272" i="53"/>
  <c r="J82" i="83" s="1"/>
  <c r="J153" i="83" s="1"/>
  <c r="J23" i="71" s="1"/>
  <c r="J128" i="71" s="1"/>
  <c r="J283" i="53"/>
  <c r="J93" i="80" s="1"/>
  <c r="J105" i="80" s="1"/>
  <c r="K294" i="53" l="1"/>
  <c r="K105" i="83" s="1"/>
  <c r="K210" i="83" s="1"/>
  <c r="K82" i="71" s="1"/>
  <c r="K187" i="71" s="1"/>
  <c r="K272" i="53"/>
  <c r="K81" i="83" s="1"/>
  <c r="K152" i="83" s="1"/>
  <c r="K283" i="53"/>
  <c r="K93" i="80" s="1"/>
  <c r="K105" i="80" s="1"/>
  <c r="J105" i="83"/>
  <c r="J210" i="83" s="1"/>
  <c r="J82" i="71" s="1"/>
  <c r="J187" i="71" s="1"/>
  <c r="J116" i="80"/>
  <c r="J128" i="80" s="1"/>
  <c r="J93" i="83"/>
  <c r="J181" i="83" s="1"/>
  <c r="J52" i="71" s="1"/>
  <c r="J157" i="71" s="1"/>
  <c r="J94" i="83"/>
  <c r="J182" i="83" s="1"/>
  <c r="J53" i="71" s="1"/>
  <c r="J158" i="71" s="1"/>
  <c r="J81" i="83"/>
  <c r="J152" i="83" s="1"/>
  <c r="J22" i="71" s="1"/>
  <c r="J70" i="80"/>
  <c r="J82" i="80" s="1"/>
  <c r="K116" i="80" l="1"/>
  <c r="K128" i="80" s="1"/>
  <c r="K106" i="83"/>
  <c r="K211" i="83" s="1"/>
  <c r="K83" i="71" s="1"/>
  <c r="K188" i="71" s="1"/>
  <c r="K70" i="80"/>
  <c r="K82" i="80" s="1"/>
  <c r="K82" i="83"/>
  <c r="K153" i="83" s="1"/>
  <c r="K23" i="71" s="1"/>
  <c r="K128" i="71" s="1"/>
  <c r="K94" i="83"/>
  <c r="K182" i="83" s="1"/>
  <c r="K53" i="71" s="1"/>
  <c r="K158" i="71" s="1"/>
  <c r="J142" i="80"/>
  <c r="J168" i="80" s="1"/>
  <c r="K93" i="83"/>
  <c r="K181" i="83" s="1"/>
  <c r="K52" i="71" s="1"/>
  <c r="K157" i="71" s="1"/>
  <c r="J127" i="71"/>
  <c r="K22" i="71"/>
  <c r="K127" i="71" s="1"/>
  <c r="K142" i="80" l="1"/>
  <c r="K168" i="80" s="1"/>
  <c r="K269" i="80" s="1"/>
  <c r="J269" i="80"/>
  <c r="H154" i="80" l="1"/>
  <c r="H269" i="80"/>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Q140" i="105"/>
  <c r="Q62" i="82" l="1"/>
  <c r="Q206" i="105"/>
  <c r="Q73" i="82" s="1"/>
  <c r="Q207" i="105"/>
  <c r="Q74" i="82" s="1"/>
  <c r="AA159" i="65" l="1"/>
  <c r="AA64" i="105" s="1"/>
  <c r="AA182" i="105" l="1"/>
  <c r="AA189" i="105" s="1"/>
  <c r="AA105" i="105"/>
  <c r="AA112" i="105" s="1"/>
  <c r="K194" i="105"/>
  <c r="K140" i="105" l="1"/>
  <c r="K62" i="82" l="1"/>
  <c r="K206" i="105"/>
  <c r="K73" i="82" s="1"/>
  <c r="K207" i="105"/>
  <c r="K74" i="82" s="1"/>
  <c r="AJ141" i="105"/>
  <c r="AJ147" i="105"/>
  <c r="AG141" i="105" l="1"/>
  <c r="H112" i="53" l="1"/>
  <c r="H162" i="53"/>
  <c r="Q212" i="53" s="1"/>
  <c r="Q236" i="53" s="1"/>
  <c r="Q279" i="53" s="1"/>
  <c r="H121" i="53"/>
  <c r="X189" i="53" s="1"/>
  <c r="X253" i="53" s="1"/>
  <c r="X296" i="53" s="1"/>
  <c r="H113" i="53"/>
  <c r="H138" i="53"/>
  <c r="H120" i="53"/>
  <c r="K188" i="53" s="1"/>
  <c r="K242" i="53" s="1"/>
  <c r="K285" i="53" s="1"/>
  <c r="H122" i="53"/>
  <c r="H114" i="53"/>
  <c r="Q182" i="53"/>
  <c r="Q230" i="53" s="1"/>
  <c r="Q273" i="53" s="1"/>
  <c r="M54" i="86"/>
  <c r="H119" i="53"/>
  <c r="L54" i="86"/>
  <c r="H111" i="53"/>
  <c r="H135" i="53"/>
  <c r="W188" i="53"/>
  <c r="W242" i="53" s="1"/>
  <c r="W285" i="53" s="1"/>
  <c r="U188" i="53"/>
  <c r="U242" i="53" s="1"/>
  <c r="U285" i="53" s="1"/>
  <c r="S188" i="53"/>
  <c r="S242" i="53" s="1"/>
  <c r="S285" i="53" s="1"/>
  <c r="T189" i="53"/>
  <c r="T253" i="53" s="1"/>
  <c r="T296" i="53" s="1"/>
  <c r="P189" i="53"/>
  <c r="P253" i="53" s="1"/>
  <c r="P296" i="53" s="1"/>
  <c r="Y189" i="53"/>
  <c r="Y253" i="53" s="1"/>
  <c r="Y296" i="53" s="1"/>
  <c r="K189" i="53"/>
  <c r="K253" i="53" s="1"/>
  <c r="K296" i="53" s="1"/>
  <c r="U189" i="53"/>
  <c r="U253" i="53" s="1"/>
  <c r="U296" i="53" s="1"/>
  <c r="L189" i="53"/>
  <c r="L253" i="53" s="1"/>
  <c r="L296" i="53" s="1"/>
  <c r="J189" i="53"/>
  <c r="J253" i="53" s="1"/>
  <c r="J296" i="53" s="1"/>
  <c r="O189" i="53"/>
  <c r="O253" i="53" s="1"/>
  <c r="O296" i="53" s="1"/>
  <c r="H124" i="53"/>
  <c r="Q189" i="53" s="1"/>
  <c r="Q253" i="53" s="1"/>
  <c r="Q296" i="53" s="1"/>
  <c r="M189" i="53"/>
  <c r="M253" i="53" s="1"/>
  <c r="M296" i="53" s="1"/>
  <c r="N189" i="53"/>
  <c r="N253" i="53" s="1"/>
  <c r="N296" i="53" s="1"/>
  <c r="V189" i="53"/>
  <c r="V253" i="53" s="1"/>
  <c r="V296" i="53" s="1"/>
  <c r="S189" i="53"/>
  <c r="S253" i="53" s="1"/>
  <c r="S296" i="53" s="1"/>
  <c r="Q187" i="53"/>
  <c r="Q231" i="53" s="1"/>
  <c r="Q274" i="53" s="1"/>
  <c r="N183" i="53"/>
  <c r="N241" i="53" s="1"/>
  <c r="N284" i="53" s="1"/>
  <c r="Y183" i="53"/>
  <c r="Y241" i="53" s="1"/>
  <c r="Y284" i="53" s="1"/>
  <c r="X183" i="53"/>
  <c r="X241" i="53" s="1"/>
  <c r="X284" i="53" s="1"/>
  <c r="J183" i="53"/>
  <c r="J241" i="53" s="1"/>
  <c r="J284" i="53" s="1"/>
  <c r="W183" i="53"/>
  <c r="W241" i="53" s="1"/>
  <c r="W284" i="53" s="1"/>
  <c r="T183" i="53"/>
  <c r="T241" i="53" s="1"/>
  <c r="T284" i="53" s="1"/>
  <c r="P183" i="53"/>
  <c r="P241" i="53" s="1"/>
  <c r="P284" i="53" s="1"/>
  <c r="V183" i="53"/>
  <c r="V241" i="53" s="1"/>
  <c r="V284" i="53" s="1"/>
  <c r="K183" i="53"/>
  <c r="K241" i="53" s="1"/>
  <c r="K284" i="53" s="1"/>
  <c r="M183" i="53"/>
  <c r="M241" i="53" s="1"/>
  <c r="M284" i="53" s="1"/>
  <c r="O183" i="53"/>
  <c r="O241" i="53" s="1"/>
  <c r="O284" i="53" s="1"/>
  <c r="L183" i="53"/>
  <c r="L241" i="53" s="1"/>
  <c r="L284" i="53" s="1"/>
  <c r="U183" i="53"/>
  <c r="U241" i="53" s="1"/>
  <c r="U284" i="53" s="1"/>
  <c r="S183" i="53"/>
  <c r="S241" i="53" s="1"/>
  <c r="S284" i="53" s="1"/>
  <c r="R183" i="53"/>
  <c r="R241" i="53" s="1"/>
  <c r="R284" i="53" s="1"/>
  <c r="Q197" i="53"/>
  <c r="Q233" i="53" s="1"/>
  <c r="Q276" i="53" s="1"/>
  <c r="U184" i="53"/>
  <c r="U252" i="53" s="1"/>
  <c r="U295" i="53" s="1"/>
  <c r="J184" i="53"/>
  <c r="J252" i="53" s="1"/>
  <c r="J295" i="53" s="1"/>
  <c r="O184" i="53"/>
  <c r="O252" i="53" s="1"/>
  <c r="O295" i="53" s="1"/>
  <c r="K184" i="53"/>
  <c r="K252" i="53" s="1"/>
  <c r="K295" i="53" s="1"/>
  <c r="S184" i="53"/>
  <c r="S252" i="53" s="1"/>
  <c r="S295" i="53" s="1"/>
  <c r="M184" i="53"/>
  <c r="M252" i="53" s="1"/>
  <c r="M295" i="53" s="1"/>
  <c r="T184" i="53"/>
  <c r="T252" i="53" s="1"/>
  <c r="T295" i="53" s="1"/>
  <c r="R184" i="53"/>
  <c r="R252" i="53" s="1"/>
  <c r="R295" i="53" s="1"/>
  <c r="V184" i="53"/>
  <c r="V252" i="53" s="1"/>
  <c r="V295" i="53" s="1"/>
  <c r="P184" i="53"/>
  <c r="P252" i="53" s="1"/>
  <c r="P295" i="53" s="1"/>
  <c r="X184" i="53"/>
  <c r="X252" i="53" s="1"/>
  <c r="X295" i="53" s="1"/>
  <c r="N184" i="53"/>
  <c r="N252" i="53" s="1"/>
  <c r="N295" i="53" s="1"/>
  <c r="H116" i="53"/>
  <c r="Q184" i="53" s="1"/>
  <c r="Q252" i="53" s="1"/>
  <c r="Q295" i="53" s="1"/>
  <c r="Y184" i="53"/>
  <c r="Y252" i="53" s="1"/>
  <c r="Y295" i="53" s="1"/>
  <c r="L184" i="53"/>
  <c r="L252" i="53" s="1"/>
  <c r="L295" i="53" s="1"/>
  <c r="W184" i="53"/>
  <c r="W252" i="53" s="1"/>
  <c r="W295" i="53" s="1"/>
  <c r="P188" i="53" l="1"/>
  <c r="P242" i="53" s="1"/>
  <c r="P285" i="53" s="1"/>
  <c r="O188" i="53"/>
  <c r="O242" i="53" s="1"/>
  <c r="O285" i="53" s="1"/>
  <c r="R188" i="53"/>
  <c r="R242" i="53" s="1"/>
  <c r="R285" i="53" s="1"/>
  <c r="Y188" i="53"/>
  <c r="Y242" i="53" s="1"/>
  <c r="Y285" i="53" s="1"/>
  <c r="L188" i="53"/>
  <c r="L242" i="53" s="1"/>
  <c r="L285" i="53" s="1"/>
  <c r="L96" i="83" s="1"/>
  <c r="L184" i="83" s="1"/>
  <c r="L55" i="71" s="1"/>
  <c r="L160" i="71" s="1"/>
  <c r="V188" i="53"/>
  <c r="V242" i="53" s="1"/>
  <c r="V285" i="53" s="1"/>
  <c r="V96" i="83" s="1"/>
  <c r="V184" i="83" s="1"/>
  <c r="V55" i="71" s="1"/>
  <c r="V160" i="71" s="1"/>
  <c r="H123" i="53"/>
  <c r="Q188" i="53" s="1"/>
  <c r="Q242" i="53" s="1"/>
  <c r="Q285" i="53" s="1"/>
  <c r="N188" i="53"/>
  <c r="N242" i="53" s="1"/>
  <c r="N285" i="53" s="1"/>
  <c r="M188" i="53"/>
  <c r="M242" i="53" s="1"/>
  <c r="M285" i="53" s="1"/>
  <c r="T188" i="53"/>
  <c r="T242" i="53" s="1"/>
  <c r="T285" i="53" s="1"/>
  <c r="R189" i="53"/>
  <c r="R253" i="53" s="1"/>
  <c r="R296" i="53" s="1"/>
  <c r="R108" i="83" s="1"/>
  <c r="R213" i="83" s="1"/>
  <c r="R85" i="71" s="1"/>
  <c r="R190" i="71" s="1"/>
  <c r="W189" i="53"/>
  <c r="W253" i="53" s="1"/>
  <c r="W296" i="53" s="1"/>
  <c r="J188" i="53"/>
  <c r="J242" i="53" s="1"/>
  <c r="J285" i="53" s="1"/>
  <c r="X188" i="53"/>
  <c r="X242" i="53" s="1"/>
  <c r="X285" i="53" s="1"/>
  <c r="H144" i="53"/>
  <c r="H152" i="53"/>
  <c r="Y208" i="53" s="1"/>
  <c r="Y246" i="53" s="1"/>
  <c r="Y289" i="53" s="1"/>
  <c r="H137" i="53"/>
  <c r="H161" i="53"/>
  <c r="H47" i="86" a="1"/>
  <c r="H47" i="86" s="1"/>
  <c r="H170" i="53"/>
  <c r="Q217" i="53" s="1"/>
  <c r="Q237" i="53" s="1"/>
  <c r="Q280" i="53" s="1"/>
  <c r="H153" i="53"/>
  <c r="H146" i="53"/>
  <c r="Q202" i="53" s="1"/>
  <c r="Q234" i="53" s="1"/>
  <c r="Q277" i="53" s="1"/>
  <c r="H145" i="53"/>
  <c r="H130" i="53"/>
  <c r="Q192" i="53" s="1"/>
  <c r="Q232" i="53" s="1"/>
  <c r="Q275" i="53" s="1"/>
  <c r="H169" i="53"/>
  <c r="P219" i="53" s="1"/>
  <c r="P259" i="53" s="1"/>
  <c r="P302" i="53" s="1"/>
  <c r="H160" i="53"/>
  <c r="H168" i="53"/>
  <c r="H154" i="53"/>
  <c r="Q207" i="53" s="1"/>
  <c r="Q235" i="53" s="1"/>
  <c r="Q278" i="53" s="1"/>
  <c r="H128" i="53"/>
  <c r="N193" i="53" s="1"/>
  <c r="N243" i="53" s="1"/>
  <c r="N286" i="53" s="1"/>
  <c r="H136" i="53"/>
  <c r="X198" i="53" s="1"/>
  <c r="X244" i="53" s="1"/>
  <c r="X287" i="53" s="1"/>
  <c r="H129" i="53"/>
  <c r="N194" i="53" s="1"/>
  <c r="N254" i="53" s="1"/>
  <c r="N297" i="53" s="1"/>
  <c r="P198" i="53"/>
  <c r="P244" i="53" s="1"/>
  <c r="P287" i="53" s="1"/>
  <c r="T198" i="53"/>
  <c r="T244" i="53" s="1"/>
  <c r="T287" i="53" s="1"/>
  <c r="R198" i="53"/>
  <c r="R244" i="53" s="1"/>
  <c r="R287" i="53" s="1"/>
  <c r="U198" i="53"/>
  <c r="U244" i="53" s="1"/>
  <c r="U287" i="53" s="1"/>
  <c r="J198" i="53"/>
  <c r="J244" i="53" s="1"/>
  <c r="J287" i="53" s="1"/>
  <c r="N198" i="53"/>
  <c r="N244" i="53" s="1"/>
  <c r="N287" i="53" s="1"/>
  <c r="M198" i="53"/>
  <c r="M244" i="53" s="1"/>
  <c r="M287" i="53" s="1"/>
  <c r="K198" i="53"/>
  <c r="K244" i="53" s="1"/>
  <c r="K287" i="53" s="1"/>
  <c r="J194" i="53"/>
  <c r="J254" i="53" s="1"/>
  <c r="J297" i="53" s="1"/>
  <c r="K194" i="53"/>
  <c r="K254" i="53" s="1"/>
  <c r="K297" i="53" s="1"/>
  <c r="V194" i="53"/>
  <c r="V254" i="53" s="1"/>
  <c r="V297" i="53" s="1"/>
  <c r="Y194" i="53"/>
  <c r="Y254" i="53" s="1"/>
  <c r="Y297" i="53" s="1"/>
  <c r="U194" i="53"/>
  <c r="U254" i="53" s="1"/>
  <c r="U297" i="53" s="1"/>
  <c r="R194" i="53"/>
  <c r="R254" i="53" s="1"/>
  <c r="R297" i="53" s="1"/>
  <c r="S53" i="86"/>
  <c r="H167" i="53"/>
  <c r="X107" i="83"/>
  <c r="X212" i="83" s="1"/>
  <c r="X84" i="71" s="1"/>
  <c r="X189" i="71" s="1"/>
  <c r="X117" i="80"/>
  <c r="X129" i="80" s="1"/>
  <c r="S107" i="83"/>
  <c r="S212" i="83" s="1"/>
  <c r="S84" i="71" s="1"/>
  <c r="S189" i="71" s="1"/>
  <c r="S117" i="80"/>
  <c r="S129" i="80" s="1"/>
  <c r="H139" i="53"/>
  <c r="Q198" i="53" s="1"/>
  <c r="Q244" i="53" s="1"/>
  <c r="Q287" i="53" s="1"/>
  <c r="M95" i="83"/>
  <c r="M183" i="83" s="1"/>
  <c r="M54" i="71" s="1"/>
  <c r="M159" i="71" s="1"/>
  <c r="M94" i="80"/>
  <c r="M106" i="80" s="1"/>
  <c r="J95" i="83"/>
  <c r="J183" i="83" s="1"/>
  <c r="J54" i="71" s="1"/>
  <c r="J159" i="71" s="1"/>
  <c r="J94" i="80"/>
  <c r="J106" i="80" s="1"/>
  <c r="W108" i="83"/>
  <c r="W213" i="83" s="1"/>
  <c r="W85" i="71" s="1"/>
  <c r="W190" i="71" s="1"/>
  <c r="W118" i="80"/>
  <c r="W130" i="80" s="1"/>
  <c r="X108" i="83"/>
  <c r="X213" i="83" s="1"/>
  <c r="X85" i="71" s="1"/>
  <c r="X190" i="71" s="1"/>
  <c r="X118" i="80"/>
  <c r="X130" i="80" s="1"/>
  <c r="J96" i="83"/>
  <c r="J184" i="83" s="1"/>
  <c r="J55" i="71" s="1"/>
  <c r="J160" i="71" s="1"/>
  <c r="J95" i="80"/>
  <c r="J107" i="80" s="1"/>
  <c r="X96" i="83"/>
  <c r="X184" i="83" s="1"/>
  <c r="X55" i="71" s="1"/>
  <c r="X160" i="71" s="1"/>
  <c r="X95" i="80"/>
  <c r="X107" i="80" s="1"/>
  <c r="K95" i="80"/>
  <c r="K107" i="80" s="1"/>
  <c r="K96" i="83"/>
  <c r="K184" i="83" s="1"/>
  <c r="K55" i="71" s="1"/>
  <c r="K160" i="71" s="1"/>
  <c r="M187" i="53"/>
  <c r="M231" i="53" s="1"/>
  <c r="M274" i="53" s="1"/>
  <c r="X187" i="53"/>
  <c r="X231" i="53" s="1"/>
  <c r="X274" i="53" s="1"/>
  <c r="N187" i="53"/>
  <c r="N231" i="53" s="1"/>
  <c r="N274" i="53" s="1"/>
  <c r="S187" i="53"/>
  <c r="S231" i="53" s="1"/>
  <c r="S274" i="53" s="1"/>
  <c r="T187" i="53"/>
  <c r="T231" i="53" s="1"/>
  <c r="T274" i="53" s="1"/>
  <c r="V187" i="53"/>
  <c r="V231" i="53" s="1"/>
  <c r="V274" i="53" s="1"/>
  <c r="R187" i="53"/>
  <c r="R231" i="53" s="1"/>
  <c r="R274" i="53" s="1"/>
  <c r="K187" i="53"/>
  <c r="K231" i="53" s="1"/>
  <c r="K274" i="53" s="1"/>
  <c r="W187" i="53"/>
  <c r="W231" i="53" s="1"/>
  <c r="W274" i="53" s="1"/>
  <c r="U187" i="53"/>
  <c r="U231" i="53" s="1"/>
  <c r="U274" i="53" s="1"/>
  <c r="Y187" i="53"/>
  <c r="Y231" i="53" s="1"/>
  <c r="Y274" i="53" s="1"/>
  <c r="L187" i="53"/>
  <c r="L231" i="53" s="1"/>
  <c r="L274" i="53" s="1"/>
  <c r="P187" i="53"/>
  <c r="P231" i="53" s="1"/>
  <c r="P274" i="53" s="1"/>
  <c r="O187" i="53"/>
  <c r="O231" i="53" s="1"/>
  <c r="O274" i="53" s="1"/>
  <c r="J187" i="53"/>
  <c r="J231" i="53" s="1"/>
  <c r="J274" i="53" s="1"/>
  <c r="L219" i="53"/>
  <c r="L259" i="53" s="1"/>
  <c r="L302" i="53" s="1"/>
  <c r="V219" i="53"/>
  <c r="V259" i="53" s="1"/>
  <c r="V302" i="53" s="1"/>
  <c r="X219" i="53"/>
  <c r="X259" i="53" s="1"/>
  <c r="X302" i="53" s="1"/>
  <c r="J219" i="53"/>
  <c r="J259" i="53" s="1"/>
  <c r="J302" i="53" s="1"/>
  <c r="O219" i="53"/>
  <c r="O259" i="53" s="1"/>
  <c r="O302" i="53" s="1"/>
  <c r="R219" i="53"/>
  <c r="R259" i="53" s="1"/>
  <c r="R302" i="53" s="1"/>
  <c r="T107" i="83"/>
  <c r="T212" i="83" s="1"/>
  <c r="T84" i="71" s="1"/>
  <c r="T189" i="71" s="1"/>
  <c r="T117" i="80"/>
  <c r="T129" i="80" s="1"/>
  <c r="T95" i="83"/>
  <c r="T183" i="83" s="1"/>
  <c r="T54" i="71" s="1"/>
  <c r="T159" i="71" s="1"/>
  <c r="T94" i="80"/>
  <c r="T106" i="80" s="1"/>
  <c r="M108" i="83"/>
  <c r="M213" i="83" s="1"/>
  <c r="M85" i="71" s="1"/>
  <c r="M190" i="71" s="1"/>
  <c r="M118" i="80"/>
  <c r="M130" i="80" s="1"/>
  <c r="S96" i="83"/>
  <c r="S184" i="83" s="1"/>
  <c r="S55" i="71" s="1"/>
  <c r="S160" i="71" s="1"/>
  <c r="S95" i="80"/>
  <c r="S107" i="80" s="1"/>
  <c r="W96" i="83"/>
  <c r="W184" i="83" s="1"/>
  <c r="W55" i="71" s="1"/>
  <c r="W160" i="71" s="1"/>
  <c r="W95" i="80"/>
  <c r="W107" i="80" s="1"/>
  <c r="M213" i="53"/>
  <c r="M247" i="53" s="1"/>
  <c r="M290" i="53" s="1"/>
  <c r="V213" i="53"/>
  <c r="V247" i="53" s="1"/>
  <c r="V290" i="53" s="1"/>
  <c r="T213" i="53"/>
  <c r="T247" i="53" s="1"/>
  <c r="T290" i="53" s="1"/>
  <c r="W213" i="53"/>
  <c r="W247" i="53" s="1"/>
  <c r="W290" i="53" s="1"/>
  <c r="X213" i="53"/>
  <c r="X247" i="53" s="1"/>
  <c r="X290" i="53" s="1"/>
  <c r="K213" i="53"/>
  <c r="K247" i="53" s="1"/>
  <c r="K290" i="53" s="1"/>
  <c r="P213" i="53"/>
  <c r="P247" i="53" s="1"/>
  <c r="P290" i="53" s="1"/>
  <c r="U213" i="53"/>
  <c r="U247" i="53" s="1"/>
  <c r="U290" i="53" s="1"/>
  <c r="L213" i="53"/>
  <c r="L247" i="53" s="1"/>
  <c r="L290" i="53" s="1"/>
  <c r="J213" i="53"/>
  <c r="J247" i="53" s="1"/>
  <c r="J290" i="53" s="1"/>
  <c r="N213" i="53"/>
  <c r="N247" i="53" s="1"/>
  <c r="N290" i="53" s="1"/>
  <c r="O213" i="53"/>
  <c r="O247" i="53" s="1"/>
  <c r="O290" i="53" s="1"/>
  <c r="Y213" i="53"/>
  <c r="Y247" i="53" s="1"/>
  <c r="Y290" i="53" s="1"/>
  <c r="R213" i="53"/>
  <c r="R247" i="53" s="1"/>
  <c r="R290" i="53" s="1"/>
  <c r="S213" i="53"/>
  <c r="S247" i="53" s="1"/>
  <c r="S290" i="53" s="1"/>
  <c r="K199" i="53"/>
  <c r="K255" i="53" s="1"/>
  <c r="K298" i="53" s="1"/>
  <c r="N199" i="53"/>
  <c r="N255" i="53" s="1"/>
  <c r="N298" i="53" s="1"/>
  <c r="H140" i="53"/>
  <c r="Q199" i="53" s="1"/>
  <c r="Q255" i="53" s="1"/>
  <c r="Q298" i="53" s="1"/>
  <c r="T199" i="53"/>
  <c r="T255" i="53" s="1"/>
  <c r="T298" i="53" s="1"/>
  <c r="O199" i="53"/>
  <c r="O255" i="53" s="1"/>
  <c r="O298" i="53" s="1"/>
  <c r="J199" i="53"/>
  <c r="J255" i="53" s="1"/>
  <c r="J298" i="53" s="1"/>
  <c r="L199" i="53"/>
  <c r="L255" i="53" s="1"/>
  <c r="L298" i="53" s="1"/>
  <c r="U199" i="53"/>
  <c r="U255" i="53" s="1"/>
  <c r="U298" i="53" s="1"/>
  <c r="W199" i="53"/>
  <c r="W255" i="53" s="1"/>
  <c r="W298" i="53" s="1"/>
  <c r="P199" i="53"/>
  <c r="P255" i="53" s="1"/>
  <c r="P298" i="53" s="1"/>
  <c r="Y199" i="53"/>
  <c r="Y255" i="53" s="1"/>
  <c r="Y298" i="53" s="1"/>
  <c r="M199" i="53"/>
  <c r="M255" i="53" s="1"/>
  <c r="M298" i="53" s="1"/>
  <c r="V199" i="53"/>
  <c r="V255" i="53" s="1"/>
  <c r="V298" i="53" s="1"/>
  <c r="X199" i="53"/>
  <c r="X255" i="53" s="1"/>
  <c r="X298" i="53" s="1"/>
  <c r="S199" i="53"/>
  <c r="S255" i="53" s="1"/>
  <c r="S298" i="53" s="1"/>
  <c r="R199" i="53"/>
  <c r="R255" i="53" s="1"/>
  <c r="R298" i="53" s="1"/>
  <c r="O214" i="53"/>
  <c r="O258" i="53" s="1"/>
  <c r="O301" i="53" s="1"/>
  <c r="X214" i="53"/>
  <c r="X258" i="53" s="1"/>
  <c r="X301" i="53" s="1"/>
  <c r="M214" i="53"/>
  <c r="M258" i="53" s="1"/>
  <c r="M301" i="53" s="1"/>
  <c r="K214" i="53"/>
  <c r="K258" i="53" s="1"/>
  <c r="K301" i="53" s="1"/>
  <c r="W214" i="53"/>
  <c r="W258" i="53" s="1"/>
  <c r="W301" i="53" s="1"/>
  <c r="H164" i="53"/>
  <c r="Q214" i="53" s="1"/>
  <c r="Q258" i="53" s="1"/>
  <c r="Q301" i="53" s="1"/>
  <c r="J214" i="53"/>
  <c r="J258" i="53" s="1"/>
  <c r="J301" i="53" s="1"/>
  <c r="P214" i="53"/>
  <c r="P258" i="53" s="1"/>
  <c r="P301" i="53" s="1"/>
  <c r="T214" i="53"/>
  <c r="T258" i="53" s="1"/>
  <c r="T301" i="53" s="1"/>
  <c r="Y214" i="53"/>
  <c r="Y258" i="53" s="1"/>
  <c r="Y301" i="53" s="1"/>
  <c r="N214" i="53"/>
  <c r="N258" i="53" s="1"/>
  <c r="N301" i="53" s="1"/>
  <c r="V214" i="53"/>
  <c r="V258" i="53" s="1"/>
  <c r="V301" i="53" s="1"/>
  <c r="U214" i="53"/>
  <c r="U258" i="53" s="1"/>
  <c r="U301" i="53" s="1"/>
  <c r="L214" i="53"/>
  <c r="L258" i="53" s="1"/>
  <c r="L301" i="53" s="1"/>
  <c r="R214" i="53"/>
  <c r="R258" i="53" s="1"/>
  <c r="R301" i="53" s="1"/>
  <c r="S214" i="53"/>
  <c r="S258" i="53" s="1"/>
  <c r="S301" i="53" s="1"/>
  <c r="W117" i="80"/>
  <c r="W129" i="80" s="1"/>
  <c r="W107" i="83"/>
  <c r="W212" i="83" s="1"/>
  <c r="W84" i="71" s="1"/>
  <c r="W189" i="71" s="1"/>
  <c r="P107" i="83"/>
  <c r="P212" i="83" s="1"/>
  <c r="P84" i="71" s="1"/>
  <c r="P189" i="71" s="1"/>
  <c r="P117" i="80"/>
  <c r="P129" i="80" s="1"/>
  <c r="K117" i="80"/>
  <c r="K129" i="80" s="1"/>
  <c r="K107" i="83"/>
  <c r="K212" i="83" s="1"/>
  <c r="K84" i="71" s="1"/>
  <c r="K189" i="71" s="1"/>
  <c r="R94" i="80"/>
  <c r="R106" i="80" s="1"/>
  <c r="R95" i="83"/>
  <c r="R183" i="83" s="1"/>
  <c r="R54" i="71" s="1"/>
  <c r="R159" i="71" s="1"/>
  <c r="K94" i="80"/>
  <c r="K106" i="80" s="1"/>
  <c r="K95" i="83"/>
  <c r="K183" i="83" s="1"/>
  <c r="K54" i="71" s="1"/>
  <c r="K159" i="71" s="1"/>
  <c r="X95" i="83"/>
  <c r="X183" i="83" s="1"/>
  <c r="X54" i="71" s="1"/>
  <c r="X159" i="71" s="1"/>
  <c r="X94" i="80"/>
  <c r="X106" i="80" s="1"/>
  <c r="S108" i="83"/>
  <c r="S213" i="83" s="1"/>
  <c r="S85" i="71" s="1"/>
  <c r="S190" i="71" s="1"/>
  <c r="S118" i="80"/>
  <c r="S130" i="80" s="1"/>
  <c r="O108" i="83"/>
  <c r="O213" i="83" s="1"/>
  <c r="O85" i="71" s="1"/>
  <c r="O190" i="71" s="1"/>
  <c r="O118" i="80"/>
  <c r="O130" i="80" s="1"/>
  <c r="Y108" i="83"/>
  <c r="Y213" i="83" s="1"/>
  <c r="Y85" i="71" s="1"/>
  <c r="Y190" i="71" s="1"/>
  <c r="Y118" i="80"/>
  <c r="Y130" i="80" s="1"/>
  <c r="P96" i="83"/>
  <c r="P184" i="83" s="1"/>
  <c r="P55" i="71" s="1"/>
  <c r="P160" i="71" s="1"/>
  <c r="P95" i="80"/>
  <c r="P107" i="80" s="1"/>
  <c r="O95" i="80"/>
  <c r="O107" i="80" s="1"/>
  <c r="O96" i="83"/>
  <c r="O184" i="83" s="1"/>
  <c r="O55" i="71" s="1"/>
  <c r="O160" i="71" s="1"/>
  <c r="K197" i="53"/>
  <c r="K233" i="53" s="1"/>
  <c r="K276" i="53" s="1"/>
  <c r="N197" i="53"/>
  <c r="N233" i="53" s="1"/>
  <c r="N276" i="53" s="1"/>
  <c r="V197" i="53"/>
  <c r="V233" i="53" s="1"/>
  <c r="V276" i="53" s="1"/>
  <c r="M197" i="53"/>
  <c r="M233" i="53" s="1"/>
  <c r="M276" i="53" s="1"/>
  <c r="L197" i="53"/>
  <c r="L233" i="53" s="1"/>
  <c r="L276" i="53" s="1"/>
  <c r="O197" i="53"/>
  <c r="O233" i="53" s="1"/>
  <c r="O276" i="53" s="1"/>
  <c r="W197" i="53"/>
  <c r="W233" i="53" s="1"/>
  <c r="W276" i="53" s="1"/>
  <c r="X197" i="53"/>
  <c r="X233" i="53" s="1"/>
  <c r="X276" i="53" s="1"/>
  <c r="P197" i="53"/>
  <c r="P233" i="53" s="1"/>
  <c r="P276" i="53" s="1"/>
  <c r="U197" i="53"/>
  <c r="U233" i="53" s="1"/>
  <c r="U276" i="53" s="1"/>
  <c r="S197" i="53"/>
  <c r="S233" i="53" s="1"/>
  <c r="S276" i="53" s="1"/>
  <c r="J197" i="53"/>
  <c r="J233" i="53" s="1"/>
  <c r="J276" i="53" s="1"/>
  <c r="Y197" i="53"/>
  <c r="Y233" i="53" s="1"/>
  <c r="Y276" i="53" s="1"/>
  <c r="R197" i="53"/>
  <c r="R233" i="53" s="1"/>
  <c r="R276" i="53" s="1"/>
  <c r="T197" i="53"/>
  <c r="T233" i="53" s="1"/>
  <c r="T276" i="53" s="1"/>
  <c r="S95" i="83"/>
  <c r="S183" i="83" s="1"/>
  <c r="S54" i="71" s="1"/>
  <c r="S159" i="71" s="1"/>
  <c r="S94" i="80"/>
  <c r="S106" i="80" s="1"/>
  <c r="V95" i="83"/>
  <c r="V183" i="83" s="1"/>
  <c r="V54" i="71" s="1"/>
  <c r="V159" i="71" s="1"/>
  <c r="V94" i="80"/>
  <c r="V106" i="80" s="1"/>
  <c r="Y94" i="80"/>
  <c r="Y106" i="80" s="1"/>
  <c r="Y95" i="83"/>
  <c r="Y183" i="83" s="1"/>
  <c r="Y54" i="71" s="1"/>
  <c r="Y159" i="71" s="1"/>
  <c r="V108" i="83"/>
  <c r="V213" i="83" s="1"/>
  <c r="V85" i="71" s="1"/>
  <c r="V190" i="71" s="1"/>
  <c r="V118" i="80"/>
  <c r="V130" i="80" s="1"/>
  <c r="J118" i="80"/>
  <c r="J130" i="80" s="1"/>
  <c r="J108" i="83"/>
  <c r="J213" i="83" s="1"/>
  <c r="J85" i="71" s="1"/>
  <c r="J190" i="71" s="1"/>
  <c r="P108" i="83"/>
  <c r="P213" i="83" s="1"/>
  <c r="P85" i="71" s="1"/>
  <c r="P190" i="71" s="1"/>
  <c r="P118" i="80"/>
  <c r="P130" i="80" s="1"/>
  <c r="R96" i="83"/>
  <c r="R184" i="83" s="1"/>
  <c r="R55" i="71" s="1"/>
  <c r="R160" i="71" s="1"/>
  <c r="R95" i="80"/>
  <c r="R107" i="80" s="1"/>
  <c r="Y96" i="83"/>
  <c r="Y184" i="83" s="1"/>
  <c r="Y55" i="71" s="1"/>
  <c r="Y160" i="71" s="1"/>
  <c r="Y95" i="80"/>
  <c r="Y107" i="80" s="1"/>
  <c r="O53" i="86"/>
  <c r="Q77" i="80"/>
  <c r="Q89" i="80" s="1"/>
  <c r="Q89" i="83"/>
  <c r="Q160" i="83" s="1"/>
  <c r="Q30" i="71" s="1"/>
  <c r="Q135" i="71" s="1"/>
  <c r="P193" i="53"/>
  <c r="P243" i="53" s="1"/>
  <c r="P286" i="53" s="1"/>
  <c r="Y193" i="53"/>
  <c r="Y243" i="53" s="1"/>
  <c r="Y286" i="53" s="1"/>
  <c r="O193" i="53"/>
  <c r="O243" i="53" s="1"/>
  <c r="O286" i="53" s="1"/>
  <c r="W193" i="53"/>
  <c r="W243" i="53" s="1"/>
  <c r="W286" i="53" s="1"/>
  <c r="L193" i="53"/>
  <c r="L243" i="53" s="1"/>
  <c r="L286" i="53" s="1"/>
  <c r="V193" i="53"/>
  <c r="V243" i="53" s="1"/>
  <c r="V286" i="53" s="1"/>
  <c r="Q53" i="86"/>
  <c r="H151" i="53"/>
  <c r="O218" i="53"/>
  <c r="O248" i="53" s="1"/>
  <c r="O291" i="53" s="1"/>
  <c r="N218" i="53"/>
  <c r="N248" i="53" s="1"/>
  <c r="N291" i="53" s="1"/>
  <c r="K218" i="53"/>
  <c r="K248" i="53" s="1"/>
  <c r="K291" i="53" s="1"/>
  <c r="J218" i="53"/>
  <c r="J248" i="53" s="1"/>
  <c r="J291" i="53" s="1"/>
  <c r="W218" i="53"/>
  <c r="W248" i="53" s="1"/>
  <c r="W291" i="53" s="1"/>
  <c r="M218" i="53"/>
  <c r="M248" i="53" s="1"/>
  <c r="M291" i="53" s="1"/>
  <c r="L218" i="53"/>
  <c r="L248" i="53" s="1"/>
  <c r="L291" i="53" s="1"/>
  <c r="X218" i="53"/>
  <c r="X248" i="53" s="1"/>
  <c r="X291" i="53" s="1"/>
  <c r="V218" i="53"/>
  <c r="V248" i="53" s="1"/>
  <c r="V291" i="53" s="1"/>
  <c r="T218" i="53"/>
  <c r="T248" i="53" s="1"/>
  <c r="T291" i="53" s="1"/>
  <c r="Y218" i="53"/>
  <c r="Y248" i="53" s="1"/>
  <c r="Y291" i="53" s="1"/>
  <c r="U218" i="53"/>
  <c r="U248" i="53" s="1"/>
  <c r="U291" i="53" s="1"/>
  <c r="P218" i="53"/>
  <c r="P248" i="53" s="1"/>
  <c r="P291" i="53" s="1"/>
  <c r="R218" i="53"/>
  <c r="R248" i="53" s="1"/>
  <c r="R291" i="53" s="1"/>
  <c r="S218" i="53"/>
  <c r="S248" i="53" s="1"/>
  <c r="S291" i="53" s="1"/>
  <c r="R53" i="86"/>
  <c r="H159" i="53"/>
  <c r="L209" i="53"/>
  <c r="L257" i="53" s="1"/>
  <c r="L300" i="53" s="1"/>
  <c r="W209" i="53"/>
  <c r="W257" i="53" s="1"/>
  <c r="W300" i="53" s="1"/>
  <c r="R209" i="53"/>
  <c r="R257" i="53" s="1"/>
  <c r="R300" i="53" s="1"/>
  <c r="O209" i="53"/>
  <c r="O257" i="53" s="1"/>
  <c r="O300" i="53" s="1"/>
  <c r="Y209" i="53"/>
  <c r="Y257" i="53" s="1"/>
  <c r="Y300" i="53" s="1"/>
  <c r="S209" i="53"/>
  <c r="S257" i="53" s="1"/>
  <c r="S300" i="53" s="1"/>
  <c r="N209" i="53"/>
  <c r="N257" i="53" s="1"/>
  <c r="N300" i="53" s="1"/>
  <c r="U209" i="53"/>
  <c r="U257" i="53" s="1"/>
  <c r="U300" i="53" s="1"/>
  <c r="K209" i="53"/>
  <c r="K257" i="53" s="1"/>
  <c r="K300" i="53" s="1"/>
  <c r="H156" i="53"/>
  <c r="Q209" i="53" s="1"/>
  <c r="Q257" i="53" s="1"/>
  <c r="Q300" i="53" s="1"/>
  <c r="J209" i="53"/>
  <c r="J257" i="53" s="1"/>
  <c r="J300" i="53" s="1"/>
  <c r="V209" i="53"/>
  <c r="V257" i="53" s="1"/>
  <c r="V300" i="53" s="1"/>
  <c r="M209" i="53"/>
  <c r="M257" i="53" s="1"/>
  <c r="M300" i="53" s="1"/>
  <c r="T209" i="53"/>
  <c r="T257" i="53" s="1"/>
  <c r="T300" i="53" s="1"/>
  <c r="P209" i="53"/>
  <c r="P257" i="53" s="1"/>
  <c r="P300" i="53" s="1"/>
  <c r="X209" i="53"/>
  <c r="X257" i="53" s="1"/>
  <c r="X300" i="53" s="1"/>
  <c r="L107" i="83"/>
  <c r="L212" i="83" s="1"/>
  <c r="L84" i="71" s="1"/>
  <c r="L189" i="71" s="1"/>
  <c r="L117" i="80"/>
  <c r="L129" i="80" s="1"/>
  <c r="V117" i="80"/>
  <c r="V129" i="80" s="1"/>
  <c r="V107" i="83"/>
  <c r="V212" i="83" s="1"/>
  <c r="V84" i="71" s="1"/>
  <c r="V189" i="71" s="1"/>
  <c r="O117" i="80"/>
  <c r="O129" i="80" s="1"/>
  <c r="O107" i="83"/>
  <c r="O212" i="83" s="1"/>
  <c r="O84" i="71" s="1"/>
  <c r="O189" i="71" s="1"/>
  <c r="H155" i="53"/>
  <c r="Q208" i="53" s="1"/>
  <c r="Q246" i="53" s="1"/>
  <c r="Q289" i="53" s="1"/>
  <c r="O203" i="53"/>
  <c r="O245" i="53" s="1"/>
  <c r="O288" i="53" s="1"/>
  <c r="W203" i="53"/>
  <c r="W245" i="53" s="1"/>
  <c r="W288" i="53" s="1"/>
  <c r="P203" i="53"/>
  <c r="P245" i="53" s="1"/>
  <c r="P288" i="53" s="1"/>
  <c r="M203" i="53"/>
  <c r="M245" i="53" s="1"/>
  <c r="M288" i="53" s="1"/>
  <c r="V203" i="53"/>
  <c r="V245" i="53" s="1"/>
  <c r="V288" i="53" s="1"/>
  <c r="X203" i="53"/>
  <c r="X245" i="53" s="1"/>
  <c r="X288" i="53" s="1"/>
  <c r="N203" i="53"/>
  <c r="N245" i="53" s="1"/>
  <c r="N288" i="53" s="1"/>
  <c r="Y203" i="53"/>
  <c r="Y245" i="53" s="1"/>
  <c r="Y288" i="53" s="1"/>
  <c r="T203" i="53"/>
  <c r="T245" i="53" s="1"/>
  <c r="T288" i="53" s="1"/>
  <c r="U203" i="53"/>
  <c r="U245" i="53" s="1"/>
  <c r="U288" i="53" s="1"/>
  <c r="K203" i="53"/>
  <c r="K245" i="53" s="1"/>
  <c r="K288" i="53" s="1"/>
  <c r="J203" i="53"/>
  <c r="J245" i="53" s="1"/>
  <c r="J288" i="53" s="1"/>
  <c r="L203" i="53"/>
  <c r="L245" i="53" s="1"/>
  <c r="L288" i="53" s="1"/>
  <c r="R203" i="53"/>
  <c r="R245" i="53" s="1"/>
  <c r="R288" i="53" s="1"/>
  <c r="S203" i="53"/>
  <c r="S245" i="53" s="1"/>
  <c r="S288" i="53" s="1"/>
  <c r="N53" i="86"/>
  <c r="H127" i="53"/>
  <c r="H148" i="53"/>
  <c r="Q204" i="53" s="1"/>
  <c r="Q256" i="53" s="1"/>
  <c r="Q299" i="53" s="1"/>
  <c r="V204" i="53"/>
  <c r="V256" i="53" s="1"/>
  <c r="V299" i="53" s="1"/>
  <c r="L204" i="53"/>
  <c r="L256" i="53" s="1"/>
  <c r="L299" i="53" s="1"/>
  <c r="R204" i="53"/>
  <c r="R256" i="53" s="1"/>
  <c r="R299" i="53" s="1"/>
  <c r="O204" i="53"/>
  <c r="O256" i="53" s="1"/>
  <c r="O299" i="53" s="1"/>
  <c r="K204" i="53"/>
  <c r="K256" i="53" s="1"/>
  <c r="K299" i="53" s="1"/>
  <c r="N204" i="53"/>
  <c r="N256" i="53" s="1"/>
  <c r="N299" i="53" s="1"/>
  <c r="W204" i="53"/>
  <c r="W256" i="53" s="1"/>
  <c r="W299" i="53" s="1"/>
  <c r="J204" i="53"/>
  <c r="J256" i="53" s="1"/>
  <c r="J299" i="53" s="1"/>
  <c r="M204" i="53"/>
  <c r="M256" i="53" s="1"/>
  <c r="M299" i="53" s="1"/>
  <c r="Y204" i="53"/>
  <c r="Y256" i="53" s="1"/>
  <c r="Y299" i="53" s="1"/>
  <c r="U204" i="53"/>
  <c r="U256" i="53" s="1"/>
  <c r="U299" i="53" s="1"/>
  <c r="X204" i="53"/>
  <c r="X256" i="53" s="1"/>
  <c r="X299" i="53" s="1"/>
  <c r="P204" i="53"/>
  <c r="P256" i="53" s="1"/>
  <c r="P299" i="53" s="1"/>
  <c r="T204" i="53"/>
  <c r="T256" i="53" s="1"/>
  <c r="T299" i="53" s="1"/>
  <c r="S204" i="53"/>
  <c r="S256" i="53" s="1"/>
  <c r="S299" i="53" s="1"/>
  <c r="Y117" i="80"/>
  <c r="Y129" i="80" s="1"/>
  <c r="Y107" i="83"/>
  <c r="Y212" i="83" s="1"/>
  <c r="Y84" i="71" s="1"/>
  <c r="Y189" i="71" s="1"/>
  <c r="R107" i="83"/>
  <c r="R212" i="83" s="1"/>
  <c r="R84" i="71" s="1"/>
  <c r="R189" i="71" s="1"/>
  <c r="R117" i="80"/>
  <c r="R129" i="80" s="1"/>
  <c r="J107" i="83"/>
  <c r="J212" i="83" s="1"/>
  <c r="J84" i="71" s="1"/>
  <c r="J189" i="71" s="1"/>
  <c r="J117" i="80"/>
  <c r="J129" i="80" s="1"/>
  <c r="U95" i="83"/>
  <c r="U183" i="83" s="1"/>
  <c r="U54" i="71" s="1"/>
  <c r="U159" i="71" s="1"/>
  <c r="U94" i="80"/>
  <c r="U106" i="80" s="1"/>
  <c r="P94" i="80"/>
  <c r="P106" i="80" s="1"/>
  <c r="P95" i="83"/>
  <c r="P183" i="83" s="1"/>
  <c r="P54" i="71" s="1"/>
  <c r="P159" i="71" s="1"/>
  <c r="N94" i="80"/>
  <c r="N106" i="80" s="1"/>
  <c r="N95" i="83"/>
  <c r="N183" i="83" s="1"/>
  <c r="N54" i="71" s="1"/>
  <c r="N159" i="71" s="1"/>
  <c r="N108" i="83"/>
  <c r="N213" i="83" s="1"/>
  <c r="N85" i="71" s="1"/>
  <c r="N190" i="71" s="1"/>
  <c r="N118" i="80"/>
  <c r="N130" i="80" s="1"/>
  <c r="L118" i="80"/>
  <c r="L130" i="80" s="1"/>
  <c r="L108" i="83"/>
  <c r="L213" i="83" s="1"/>
  <c r="L85" i="71" s="1"/>
  <c r="L190" i="71" s="1"/>
  <c r="T118" i="80"/>
  <c r="T130" i="80" s="1"/>
  <c r="T108" i="83"/>
  <c r="T213" i="83" s="1"/>
  <c r="T85" i="71" s="1"/>
  <c r="T190" i="71" s="1"/>
  <c r="L95" i="80"/>
  <c r="L107" i="80" s="1"/>
  <c r="N182" i="53"/>
  <c r="N230" i="53" s="1"/>
  <c r="N273" i="53" s="1"/>
  <c r="K182" i="53"/>
  <c r="K230" i="53" s="1"/>
  <c r="K273" i="53" s="1"/>
  <c r="R182" i="53"/>
  <c r="R230" i="53" s="1"/>
  <c r="R273" i="53" s="1"/>
  <c r="Y182" i="53"/>
  <c r="Y230" i="53" s="1"/>
  <c r="Y273" i="53" s="1"/>
  <c r="X182" i="53"/>
  <c r="X230" i="53" s="1"/>
  <c r="X273" i="53" s="1"/>
  <c r="U182" i="53"/>
  <c r="U230" i="53" s="1"/>
  <c r="U273" i="53" s="1"/>
  <c r="O182" i="53"/>
  <c r="O230" i="53" s="1"/>
  <c r="O273" i="53" s="1"/>
  <c r="V182" i="53"/>
  <c r="V230" i="53" s="1"/>
  <c r="V273" i="53" s="1"/>
  <c r="M182" i="53"/>
  <c r="M230" i="53" s="1"/>
  <c r="M273" i="53" s="1"/>
  <c r="J182" i="53"/>
  <c r="J230" i="53" s="1"/>
  <c r="J273" i="53" s="1"/>
  <c r="W182" i="53"/>
  <c r="W230" i="53" s="1"/>
  <c r="W273" i="53" s="1"/>
  <c r="L182" i="53"/>
  <c r="L230" i="53" s="1"/>
  <c r="L273" i="53" s="1"/>
  <c r="P182" i="53"/>
  <c r="P230" i="53" s="1"/>
  <c r="P273" i="53" s="1"/>
  <c r="T182" i="53"/>
  <c r="T230" i="53" s="1"/>
  <c r="T273" i="53" s="1"/>
  <c r="S182" i="53"/>
  <c r="S230" i="53" s="1"/>
  <c r="S273" i="53" s="1"/>
  <c r="L94" i="80"/>
  <c r="L106" i="80" s="1"/>
  <c r="L95" i="83"/>
  <c r="L183" i="83" s="1"/>
  <c r="L54" i="71" s="1"/>
  <c r="L159" i="71" s="1"/>
  <c r="Q71" i="80"/>
  <c r="Q83" i="80" s="1"/>
  <c r="Q83" i="83"/>
  <c r="Q154" i="83" s="1"/>
  <c r="Q107" i="83"/>
  <c r="Q212" i="83" s="1"/>
  <c r="Q84" i="71" s="1"/>
  <c r="Q189" i="71" s="1"/>
  <c r="Q117" i="80"/>
  <c r="Q129" i="80" s="1"/>
  <c r="U107" i="83"/>
  <c r="U212" i="83" s="1"/>
  <c r="U84" i="71" s="1"/>
  <c r="U189" i="71" s="1"/>
  <c r="U117" i="80"/>
  <c r="U129" i="80" s="1"/>
  <c r="Q95" i="80"/>
  <c r="Q107" i="80" s="1"/>
  <c r="Q96" i="83"/>
  <c r="Q184" i="83" s="1"/>
  <c r="Q55" i="71" s="1"/>
  <c r="Q160" i="71" s="1"/>
  <c r="U108" i="83"/>
  <c r="U213" i="83" s="1"/>
  <c r="U85" i="71" s="1"/>
  <c r="U190" i="71" s="1"/>
  <c r="U118" i="80"/>
  <c r="U130" i="80" s="1"/>
  <c r="U96" i="83"/>
  <c r="U184" i="83" s="1"/>
  <c r="U55" i="71" s="1"/>
  <c r="U160" i="71" s="1"/>
  <c r="U95" i="80"/>
  <c r="U107" i="80" s="1"/>
  <c r="V208" i="53"/>
  <c r="V246" i="53" s="1"/>
  <c r="V289" i="53" s="1"/>
  <c r="O208" i="53"/>
  <c r="O246" i="53" s="1"/>
  <c r="O289" i="53" s="1"/>
  <c r="U208" i="53"/>
  <c r="U246" i="53" s="1"/>
  <c r="U289" i="53" s="1"/>
  <c r="M208" i="53"/>
  <c r="M246" i="53" s="1"/>
  <c r="M289" i="53" s="1"/>
  <c r="S208" i="53"/>
  <c r="S246" i="53" s="1"/>
  <c r="S289" i="53" s="1"/>
  <c r="P54" i="86"/>
  <c r="H143" i="53"/>
  <c r="N117" i="80"/>
  <c r="N129" i="80" s="1"/>
  <c r="N107" i="83"/>
  <c r="N212" i="83" s="1"/>
  <c r="N84" i="71" s="1"/>
  <c r="N189" i="71" s="1"/>
  <c r="M117" i="80"/>
  <c r="M129" i="80" s="1"/>
  <c r="M107" i="83"/>
  <c r="M212" i="83" s="1"/>
  <c r="M84" i="71" s="1"/>
  <c r="M189" i="71" s="1"/>
  <c r="Q86" i="83"/>
  <c r="Q157" i="83" s="1"/>
  <c r="Q27" i="71" s="1"/>
  <c r="Q132" i="71" s="1"/>
  <c r="Q74" i="80"/>
  <c r="Q86" i="80" s="1"/>
  <c r="O95" i="83"/>
  <c r="O183" i="83" s="1"/>
  <c r="O54" i="71" s="1"/>
  <c r="O159" i="71" s="1"/>
  <c r="O94" i="80"/>
  <c r="O106" i="80" s="1"/>
  <c r="W95" i="83"/>
  <c r="W183" i="83" s="1"/>
  <c r="W54" i="71" s="1"/>
  <c r="W159" i="71" s="1"/>
  <c r="W94" i="80"/>
  <c r="W106" i="80" s="1"/>
  <c r="Q72" i="80"/>
  <c r="Q84" i="80" s="1"/>
  <c r="Q84" i="83"/>
  <c r="Q155" i="83" s="1"/>
  <c r="Q25" i="71" s="1"/>
  <c r="Q130" i="71" s="1"/>
  <c r="Q108" i="83"/>
  <c r="Q213" i="83" s="1"/>
  <c r="Q85" i="71" s="1"/>
  <c r="Q190" i="71" s="1"/>
  <c r="Q118" i="80"/>
  <c r="Q130" i="80" s="1"/>
  <c r="K118" i="80"/>
  <c r="K130" i="80" s="1"/>
  <c r="K108" i="83"/>
  <c r="K213" i="83" s="1"/>
  <c r="K85" i="71" s="1"/>
  <c r="K190" i="71" s="1"/>
  <c r="N95" i="80"/>
  <c r="N107" i="80" s="1"/>
  <c r="N96" i="83"/>
  <c r="N184" i="83" s="1"/>
  <c r="N55" i="71" s="1"/>
  <c r="N160" i="71" s="1"/>
  <c r="M96" i="83"/>
  <c r="M184" i="83" s="1"/>
  <c r="M55" i="71" s="1"/>
  <c r="M160" i="71" s="1"/>
  <c r="M95" i="80"/>
  <c r="M107" i="80" s="1"/>
  <c r="T95" i="80"/>
  <c r="T107" i="80" s="1"/>
  <c r="T96" i="83"/>
  <c r="T184" i="83" s="1"/>
  <c r="T55" i="71" s="1"/>
  <c r="T160" i="71" s="1"/>
  <c r="H54" i="86"/>
  <c r="H115" i="53"/>
  <c r="Q183" i="53" s="1"/>
  <c r="Q241" i="53" s="1"/>
  <c r="Q284" i="53" s="1"/>
  <c r="V95" i="80" l="1"/>
  <c r="V107" i="80" s="1"/>
  <c r="R118" i="80"/>
  <c r="R130" i="80" s="1"/>
  <c r="R208" i="53"/>
  <c r="R246" i="53" s="1"/>
  <c r="R289" i="53" s="1"/>
  <c r="T208" i="53"/>
  <c r="T246" i="53" s="1"/>
  <c r="T289" i="53" s="1"/>
  <c r="L208" i="53"/>
  <c r="L246" i="53" s="1"/>
  <c r="L289" i="53" s="1"/>
  <c r="L100" i="83" s="1"/>
  <c r="L188" i="83" s="1"/>
  <c r="L59" i="71" s="1"/>
  <c r="L164" i="71" s="1"/>
  <c r="M219" i="53"/>
  <c r="M259" i="53" s="1"/>
  <c r="M302" i="53" s="1"/>
  <c r="N219" i="53"/>
  <c r="N259" i="53" s="1"/>
  <c r="N302" i="53" s="1"/>
  <c r="U219" i="53"/>
  <c r="U259" i="53" s="1"/>
  <c r="U302" i="53" s="1"/>
  <c r="P194" i="53"/>
  <c r="P254" i="53" s="1"/>
  <c r="P297" i="53" s="1"/>
  <c r="H132" i="53"/>
  <c r="Q194" i="53" s="1"/>
  <c r="Q254" i="53" s="1"/>
  <c r="Q297" i="53" s="1"/>
  <c r="O194" i="53"/>
  <c r="O254" i="53" s="1"/>
  <c r="O297" i="53" s="1"/>
  <c r="O119" i="80" s="1"/>
  <c r="O131" i="80" s="1"/>
  <c r="K208" i="53"/>
  <c r="K246" i="53" s="1"/>
  <c r="K289" i="53" s="1"/>
  <c r="W208" i="53"/>
  <c r="W246" i="53" s="1"/>
  <c r="W289" i="53" s="1"/>
  <c r="P208" i="53"/>
  <c r="P246" i="53" s="1"/>
  <c r="P289" i="53" s="1"/>
  <c r="K219" i="53"/>
  <c r="K259" i="53" s="1"/>
  <c r="K302" i="53" s="1"/>
  <c r="H172" i="53"/>
  <c r="Q219" i="53" s="1"/>
  <c r="Q259" i="53" s="1"/>
  <c r="Q302" i="53" s="1"/>
  <c r="X194" i="53"/>
  <c r="X254" i="53" s="1"/>
  <c r="X297" i="53" s="1"/>
  <c r="X109" i="83" s="1"/>
  <c r="X214" i="83" s="1"/>
  <c r="X86" i="71" s="1"/>
  <c r="X191" i="71" s="1"/>
  <c r="M194" i="53"/>
  <c r="M254" i="53" s="1"/>
  <c r="M297" i="53" s="1"/>
  <c r="N208" i="53"/>
  <c r="N246" i="53" s="1"/>
  <c r="N289" i="53" s="1"/>
  <c r="N100" i="83" s="1"/>
  <c r="N188" i="83" s="1"/>
  <c r="N59" i="71" s="1"/>
  <c r="N164" i="71" s="1"/>
  <c r="X208" i="53"/>
  <c r="X246" i="53" s="1"/>
  <c r="X289" i="53" s="1"/>
  <c r="X100" i="83" s="1"/>
  <c r="X188" i="83" s="1"/>
  <c r="X59" i="71" s="1"/>
  <c r="X164" i="71" s="1"/>
  <c r="W219" i="53"/>
  <c r="W259" i="53" s="1"/>
  <c r="W302" i="53" s="1"/>
  <c r="S219" i="53"/>
  <c r="S259" i="53" s="1"/>
  <c r="S302" i="53" s="1"/>
  <c r="L194" i="53"/>
  <c r="L254" i="53" s="1"/>
  <c r="L297" i="53" s="1"/>
  <c r="L119" i="80" s="1"/>
  <c r="L131" i="80" s="1"/>
  <c r="T194" i="53"/>
  <c r="T254" i="53" s="1"/>
  <c r="T297" i="53" s="1"/>
  <c r="J208" i="53"/>
  <c r="J246" i="53" s="1"/>
  <c r="J289" i="53" s="1"/>
  <c r="Y219" i="53"/>
  <c r="Y259" i="53" s="1"/>
  <c r="Y302" i="53" s="1"/>
  <c r="T219" i="53"/>
  <c r="T259" i="53" s="1"/>
  <c r="T302" i="53" s="1"/>
  <c r="S194" i="53"/>
  <c r="S254" i="53" s="1"/>
  <c r="S297" i="53" s="1"/>
  <c r="S109" i="83" s="1"/>
  <c r="S214" i="83" s="1"/>
  <c r="S86" i="71" s="1"/>
  <c r="S191" i="71" s="1"/>
  <c r="W194" i="53"/>
  <c r="W254" i="53" s="1"/>
  <c r="W297" i="53" s="1"/>
  <c r="H53" i="86"/>
  <c r="H56" i="86" s="1"/>
  <c r="U193" i="53"/>
  <c r="U243" i="53" s="1"/>
  <c r="U286" i="53" s="1"/>
  <c r="R193" i="53"/>
  <c r="R243" i="53" s="1"/>
  <c r="R286" i="53" s="1"/>
  <c r="R97" i="83" s="1"/>
  <c r="R185" i="83" s="1"/>
  <c r="R56" i="71" s="1"/>
  <c r="R161" i="71" s="1"/>
  <c r="T193" i="53"/>
  <c r="T243" i="53" s="1"/>
  <c r="T286" i="53" s="1"/>
  <c r="T97" i="83" s="1"/>
  <c r="T185" i="83" s="1"/>
  <c r="T56" i="71" s="1"/>
  <c r="T161" i="71" s="1"/>
  <c r="S193" i="53"/>
  <c r="S243" i="53" s="1"/>
  <c r="S286" i="53" s="1"/>
  <c r="S96" i="80" s="1"/>
  <c r="S108" i="80" s="1"/>
  <c r="J193" i="53"/>
  <c r="J243" i="53" s="1"/>
  <c r="J286" i="53" s="1"/>
  <c r="J97" i="83" s="1"/>
  <c r="J185" i="83" s="1"/>
  <c r="J56" i="71" s="1"/>
  <c r="J161" i="71" s="1"/>
  <c r="W198" i="53"/>
  <c r="W244" i="53" s="1"/>
  <c r="W287" i="53" s="1"/>
  <c r="L198" i="53"/>
  <c r="L244" i="53" s="1"/>
  <c r="L287" i="53" s="1"/>
  <c r="L97" i="80" s="1"/>
  <c r="L109" i="80" s="1"/>
  <c r="Y198" i="53"/>
  <c r="Y244" i="53" s="1"/>
  <c r="Y287" i="53" s="1"/>
  <c r="M193" i="53"/>
  <c r="M243" i="53" s="1"/>
  <c r="M286" i="53" s="1"/>
  <c r="M96" i="80" s="1"/>
  <c r="M108" i="80" s="1"/>
  <c r="X193" i="53"/>
  <c r="X243" i="53" s="1"/>
  <c r="X286" i="53" s="1"/>
  <c r="X97" i="83" s="1"/>
  <c r="X185" i="83" s="1"/>
  <c r="X56" i="71" s="1"/>
  <c r="X161" i="71" s="1"/>
  <c r="O198" i="53"/>
  <c r="O244" i="53" s="1"/>
  <c r="O287" i="53" s="1"/>
  <c r="O98" i="83" s="1"/>
  <c r="O186" i="83" s="1"/>
  <c r="O57" i="71" s="1"/>
  <c r="O162" i="71" s="1"/>
  <c r="V198" i="53"/>
  <c r="V244" i="53" s="1"/>
  <c r="V287" i="53" s="1"/>
  <c r="V98" i="83" s="1"/>
  <c r="V186" i="83" s="1"/>
  <c r="V57" i="71" s="1"/>
  <c r="V162" i="71" s="1"/>
  <c r="H131" i="53"/>
  <c r="K193" i="53"/>
  <c r="K243" i="53" s="1"/>
  <c r="K286" i="53" s="1"/>
  <c r="K97" i="83" s="1"/>
  <c r="K185" i="83" s="1"/>
  <c r="K56" i="71" s="1"/>
  <c r="K161" i="71" s="1"/>
  <c r="S198" i="53"/>
  <c r="S244" i="53" s="1"/>
  <c r="S287" i="53" s="1"/>
  <c r="S97" i="80" s="1"/>
  <c r="S109" i="80" s="1"/>
  <c r="Q144" i="80"/>
  <c r="Q170" i="80" s="1"/>
  <c r="Q271" i="80" s="1"/>
  <c r="Q193" i="53"/>
  <c r="Q243" i="53" s="1"/>
  <c r="Q286" i="53" s="1"/>
  <c r="A4" i="86"/>
  <c r="J38" i="55"/>
  <c r="Q95" i="83"/>
  <c r="Q183" i="83" s="1"/>
  <c r="Q54" i="71" s="1"/>
  <c r="Q159" i="71" s="1"/>
  <c r="Q94" i="80"/>
  <c r="Q106" i="80" s="1"/>
  <c r="Q143" i="80" s="1"/>
  <c r="Q169" i="80" s="1"/>
  <c r="Q270" i="80" s="1"/>
  <c r="W99" i="80"/>
  <c r="W111" i="80" s="1"/>
  <c r="W100" i="83"/>
  <c r="W188" i="83" s="1"/>
  <c r="W59" i="71" s="1"/>
  <c r="W164" i="71" s="1"/>
  <c r="X99" i="80"/>
  <c r="X111" i="80" s="1"/>
  <c r="L83" i="83"/>
  <c r="L154" i="83" s="1"/>
  <c r="L71" i="80"/>
  <c r="L83" i="80" s="1"/>
  <c r="L143" i="80" s="1"/>
  <c r="L169" i="80" s="1"/>
  <c r="L270" i="80" s="1"/>
  <c r="U83" i="83"/>
  <c r="U154" i="83" s="1"/>
  <c r="U71" i="80"/>
  <c r="U83" i="80" s="1"/>
  <c r="U143" i="80" s="1"/>
  <c r="U169" i="80" s="1"/>
  <c r="U270" i="80" s="1"/>
  <c r="P111" i="83"/>
  <c r="P216" i="83" s="1"/>
  <c r="P88" i="71" s="1"/>
  <c r="P193" i="71" s="1"/>
  <c r="P121" i="80"/>
  <c r="P133" i="80" s="1"/>
  <c r="W111" i="83"/>
  <c r="W216" i="83" s="1"/>
  <c r="W88" i="71" s="1"/>
  <c r="W193" i="71" s="1"/>
  <c r="W121" i="80"/>
  <c r="W133" i="80" s="1"/>
  <c r="V111" i="83"/>
  <c r="V216" i="83" s="1"/>
  <c r="V88" i="71" s="1"/>
  <c r="V193" i="71" s="1"/>
  <c r="V121" i="80"/>
  <c r="V133" i="80" s="1"/>
  <c r="L98" i="80"/>
  <c r="L110" i="80" s="1"/>
  <c r="L99" i="83"/>
  <c r="L187" i="83" s="1"/>
  <c r="L58" i="71" s="1"/>
  <c r="L163" i="71" s="1"/>
  <c r="N98" i="80"/>
  <c r="N110" i="80" s="1"/>
  <c r="N99" i="83"/>
  <c r="N187" i="83" s="1"/>
  <c r="N58" i="71" s="1"/>
  <c r="N163" i="71" s="1"/>
  <c r="O99" i="83"/>
  <c r="O187" i="83" s="1"/>
  <c r="O58" i="71" s="1"/>
  <c r="O163" i="71" s="1"/>
  <c r="O98" i="80"/>
  <c r="O110" i="80" s="1"/>
  <c r="M112" i="83"/>
  <c r="M217" i="83" s="1"/>
  <c r="M89" i="71" s="1"/>
  <c r="M194" i="71" s="1"/>
  <c r="M122" i="80"/>
  <c r="M134" i="80" s="1"/>
  <c r="N122" i="80"/>
  <c r="N134" i="80" s="1"/>
  <c r="N112" i="83"/>
  <c r="N217" i="83" s="1"/>
  <c r="N89" i="71" s="1"/>
  <c r="N194" i="71" s="1"/>
  <c r="L112" i="83"/>
  <c r="L217" i="83" s="1"/>
  <c r="L89" i="71" s="1"/>
  <c r="L194" i="71" s="1"/>
  <c r="L122" i="80"/>
  <c r="L134" i="80" s="1"/>
  <c r="U101" i="80"/>
  <c r="U113" i="80" s="1"/>
  <c r="U102" i="83"/>
  <c r="U190" i="83" s="1"/>
  <c r="U61" i="71" s="1"/>
  <c r="U166" i="71" s="1"/>
  <c r="M102" i="83"/>
  <c r="M190" i="83" s="1"/>
  <c r="M61" i="71" s="1"/>
  <c r="M166" i="71" s="1"/>
  <c r="M101" i="80"/>
  <c r="M113" i="80" s="1"/>
  <c r="Q85" i="83"/>
  <c r="Q156" i="83" s="1"/>
  <c r="Q26" i="71" s="1"/>
  <c r="Q131" i="71" s="1"/>
  <c r="Q73" i="80"/>
  <c r="Q85" i="80" s="1"/>
  <c r="L96" i="80"/>
  <c r="L108" i="80" s="1"/>
  <c r="L97" i="83"/>
  <c r="L185" i="83" s="1"/>
  <c r="L56" i="71" s="1"/>
  <c r="L161" i="71" s="1"/>
  <c r="O96" i="80"/>
  <c r="O108" i="80" s="1"/>
  <c r="O97" i="83"/>
  <c r="O185" i="83" s="1"/>
  <c r="O56" i="71" s="1"/>
  <c r="O161" i="71" s="1"/>
  <c r="P96" i="80"/>
  <c r="P108" i="80" s="1"/>
  <c r="P97" i="83"/>
  <c r="P185" i="83" s="1"/>
  <c r="P56" i="71" s="1"/>
  <c r="P161" i="71" s="1"/>
  <c r="S86" i="83"/>
  <c r="S157" i="83" s="1"/>
  <c r="S27" i="71" s="1"/>
  <c r="S132" i="71" s="1"/>
  <c r="S74" i="80"/>
  <c r="S86" i="80" s="1"/>
  <c r="L74" i="80"/>
  <c r="L86" i="80" s="1"/>
  <c r="L86" i="83"/>
  <c r="L157" i="83" s="1"/>
  <c r="L27" i="71" s="1"/>
  <c r="L132" i="71" s="1"/>
  <c r="U113" i="83"/>
  <c r="U218" i="83" s="1"/>
  <c r="U90" i="71" s="1"/>
  <c r="U195" i="71" s="1"/>
  <c r="U123" i="80"/>
  <c r="U135" i="80" s="1"/>
  <c r="J123" i="80"/>
  <c r="J135" i="80" s="1"/>
  <c r="J113" i="83"/>
  <c r="J218" i="83" s="1"/>
  <c r="J90" i="71" s="1"/>
  <c r="J195" i="71" s="1"/>
  <c r="O113" i="83"/>
  <c r="O218" i="83" s="1"/>
  <c r="O90" i="71" s="1"/>
  <c r="O195" i="71" s="1"/>
  <c r="O123" i="80"/>
  <c r="O135" i="80" s="1"/>
  <c r="Y110" i="83"/>
  <c r="Y215" i="83" s="1"/>
  <c r="Y87" i="71" s="1"/>
  <c r="Y192" i="71" s="1"/>
  <c r="Y120" i="80"/>
  <c r="Y132" i="80" s="1"/>
  <c r="O120" i="80"/>
  <c r="O132" i="80" s="1"/>
  <c r="O110" i="83"/>
  <c r="O215" i="83" s="1"/>
  <c r="O87" i="71" s="1"/>
  <c r="O192" i="71" s="1"/>
  <c r="Q75" i="80"/>
  <c r="Q87" i="80" s="1"/>
  <c r="Q87" i="83"/>
  <c r="Q158" i="83" s="1"/>
  <c r="Q28" i="71" s="1"/>
  <c r="Q133" i="71" s="1"/>
  <c r="J101" i="83"/>
  <c r="J189" i="83" s="1"/>
  <c r="J60" i="71" s="1"/>
  <c r="J165" i="71" s="1"/>
  <c r="J100" i="80"/>
  <c r="J112" i="80" s="1"/>
  <c r="W100" i="80"/>
  <c r="W112" i="80" s="1"/>
  <c r="W101" i="83"/>
  <c r="W189" i="83" s="1"/>
  <c r="W60" i="71" s="1"/>
  <c r="W165" i="71" s="1"/>
  <c r="K124" i="80"/>
  <c r="K136" i="80" s="1"/>
  <c r="K114" i="83"/>
  <c r="K219" i="83" s="1"/>
  <c r="K91" i="71" s="1"/>
  <c r="K196" i="71" s="1"/>
  <c r="Q114" i="83"/>
  <c r="Q219" i="83" s="1"/>
  <c r="Q91" i="71" s="1"/>
  <c r="Q196" i="71" s="1"/>
  <c r="Q124" i="80"/>
  <c r="Q136" i="80" s="1"/>
  <c r="J84" i="83"/>
  <c r="J155" i="83" s="1"/>
  <c r="J25" i="71" s="1"/>
  <c r="J130" i="71" s="1"/>
  <c r="J72" i="80"/>
  <c r="J84" i="80" s="1"/>
  <c r="J144" i="80" s="1"/>
  <c r="W84" i="83"/>
  <c r="W155" i="83" s="1"/>
  <c r="W25" i="71" s="1"/>
  <c r="W130" i="71" s="1"/>
  <c r="W72" i="80"/>
  <c r="W84" i="80" s="1"/>
  <c r="W144" i="80" s="1"/>
  <c r="W170" i="80" s="1"/>
  <c r="W271" i="80" s="1"/>
  <c r="N72" i="80"/>
  <c r="N84" i="80" s="1"/>
  <c r="N144" i="80" s="1"/>
  <c r="N170" i="80" s="1"/>
  <c r="N271" i="80" s="1"/>
  <c r="N84" i="83"/>
  <c r="N155" i="83" s="1"/>
  <c r="N25" i="71" s="1"/>
  <c r="N130" i="71" s="1"/>
  <c r="O217" i="53"/>
  <c r="O237" i="53" s="1"/>
  <c r="O280" i="53" s="1"/>
  <c r="J217" i="53"/>
  <c r="J237" i="53" s="1"/>
  <c r="J280" i="53" s="1"/>
  <c r="N217" i="53"/>
  <c r="N237" i="53" s="1"/>
  <c r="N280" i="53" s="1"/>
  <c r="W217" i="53"/>
  <c r="W237" i="53" s="1"/>
  <c r="W280" i="53" s="1"/>
  <c r="R217" i="53"/>
  <c r="R237" i="53" s="1"/>
  <c r="R280" i="53" s="1"/>
  <c r="M217" i="53"/>
  <c r="M237" i="53" s="1"/>
  <c r="M280" i="53" s="1"/>
  <c r="V217" i="53"/>
  <c r="V237" i="53" s="1"/>
  <c r="V280" i="53" s="1"/>
  <c r="S217" i="53"/>
  <c r="S237" i="53" s="1"/>
  <c r="S280" i="53" s="1"/>
  <c r="T217" i="53"/>
  <c r="T237" i="53" s="1"/>
  <c r="T280" i="53" s="1"/>
  <c r="P217" i="53"/>
  <c r="P237" i="53" s="1"/>
  <c r="P280" i="53" s="1"/>
  <c r="X217" i="53"/>
  <c r="X237" i="53" s="1"/>
  <c r="X280" i="53" s="1"/>
  <c r="L217" i="53"/>
  <c r="L237" i="53" s="1"/>
  <c r="L280" i="53" s="1"/>
  <c r="K217" i="53"/>
  <c r="K237" i="53" s="1"/>
  <c r="K280" i="53" s="1"/>
  <c r="U217" i="53"/>
  <c r="U237" i="53" s="1"/>
  <c r="U280" i="53" s="1"/>
  <c r="Y217" i="53"/>
  <c r="Y237" i="53" s="1"/>
  <c r="Y280" i="53" s="1"/>
  <c r="X119" i="80"/>
  <c r="X131" i="80" s="1"/>
  <c r="M109" i="83"/>
  <c r="M214" i="83" s="1"/>
  <c r="M86" i="71" s="1"/>
  <c r="M191" i="71" s="1"/>
  <c r="M119" i="80"/>
  <c r="M131" i="80" s="1"/>
  <c r="K98" i="83"/>
  <c r="K186" i="83" s="1"/>
  <c r="K57" i="71" s="1"/>
  <c r="K162" i="71" s="1"/>
  <c r="K97" i="80"/>
  <c r="K109" i="80" s="1"/>
  <c r="J98" i="83"/>
  <c r="J186" i="83" s="1"/>
  <c r="J57" i="71" s="1"/>
  <c r="J162" i="71" s="1"/>
  <c r="J97" i="80"/>
  <c r="J109" i="80" s="1"/>
  <c r="T98" i="83"/>
  <c r="T186" i="83" s="1"/>
  <c r="T57" i="71" s="1"/>
  <c r="T162" i="71" s="1"/>
  <c r="T97" i="80"/>
  <c r="T109" i="80" s="1"/>
  <c r="U202" i="53"/>
  <c r="U234" i="53" s="1"/>
  <c r="U277" i="53" s="1"/>
  <c r="K202" i="53"/>
  <c r="K234" i="53" s="1"/>
  <c r="K277" i="53" s="1"/>
  <c r="W202" i="53"/>
  <c r="W234" i="53" s="1"/>
  <c r="W277" i="53" s="1"/>
  <c r="N202" i="53"/>
  <c r="N234" i="53" s="1"/>
  <c r="N277" i="53" s="1"/>
  <c r="R202" i="53"/>
  <c r="R234" i="53" s="1"/>
  <c r="R277" i="53" s="1"/>
  <c r="J202" i="53"/>
  <c r="J234" i="53" s="1"/>
  <c r="J277" i="53" s="1"/>
  <c r="L202" i="53"/>
  <c r="L234" i="53" s="1"/>
  <c r="L277" i="53" s="1"/>
  <c r="Y202" i="53"/>
  <c r="Y234" i="53" s="1"/>
  <c r="Y277" i="53" s="1"/>
  <c r="S202" i="53"/>
  <c r="S234" i="53" s="1"/>
  <c r="S277" i="53" s="1"/>
  <c r="P202" i="53"/>
  <c r="P234" i="53" s="1"/>
  <c r="P277" i="53" s="1"/>
  <c r="T202" i="53"/>
  <c r="T234" i="53" s="1"/>
  <c r="T277" i="53" s="1"/>
  <c r="X202" i="53"/>
  <c r="X234" i="53" s="1"/>
  <c r="X277" i="53" s="1"/>
  <c r="O202" i="53"/>
  <c r="O234" i="53" s="1"/>
  <c r="O277" i="53" s="1"/>
  <c r="V202" i="53"/>
  <c r="V234" i="53" s="1"/>
  <c r="V277" i="53" s="1"/>
  <c r="M202" i="53"/>
  <c r="M234" i="53" s="1"/>
  <c r="M277" i="53" s="1"/>
  <c r="M100" i="83"/>
  <c r="M188" i="83" s="1"/>
  <c r="M59" i="71" s="1"/>
  <c r="M164" i="71" s="1"/>
  <c r="M99" i="80"/>
  <c r="M111" i="80" s="1"/>
  <c r="O99" i="80"/>
  <c r="O111" i="80" s="1"/>
  <c r="O100" i="83"/>
  <c r="O188" i="83" s="1"/>
  <c r="O59" i="71" s="1"/>
  <c r="O164" i="71" s="1"/>
  <c r="W71" i="80"/>
  <c r="W83" i="80" s="1"/>
  <c r="W143" i="80" s="1"/>
  <c r="W169" i="80" s="1"/>
  <c r="W270" i="80" s="1"/>
  <c r="W83" i="83"/>
  <c r="W154" i="83" s="1"/>
  <c r="X83" i="83"/>
  <c r="X154" i="83" s="1"/>
  <c r="X71" i="80"/>
  <c r="X83" i="80" s="1"/>
  <c r="X143" i="80" s="1"/>
  <c r="X169" i="80" s="1"/>
  <c r="X111" i="83"/>
  <c r="X216" i="83" s="1"/>
  <c r="X88" i="71" s="1"/>
  <c r="X193" i="71" s="1"/>
  <c r="X121" i="80"/>
  <c r="X133" i="80" s="1"/>
  <c r="N121" i="80"/>
  <c r="N133" i="80" s="1"/>
  <c r="N111" i="83"/>
  <c r="N216" i="83" s="1"/>
  <c r="N88" i="71" s="1"/>
  <c r="N193" i="71" s="1"/>
  <c r="Q111" i="83"/>
  <c r="Q216" i="83" s="1"/>
  <c r="Q88" i="71" s="1"/>
  <c r="Q193" i="71" s="1"/>
  <c r="Q121" i="80"/>
  <c r="Q133" i="80" s="1"/>
  <c r="J98" i="80"/>
  <c r="J110" i="80" s="1"/>
  <c r="J99" i="83"/>
  <c r="J187" i="83" s="1"/>
  <c r="J58" i="71" s="1"/>
  <c r="J163" i="71" s="1"/>
  <c r="X99" i="83"/>
  <c r="X187" i="83" s="1"/>
  <c r="X58" i="71" s="1"/>
  <c r="X163" i="71" s="1"/>
  <c r="X98" i="80"/>
  <c r="X110" i="80" s="1"/>
  <c r="Q88" i="83"/>
  <c r="Q159" i="83" s="1"/>
  <c r="Q29" i="71" s="1"/>
  <c r="Q134" i="71" s="1"/>
  <c r="Q76" i="80"/>
  <c r="Q88" i="80" s="1"/>
  <c r="V112" i="83"/>
  <c r="V217" i="83" s="1"/>
  <c r="V89" i="71" s="1"/>
  <c r="V194" i="71" s="1"/>
  <c r="V122" i="80"/>
  <c r="V134" i="80" s="1"/>
  <c r="S112" i="83"/>
  <c r="S217" i="83" s="1"/>
  <c r="S89" i="71" s="1"/>
  <c r="S194" i="71" s="1"/>
  <c r="S122" i="80"/>
  <c r="S134" i="80" s="1"/>
  <c r="M212" i="53"/>
  <c r="M236" i="53" s="1"/>
  <c r="M279" i="53" s="1"/>
  <c r="K212" i="53"/>
  <c r="K236" i="53" s="1"/>
  <c r="K279" i="53" s="1"/>
  <c r="R212" i="53"/>
  <c r="R236" i="53" s="1"/>
  <c r="R279" i="53" s="1"/>
  <c r="N212" i="53"/>
  <c r="N236" i="53" s="1"/>
  <c r="N279" i="53" s="1"/>
  <c r="X212" i="53"/>
  <c r="X236" i="53" s="1"/>
  <c r="X279" i="53" s="1"/>
  <c r="O212" i="53"/>
  <c r="O236" i="53" s="1"/>
  <c r="O279" i="53" s="1"/>
  <c r="L212" i="53"/>
  <c r="L236" i="53" s="1"/>
  <c r="L279" i="53" s="1"/>
  <c r="W212" i="53"/>
  <c r="W236" i="53" s="1"/>
  <c r="W279" i="53" s="1"/>
  <c r="V212" i="53"/>
  <c r="V236" i="53" s="1"/>
  <c r="V279" i="53" s="1"/>
  <c r="P212" i="53"/>
  <c r="P236" i="53" s="1"/>
  <c r="P279" i="53" s="1"/>
  <c r="Y212" i="53"/>
  <c r="Y236" i="53" s="1"/>
  <c r="Y279" i="53" s="1"/>
  <c r="J212" i="53"/>
  <c r="J236" i="53" s="1"/>
  <c r="J279" i="53" s="1"/>
  <c r="S212" i="53"/>
  <c r="S236" i="53" s="1"/>
  <c r="S279" i="53" s="1"/>
  <c r="U212" i="53"/>
  <c r="U236" i="53" s="1"/>
  <c r="U279" i="53" s="1"/>
  <c r="T212" i="53"/>
  <c r="T236" i="53" s="1"/>
  <c r="T279" i="53" s="1"/>
  <c r="H163" i="53"/>
  <c r="Q213" i="53" s="1"/>
  <c r="Q247" i="53" s="1"/>
  <c r="Q290" i="53" s="1"/>
  <c r="Y101" i="80"/>
  <c r="Y113" i="80" s="1"/>
  <c r="Y102" i="83"/>
  <c r="Y190" i="83" s="1"/>
  <c r="Y61" i="71" s="1"/>
  <c r="Y166" i="71" s="1"/>
  <c r="W102" i="83"/>
  <c r="W190" i="83" s="1"/>
  <c r="W61" i="71" s="1"/>
  <c r="W166" i="71" s="1"/>
  <c r="W101" i="80"/>
  <c r="W113" i="80" s="1"/>
  <c r="U86" i="83"/>
  <c r="U157" i="83" s="1"/>
  <c r="U27" i="71" s="1"/>
  <c r="U132" i="71" s="1"/>
  <c r="U74" i="80"/>
  <c r="U86" i="80" s="1"/>
  <c r="M86" i="83"/>
  <c r="M157" i="83" s="1"/>
  <c r="M27" i="71" s="1"/>
  <c r="M132" i="71" s="1"/>
  <c r="M74" i="80"/>
  <c r="M86" i="80" s="1"/>
  <c r="V123" i="80"/>
  <c r="V135" i="80" s="1"/>
  <c r="V113" i="83"/>
  <c r="V218" i="83" s="1"/>
  <c r="V90" i="71" s="1"/>
  <c r="V195" i="71" s="1"/>
  <c r="Q123" i="80"/>
  <c r="Q135" i="80" s="1"/>
  <c r="Q113" i="83"/>
  <c r="Q218" i="83" s="1"/>
  <c r="Q90" i="71" s="1"/>
  <c r="Q195" i="71" s="1"/>
  <c r="R110" i="83"/>
  <c r="R215" i="83" s="1"/>
  <c r="R87" i="71" s="1"/>
  <c r="R192" i="71" s="1"/>
  <c r="R120" i="80"/>
  <c r="R132" i="80" s="1"/>
  <c r="P110" i="83"/>
  <c r="P215" i="83" s="1"/>
  <c r="P87" i="71" s="1"/>
  <c r="P192" i="71" s="1"/>
  <c r="P120" i="80"/>
  <c r="P132" i="80" s="1"/>
  <c r="T110" i="83"/>
  <c r="T215" i="83" s="1"/>
  <c r="T87" i="71" s="1"/>
  <c r="T192" i="71" s="1"/>
  <c r="T120" i="80"/>
  <c r="T132" i="80" s="1"/>
  <c r="S101" i="83"/>
  <c r="S189" i="83" s="1"/>
  <c r="S60" i="71" s="1"/>
  <c r="S165" i="71" s="1"/>
  <c r="S100" i="80"/>
  <c r="S112" i="80" s="1"/>
  <c r="L101" i="83"/>
  <c r="L189" i="83" s="1"/>
  <c r="L60" i="71" s="1"/>
  <c r="L165" i="71" s="1"/>
  <c r="L100" i="80"/>
  <c r="L112" i="80" s="1"/>
  <c r="T101" i="83"/>
  <c r="T189" i="83" s="1"/>
  <c r="T60" i="71" s="1"/>
  <c r="T165" i="71" s="1"/>
  <c r="T100" i="80"/>
  <c r="T112" i="80" s="1"/>
  <c r="W114" i="83"/>
  <c r="W219" i="83" s="1"/>
  <c r="W91" i="71" s="1"/>
  <c r="W196" i="71" s="1"/>
  <c r="W124" i="80"/>
  <c r="W136" i="80" s="1"/>
  <c r="S114" i="83"/>
  <c r="S219" i="83" s="1"/>
  <c r="S91" i="71" s="1"/>
  <c r="S196" i="71" s="1"/>
  <c r="S124" i="80"/>
  <c r="S136" i="80" s="1"/>
  <c r="O84" i="83"/>
  <c r="O155" i="83" s="1"/>
  <c r="O25" i="71" s="1"/>
  <c r="O130" i="71" s="1"/>
  <c r="O72" i="80"/>
  <c r="O84" i="80" s="1"/>
  <c r="O144" i="80" s="1"/>
  <c r="O170" i="80" s="1"/>
  <c r="O271" i="80" s="1"/>
  <c r="K72" i="80"/>
  <c r="K84" i="80" s="1"/>
  <c r="K144" i="80" s="1"/>
  <c r="K170" i="80" s="1"/>
  <c r="K271" i="80" s="1"/>
  <c r="K84" i="83"/>
  <c r="K155" i="83" s="1"/>
  <c r="K25" i="71" s="1"/>
  <c r="K130" i="71" s="1"/>
  <c r="X72" i="80"/>
  <c r="X84" i="80" s="1"/>
  <c r="X144" i="80" s="1"/>
  <c r="X170" i="80" s="1"/>
  <c r="X271" i="80" s="1"/>
  <c r="X84" i="83"/>
  <c r="X155" i="83" s="1"/>
  <c r="X25" i="71" s="1"/>
  <c r="X130" i="71" s="1"/>
  <c r="Q98" i="83"/>
  <c r="Q186" i="83" s="1"/>
  <c r="Q57" i="71" s="1"/>
  <c r="Q162" i="71" s="1"/>
  <c r="Q97" i="80"/>
  <c r="Q109" i="80" s="1"/>
  <c r="T109" i="83"/>
  <c r="T214" i="83" s="1"/>
  <c r="T86" i="71" s="1"/>
  <c r="T191" i="71" s="1"/>
  <c r="T119" i="80"/>
  <c r="T131" i="80" s="1"/>
  <c r="M98" i="83"/>
  <c r="M186" i="83" s="1"/>
  <c r="M57" i="71" s="1"/>
  <c r="M162" i="71" s="1"/>
  <c r="M97" i="80"/>
  <c r="M109" i="80" s="1"/>
  <c r="U98" i="83"/>
  <c r="U186" i="83" s="1"/>
  <c r="U57" i="71" s="1"/>
  <c r="U162" i="71" s="1"/>
  <c r="U97" i="80"/>
  <c r="U109" i="80" s="1"/>
  <c r="P98" i="83"/>
  <c r="P186" i="83" s="1"/>
  <c r="P57" i="71" s="1"/>
  <c r="P162" i="71" s="1"/>
  <c r="P97" i="80"/>
  <c r="P109" i="80" s="1"/>
  <c r="J71" i="80"/>
  <c r="J83" i="83"/>
  <c r="J154" i="83" s="1"/>
  <c r="Y71" i="80"/>
  <c r="Y83" i="80" s="1"/>
  <c r="Y143" i="80" s="1"/>
  <c r="Y169" i="80" s="1"/>
  <c r="Y270" i="80" s="1"/>
  <c r="Y83" i="83"/>
  <c r="Y154" i="83" s="1"/>
  <c r="U121" i="80"/>
  <c r="U133" i="80" s="1"/>
  <c r="U111" i="83"/>
  <c r="U216" i="83" s="1"/>
  <c r="U88" i="71" s="1"/>
  <c r="U193" i="71" s="1"/>
  <c r="K111" i="83"/>
  <c r="K216" i="83" s="1"/>
  <c r="K88" i="71" s="1"/>
  <c r="K193" i="71" s="1"/>
  <c r="K121" i="80"/>
  <c r="K133" i="80" s="1"/>
  <c r="N192" i="53"/>
  <c r="N232" i="53" s="1"/>
  <c r="N275" i="53" s="1"/>
  <c r="W192" i="53"/>
  <c r="W232" i="53" s="1"/>
  <c r="W275" i="53" s="1"/>
  <c r="L192" i="53"/>
  <c r="L232" i="53" s="1"/>
  <c r="L275" i="53" s="1"/>
  <c r="J192" i="53"/>
  <c r="J232" i="53" s="1"/>
  <c r="J275" i="53" s="1"/>
  <c r="T192" i="53"/>
  <c r="T232" i="53" s="1"/>
  <c r="T275" i="53" s="1"/>
  <c r="R192" i="53"/>
  <c r="R232" i="53" s="1"/>
  <c r="R275" i="53" s="1"/>
  <c r="V192" i="53"/>
  <c r="V232" i="53" s="1"/>
  <c r="V275" i="53" s="1"/>
  <c r="X192" i="53"/>
  <c r="X232" i="53" s="1"/>
  <c r="X275" i="53" s="1"/>
  <c r="S192" i="53"/>
  <c r="S232" i="53" s="1"/>
  <c r="S275" i="53" s="1"/>
  <c r="U192" i="53"/>
  <c r="U232" i="53" s="1"/>
  <c r="U275" i="53" s="1"/>
  <c r="P192" i="53"/>
  <c r="P232" i="53" s="1"/>
  <c r="P275" i="53" s="1"/>
  <c r="Y192" i="53"/>
  <c r="Y232" i="53" s="1"/>
  <c r="Y275" i="53" s="1"/>
  <c r="O192" i="53"/>
  <c r="O232" i="53" s="1"/>
  <c r="O275" i="53" s="1"/>
  <c r="M192" i="53"/>
  <c r="M232" i="53" s="1"/>
  <c r="M275" i="53" s="1"/>
  <c r="K192" i="53"/>
  <c r="K232" i="53" s="1"/>
  <c r="K275" i="53" s="1"/>
  <c r="K99" i="83"/>
  <c r="K187" i="83" s="1"/>
  <c r="K58" i="71" s="1"/>
  <c r="K163" i="71" s="1"/>
  <c r="K98" i="80"/>
  <c r="K110" i="80" s="1"/>
  <c r="V99" i="83"/>
  <c r="V187" i="83" s="1"/>
  <c r="V58" i="71" s="1"/>
  <c r="V163" i="71" s="1"/>
  <c r="V98" i="80"/>
  <c r="V110" i="80" s="1"/>
  <c r="Q100" i="83"/>
  <c r="Q188" i="83" s="1"/>
  <c r="Q59" i="71" s="1"/>
  <c r="Q164" i="71" s="1"/>
  <c r="Q99" i="80"/>
  <c r="Q111" i="80" s="1"/>
  <c r="J122" i="80"/>
  <c r="J134" i="80" s="1"/>
  <c r="J112" i="83"/>
  <c r="J217" i="83" s="1"/>
  <c r="J89" i="71" s="1"/>
  <c r="J194" i="71" s="1"/>
  <c r="Y112" i="83"/>
  <c r="Y217" i="83" s="1"/>
  <c r="Y89" i="71" s="1"/>
  <c r="Y194" i="71" s="1"/>
  <c r="Y122" i="80"/>
  <c r="Y134" i="80" s="1"/>
  <c r="T102" i="83"/>
  <c r="T190" i="83" s="1"/>
  <c r="T61" i="71" s="1"/>
  <c r="T166" i="71" s="1"/>
  <c r="T101" i="80"/>
  <c r="T113" i="80" s="1"/>
  <c r="J102" i="83"/>
  <c r="J190" i="83" s="1"/>
  <c r="J61" i="71" s="1"/>
  <c r="J166" i="71" s="1"/>
  <c r="J101" i="80"/>
  <c r="J113" i="80" s="1"/>
  <c r="S207" i="53"/>
  <c r="S235" i="53" s="1"/>
  <c r="S278" i="53" s="1"/>
  <c r="O207" i="53"/>
  <c r="O235" i="53" s="1"/>
  <c r="O278" i="53" s="1"/>
  <c r="V207" i="53"/>
  <c r="V235" i="53" s="1"/>
  <c r="V278" i="53" s="1"/>
  <c r="R207" i="53"/>
  <c r="R235" i="53" s="1"/>
  <c r="R278" i="53" s="1"/>
  <c r="L207" i="53"/>
  <c r="L235" i="53" s="1"/>
  <c r="L278" i="53" s="1"/>
  <c r="P207" i="53"/>
  <c r="P235" i="53" s="1"/>
  <c r="P278" i="53" s="1"/>
  <c r="X207" i="53"/>
  <c r="X235" i="53" s="1"/>
  <c r="X278" i="53" s="1"/>
  <c r="M207" i="53"/>
  <c r="M235" i="53" s="1"/>
  <c r="M278" i="53" s="1"/>
  <c r="N207" i="53"/>
  <c r="N235" i="53" s="1"/>
  <c r="N278" i="53" s="1"/>
  <c r="Y207" i="53"/>
  <c r="Y235" i="53" s="1"/>
  <c r="Y278" i="53" s="1"/>
  <c r="T207" i="53"/>
  <c r="T235" i="53" s="1"/>
  <c r="T278" i="53" s="1"/>
  <c r="J207" i="53"/>
  <c r="J235" i="53" s="1"/>
  <c r="J278" i="53" s="1"/>
  <c r="W207" i="53"/>
  <c r="W235" i="53" s="1"/>
  <c r="W278" i="53" s="1"/>
  <c r="K207" i="53"/>
  <c r="K235" i="53" s="1"/>
  <c r="K278" i="53" s="1"/>
  <c r="U207" i="53"/>
  <c r="U235" i="53" s="1"/>
  <c r="U278" i="53" s="1"/>
  <c r="M97" i="83"/>
  <c r="M185" i="83" s="1"/>
  <c r="M56" i="71" s="1"/>
  <c r="M161" i="71" s="1"/>
  <c r="X96" i="80"/>
  <c r="X108" i="80" s="1"/>
  <c r="T74" i="80"/>
  <c r="T86" i="80" s="1"/>
  <c r="T86" i="83"/>
  <c r="T157" i="83" s="1"/>
  <c r="T27" i="71" s="1"/>
  <c r="T132" i="71" s="1"/>
  <c r="P86" i="83"/>
  <c r="P157" i="83" s="1"/>
  <c r="P27" i="71" s="1"/>
  <c r="P132" i="71" s="1"/>
  <c r="P74" i="80"/>
  <c r="P86" i="80" s="1"/>
  <c r="P146" i="80" s="1"/>
  <c r="P172" i="80" s="1"/>
  <c r="P273" i="80" s="1"/>
  <c r="V86" i="83"/>
  <c r="V157" i="83" s="1"/>
  <c r="V27" i="71" s="1"/>
  <c r="V132" i="71" s="1"/>
  <c r="V74" i="80"/>
  <c r="V86" i="80" s="1"/>
  <c r="N113" i="83"/>
  <c r="N218" i="83" s="1"/>
  <c r="N90" i="71" s="1"/>
  <c r="N195" i="71" s="1"/>
  <c r="N123" i="80"/>
  <c r="N135" i="80" s="1"/>
  <c r="W123" i="80"/>
  <c r="W135" i="80" s="1"/>
  <c r="W113" i="83"/>
  <c r="W218" i="83" s="1"/>
  <c r="W90" i="71" s="1"/>
  <c r="W195" i="71" s="1"/>
  <c r="S110" i="83"/>
  <c r="S215" i="83" s="1"/>
  <c r="S87" i="71" s="1"/>
  <c r="S192" i="71" s="1"/>
  <c r="S120" i="80"/>
  <c r="S132" i="80" s="1"/>
  <c r="W120" i="80"/>
  <c r="W132" i="80" s="1"/>
  <c r="W110" i="83"/>
  <c r="W215" i="83" s="1"/>
  <c r="W87" i="71" s="1"/>
  <c r="W192" i="71" s="1"/>
  <c r="Q110" i="83"/>
  <c r="Q215" i="83" s="1"/>
  <c r="Q87" i="71" s="1"/>
  <c r="Q192" i="71" s="1"/>
  <c r="Q120" i="80"/>
  <c r="Q132" i="80" s="1"/>
  <c r="R101" i="83"/>
  <c r="R189" i="83" s="1"/>
  <c r="R60" i="71" s="1"/>
  <c r="R165" i="71" s="1"/>
  <c r="R100" i="80"/>
  <c r="R112" i="80" s="1"/>
  <c r="U101" i="83"/>
  <c r="U189" i="83" s="1"/>
  <c r="U60" i="71" s="1"/>
  <c r="U165" i="71" s="1"/>
  <c r="U100" i="80"/>
  <c r="U112" i="80" s="1"/>
  <c r="V101" i="83"/>
  <c r="V189" i="83" s="1"/>
  <c r="V60" i="71" s="1"/>
  <c r="V165" i="71" s="1"/>
  <c r="V100" i="80"/>
  <c r="V112" i="80" s="1"/>
  <c r="R114" i="83"/>
  <c r="R219" i="83" s="1"/>
  <c r="R91" i="71" s="1"/>
  <c r="R196" i="71" s="1"/>
  <c r="R124" i="80"/>
  <c r="R136" i="80" s="1"/>
  <c r="J114" i="83"/>
  <c r="J219" i="83" s="1"/>
  <c r="J91" i="71" s="1"/>
  <c r="J196" i="71" s="1"/>
  <c r="J124" i="80"/>
  <c r="J136" i="80" s="1"/>
  <c r="V124" i="80"/>
  <c r="V136" i="80" s="1"/>
  <c r="V114" i="83"/>
  <c r="V219" i="83" s="1"/>
  <c r="V91" i="71" s="1"/>
  <c r="V196" i="71" s="1"/>
  <c r="P72" i="80"/>
  <c r="P84" i="80" s="1"/>
  <c r="P144" i="80" s="1"/>
  <c r="P170" i="80" s="1"/>
  <c r="P271" i="80" s="1"/>
  <c r="P84" i="83"/>
  <c r="P155" i="83" s="1"/>
  <c r="P25" i="71" s="1"/>
  <c r="P130" i="71" s="1"/>
  <c r="R84" i="83"/>
  <c r="R155" i="83" s="1"/>
  <c r="R25" i="71" s="1"/>
  <c r="R130" i="71" s="1"/>
  <c r="R72" i="80"/>
  <c r="R84" i="80" s="1"/>
  <c r="R144" i="80" s="1"/>
  <c r="R170" i="80" s="1"/>
  <c r="R271" i="80" s="1"/>
  <c r="M72" i="80"/>
  <c r="M84" i="80" s="1"/>
  <c r="M144" i="80" s="1"/>
  <c r="M170" i="80" s="1"/>
  <c r="M271" i="80" s="1"/>
  <c r="M84" i="83"/>
  <c r="M155" i="83" s="1"/>
  <c r="M25" i="71" s="1"/>
  <c r="M130" i="71" s="1"/>
  <c r="R109" i="83"/>
  <c r="R214" i="83" s="1"/>
  <c r="R86" i="71" s="1"/>
  <c r="R191" i="71" s="1"/>
  <c r="R119" i="80"/>
  <c r="R131" i="80" s="1"/>
  <c r="Y109" i="83"/>
  <c r="Y214" i="83" s="1"/>
  <c r="Y86" i="71" s="1"/>
  <c r="Y191" i="71" s="1"/>
  <c r="Y119" i="80"/>
  <c r="Y131" i="80" s="1"/>
  <c r="K109" i="83"/>
  <c r="K214" i="83" s="1"/>
  <c r="K86" i="71" s="1"/>
  <c r="K191" i="71" s="1"/>
  <c r="K119" i="80"/>
  <c r="K131" i="80" s="1"/>
  <c r="W98" i="83"/>
  <c r="W186" i="83" s="1"/>
  <c r="W57" i="71" s="1"/>
  <c r="W162" i="71" s="1"/>
  <c r="W97" i="80"/>
  <c r="W109" i="80" s="1"/>
  <c r="Y98" i="83"/>
  <c r="Y186" i="83" s="1"/>
  <c r="Y57" i="71" s="1"/>
  <c r="Y162" i="71" s="1"/>
  <c r="Y97" i="80"/>
  <c r="Y109" i="80" s="1"/>
  <c r="R100" i="83"/>
  <c r="R188" i="83" s="1"/>
  <c r="R59" i="71" s="1"/>
  <c r="R164" i="71" s="1"/>
  <c r="R99" i="80"/>
  <c r="R111" i="80" s="1"/>
  <c r="T100" i="83"/>
  <c r="T188" i="83" s="1"/>
  <c r="T59" i="71" s="1"/>
  <c r="T164" i="71" s="1"/>
  <c r="T99" i="80"/>
  <c r="T111" i="80" s="1"/>
  <c r="S83" i="83"/>
  <c r="S154" i="83" s="1"/>
  <c r="S71" i="80"/>
  <c r="S83" i="80" s="1"/>
  <c r="S143" i="80" s="1"/>
  <c r="S169" i="80" s="1"/>
  <c r="S270" i="80" s="1"/>
  <c r="M71" i="80"/>
  <c r="M83" i="80" s="1"/>
  <c r="M143" i="80" s="1"/>
  <c r="M169" i="80" s="1"/>
  <c r="M270" i="80" s="1"/>
  <c r="M83" i="83"/>
  <c r="M154" i="83" s="1"/>
  <c r="R83" i="83"/>
  <c r="R154" i="83" s="1"/>
  <c r="R71" i="80"/>
  <c r="R83" i="80" s="1"/>
  <c r="R143" i="80" s="1"/>
  <c r="R169" i="80" s="1"/>
  <c r="R270" i="80" s="1"/>
  <c r="Y111" i="83"/>
  <c r="Y216" i="83" s="1"/>
  <c r="Y88" i="71" s="1"/>
  <c r="Y193" i="71" s="1"/>
  <c r="Y121" i="80"/>
  <c r="Y133" i="80" s="1"/>
  <c r="O111" i="83"/>
  <c r="O216" i="83" s="1"/>
  <c r="O88" i="71" s="1"/>
  <c r="O193" i="71" s="1"/>
  <c r="O121" i="80"/>
  <c r="O133" i="80" s="1"/>
  <c r="U99" i="83"/>
  <c r="U187" i="83" s="1"/>
  <c r="U58" i="71" s="1"/>
  <c r="U163" i="71" s="1"/>
  <c r="U98" i="80"/>
  <c r="U110" i="80" s="1"/>
  <c r="M99" i="83"/>
  <c r="M187" i="83" s="1"/>
  <c r="M58" i="71" s="1"/>
  <c r="M163" i="71" s="1"/>
  <c r="M98" i="80"/>
  <c r="M110" i="80" s="1"/>
  <c r="X112" i="83"/>
  <c r="X217" i="83" s="1"/>
  <c r="X89" i="71" s="1"/>
  <c r="X194" i="71" s="1"/>
  <c r="X122" i="80"/>
  <c r="X134" i="80" s="1"/>
  <c r="Q122" i="80"/>
  <c r="Q134" i="80" s="1"/>
  <c r="Q112" i="83"/>
  <c r="Q217" i="83" s="1"/>
  <c r="Q89" i="71" s="1"/>
  <c r="Q194" i="71" s="1"/>
  <c r="O122" i="80"/>
  <c r="O134" i="80" s="1"/>
  <c r="O112" i="83"/>
  <c r="O217" i="83" s="1"/>
  <c r="O89" i="71" s="1"/>
  <c r="O194" i="71" s="1"/>
  <c r="S101" i="80"/>
  <c r="S113" i="80" s="1"/>
  <c r="S102" i="83"/>
  <c r="S190" i="83" s="1"/>
  <c r="S61" i="71" s="1"/>
  <c r="S166" i="71" s="1"/>
  <c r="V102" i="83"/>
  <c r="V190" i="83" s="1"/>
  <c r="V61" i="71" s="1"/>
  <c r="V166" i="71" s="1"/>
  <c r="V101" i="80"/>
  <c r="V113" i="80" s="1"/>
  <c r="K101" i="80"/>
  <c r="K113" i="80" s="1"/>
  <c r="K102" i="83"/>
  <c r="K190" i="83" s="1"/>
  <c r="K61" i="71" s="1"/>
  <c r="K166" i="71" s="1"/>
  <c r="K96" i="80"/>
  <c r="K108" i="80" s="1"/>
  <c r="N97" i="83"/>
  <c r="N185" i="83" s="1"/>
  <c r="N56" i="71" s="1"/>
  <c r="N161" i="71" s="1"/>
  <c r="N96" i="80"/>
  <c r="N108" i="80" s="1"/>
  <c r="R86" i="83"/>
  <c r="R157" i="83" s="1"/>
  <c r="R27" i="71" s="1"/>
  <c r="R132" i="71" s="1"/>
  <c r="R74" i="80"/>
  <c r="R86" i="80" s="1"/>
  <c r="X86" i="83"/>
  <c r="X157" i="83" s="1"/>
  <c r="X27" i="71" s="1"/>
  <c r="X132" i="71" s="1"/>
  <c r="X74" i="80"/>
  <c r="X86" i="80" s="1"/>
  <c r="N86" i="83"/>
  <c r="N157" i="83" s="1"/>
  <c r="N27" i="71" s="1"/>
  <c r="N132" i="71" s="1"/>
  <c r="N74" i="80"/>
  <c r="N86" i="80" s="1"/>
  <c r="S113" i="83"/>
  <c r="S218" i="83" s="1"/>
  <c r="S90" i="71" s="1"/>
  <c r="S195" i="71" s="1"/>
  <c r="S123" i="80"/>
  <c r="S135" i="80" s="1"/>
  <c r="Y113" i="83"/>
  <c r="Y218" i="83" s="1"/>
  <c r="Y90" i="71" s="1"/>
  <c r="Y195" i="71" s="1"/>
  <c r="Y123" i="80"/>
  <c r="Y135" i="80" s="1"/>
  <c r="K123" i="80"/>
  <c r="K135" i="80" s="1"/>
  <c r="K113" i="83"/>
  <c r="K218" i="83" s="1"/>
  <c r="K90" i="71" s="1"/>
  <c r="K195" i="71" s="1"/>
  <c r="X110" i="83"/>
  <c r="X215" i="83" s="1"/>
  <c r="X87" i="71" s="1"/>
  <c r="X192" i="71" s="1"/>
  <c r="X120" i="80"/>
  <c r="X132" i="80" s="1"/>
  <c r="U120" i="80"/>
  <c r="U132" i="80" s="1"/>
  <c r="U110" i="83"/>
  <c r="U215" i="83" s="1"/>
  <c r="U87" i="71" s="1"/>
  <c r="U192" i="71" s="1"/>
  <c r="N110" i="83"/>
  <c r="N215" i="83" s="1"/>
  <c r="N87" i="71" s="1"/>
  <c r="N192" i="71" s="1"/>
  <c r="N120" i="80"/>
  <c r="N132" i="80" s="1"/>
  <c r="Y101" i="83"/>
  <c r="Y189" i="83" s="1"/>
  <c r="Y60" i="71" s="1"/>
  <c r="Y165" i="71" s="1"/>
  <c r="Y100" i="80"/>
  <c r="Y112" i="80" s="1"/>
  <c r="P100" i="80"/>
  <c r="P112" i="80" s="1"/>
  <c r="P101" i="83"/>
  <c r="P189" i="83" s="1"/>
  <c r="P60" i="71" s="1"/>
  <c r="P165" i="71" s="1"/>
  <c r="M101" i="83"/>
  <c r="M189" i="83" s="1"/>
  <c r="M60" i="71" s="1"/>
  <c r="M165" i="71" s="1"/>
  <c r="M100" i="80"/>
  <c r="M112" i="80" s="1"/>
  <c r="Y124" i="80"/>
  <c r="Y136" i="80" s="1"/>
  <c r="Y114" i="83"/>
  <c r="Y219" i="83" s="1"/>
  <c r="Y91" i="71" s="1"/>
  <c r="Y196" i="71" s="1"/>
  <c r="T124" i="80"/>
  <c r="T136" i="80" s="1"/>
  <c r="T114" i="83"/>
  <c r="T219" i="83" s="1"/>
  <c r="T91" i="71" s="1"/>
  <c r="T196" i="71" s="1"/>
  <c r="P114" i="83"/>
  <c r="P219" i="83" s="1"/>
  <c r="P91" i="71" s="1"/>
  <c r="P196" i="71" s="1"/>
  <c r="P124" i="80"/>
  <c r="P136" i="80" s="1"/>
  <c r="L84" i="83"/>
  <c r="L155" i="83" s="1"/>
  <c r="L25" i="71" s="1"/>
  <c r="L130" i="71" s="1"/>
  <c r="L72" i="80"/>
  <c r="L84" i="80" s="1"/>
  <c r="L144" i="80" s="1"/>
  <c r="L170" i="80" s="1"/>
  <c r="L271" i="80" s="1"/>
  <c r="V84" i="83"/>
  <c r="V155" i="83" s="1"/>
  <c r="V25" i="71" s="1"/>
  <c r="V130" i="71" s="1"/>
  <c r="V72" i="80"/>
  <c r="V84" i="80" s="1"/>
  <c r="V144" i="80" s="1"/>
  <c r="V170" i="80" s="1"/>
  <c r="V271" i="80" s="1"/>
  <c r="W109" i="83"/>
  <c r="W214" i="83" s="1"/>
  <c r="W86" i="71" s="1"/>
  <c r="W191" i="71" s="1"/>
  <c r="W119" i="80"/>
  <c r="W131" i="80" s="1"/>
  <c r="N109" i="83"/>
  <c r="N214" i="83" s="1"/>
  <c r="N86" i="71" s="1"/>
  <c r="N191" i="71" s="1"/>
  <c r="N119" i="80"/>
  <c r="N131" i="80" s="1"/>
  <c r="Q90" i="83"/>
  <c r="Q161" i="83" s="1"/>
  <c r="Q31" i="71" s="1"/>
  <c r="Q136" i="71" s="1"/>
  <c r="Q78" i="80"/>
  <c r="Q90" i="80" s="1"/>
  <c r="J99" i="80"/>
  <c r="J111" i="80" s="1"/>
  <c r="J100" i="83"/>
  <c r="J188" i="83" s="1"/>
  <c r="J59" i="71" s="1"/>
  <c r="J164" i="71" s="1"/>
  <c r="S100" i="83"/>
  <c r="S188" i="83" s="1"/>
  <c r="S59" i="71" s="1"/>
  <c r="S164" i="71" s="1"/>
  <c r="S99" i="80"/>
  <c r="S111" i="80" s="1"/>
  <c r="U100" i="83"/>
  <c r="U188" i="83" s="1"/>
  <c r="U59" i="71" s="1"/>
  <c r="U164" i="71" s="1"/>
  <c r="U99" i="80"/>
  <c r="U111" i="80" s="1"/>
  <c r="V99" i="80"/>
  <c r="V111" i="80" s="1"/>
  <c r="V100" i="83"/>
  <c r="V188" i="83" s="1"/>
  <c r="V59" i="71" s="1"/>
  <c r="V164" i="71" s="1"/>
  <c r="Q24" i="71"/>
  <c r="Q129" i="71" s="1"/>
  <c r="T71" i="80"/>
  <c r="T83" i="80" s="1"/>
  <c r="T143" i="80" s="1"/>
  <c r="T169" i="80" s="1"/>
  <c r="T83" i="83"/>
  <c r="T154" i="83" s="1"/>
  <c r="V83" i="83"/>
  <c r="V154" i="83" s="1"/>
  <c r="V71" i="80"/>
  <c r="V83" i="80" s="1"/>
  <c r="V143" i="80" s="1"/>
  <c r="V169" i="80" s="1"/>
  <c r="K71" i="80"/>
  <c r="K83" i="80" s="1"/>
  <c r="K143" i="80" s="1"/>
  <c r="K169" i="80" s="1"/>
  <c r="K83" i="83"/>
  <c r="K154" i="83" s="1"/>
  <c r="S111" i="83"/>
  <c r="S216" i="83" s="1"/>
  <c r="S88" i="71" s="1"/>
  <c r="S193" i="71" s="1"/>
  <c r="S121" i="80"/>
  <c r="S133" i="80" s="1"/>
  <c r="M111" i="83"/>
  <c r="M216" i="83" s="1"/>
  <c r="M88" i="71" s="1"/>
  <c r="M193" i="71" s="1"/>
  <c r="M121" i="80"/>
  <c r="M133" i="80" s="1"/>
  <c r="R121" i="80"/>
  <c r="R133" i="80" s="1"/>
  <c r="R111" i="83"/>
  <c r="R216" i="83" s="1"/>
  <c r="R88" i="71" s="1"/>
  <c r="R193" i="71" s="1"/>
  <c r="S99" i="83"/>
  <c r="S187" i="83" s="1"/>
  <c r="S58" i="71" s="1"/>
  <c r="S163" i="71" s="1"/>
  <c r="S98" i="80"/>
  <c r="S110" i="80" s="1"/>
  <c r="T98" i="80"/>
  <c r="T110" i="80" s="1"/>
  <c r="T99" i="83"/>
  <c r="T187" i="83" s="1"/>
  <c r="T58" i="71" s="1"/>
  <c r="T163" i="71" s="1"/>
  <c r="P99" i="83"/>
  <c r="P187" i="83" s="1"/>
  <c r="P58" i="71" s="1"/>
  <c r="P163" i="71" s="1"/>
  <c r="P98" i="80"/>
  <c r="P110" i="80" s="1"/>
  <c r="P112" i="83"/>
  <c r="P217" i="83" s="1"/>
  <c r="P89" i="71" s="1"/>
  <c r="P194" i="71" s="1"/>
  <c r="P122" i="80"/>
  <c r="P134" i="80" s="1"/>
  <c r="K122" i="80"/>
  <c r="K134" i="80" s="1"/>
  <c r="K112" i="83"/>
  <c r="K217" i="83" s="1"/>
  <c r="K89" i="71" s="1"/>
  <c r="K194" i="71" s="1"/>
  <c r="R122" i="80"/>
  <c r="R134" i="80" s="1"/>
  <c r="R112" i="83"/>
  <c r="R217" i="83" s="1"/>
  <c r="R89" i="71" s="1"/>
  <c r="R194" i="71" s="1"/>
  <c r="R102" i="83"/>
  <c r="R190" i="83" s="1"/>
  <c r="R61" i="71" s="1"/>
  <c r="R166" i="71" s="1"/>
  <c r="R101" i="80"/>
  <c r="R113" i="80" s="1"/>
  <c r="X102" i="83"/>
  <c r="X190" i="83" s="1"/>
  <c r="X61" i="71" s="1"/>
  <c r="X166" i="71" s="1"/>
  <c r="X101" i="80"/>
  <c r="X113" i="80" s="1"/>
  <c r="N102" i="83"/>
  <c r="N190" i="83" s="1"/>
  <c r="N61" i="71" s="1"/>
  <c r="N166" i="71" s="1"/>
  <c r="N101" i="80"/>
  <c r="N113" i="80" s="1"/>
  <c r="U96" i="80"/>
  <c r="U108" i="80" s="1"/>
  <c r="U97" i="83"/>
  <c r="U185" i="83" s="1"/>
  <c r="U56" i="71" s="1"/>
  <c r="U161" i="71" s="1"/>
  <c r="Y86" i="83"/>
  <c r="Y157" i="83" s="1"/>
  <c r="Y27" i="71" s="1"/>
  <c r="Y132" i="71" s="1"/>
  <c r="Y74" i="80"/>
  <c r="Y86" i="80" s="1"/>
  <c r="W86" i="83"/>
  <c r="W157" i="83" s="1"/>
  <c r="W27" i="71" s="1"/>
  <c r="W132" i="71" s="1"/>
  <c r="W74" i="80"/>
  <c r="W86" i="80" s="1"/>
  <c r="K86" i="83"/>
  <c r="K157" i="83" s="1"/>
  <c r="K27" i="71" s="1"/>
  <c r="K132" i="71" s="1"/>
  <c r="K74" i="80"/>
  <c r="K86" i="80" s="1"/>
  <c r="R113" i="83"/>
  <c r="R218" i="83" s="1"/>
  <c r="R90" i="71" s="1"/>
  <c r="R195" i="71" s="1"/>
  <c r="R123" i="80"/>
  <c r="R135" i="80" s="1"/>
  <c r="T123" i="80"/>
  <c r="T135" i="80" s="1"/>
  <c r="T113" i="83"/>
  <c r="T218" i="83" s="1"/>
  <c r="T90" i="71" s="1"/>
  <c r="T195" i="71" s="1"/>
  <c r="M113" i="83"/>
  <c r="M218" i="83" s="1"/>
  <c r="M90" i="71" s="1"/>
  <c r="M195" i="71" s="1"/>
  <c r="M123" i="80"/>
  <c r="M135" i="80" s="1"/>
  <c r="V110" i="83"/>
  <c r="V215" i="83" s="1"/>
  <c r="V87" i="71" s="1"/>
  <c r="V192" i="71" s="1"/>
  <c r="V120" i="80"/>
  <c r="V132" i="80" s="1"/>
  <c r="L110" i="83"/>
  <c r="L215" i="83" s="1"/>
  <c r="L87" i="71" s="1"/>
  <c r="L192" i="71" s="1"/>
  <c r="L120" i="80"/>
  <c r="L132" i="80" s="1"/>
  <c r="K110" i="83"/>
  <c r="K215" i="83" s="1"/>
  <c r="K87" i="71" s="1"/>
  <c r="K192" i="71" s="1"/>
  <c r="K120" i="80"/>
  <c r="K132" i="80" s="1"/>
  <c r="O101" i="83"/>
  <c r="O189" i="83" s="1"/>
  <c r="O60" i="71" s="1"/>
  <c r="O165" i="71" s="1"/>
  <c r="O100" i="80"/>
  <c r="O112" i="80" s="1"/>
  <c r="K101" i="83"/>
  <c r="K189" i="83" s="1"/>
  <c r="K60" i="71" s="1"/>
  <c r="K165" i="71" s="1"/>
  <c r="K100" i="80"/>
  <c r="K112" i="80" s="1"/>
  <c r="M114" i="83"/>
  <c r="M219" i="83" s="1"/>
  <c r="M91" i="71" s="1"/>
  <c r="M196" i="71" s="1"/>
  <c r="M124" i="80"/>
  <c r="M136" i="80" s="1"/>
  <c r="N124" i="80"/>
  <c r="N136" i="80" s="1"/>
  <c r="N114" i="83"/>
  <c r="N219" i="83" s="1"/>
  <c r="N91" i="71" s="1"/>
  <c r="N196" i="71" s="1"/>
  <c r="U124" i="80"/>
  <c r="U136" i="80" s="1"/>
  <c r="U114" i="83"/>
  <c r="U219" i="83" s="1"/>
  <c r="U91" i="71" s="1"/>
  <c r="U196" i="71" s="1"/>
  <c r="Y72" i="80"/>
  <c r="Y84" i="80" s="1"/>
  <c r="Y144" i="80" s="1"/>
  <c r="Y170" i="80" s="1"/>
  <c r="Y271" i="80" s="1"/>
  <c r="Y84" i="83"/>
  <c r="Y155" i="83" s="1"/>
  <c r="Y25" i="71" s="1"/>
  <c r="Y130" i="71" s="1"/>
  <c r="T84" i="83"/>
  <c r="T155" i="83" s="1"/>
  <c r="T25" i="71" s="1"/>
  <c r="T130" i="71" s="1"/>
  <c r="T72" i="80"/>
  <c r="T84" i="80" s="1"/>
  <c r="T144" i="80" s="1"/>
  <c r="T170" i="80" s="1"/>
  <c r="T271" i="80" s="1"/>
  <c r="P109" i="83"/>
  <c r="P214" i="83" s="1"/>
  <c r="P86" i="71" s="1"/>
  <c r="P191" i="71" s="1"/>
  <c r="P119" i="80"/>
  <c r="P131" i="80" s="1"/>
  <c r="Q109" i="83"/>
  <c r="Q214" i="83" s="1"/>
  <c r="Q86" i="71" s="1"/>
  <c r="Q191" i="71" s="1"/>
  <c r="Q119" i="80"/>
  <c r="Q131" i="80" s="1"/>
  <c r="O109" i="83"/>
  <c r="O214" i="83" s="1"/>
  <c r="O86" i="71" s="1"/>
  <c r="O191" i="71" s="1"/>
  <c r="X98" i="83"/>
  <c r="X186" i="83" s="1"/>
  <c r="X57" i="71" s="1"/>
  <c r="X162" i="71" s="1"/>
  <c r="X97" i="80"/>
  <c r="X109" i="80" s="1"/>
  <c r="H171" i="53"/>
  <c r="Q218" i="53" s="1"/>
  <c r="Q248" i="53" s="1"/>
  <c r="Q291" i="53" s="1"/>
  <c r="Y100" i="83"/>
  <c r="Y188" i="83" s="1"/>
  <c r="Y59" i="71" s="1"/>
  <c r="Y164" i="71" s="1"/>
  <c r="Y99" i="80"/>
  <c r="Y111" i="80" s="1"/>
  <c r="K100" i="83"/>
  <c r="K188" i="83" s="1"/>
  <c r="K59" i="71" s="1"/>
  <c r="K164" i="71" s="1"/>
  <c r="K99" i="80"/>
  <c r="K111" i="80" s="1"/>
  <c r="P100" i="83"/>
  <c r="P188" i="83" s="1"/>
  <c r="P59" i="71" s="1"/>
  <c r="P164" i="71" s="1"/>
  <c r="P99" i="80"/>
  <c r="P111" i="80" s="1"/>
  <c r="P83" i="83"/>
  <c r="P154" i="83" s="1"/>
  <c r="P71" i="80"/>
  <c r="P83" i="80" s="1"/>
  <c r="P143" i="80" s="1"/>
  <c r="P169" i="80" s="1"/>
  <c r="O83" i="83"/>
  <c r="O154" i="83" s="1"/>
  <c r="O71" i="80"/>
  <c r="O83" i="80" s="1"/>
  <c r="O143" i="80" s="1"/>
  <c r="O169" i="80" s="1"/>
  <c r="O270" i="80" s="1"/>
  <c r="N71" i="80"/>
  <c r="N83" i="80" s="1"/>
  <c r="N143" i="80" s="1"/>
  <c r="N169" i="80" s="1"/>
  <c r="N83" i="83"/>
  <c r="N154" i="83" s="1"/>
  <c r="T121" i="80"/>
  <c r="T133" i="80" s="1"/>
  <c r="T111" i="83"/>
  <c r="T216" i="83" s="1"/>
  <c r="T88" i="71" s="1"/>
  <c r="T193" i="71" s="1"/>
  <c r="J111" i="83"/>
  <c r="J216" i="83" s="1"/>
  <c r="J88" i="71" s="1"/>
  <c r="J193" i="71" s="1"/>
  <c r="J121" i="80"/>
  <c r="J133" i="80" s="1"/>
  <c r="L121" i="80"/>
  <c r="L133" i="80" s="1"/>
  <c r="L111" i="83"/>
  <c r="L216" i="83" s="1"/>
  <c r="L88" i="71" s="1"/>
  <c r="L193" i="71" s="1"/>
  <c r="R99" i="83"/>
  <c r="R187" i="83" s="1"/>
  <c r="R58" i="71" s="1"/>
  <c r="R163" i="71" s="1"/>
  <c r="R98" i="80"/>
  <c r="R110" i="80" s="1"/>
  <c r="Y98" i="80"/>
  <c r="Y110" i="80" s="1"/>
  <c r="Y99" i="83"/>
  <c r="Y187" i="83" s="1"/>
  <c r="Y58" i="71" s="1"/>
  <c r="Y163" i="71" s="1"/>
  <c r="W99" i="83"/>
  <c r="W187" i="83" s="1"/>
  <c r="W58" i="71" s="1"/>
  <c r="W163" i="71" s="1"/>
  <c r="W98" i="80"/>
  <c r="W110" i="80" s="1"/>
  <c r="T112" i="83"/>
  <c r="T217" i="83" s="1"/>
  <c r="T89" i="71" s="1"/>
  <c r="T194" i="71" s="1"/>
  <c r="T122" i="80"/>
  <c r="T134" i="80" s="1"/>
  <c r="U112" i="83"/>
  <c r="U217" i="83" s="1"/>
  <c r="U89" i="71" s="1"/>
  <c r="U194" i="71" s="1"/>
  <c r="U122" i="80"/>
  <c r="U134" i="80" s="1"/>
  <c r="W112" i="83"/>
  <c r="W217" i="83" s="1"/>
  <c r="W89" i="71" s="1"/>
  <c r="W194" i="71" s="1"/>
  <c r="W122" i="80"/>
  <c r="W134" i="80" s="1"/>
  <c r="P101" i="80"/>
  <c r="P113" i="80" s="1"/>
  <c r="P102" i="83"/>
  <c r="P190" i="83" s="1"/>
  <c r="P61" i="71" s="1"/>
  <c r="P166" i="71" s="1"/>
  <c r="L102" i="83"/>
  <c r="L190" i="83" s="1"/>
  <c r="L61" i="71" s="1"/>
  <c r="L166" i="71" s="1"/>
  <c r="L101" i="80"/>
  <c r="L113" i="80" s="1"/>
  <c r="O102" i="83"/>
  <c r="O190" i="83" s="1"/>
  <c r="O61" i="71" s="1"/>
  <c r="O166" i="71" s="1"/>
  <c r="O101" i="80"/>
  <c r="O113" i="80" s="1"/>
  <c r="V97" i="83"/>
  <c r="V185" i="83" s="1"/>
  <c r="V56" i="71" s="1"/>
  <c r="V161" i="71" s="1"/>
  <c r="V96" i="80"/>
  <c r="V108" i="80" s="1"/>
  <c r="W96" i="80"/>
  <c r="W108" i="80" s="1"/>
  <c r="W97" i="83"/>
  <c r="W185" i="83" s="1"/>
  <c r="W56" i="71" s="1"/>
  <c r="W161" i="71" s="1"/>
  <c r="Y97" i="83"/>
  <c r="Y185" i="83" s="1"/>
  <c r="Y56" i="71" s="1"/>
  <c r="Y161" i="71" s="1"/>
  <c r="Y96" i="80"/>
  <c r="Y108" i="80" s="1"/>
  <c r="J86" i="83"/>
  <c r="J157" i="83" s="1"/>
  <c r="J27" i="71" s="1"/>
  <c r="J132" i="71" s="1"/>
  <c r="J74" i="80"/>
  <c r="J86" i="80" s="1"/>
  <c r="O86" i="83"/>
  <c r="O157" i="83" s="1"/>
  <c r="O27" i="71" s="1"/>
  <c r="O132" i="71" s="1"/>
  <c r="O74" i="80"/>
  <c r="O86" i="80" s="1"/>
  <c r="L113" i="83"/>
  <c r="L218" i="83" s="1"/>
  <c r="L90" i="71" s="1"/>
  <c r="L195" i="71" s="1"/>
  <c r="L123" i="80"/>
  <c r="L135" i="80" s="1"/>
  <c r="P123" i="80"/>
  <c r="P135" i="80" s="1"/>
  <c r="P113" i="83"/>
  <c r="P218" i="83" s="1"/>
  <c r="P90" i="71" s="1"/>
  <c r="P195" i="71" s="1"/>
  <c r="X123" i="80"/>
  <c r="X135" i="80" s="1"/>
  <c r="X113" i="83"/>
  <c r="X218" i="83" s="1"/>
  <c r="X90" i="71" s="1"/>
  <c r="X195" i="71" s="1"/>
  <c r="M110" i="83"/>
  <c r="M215" i="83" s="1"/>
  <c r="M87" i="71" s="1"/>
  <c r="M192" i="71" s="1"/>
  <c r="M120" i="80"/>
  <c r="M132" i="80" s="1"/>
  <c r="J120" i="80"/>
  <c r="J132" i="80" s="1"/>
  <c r="J110" i="83"/>
  <c r="J215" i="83" s="1"/>
  <c r="J87" i="71" s="1"/>
  <c r="J192" i="71" s="1"/>
  <c r="H147" i="53"/>
  <c r="Q203" i="53" s="1"/>
  <c r="Q245" i="53" s="1"/>
  <c r="Q288" i="53" s="1"/>
  <c r="N101" i="83"/>
  <c r="N189" i="83" s="1"/>
  <c r="N60" i="71" s="1"/>
  <c r="N165" i="71" s="1"/>
  <c r="N100" i="80"/>
  <c r="N112" i="80" s="1"/>
  <c r="X101" i="83"/>
  <c r="X189" i="83" s="1"/>
  <c r="X60" i="71" s="1"/>
  <c r="X165" i="71" s="1"/>
  <c r="X100" i="80"/>
  <c r="X112" i="80" s="1"/>
  <c r="O114" i="83"/>
  <c r="O219" i="83" s="1"/>
  <c r="O91" i="71" s="1"/>
  <c r="O196" i="71" s="1"/>
  <c r="O124" i="80"/>
  <c r="O136" i="80" s="1"/>
  <c r="X114" i="83"/>
  <c r="X219" i="83" s="1"/>
  <c r="X91" i="71" s="1"/>
  <c r="X196" i="71" s="1"/>
  <c r="X124" i="80"/>
  <c r="X136" i="80" s="1"/>
  <c r="L114" i="83"/>
  <c r="L219" i="83" s="1"/>
  <c r="L91" i="71" s="1"/>
  <c r="L196" i="71" s="1"/>
  <c r="L124" i="80"/>
  <c r="L136" i="80" s="1"/>
  <c r="U84" i="83"/>
  <c r="U155" i="83" s="1"/>
  <c r="U25" i="71" s="1"/>
  <c r="U130" i="71" s="1"/>
  <c r="U72" i="80"/>
  <c r="U84" i="80" s="1"/>
  <c r="U144" i="80" s="1"/>
  <c r="U170" i="80" s="1"/>
  <c r="U271" i="80" s="1"/>
  <c r="S84" i="83"/>
  <c r="S155" i="83" s="1"/>
  <c r="S25" i="71" s="1"/>
  <c r="S130" i="71" s="1"/>
  <c r="S72" i="80"/>
  <c r="S84" i="80" s="1"/>
  <c r="S144" i="80" s="1"/>
  <c r="S170" i="80" s="1"/>
  <c r="S271" i="80" s="1"/>
  <c r="U109" i="83"/>
  <c r="U214" i="83" s="1"/>
  <c r="U86" i="71" s="1"/>
  <c r="U191" i="71" s="1"/>
  <c r="U119" i="80"/>
  <c r="U131" i="80" s="1"/>
  <c r="V109" i="83"/>
  <c r="V214" i="83" s="1"/>
  <c r="V86" i="71" s="1"/>
  <c r="V191" i="71" s="1"/>
  <c r="V119" i="80"/>
  <c r="V131" i="80" s="1"/>
  <c r="J119" i="80"/>
  <c r="J131" i="80" s="1"/>
  <c r="J109" i="83"/>
  <c r="J214" i="83" s="1"/>
  <c r="J86" i="71" s="1"/>
  <c r="J191" i="71" s="1"/>
  <c r="N97" i="80"/>
  <c r="N109" i="80" s="1"/>
  <c r="N98" i="83"/>
  <c r="N186" i="83" s="1"/>
  <c r="N57" i="71" s="1"/>
  <c r="N162" i="71" s="1"/>
  <c r="R97" i="80"/>
  <c r="R109" i="80" s="1"/>
  <c r="R98" i="83"/>
  <c r="R186" i="83" s="1"/>
  <c r="R57" i="71" s="1"/>
  <c r="R162" i="71" s="1"/>
  <c r="S98" i="83" l="1"/>
  <c r="S186" i="83" s="1"/>
  <c r="S57" i="71" s="1"/>
  <c r="S162" i="71" s="1"/>
  <c r="L109" i="83"/>
  <c r="L214" i="83" s="1"/>
  <c r="L86" i="71" s="1"/>
  <c r="L191" i="71" s="1"/>
  <c r="T96" i="80"/>
  <c r="T108" i="80" s="1"/>
  <c r="L99" i="80"/>
  <c r="L111" i="80" s="1"/>
  <c r="S119" i="80"/>
  <c r="S131" i="80" s="1"/>
  <c r="J96" i="80"/>
  <c r="J108" i="80" s="1"/>
  <c r="S97" i="83"/>
  <c r="S185" i="83" s="1"/>
  <c r="S56" i="71" s="1"/>
  <c r="S161" i="71" s="1"/>
  <c r="O97" i="80"/>
  <c r="O109" i="80" s="1"/>
  <c r="O146" i="80" s="1"/>
  <c r="O172" i="80" s="1"/>
  <c r="O273" i="80" s="1"/>
  <c r="N99" i="80"/>
  <c r="N111" i="80" s="1"/>
  <c r="L98" i="83"/>
  <c r="L186" i="83" s="1"/>
  <c r="L57" i="71" s="1"/>
  <c r="L162" i="71" s="1"/>
  <c r="V97" i="80"/>
  <c r="V109" i="80" s="1"/>
  <c r="R96" i="80"/>
  <c r="R108" i="80" s="1"/>
  <c r="K24" i="71"/>
  <c r="K129" i="71" s="1"/>
  <c r="J24" i="71"/>
  <c r="N270" i="80"/>
  <c r="O24" i="71"/>
  <c r="O129" i="71" s="1"/>
  <c r="K270" i="80"/>
  <c r="P270" i="80"/>
  <c r="W146" i="80"/>
  <c r="W172" i="80" s="1"/>
  <c r="W273" i="80" s="1"/>
  <c r="P24" i="71"/>
  <c r="P129" i="71" s="1"/>
  <c r="X146" i="80"/>
  <c r="X172" i="80" s="1"/>
  <c r="X273" i="80" s="1"/>
  <c r="M24" i="71"/>
  <c r="M129" i="71" s="1"/>
  <c r="L24" i="71"/>
  <c r="L129" i="71" s="1"/>
  <c r="N24" i="71"/>
  <c r="N129" i="71" s="1"/>
  <c r="T146" i="80"/>
  <c r="T172" i="80" s="1"/>
  <c r="T273" i="80" s="1"/>
  <c r="K146" i="80"/>
  <c r="K172" i="80" s="1"/>
  <c r="K273" i="80" s="1"/>
  <c r="Q146" i="80"/>
  <c r="Q172" i="80" s="1"/>
  <c r="Q273" i="80" s="1"/>
  <c r="R24" i="71"/>
  <c r="R129" i="71" s="1"/>
  <c r="X88" i="83"/>
  <c r="X159" i="83" s="1"/>
  <c r="X29" i="71" s="1"/>
  <c r="X134" i="71" s="1"/>
  <c r="X76" i="80"/>
  <c r="X88" i="80" s="1"/>
  <c r="X148" i="80" s="1"/>
  <c r="X174" i="80" s="1"/>
  <c r="X275" i="80" s="1"/>
  <c r="R85" i="83"/>
  <c r="R156" i="83" s="1"/>
  <c r="R26" i="71" s="1"/>
  <c r="R131" i="71" s="1"/>
  <c r="R73" i="80"/>
  <c r="R85" i="80" s="1"/>
  <c r="Y87" i="83"/>
  <c r="Y158" i="83" s="1"/>
  <c r="Y28" i="71" s="1"/>
  <c r="Y133" i="71" s="1"/>
  <c r="Y75" i="80"/>
  <c r="Y87" i="80" s="1"/>
  <c r="Y147" i="80" s="1"/>
  <c r="Y173" i="80" s="1"/>
  <c r="Y274" i="80" s="1"/>
  <c r="R146" i="80"/>
  <c r="R172" i="80" s="1"/>
  <c r="R273" i="80" s="1"/>
  <c r="T76" i="80"/>
  <c r="T88" i="80" s="1"/>
  <c r="T148" i="80" s="1"/>
  <c r="T174" i="80" s="1"/>
  <c r="T275" i="80" s="1"/>
  <c r="T88" i="83"/>
  <c r="T159" i="83" s="1"/>
  <c r="T29" i="71" s="1"/>
  <c r="T134" i="71" s="1"/>
  <c r="L88" i="83"/>
  <c r="L159" i="83" s="1"/>
  <c r="L29" i="71" s="1"/>
  <c r="L134" i="71" s="1"/>
  <c r="L76" i="80"/>
  <c r="L88" i="80" s="1"/>
  <c r="L148" i="80" s="1"/>
  <c r="L174" i="80" s="1"/>
  <c r="L275" i="80" s="1"/>
  <c r="U73" i="80"/>
  <c r="U85" i="80" s="1"/>
  <c r="U145" i="80" s="1"/>
  <c r="U171" i="80" s="1"/>
  <c r="U272" i="80" s="1"/>
  <c r="U85" i="83"/>
  <c r="U156" i="83" s="1"/>
  <c r="U26" i="71" s="1"/>
  <c r="U131" i="71" s="1"/>
  <c r="J73" i="80"/>
  <c r="J85" i="80" s="1"/>
  <c r="J145" i="80" s="1"/>
  <c r="J85" i="83"/>
  <c r="J156" i="83" s="1"/>
  <c r="J26" i="71" s="1"/>
  <c r="J131" i="71" s="1"/>
  <c r="J129" i="71"/>
  <c r="S89" i="83"/>
  <c r="S160" i="83" s="1"/>
  <c r="S30" i="71" s="1"/>
  <c r="S135" i="71" s="1"/>
  <c r="S77" i="80"/>
  <c r="S89" i="80" s="1"/>
  <c r="S149" i="80" s="1"/>
  <c r="S175" i="80" s="1"/>
  <c r="S276" i="80" s="1"/>
  <c r="L89" i="83"/>
  <c r="L160" i="83" s="1"/>
  <c r="L30" i="71" s="1"/>
  <c r="L135" i="71" s="1"/>
  <c r="L77" i="80"/>
  <c r="L89" i="80" s="1"/>
  <c r="L149" i="80" s="1"/>
  <c r="L175" i="80" s="1"/>
  <c r="L276" i="80" s="1"/>
  <c r="M77" i="80"/>
  <c r="M89" i="80" s="1"/>
  <c r="M149" i="80" s="1"/>
  <c r="M175" i="80" s="1"/>
  <c r="M276" i="80" s="1"/>
  <c r="M89" i="83"/>
  <c r="M160" i="83" s="1"/>
  <c r="M30" i="71" s="1"/>
  <c r="M135" i="71" s="1"/>
  <c r="X270" i="80"/>
  <c r="X87" i="83"/>
  <c r="X158" i="83" s="1"/>
  <c r="X28" i="71" s="1"/>
  <c r="X133" i="71" s="1"/>
  <c r="X75" i="80"/>
  <c r="X87" i="80" s="1"/>
  <c r="X147" i="80" s="1"/>
  <c r="X173" i="80" s="1"/>
  <c r="X274" i="80" s="1"/>
  <c r="J75" i="80"/>
  <c r="J87" i="80" s="1"/>
  <c r="J147" i="80" s="1"/>
  <c r="J87" i="83"/>
  <c r="J158" i="83" s="1"/>
  <c r="J28" i="71" s="1"/>
  <c r="J133" i="71" s="1"/>
  <c r="U78" i="80"/>
  <c r="U90" i="80" s="1"/>
  <c r="U150" i="80" s="1"/>
  <c r="U90" i="83"/>
  <c r="U161" i="83" s="1"/>
  <c r="U31" i="71" s="1"/>
  <c r="U136" i="71" s="1"/>
  <c r="S90" i="83"/>
  <c r="S161" i="83" s="1"/>
  <c r="S31" i="71" s="1"/>
  <c r="S136" i="71" s="1"/>
  <c r="S78" i="80"/>
  <c r="S90" i="80" s="1"/>
  <c r="S150" i="80" s="1"/>
  <c r="J78" i="80"/>
  <c r="J90" i="80" s="1"/>
  <c r="J150" i="80" s="1"/>
  <c r="J90" i="83"/>
  <c r="J161" i="83" s="1"/>
  <c r="J31" i="71" s="1"/>
  <c r="J136" i="71" s="1"/>
  <c r="J170" i="80"/>
  <c r="J271" i="80" s="1"/>
  <c r="H271" i="80" s="1"/>
  <c r="H156" i="80"/>
  <c r="S146" i="80"/>
  <c r="S172" i="80" s="1"/>
  <c r="S273" i="80" s="1"/>
  <c r="Y24" i="71"/>
  <c r="Y129" i="71" s="1"/>
  <c r="R89" i="83"/>
  <c r="R160" i="83" s="1"/>
  <c r="R30" i="71" s="1"/>
  <c r="R135" i="71" s="1"/>
  <c r="R77" i="80"/>
  <c r="R89" i="80" s="1"/>
  <c r="R149" i="80" s="1"/>
  <c r="R175" i="80" s="1"/>
  <c r="R276" i="80" s="1"/>
  <c r="V87" i="83"/>
  <c r="V158" i="83" s="1"/>
  <c r="V28" i="71" s="1"/>
  <c r="V133" i="71" s="1"/>
  <c r="V75" i="80"/>
  <c r="V87" i="80" s="1"/>
  <c r="V147" i="80" s="1"/>
  <c r="V173" i="80" s="1"/>
  <c r="V274" i="80" s="1"/>
  <c r="P90" i="83"/>
  <c r="P161" i="83" s="1"/>
  <c r="P31" i="71" s="1"/>
  <c r="P136" i="71" s="1"/>
  <c r="P78" i="80"/>
  <c r="P90" i="80" s="1"/>
  <c r="P150" i="80" s="1"/>
  <c r="V270" i="80"/>
  <c r="V24" i="71"/>
  <c r="V129" i="71" s="1"/>
  <c r="Y88" i="83"/>
  <c r="Y159" i="83" s="1"/>
  <c r="Y29" i="71" s="1"/>
  <c r="Y134" i="71" s="1"/>
  <c r="Y76" i="80"/>
  <c r="Y88" i="80" s="1"/>
  <c r="R88" i="83"/>
  <c r="R159" i="83" s="1"/>
  <c r="R29" i="71" s="1"/>
  <c r="R134" i="71" s="1"/>
  <c r="R76" i="80"/>
  <c r="R88" i="80" s="1"/>
  <c r="R148" i="80" s="1"/>
  <c r="R174" i="80" s="1"/>
  <c r="R275" i="80" s="1"/>
  <c r="K85" i="83"/>
  <c r="K156" i="83" s="1"/>
  <c r="K26" i="71" s="1"/>
  <c r="K131" i="71" s="1"/>
  <c r="K73" i="80"/>
  <c r="K85" i="80" s="1"/>
  <c r="K145" i="80" s="1"/>
  <c r="K171" i="80" s="1"/>
  <c r="K272" i="80" s="1"/>
  <c r="S73" i="80"/>
  <c r="S85" i="80" s="1"/>
  <c r="S85" i="83"/>
  <c r="S156" i="83" s="1"/>
  <c r="S26" i="71" s="1"/>
  <c r="S131" i="71" s="1"/>
  <c r="L85" i="83"/>
  <c r="L156" i="83" s="1"/>
  <c r="L26" i="71" s="1"/>
  <c r="L131" i="71" s="1"/>
  <c r="L73" i="80"/>
  <c r="L85" i="80" s="1"/>
  <c r="L145" i="80" s="1"/>
  <c r="L171" i="80" s="1"/>
  <c r="L272" i="80" s="1"/>
  <c r="J83" i="80"/>
  <c r="J143" i="80" s="1"/>
  <c r="J89" i="83"/>
  <c r="J160" i="83" s="1"/>
  <c r="J30" i="71" s="1"/>
  <c r="J135" i="71" s="1"/>
  <c r="J77" i="80"/>
  <c r="J89" i="80" s="1"/>
  <c r="J149" i="80" s="1"/>
  <c r="J175" i="80" s="1"/>
  <c r="J276" i="80" s="1"/>
  <c r="O89" i="83"/>
  <c r="O160" i="83" s="1"/>
  <c r="O30" i="71" s="1"/>
  <c r="O135" i="71" s="1"/>
  <c r="O77" i="80"/>
  <c r="O89" i="80" s="1"/>
  <c r="O149" i="80" s="1"/>
  <c r="O175" i="80" s="1"/>
  <c r="O276" i="80" s="1"/>
  <c r="X24" i="71"/>
  <c r="X129" i="71" s="1"/>
  <c r="T75" i="80"/>
  <c r="T87" i="80" s="1"/>
  <c r="T147" i="80" s="1"/>
  <c r="T173" i="80" s="1"/>
  <c r="T274" i="80" s="1"/>
  <c r="T87" i="83"/>
  <c r="T158" i="83" s="1"/>
  <c r="T28" i="71" s="1"/>
  <c r="T133" i="71" s="1"/>
  <c r="R87" i="83"/>
  <c r="R158" i="83" s="1"/>
  <c r="R28" i="71" s="1"/>
  <c r="R133" i="71" s="1"/>
  <c r="R75" i="80"/>
  <c r="R87" i="80" s="1"/>
  <c r="R147" i="80" s="1"/>
  <c r="R173" i="80" s="1"/>
  <c r="R274" i="80" s="1"/>
  <c r="K90" i="83"/>
  <c r="K161" i="83" s="1"/>
  <c r="K31" i="71" s="1"/>
  <c r="K136" i="71" s="1"/>
  <c r="K78" i="80"/>
  <c r="K90" i="80" s="1"/>
  <c r="K150" i="80" s="1"/>
  <c r="V90" i="83"/>
  <c r="V161" i="83" s="1"/>
  <c r="V31" i="71" s="1"/>
  <c r="V136" i="71" s="1"/>
  <c r="V78" i="80"/>
  <c r="V90" i="80" s="1"/>
  <c r="V150" i="80" s="1"/>
  <c r="O90" i="83"/>
  <c r="O161" i="83" s="1"/>
  <c r="O31" i="71" s="1"/>
  <c r="O136" i="71" s="1"/>
  <c r="O78" i="80"/>
  <c r="O90" i="80" s="1"/>
  <c r="O150" i="80" s="1"/>
  <c r="W88" i="83"/>
  <c r="W159" i="83" s="1"/>
  <c r="W29" i="71" s="1"/>
  <c r="W134" i="71" s="1"/>
  <c r="W76" i="80"/>
  <c r="W88" i="80" s="1"/>
  <c r="W148" i="80" s="1"/>
  <c r="W174" i="80" s="1"/>
  <c r="W275" i="80" s="1"/>
  <c r="Y85" i="83"/>
  <c r="Y156" i="83" s="1"/>
  <c r="Y26" i="71" s="1"/>
  <c r="Y131" i="71" s="1"/>
  <c r="Y73" i="80"/>
  <c r="Y85" i="80" s="1"/>
  <c r="Y145" i="80" s="1"/>
  <c r="Y171" i="80" s="1"/>
  <c r="Y272" i="80" s="1"/>
  <c r="U146" i="80"/>
  <c r="U172" i="80" s="1"/>
  <c r="U273" i="80" s="1"/>
  <c r="V77" i="80"/>
  <c r="V89" i="80" s="1"/>
  <c r="V149" i="80" s="1"/>
  <c r="V175" i="80" s="1"/>
  <c r="V276" i="80" s="1"/>
  <c r="V89" i="83"/>
  <c r="V160" i="83" s="1"/>
  <c r="V30" i="71" s="1"/>
  <c r="V135" i="71" s="1"/>
  <c r="W90" i="83"/>
  <c r="W161" i="83" s="1"/>
  <c r="W31" i="71" s="1"/>
  <c r="W136" i="71" s="1"/>
  <c r="W78" i="80"/>
  <c r="W90" i="80" s="1"/>
  <c r="W150" i="80" s="1"/>
  <c r="Q99" i="83"/>
  <c r="Q187" i="83" s="1"/>
  <c r="Q58" i="71" s="1"/>
  <c r="Q163" i="71" s="1"/>
  <c r="Q98" i="80"/>
  <c r="Q110" i="80" s="1"/>
  <c r="Q147" i="80" s="1"/>
  <c r="Q173" i="80" s="1"/>
  <c r="Q274" i="80" s="1"/>
  <c r="Q102" i="83"/>
  <c r="Q190" i="83" s="1"/>
  <c r="Q61" i="71" s="1"/>
  <c r="Q166" i="71" s="1"/>
  <c r="Q101" i="80"/>
  <c r="Q113" i="80" s="1"/>
  <c r="Q150" i="80" s="1"/>
  <c r="Y146" i="80"/>
  <c r="Y172" i="80" s="1"/>
  <c r="Y273" i="80" s="1"/>
  <c r="T24" i="71"/>
  <c r="T129" i="71" s="1"/>
  <c r="N146" i="80"/>
  <c r="N172" i="80" s="1"/>
  <c r="N273" i="80" s="1"/>
  <c r="S24" i="71"/>
  <c r="S129" i="71" s="1"/>
  <c r="V146" i="80"/>
  <c r="V172" i="80" s="1"/>
  <c r="V273" i="80" s="1"/>
  <c r="U76" i="80"/>
  <c r="U88" i="80" s="1"/>
  <c r="U148" i="80" s="1"/>
  <c r="U174" i="80" s="1"/>
  <c r="U275" i="80" s="1"/>
  <c r="U88" i="83"/>
  <c r="U159" i="83" s="1"/>
  <c r="U29" i="71" s="1"/>
  <c r="U134" i="71" s="1"/>
  <c r="N88" i="83"/>
  <c r="N159" i="83" s="1"/>
  <c r="N29" i="71" s="1"/>
  <c r="N134" i="71" s="1"/>
  <c r="N76" i="80"/>
  <c r="N88" i="80" s="1"/>
  <c r="N148" i="80" s="1"/>
  <c r="N174" i="80" s="1"/>
  <c r="N275" i="80" s="1"/>
  <c r="V76" i="80"/>
  <c r="V88" i="80" s="1"/>
  <c r="V148" i="80" s="1"/>
  <c r="V174" i="80" s="1"/>
  <c r="V275" i="80" s="1"/>
  <c r="V88" i="83"/>
  <c r="V159" i="83" s="1"/>
  <c r="V29" i="71" s="1"/>
  <c r="V134" i="71" s="1"/>
  <c r="M73" i="80"/>
  <c r="M85" i="80" s="1"/>
  <c r="M145" i="80" s="1"/>
  <c r="M171" i="80" s="1"/>
  <c r="M272" i="80" s="1"/>
  <c r="M85" i="83"/>
  <c r="M156" i="83" s="1"/>
  <c r="M26" i="71" s="1"/>
  <c r="M131" i="71" s="1"/>
  <c r="X73" i="80"/>
  <c r="X85" i="80" s="1"/>
  <c r="X145" i="80" s="1"/>
  <c r="X171" i="80" s="1"/>
  <c r="X272" i="80" s="1"/>
  <c r="X85" i="83"/>
  <c r="X156" i="83" s="1"/>
  <c r="X26" i="71" s="1"/>
  <c r="X131" i="71" s="1"/>
  <c r="W73" i="80"/>
  <c r="W85" i="80" s="1"/>
  <c r="W145" i="80" s="1"/>
  <c r="W171" i="80" s="1"/>
  <c r="W272" i="80" s="1"/>
  <c r="W85" i="83"/>
  <c r="W156" i="83" s="1"/>
  <c r="W26" i="71" s="1"/>
  <c r="W131" i="71" s="1"/>
  <c r="M146" i="80"/>
  <c r="M172" i="80" s="1"/>
  <c r="M273" i="80" s="1"/>
  <c r="Y89" i="83"/>
  <c r="Y160" i="83" s="1"/>
  <c r="Y30" i="71" s="1"/>
  <c r="Y135" i="71" s="1"/>
  <c r="Y77" i="80"/>
  <c r="Y89" i="80" s="1"/>
  <c r="Y149" i="80" s="1"/>
  <c r="Y175" i="80" s="1"/>
  <c r="Y276" i="80" s="1"/>
  <c r="X77" i="80"/>
  <c r="X89" i="80" s="1"/>
  <c r="X149" i="80" s="1"/>
  <c r="X175" i="80" s="1"/>
  <c r="X276" i="80" s="1"/>
  <c r="X89" i="83"/>
  <c r="X160" i="83" s="1"/>
  <c r="X30" i="71" s="1"/>
  <c r="X135" i="71" s="1"/>
  <c r="W24" i="71"/>
  <c r="W129" i="71" s="1"/>
  <c r="P87" i="83"/>
  <c r="P158" i="83" s="1"/>
  <c r="P28" i="71" s="1"/>
  <c r="P133" i="71" s="1"/>
  <c r="P75" i="80"/>
  <c r="P87" i="80" s="1"/>
  <c r="P147" i="80" s="1"/>
  <c r="P173" i="80" s="1"/>
  <c r="P274" i="80" s="1"/>
  <c r="N87" i="83"/>
  <c r="N158" i="83" s="1"/>
  <c r="N28" i="71" s="1"/>
  <c r="N133" i="71" s="1"/>
  <c r="N75" i="80"/>
  <c r="N87" i="80" s="1"/>
  <c r="N147" i="80" s="1"/>
  <c r="N173" i="80" s="1"/>
  <c r="N274" i="80" s="1"/>
  <c r="L90" i="83"/>
  <c r="L161" i="83" s="1"/>
  <c r="L31" i="71" s="1"/>
  <c r="L136" i="71" s="1"/>
  <c r="L78" i="80"/>
  <c r="L90" i="80" s="1"/>
  <c r="L150" i="80" s="1"/>
  <c r="M90" i="83"/>
  <c r="M161" i="83" s="1"/>
  <c r="M31" i="71" s="1"/>
  <c r="M136" i="71" s="1"/>
  <c r="M78" i="80"/>
  <c r="M90" i="80" s="1"/>
  <c r="M150" i="80" s="1"/>
  <c r="T89" i="83"/>
  <c r="T160" i="83" s="1"/>
  <c r="T30" i="71" s="1"/>
  <c r="T135" i="71" s="1"/>
  <c r="T77" i="80"/>
  <c r="T89" i="80" s="1"/>
  <c r="T149" i="80" s="1"/>
  <c r="T175" i="80" s="1"/>
  <c r="T276" i="80" s="1"/>
  <c r="J146" i="80"/>
  <c r="T270" i="80"/>
  <c r="K76" i="80"/>
  <c r="K88" i="80" s="1"/>
  <c r="K148" i="80" s="1"/>
  <c r="K174" i="80" s="1"/>
  <c r="K275" i="80" s="1"/>
  <c r="K88" i="83"/>
  <c r="K159" i="83" s="1"/>
  <c r="K29" i="71" s="1"/>
  <c r="K134" i="71" s="1"/>
  <c r="M88" i="83"/>
  <c r="M159" i="83" s="1"/>
  <c r="M29" i="71" s="1"/>
  <c r="M134" i="71" s="1"/>
  <c r="M76" i="80"/>
  <c r="M88" i="80" s="1"/>
  <c r="M148" i="80" s="1"/>
  <c r="M174" i="80" s="1"/>
  <c r="M275" i="80" s="1"/>
  <c r="O88" i="83"/>
  <c r="O159" i="83" s="1"/>
  <c r="O29" i="71" s="1"/>
  <c r="O134" i="71" s="1"/>
  <c r="O76" i="80"/>
  <c r="O88" i="80" s="1"/>
  <c r="O148" i="80" s="1"/>
  <c r="O174" i="80" s="1"/>
  <c r="O275" i="80" s="1"/>
  <c r="Y148" i="80"/>
  <c r="Y174" i="80" s="1"/>
  <c r="Y275" i="80" s="1"/>
  <c r="O85" i="83"/>
  <c r="O156" i="83" s="1"/>
  <c r="O26" i="71" s="1"/>
  <c r="O131" i="71" s="1"/>
  <c r="O73" i="80"/>
  <c r="O85" i="80" s="1"/>
  <c r="O145" i="80" s="1"/>
  <c r="O171" i="80" s="1"/>
  <c r="O272" i="80" s="1"/>
  <c r="V85" i="83"/>
  <c r="V156" i="83" s="1"/>
  <c r="V26" i="71" s="1"/>
  <c r="V131" i="71" s="1"/>
  <c r="V73" i="80"/>
  <c r="V85" i="80" s="1"/>
  <c r="V145" i="80" s="1"/>
  <c r="V171" i="80" s="1"/>
  <c r="V272" i="80" s="1"/>
  <c r="N85" i="83"/>
  <c r="N156" i="83" s="1"/>
  <c r="N26" i="71" s="1"/>
  <c r="N131" i="71" s="1"/>
  <c r="N73" i="80"/>
  <c r="N85" i="80" s="1"/>
  <c r="N145" i="80" s="1"/>
  <c r="N171" i="80" s="1"/>
  <c r="N272" i="80" s="1"/>
  <c r="Q101" i="83"/>
  <c r="Q189" i="83" s="1"/>
  <c r="Q60" i="71" s="1"/>
  <c r="Q165" i="71" s="1"/>
  <c r="Q100" i="80"/>
  <c r="Q112" i="80" s="1"/>
  <c r="Q149" i="80" s="1"/>
  <c r="Q175" i="80" s="1"/>
  <c r="Q276" i="80" s="1"/>
  <c r="P89" i="83"/>
  <c r="P160" i="83" s="1"/>
  <c r="P30" i="71" s="1"/>
  <c r="P135" i="71" s="1"/>
  <c r="P77" i="80"/>
  <c r="P89" i="80" s="1"/>
  <c r="P149" i="80" s="1"/>
  <c r="P175" i="80" s="1"/>
  <c r="P276" i="80" s="1"/>
  <c r="N77" i="80"/>
  <c r="N89" i="80" s="1"/>
  <c r="N149" i="80" s="1"/>
  <c r="N175" i="80" s="1"/>
  <c r="N276" i="80" s="1"/>
  <c r="N89" i="83"/>
  <c r="N160" i="83" s="1"/>
  <c r="N30" i="71" s="1"/>
  <c r="N135" i="71" s="1"/>
  <c r="M75" i="80"/>
  <c r="M87" i="80" s="1"/>
  <c r="M147" i="80" s="1"/>
  <c r="M173" i="80" s="1"/>
  <c r="M274" i="80" s="1"/>
  <c r="M87" i="83"/>
  <c r="M158" i="83" s="1"/>
  <c r="M28" i="71" s="1"/>
  <c r="M133" i="71" s="1"/>
  <c r="S75" i="80"/>
  <c r="S87" i="80" s="1"/>
  <c r="S147" i="80" s="1"/>
  <c r="S173" i="80" s="1"/>
  <c r="S274" i="80" s="1"/>
  <c r="S87" i="83"/>
  <c r="S158" i="83" s="1"/>
  <c r="S28" i="71" s="1"/>
  <c r="S133" i="71" s="1"/>
  <c r="W87" i="83"/>
  <c r="W158" i="83" s="1"/>
  <c r="W28" i="71" s="1"/>
  <c r="W133" i="71" s="1"/>
  <c r="W75" i="80"/>
  <c r="W87" i="80" s="1"/>
  <c r="W147" i="80" s="1"/>
  <c r="W173" i="80" s="1"/>
  <c r="W274" i="80" s="1"/>
  <c r="X90" i="83"/>
  <c r="X161" i="83" s="1"/>
  <c r="X31" i="71" s="1"/>
  <c r="X136" i="71" s="1"/>
  <c r="X78" i="80"/>
  <c r="X90" i="80" s="1"/>
  <c r="X150" i="80" s="1"/>
  <c r="R78" i="80"/>
  <c r="R90" i="80" s="1"/>
  <c r="R150" i="80" s="1"/>
  <c r="R90" i="83"/>
  <c r="R161" i="83" s="1"/>
  <c r="R31" i="71" s="1"/>
  <c r="R136" i="71" s="1"/>
  <c r="U24" i="71"/>
  <c r="U129" i="71" s="1"/>
  <c r="H306" i="53" a="1"/>
  <c r="H306" i="53" s="1"/>
  <c r="S76" i="80"/>
  <c r="S88" i="80" s="1"/>
  <c r="S148" i="80" s="1"/>
  <c r="S174" i="80" s="1"/>
  <c r="S275" i="80" s="1"/>
  <c r="S88" i="83"/>
  <c r="S159" i="83" s="1"/>
  <c r="S29" i="71" s="1"/>
  <c r="S134" i="71" s="1"/>
  <c r="K87" i="83"/>
  <c r="K158" i="83" s="1"/>
  <c r="K28" i="71" s="1"/>
  <c r="K133" i="71" s="1"/>
  <c r="K75" i="80"/>
  <c r="K87" i="80" s="1"/>
  <c r="K147" i="80" s="1"/>
  <c r="K173" i="80" s="1"/>
  <c r="K274" i="80" s="1"/>
  <c r="J76" i="80"/>
  <c r="J88" i="80" s="1"/>
  <c r="J148" i="80" s="1"/>
  <c r="J88" i="83"/>
  <c r="J159" i="83" s="1"/>
  <c r="J29" i="71" s="1"/>
  <c r="J134" i="71" s="1"/>
  <c r="P88" i="83"/>
  <c r="P159" i="83" s="1"/>
  <c r="P29" i="71" s="1"/>
  <c r="P134" i="71" s="1"/>
  <c r="P76" i="80"/>
  <c r="P88" i="80" s="1"/>
  <c r="P148" i="80" s="1"/>
  <c r="P174" i="80" s="1"/>
  <c r="P275" i="80" s="1"/>
  <c r="P85" i="83"/>
  <c r="P156" i="83" s="1"/>
  <c r="P26" i="71" s="1"/>
  <c r="P131" i="71" s="1"/>
  <c r="P73" i="80"/>
  <c r="P85" i="80" s="1"/>
  <c r="P145" i="80" s="1"/>
  <c r="P171" i="80" s="1"/>
  <c r="P272" i="80" s="1"/>
  <c r="T85" i="83"/>
  <c r="T156" i="83" s="1"/>
  <c r="T26" i="71" s="1"/>
  <c r="T131" i="71" s="1"/>
  <c r="T73" i="80"/>
  <c r="T85" i="80" s="1"/>
  <c r="T145" i="80" s="1"/>
  <c r="T171" i="80" s="1"/>
  <c r="T272" i="80" s="1"/>
  <c r="U89" i="83"/>
  <c r="U160" i="83" s="1"/>
  <c r="U30" i="71" s="1"/>
  <c r="U135" i="71" s="1"/>
  <c r="U77" i="80"/>
  <c r="U89" i="80" s="1"/>
  <c r="U149" i="80" s="1"/>
  <c r="U175" i="80" s="1"/>
  <c r="U276" i="80" s="1"/>
  <c r="W77" i="80"/>
  <c r="W89" i="80" s="1"/>
  <c r="W149" i="80" s="1"/>
  <c r="W175" i="80" s="1"/>
  <c r="W276" i="80" s="1"/>
  <c r="W89" i="83"/>
  <c r="W160" i="83" s="1"/>
  <c r="W30" i="71" s="1"/>
  <c r="W135" i="71" s="1"/>
  <c r="K89" i="83"/>
  <c r="K160" i="83" s="1"/>
  <c r="K30" i="71" s="1"/>
  <c r="K135" i="71" s="1"/>
  <c r="K77" i="80"/>
  <c r="K89" i="80" s="1"/>
  <c r="K149" i="80" s="1"/>
  <c r="Q148" i="80"/>
  <c r="Q174" i="80" s="1"/>
  <c r="Q275" i="80" s="1"/>
  <c r="O75" i="80"/>
  <c r="O87" i="80" s="1"/>
  <c r="O147" i="80" s="1"/>
  <c r="O173" i="80" s="1"/>
  <c r="O274" i="80" s="1"/>
  <c r="O87" i="83"/>
  <c r="O158" i="83" s="1"/>
  <c r="O28" i="71" s="1"/>
  <c r="O133" i="71" s="1"/>
  <c r="L87" i="83"/>
  <c r="L158" i="83" s="1"/>
  <c r="L28" i="71" s="1"/>
  <c r="L133" i="71" s="1"/>
  <c r="L75" i="80"/>
  <c r="L87" i="80" s="1"/>
  <c r="L147" i="80" s="1"/>
  <c r="L173" i="80" s="1"/>
  <c r="L274" i="80" s="1"/>
  <c r="U75" i="80"/>
  <c r="U87" i="80" s="1"/>
  <c r="U147" i="80" s="1"/>
  <c r="U173" i="80" s="1"/>
  <c r="U274" i="80" s="1"/>
  <c r="U87" i="83"/>
  <c r="U158" i="83" s="1"/>
  <c r="U28" i="71" s="1"/>
  <c r="U133" i="71" s="1"/>
  <c r="Y90" i="83"/>
  <c r="Y161" i="83" s="1"/>
  <c r="Y31" i="71" s="1"/>
  <c r="Y136" i="71" s="1"/>
  <c r="Y78" i="80"/>
  <c r="Y90" i="80" s="1"/>
  <c r="Y150" i="80" s="1"/>
  <c r="T90" i="83"/>
  <c r="T161" i="83" s="1"/>
  <c r="T31" i="71" s="1"/>
  <c r="T136" i="71" s="1"/>
  <c r="T78" i="80"/>
  <c r="T90" i="80" s="1"/>
  <c r="T150" i="80" s="1"/>
  <c r="N78" i="80"/>
  <c r="N90" i="80" s="1"/>
  <c r="N150" i="80" s="1"/>
  <c r="N90" i="83"/>
  <c r="N161" i="83" s="1"/>
  <c r="N31" i="71" s="1"/>
  <c r="N136" i="71" s="1"/>
  <c r="L146" i="80"/>
  <c r="L172" i="80" s="1"/>
  <c r="L273" i="80" s="1"/>
  <c r="Q96" i="80"/>
  <c r="Q108" i="80" s="1"/>
  <c r="Q145" i="80" s="1"/>
  <c r="Q171" i="80" s="1"/>
  <c r="Q272" i="80" s="1"/>
  <c r="Q97" i="83"/>
  <c r="Q185" i="83" s="1"/>
  <c r="Q56" i="71" s="1"/>
  <c r="Q161" i="71" s="1"/>
  <c r="S145" i="80" l="1"/>
  <c r="S171" i="80" s="1"/>
  <c r="S272" i="80" s="1"/>
  <c r="R145" i="80"/>
  <c r="R171" i="80" s="1"/>
  <c r="R272" i="80" s="1"/>
  <c r="Q208" i="80"/>
  <c r="Q176" i="80"/>
  <c r="Q177" i="80" s="1"/>
  <c r="N208" i="80"/>
  <c r="N176" i="80"/>
  <c r="N177" i="80" s="1"/>
  <c r="J44" i="55"/>
  <c r="A4" i="53"/>
  <c r="J172" i="80"/>
  <c r="J273" i="80" s="1"/>
  <c r="H273" i="80" s="1"/>
  <c r="H158" i="80"/>
  <c r="M208" i="80"/>
  <c r="M176" i="80"/>
  <c r="M177" i="80" s="1"/>
  <c r="O208" i="80"/>
  <c r="O176" i="80"/>
  <c r="O177" i="80" s="1"/>
  <c r="U208" i="80"/>
  <c r="U176" i="80"/>
  <c r="U177" i="80" s="1"/>
  <c r="Y208" i="80"/>
  <c r="Y176" i="80"/>
  <c r="Y177" i="80" s="1"/>
  <c r="L208" i="80"/>
  <c r="L176" i="80"/>
  <c r="L177" i="80" s="1"/>
  <c r="W208" i="80"/>
  <c r="W176" i="80"/>
  <c r="W177" i="80" s="1"/>
  <c r="V176" i="80"/>
  <c r="V177" i="80" s="1"/>
  <c r="V208" i="80"/>
  <c r="P176" i="80"/>
  <c r="P177" i="80" s="1"/>
  <c r="P208" i="80"/>
  <c r="J208" i="80"/>
  <c r="H162" i="80"/>
  <c r="J176" i="80"/>
  <c r="T176" i="80"/>
  <c r="T177" i="80" s="1"/>
  <c r="T208" i="80"/>
  <c r="J174" i="80"/>
  <c r="J275" i="80" s="1"/>
  <c r="H275" i="80" s="1"/>
  <c r="H160" i="80"/>
  <c r="S208" i="80"/>
  <c r="S176" i="80"/>
  <c r="S177" i="80" s="1"/>
  <c r="J171" i="80"/>
  <c r="J272" i="80" s="1"/>
  <c r="H272" i="80" s="1"/>
  <c r="H157" i="80"/>
  <c r="R176" i="80"/>
  <c r="R177" i="80" s="1"/>
  <c r="R208" i="80"/>
  <c r="K176" i="80"/>
  <c r="K208" i="80"/>
  <c r="H161" i="80"/>
  <c r="K175" i="80"/>
  <c r="K276" i="80" s="1"/>
  <c r="H276" i="80" s="1"/>
  <c r="X176" i="80"/>
  <c r="X177" i="80" s="1"/>
  <c r="X208" i="80"/>
  <c r="J173" i="80"/>
  <c r="J274" i="80" s="1"/>
  <c r="H274" i="80" s="1"/>
  <c r="H159" i="80"/>
  <c r="J169" i="80"/>
  <c r="J270" i="80" s="1"/>
  <c r="H270" i="80" s="1"/>
  <c r="H155" i="80"/>
  <c r="J51" i="82" l="1" a="1"/>
  <c r="L51" i="82" s="1"/>
  <c r="K177" i="80"/>
  <c r="H210" i="80"/>
  <c r="H234" i="80" s="1"/>
  <c r="X247" i="80" s="1"/>
  <c r="J177" i="80"/>
  <c r="P260" i="80"/>
  <c r="O260" i="80"/>
  <c r="N260" i="80"/>
  <c r="J51" i="82" l="1"/>
  <c r="N51" i="82"/>
  <c r="K51" i="82"/>
  <c r="M51" i="82"/>
  <c r="O51" i="82"/>
  <c r="N247" i="80"/>
  <c r="N277" i="80" s="1"/>
  <c r="Q247" i="80"/>
  <c r="L260" i="80"/>
  <c r="T247" i="80"/>
  <c r="X260" i="80"/>
  <c r="X277" i="80" s="1"/>
  <c r="R247" i="80"/>
  <c r="M247" i="80"/>
  <c r="M277" i="80" s="1"/>
  <c r="J260" i="80"/>
  <c r="Q260" i="80"/>
  <c r="J247" i="80"/>
  <c r="Y260" i="80"/>
  <c r="Y247" i="80"/>
  <c r="K247" i="80"/>
  <c r="K277" i="80" s="1"/>
  <c r="S260" i="80"/>
  <c r="S247" i="80"/>
  <c r="L247" i="80"/>
  <c r="T260" i="80"/>
  <c r="R260" i="80"/>
  <c r="V247" i="80"/>
  <c r="H32" i="73"/>
  <c r="J171" i="73" s="1"/>
  <c r="J231" i="73" s="1"/>
  <c r="U260" i="80"/>
  <c r="P247" i="80"/>
  <c r="P277" i="80" s="1"/>
  <c r="W260" i="80"/>
  <c r="V260" i="80"/>
  <c r="W247" i="80"/>
  <c r="O247" i="80"/>
  <c r="O277" i="80" s="1"/>
  <c r="U247" i="80"/>
  <c r="O141" i="73" l="1"/>
  <c r="O271" i="73" s="1"/>
  <c r="O34" i="74" s="1"/>
  <c r="O79" i="74" s="1"/>
  <c r="S277" i="80"/>
  <c r="M141" i="73"/>
  <c r="M201" i="73" s="1"/>
  <c r="N171" i="73"/>
  <c r="N231" i="73" s="1"/>
  <c r="U277" i="80"/>
  <c r="Q277" i="80"/>
  <c r="W277" i="80"/>
  <c r="O171" i="73"/>
  <c r="O231" i="73" s="1"/>
  <c r="K171" i="73"/>
  <c r="K231" i="73" s="1"/>
  <c r="P141" i="73"/>
  <c r="P271" i="73" s="1"/>
  <c r="P34" i="74" s="1"/>
  <c r="P79" i="74" s="1"/>
  <c r="N141" i="73"/>
  <c r="N201" i="73" s="1"/>
  <c r="J141" i="73"/>
  <c r="J271" i="73" s="1"/>
  <c r="J34" i="74" s="1"/>
  <c r="L141" i="73"/>
  <c r="L271" i="73" s="1"/>
  <c r="L34" i="74" s="1"/>
  <c r="L79" i="74" s="1"/>
  <c r="L171" i="73"/>
  <c r="L231" i="73" s="1"/>
  <c r="P171" i="73"/>
  <c r="P231" i="73" s="1"/>
  <c r="Q141" i="73"/>
  <c r="Q271" i="73" s="1"/>
  <c r="Q34" i="74" s="1"/>
  <c r="Q79" i="74" s="1"/>
  <c r="Q171" i="73"/>
  <c r="Q231" i="73" s="1"/>
  <c r="K141" i="73"/>
  <c r="K201" i="73" s="1"/>
  <c r="L277" i="80"/>
  <c r="J277" i="80"/>
  <c r="M171" i="73"/>
  <c r="M231" i="73" s="1"/>
  <c r="V277" i="80"/>
  <c r="Y277" i="80"/>
  <c r="T277" i="80"/>
  <c r="R277" i="80"/>
  <c r="M271" i="73" l="1"/>
  <c r="M34" i="74" s="1"/>
  <c r="M79" i="74" s="1"/>
  <c r="J201" i="73"/>
  <c r="O201" i="73"/>
  <c r="K271" i="73"/>
  <c r="K34" i="74" s="1"/>
  <c r="K79" i="74" s="1"/>
  <c r="Q109" i="74" s="1"/>
  <c r="Q141" i="74" s="1"/>
  <c r="L201" i="73"/>
  <c r="N271" i="73"/>
  <c r="N34" i="74" s="1"/>
  <c r="N79" i="74" s="1"/>
  <c r="Q201" i="73"/>
  <c r="P201" i="73"/>
  <c r="H277" i="80"/>
  <c r="K64" i="81" s="1" a="1"/>
  <c r="H281" i="80" a="1"/>
  <c r="H281" i="80" s="1"/>
  <c r="A4" i="80" s="1"/>
  <c r="J79" i="74"/>
  <c r="X109" i="74" l="1"/>
  <c r="X141" i="74" s="1"/>
  <c r="K109" i="74"/>
  <c r="K141" i="74" s="1"/>
  <c r="O109" i="74"/>
  <c r="O141" i="74" s="1"/>
  <c r="R109" i="74"/>
  <c r="R141" i="74" s="1"/>
  <c r="P109" i="74"/>
  <c r="P141" i="74" s="1"/>
  <c r="M109" i="74"/>
  <c r="M141" i="74" s="1"/>
  <c r="V109" i="74"/>
  <c r="V141" i="74" s="1"/>
  <c r="S109" i="74"/>
  <c r="S141" i="74" s="1"/>
  <c r="U109" i="74"/>
  <c r="U141" i="74" s="1"/>
  <c r="N109" i="74"/>
  <c r="N141" i="74" s="1"/>
  <c r="Y109" i="74"/>
  <c r="Y141" i="74" s="1"/>
  <c r="W109" i="74"/>
  <c r="W141" i="74" s="1"/>
  <c r="T109" i="74"/>
  <c r="T141" i="74" s="1"/>
  <c r="R64" i="81"/>
  <c r="R67" i="81" s="1"/>
  <c r="R73" i="81" s="1"/>
  <c r="R76" i="81" s="1"/>
  <c r="R108" i="81" s="1"/>
  <c r="Q52" i="82" s="1"/>
  <c r="O64" i="81"/>
  <c r="O67" i="81" s="1"/>
  <c r="O73" i="81" s="1"/>
  <c r="O76" i="81" s="1"/>
  <c r="O108" i="81" s="1"/>
  <c r="N52" i="82" s="1"/>
  <c r="K64" i="81"/>
  <c r="K67" i="81" s="1"/>
  <c r="P64" i="81"/>
  <c r="P67" i="81" s="1"/>
  <c r="P73" i="81" s="1"/>
  <c r="P76" i="81" s="1"/>
  <c r="L64" i="81"/>
  <c r="L67" i="81" s="1"/>
  <c r="L73" i="81" s="1"/>
  <c r="L76" i="81" s="1"/>
  <c r="L108" i="81" s="1"/>
  <c r="S64" i="81"/>
  <c r="S67" i="81" s="1"/>
  <c r="S73" i="81" s="1"/>
  <c r="S76" i="81" s="1"/>
  <c r="S108" i="81" s="1"/>
  <c r="R52" i="82" s="1"/>
  <c r="M64" i="81"/>
  <c r="M67" i="81" s="1"/>
  <c r="M73" i="81" s="1"/>
  <c r="M76" i="81" s="1"/>
  <c r="M108" i="81" s="1"/>
  <c r="L52" i="82" s="1"/>
  <c r="N64" i="81"/>
  <c r="N67" i="81" s="1"/>
  <c r="N73" i="81" s="1"/>
  <c r="N76" i="81" s="1"/>
  <c r="N108" i="81" s="1"/>
  <c r="M52" i="82" s="1"/>
  <c r="Q64" i="81"/>
  <c r="Q67" i="81" s="1"/>
  <c r="Q73" i="81" s="1"/>
  <c r="Q76" i="81" s="1"/>
  <c r="Q108" i="81" s="1"/>
  <c r="P52" i="82" s="1"/>
  <c r="J45" i="55"/>
  <c r="J109" i="74"/>
  <c r="J141" i="74" s="1"/>
  <c r="L109" i="74"/>
  <c r="L141" i="74" s="1"/>
  <c r="Q187" i="105"/>
  <c r="K187" i="105"/>
  <c r="Q198" i="105"/>
  <c r="K198" i="105"/>
  <c r="J65" i="81" l="1"/>
  <c r="J67" i="81" s="1"/>
  <c r="J100" i="81" s="1"/>
  <c r="J115" i="81" s="1"/>
  <c r="N78" i="81"/>
  <c r="N97" i="81" s="1"/>
  <c r="N100" i="81" s="1"/>
  <c r="N115" i="81" s="1"/>
  <c r="O78" i="81"/>
  <c r="O97" i="81" s="1"/>
  <c r="O100" i="81" s="1"/>
  <c r="O115" i="81" s="1"/>
  <c r="K78" i="81"/>
  <c r="K97" i="81" s="1"/>
  <c r="K100" i="81" s="1"/>
  <c r="K115" i="81" s="1"/>
  <c r="Q78" i="81"/>
  <c r="Q97" i="81" s="1"/>
  <c r="Q100" i="81" s="1"/>
  <c r="Q115" i="81" s="1"/>
  <c r="H123" i="81"/>
  <c r="H21" i="76" s="1"/>
  <c r="H35" i="76" s="1"/>
  <c r="M78" i="81"/>
  <c r="M97" i="81" s="1"/>
  <c r="M100" i="81" s="1"/>
  <c r="M115" i="81" s="1"/>
  <c r="T78" i="81"/>
  <c r="T97" i="81" s="1"/>
  <c r="S78" i="81"/>
  <c r="S97" i="81" s="1"/>
  <c r="S100" i="81" s="1"/>
  <c r="S115" i="81" s="1"/>
  <c r="L78" i="81"/>
  <c r="L97" i="81" s="1"/>
  <c r="L100" i="81" s="1"/>
  <c r="L115" i="81" s="1"/>
  <c r="U78" i="81"/>
  <c r="U97" i="81" s="1"/>
  <c r="R78" i="81"/>
  <c r="R97" i="81" s="1"/>
  <c r="R100" i="81" s="1"/>
  <c r="R115" i="81" s="1"/>
  <c r="Q197" i="105"/>
  <c r="K197" i="105"/>
  <c r="Q186" i="105"/>
  <c r="P108" i="81"/>
  <c r="O52" i="82" s="1"/>
  <c r="P78" i="81"/>
  <c r="P97" i="81" s="1"/>
  <c r="P100" i="81" s="1"/>
  <c r="P115" i="81" s="1"/>
  <c r="K52" i="82"/>
  <c r="K186" i="105"/>
  <c r="H63" i="72" l="1" a="1"/>
  <c r="H71" i="72" s="1"/>
  <c r="H19" i="82" a="1"/>
  <c r="H19" i="82" s="1"/>
  <c r="H30" i="83" a="1"/>
  <c r="H30" i="83" s="1"/>
  <c r="H65" i="73" a="1"/>
  <c r="H74" i="73" s="1"/>
  <c r="V43" i="76"/>
  <c r="V56" i="74" s="1"/>
  <c r="V157" i="74" s="1"/>
  <c r="S43" i="76"/>
  <c r="S56" i="74" s="1"/>
  <c r="S157" i="74" s="1"/>
  <c r="U42" i="76"/>
  <c r="U55" i="74" s="1"/>
  <c r="U156" i="74" s="1"/>
  <c r="V42" i="76"/>
  <c r="V55" i="74" s="1"/>
  <c r="V156" i="74" s="1"/>
  <c r="Y43" i="76"/>
  <c r="Y56" i="74" s="1"/>
  <c r="Y157" i="74" s="1"/>
  <c r="R42" i="76"/>
  <c r="R55" i="74" s="1"/>
  <c r="R156" i="74" s="1"/>
  <c r="X43" i="76"/>
  <c r="X56" i="74" s="1"/>
  <c r="X157" i="74" s="1"/>
  <c r="T42" i="76"/>
  <c r="T55" i="74" s="1"/>
  <c r="T156" i="74" s="1"/>
  <c r="Y42" i="76"/>
  <c r="Y55" i="74" s="1"/>
  <c r="Y156" i="74" s="1"/>
  <c r="K42" i="76"/>
  <c r="K55" i="74" s="1"/>
  <c r="K156" i="74" s="1"/>
  <c r="Q42" i="76"/>
  <c r="W43" i="76"/>
  <c r="W56" i="74" s="1"/>
  <c r="W157" i="74" s="1"/>
  <c r="S42" i="76"/>
  <c r="S55" i="74" s="1"/>
  <c r="S156" i="74" s="1"/>
  <c r="P43" i="76"/>
  <c r="P56" i="74" s="1"/>
  <c r="P157" i="74" s="1"/>
  <c r="N43" i="76"/>
  <c r="N56" i="74" s="1"/>
  <c r="N157" i="74" s="1"/>
  <c r="M43" i="76"/>
  <c r="M56" i="74" s="1"/>
  <c r="M157" i="74" s="1"/>
  <c r="U43" i="76"/>
  <c r="U56" i="74" s="1"/>
  <c r="U157" i="74" s="1"/>
  <c r="T43" i="76"/>
  <c r="T56" i="74" s="1"/>
  <c r="T157" i="74" s="1"/>
  <c r="J42" i="76"/>
  <c r="J55" i="74" s="1"/>
  <c r="J156" i="74" s="1"/>
  <c r="L42" i="76"/>
  <c r="L55" i="74" s="1"/>
  <c r="L156" i="74" s="1"/>
  <c r="L43" i="76"/>
  <c r="L56" i="74" s="1"/>
  <c r="L157" i="74" s="1"/>
  <c r="R43" i="76"/>
  <c r="R56" i="74" s="1"/>
  <c r="R157" i="74" s="1"/>
  <c r="K43" i="76"/>
  <c r="K56" i="74" s="1"/>
  <c r="K157" i="74" s="1"/>
  <c r="Q43" i="76"/>
  <c r="J43" i="76"/>
  <c r="J56" i="74" s="1"/>
  <c r="J157" i="74" s="1"/>
  <c r="X42" i="76"/>
  <c r="X55" i="74" s="1"/>
  <c r="X156" i="74" s="1"/>
  <c r="W42" i="76"/>
  <c r="W55" i="74" s="1"/>
  <c r="W156" i="74" s="1"/>
  <c r="N42" i="76"/>
  <c r="N55" i="74" s="1"/>
  <c r="N156" i="74" s="1"/>
  <c r="P42" i="76"/>
  <c r="P55" i="74" s="1"/>
  <c r="P156" i="74" s="1"/>
  <c r="O42" i="76"/>
  <c r="O55" i="74" s="1"/>
  <c r="O156" i="74" s="1"/>
  <c r="O43" i="76"/>
  <c r="O56" i="74" s="1"/>
  <c r="O157" i="74" s="1"/>
  <c r="Q44" i="76"/>
  <c r="M42" i="76"/>
  <c r="M55" i="74" s="1"/>
  <c r="M156" i="74" s="1"/>
  <c r="H127" i="81" a="1"/>
  <c r="H127" i="81" s="1"/>
  <c r="H131" i="81" s="1"/>
  <c r="H68" i="72" l="1"/>
  <c r="S177" i="72" s="1"/>
  <c r="S212" i="72" s="1"/>
  <c r="S242" i="72" s="1"/>
  <c r="H32" i="83"/>
  <c r="O137" i="83" s="1"/>
  <c r="O139" i="72" s="1"/>
  <c r="O209" i="72" s="1"/>
  <c r="O239" i="72" s="1"/>
  <c r="H70" i="73"/>
  <c r="J151" i="73" s="1"/>
  <c r="H69" i="72"/>
  <c r="H65" i="72"/>
  <c r="S174" i="72" s="1"/>
  <c r="S209" i="72" s="1"/>
  <c r="S239" i="72" s="1"/>
  <c r="H35" i="83"/>
  <c r="K198" i="83" s="1"/>
  <c r="K71" i="71" s="1"/>
  <c r="K176" i="71" s="1"/>
  <c r="H21" i="82"/>
  <c r="H72" i="72"/>
  <c r="S181" i="72" s="1"/>
  <c r="S216" i="72" s="1"/>
  <c r="S246" i="72" s="1"/>
  <c r="H70" i="72"/>
  <c r="R179" i="72" s="1"/>
  <c r="R214" i="72" s="1"/>
  <c r="R244" i="72" s="1"/>
  <c r="H22" i="82"/>
  <c r="H64" i="72"/>
  <c r="U173" i="72" s="1"/>
  <c r="U208" i="72" s="1"/>
  <c r="U238" i="72" s="1"/>
  <c r="H66" i="72"/>
  <c r="Y175" i="72" s="1"/>
  <c r="Y210" i="72" s="1"/>
  <c r="Y240" i="72" s="1"/>
  <c r="H67" i="72"/>
  <c r="S176" i="72" s="1"/>
  <c r="S211" i="72" s="1"/>
  <c r="S241" i="72" s="1"/>
  <c r="H63" i="72"/>
  <c r="W172" i="72" s="1"/>
  <c r="W207" i="72" s="1"/>
  <c r="W237" i="72" s="1"/>
  <c r="H20" i="82"/>
  <c r="H23" i="82"/>
  <c r="H31" i="83"/>
  <c r="N165" i="83" s="1"/>
  <c r="N37" i="71" s="1"/>
  <c r="N142" i="71" s="1"/>
  <c r="H39" i="83"/>
  <c r="L231" i="83" s="1"/>
  <c r="L105" i="71" s="1"/>
  <c r="L210" i="71" s="1"/>
  <c r="H66" i="73"/>
  <c r="Q177" i="73" s="1"/>
  <c r="Q237" i="73" s="1"/>
  <c r="H33" i="83"/>
  <c r="T167" i="83" s="1"/>
  <c r="T39" i="71" s="1"/>
  <c r="T144" i="71" s="1"/>
  <c r="H38" i="83"/>
  <c r="U230" i="83" s="1"/>
  <c r="U104" i="71" s="1"/>
  <c r="U209" i="71" s="1"/>
  <c r="H69" i="73"/>
  <c r="Q180" i="73" s="1"/>
  <c r="Q240" i="73" s="1"/>
  <c r="H34" i="83"/>
  <c r="K168" i="83" s="1"/>
  <c r="K40" i="71" s="1"/>
  <c r="K145" i="71" s="1"/>
  <c r="H68" i="73"/>
  <c r="K179" i="73" s="1"/>
  <c r="K239" i="73" s="1"/>
  <c r="H36" i="83"/>
  <c r="N141" i="83" s="1"/>
  <c r="N143" i="72" s="1"/>
  <c r="N213" i="72" s="1"/>
  <c r="N243" i="72" s="1"/>
  <c r="H67" i="73"/>
  <c r="Q148" i="73" s="1"/>
  <c r="H65" i="73"/>
  <c r="L146" i="73" s="1"/>
  <c r="H72" i="73"/>
  <c r="Q153" i="73" s="1"/>
  <c r="H71" i="73"/>
  <c r="Q182" i="73" s="1"/>
  <c r="Q242" i="73" s="1"/>
  <c r="H37" i="83"/>
  <c r="Y200" i="83" s="1"/>
  <c r="Y73" i="71" s="1"/>
  <c r="Y178" i="71" s="1"/>
  <c r="H73" i="73"/>
  <c r="Q154" i="73" s="1"/>
  <c r="H48" i="76" a="1"/>
  <c r="H48" i="76" s="1"/>
  <c r="J49" i="55" s="1"/>
  <c r="N155" i="73"/>
  <c r="Q185" i="73"/>
  <c r="Q245" i="73" s="1"/>
  <c r="Q155" i="73"/>
  <c r="P155" i="73"/>
  <c r="M185" i="73"/>
  <c r="M245" i="73" s="1"/>
  <c r="K155" i="73"/>
  <c r="L185" i="73"/>
  <c r="L245" i="73" s="1"/>
  <c r="J155" i="73"/>
  <c r="J185" i="73"/>
  <c r="J245" i="73" s="1"/>
  <c r="L155" i="73"/>
  <c r="O185" i="73"/>
  <c r="O245" i="73" s="1"/>
  <c r="O155" i="73"/>
  <c r="P185" i="73"/>
  <c r="P245" i="73" s="1"/>
  <c r="N185" i="73"/>
  <c r="N245" i="73" s="1"/>
  <c r="M155" i="73"/>
  <c r="K185" i="73"/>
  <c r="K245" i="73" s="1"/>
  <c r="R177" i="72"/>
  <c r="R212" i="72" s="1"/>
  <c r="R242" i="72" s="1"/>
  <c r="X177" i="72"/>
  <c r="X212" i="72" s="1"/>
  <c r="X242" i="72" s="1"/>
  <c r="T177" i="72"/>
  <c r="T212" i="72" s="1"/>
  <c r="T242" i="72" s="1"/>
  <c r="J47" i="55"/>
  <c r="A4" i="81"/>
  <c r="R224" i="83"/>
  <c r="R98" i="71" s="1"/>
  <c r="R203" i="71" s="1"/>
  <c r="X166" i="83"/>
  <c r="X38" i="71" s="1"/>
  <c r="X143" i="71" s="1"/>
  <c r="W224" i="83"/>
  <c r="W98" i="71" s="1"/>
  <c r="W203" i="71" s="1"/>
  <c r="Q224" i="83"/>
  <c r="Q98" i="71" s="1"/>
  <c r="Q203" i="71" s="1"/>
  <c r="M224" i="83"/>
  <c r="M98" i="71" s="1"/>
  <c r="M203" i="71" s="1"/>
  <c r="N195" i="83"/>
  <c r="N68" i="71" s="1"/>
  <c r="N173" i="71" s="1"/>
  <c r="R166" i="83"/>
  <c r="R38" i="71" s="1"/>
  <c r="R143" i="71" s="1"/>
  <c r="J137" i="83"/>
  <c r="J139" i="72" s="1"/>
  <c r="J209" i="72" s="1"/>
  <c r="J239" i="72" s="1"/>
  <c r="U195" i="83"/>
  <c r="U68" i="71" s="1"/>
  <c r="U173" i="71" s="1"/>
  <c r="J195" i="83"/>
  <c r="J68" i="71" s="1"/>
  <c r="J173" i="71" s="1"/>
  <c r="S137" i="83"/>
  <c r="J193" i="83"/>
  <c r="J66" i="71" s="1"/>
  <c r="J171" i="71" s="1"/>
  <c r="U135" i="83"/>
  <c r="W193" i="83"/>
  <c r="W66" i="71" s="1"/>
  <c r="W171" i="71" s="1"/>
  <c r="N193" i="83"/>
  <c r="N66" i="71" s="1"/>
  <c r="N171" i="71" s="1"/>
  <c r="S164" i="83"/>
  <c r="N135" i="83"/>
  <c r="N137" i="72" s="1"/>
  <c r="N207" i="72" s="1"/>
  <c r="N237" i="72" s="1"/>
  <c r="L164" i="83"/>
  <c r="Q222" i="83"/>
  <c r="Q96" i="71" s="1"/>
  <c r="Q201" i="71" s="1"/>
  <c r="M193" i="83"/>
  <c r="M66" i="71" s="1"/>
  <c r="M171" i="71" s="1"/>
  <c r="J164" i="83"/>
  <c r="Q164" i="83"/>
  <c r="T164" i="83"/>
  <c r="R193" i="83"/>
  <c r="R66" i="71" s="1"/>
  <c r="R171" i="71" s="1"/>
  <c r="K135" i="83"/>
  <c r="K137" i="72" s="1"/>
  <c r="K207" i="72" s="1"/>
  <c r="K237" i="72" s="1"/>
  <c r="R135" i="83"/>
  <c r="K193" i="83"/>
  <c r="K66" i="71" s="1"/>
  <c r="K171" i="71" s="1"/>
  <c r="M164" i="83"/>
  <c r="R222" i="83"/>
  <c r="R96" i="71" s="1"/>
  <c r="R201" i="71" s="1"/>
  <c r="X222" i="83"/>
  <c r="X96" i="71" s="1"/>
  <c r="X201" i="71" s="1"/>
  <c r="X135" i="83"/>
  <c r="U222" i="83"/>
  <c r="U96" i="71" s="1"/>
  <c r="U201" i="71" s="1"/>
  <c r="V222" i="83"/>
  <c r="V96" i="71" s="1"/>
  <c r="V201" i="71" s="1"/>
  <c r="L222" i="83"/>
  <c r="L96" i="71" s="1"/>
  <c r="L201" i="71" s="1"/>
  <c r="O164" i="83"/>
  <c r="J135" i="83"/>
  <c r="J137" i="72" s="1"/>
  <c r="J207" i="72" s="1"/>
  <c r="J237" i="72" s="1"/>
  <c r="S193" i="83"/>
  <c r="S66" i="71" s="1"/>
  <c r="S171" i="71" s="1"/>
  <c r="T193" i="83"/>
  <c r="T66" i="71" s="1"/>
  <c r="T171" i="71" s="1"/>
  <c r="W135" i="83"/>
  <c r="K164" i="83"/>
  <c r="O222" i="83"/>
  <c r="O96" i="71" s="1"/>
  <c r="O201" i="71" s="1"/>
  <c r="P193" i="83"/>
  <c r="P66" i="71" s="1"/>
  <c r="P171" i="71" s="1"/>
  <c r="O135" i="83"/>
  <c r="O137" i="72" s="1"/>
  <c r="O207" i="72" s="1"/>
  <c r="O237" i="72" s="1"/>
  <c r="Y135" i="83"/>
  <c r="P164" i="83"/>
  <c r="Q193" i="83"/>
  <c r="Q66" i="71" s="1"/>
  <c r="Q171" i="71" s="1"/>
  <c r="S222" i="83"/>
  <c r="S96" i="71" s="1"/>
  <c r="S201" i="71" s="1"/>
  <c r="R164" i="83"/>
  <c r="M135" i="83"/>
  <c r="M137" i="72" s="1"/>
  <c r="M207" i="72" s="1"/>
  <c r="M237" i="72" s="1"/>
  <c r="J222" i="83"/>
  <c r="J96" i="71" s="1"/>
  <c r="J201" i="71" s="1"/>
  <c r="V193" i="83"/>
  <c r="V66" i="71" s="1"/>
  <c r="V171" i="71" s="1"/>
  <c r="X193" i="83"/>
  <c r="X66" i="71" s="1"/>
  <c r="X171" i="71" s="1"/>
  <c r="Y222" i="83"/>
  <c r="Y96" i="71" s="1"/>
  <c r="Y201" i="71" s="1"/>
  <c r="V164" i="83"/>
  <c r="L135" i="83"/>
  <c r="L137" i="72" s="1"/>
  <c r="L207" i="72" s="1"/>
  <c r="L237" i="72" s="1"/>
  <c r="O193" i="83"/>
  <c r="O66" i="71" s="1"/>
  <c r="O171" i="71" s="1"/>
  <c r="W164" i="83"/>
  <c r="P135" i="83"/>
  <c r="P137" i="72" s="1"/>
  <c r="P207" i="72" s="1"/>
  <c r="P237" i="72" s="1"/>
  <c r="K222" i="83"/>
  <c r="K96" i="71" s="1"/>
  <c r="K201" i="71" s="1"/>
  <c r="Y193" i="83"/>
  <c r="Y66" i="71" s="1"/>
  <c r="Y171" i="71" s="1"/>
  <c r="U193" i="83"/>
  <c r="U66" i="71" s="1"/>
  <c r="U171" i="71" s="1"/>
  <c r="W222" i="83"/>
  <c r="W96" i="71" s="1"/>
  <c r="W201" i="71" s="1"/>
  <c r="S135" i="83"/>
  <c r="T135" i="83"/>
  <c r="T222" i="83"/>
  <c r="T96" i="71" s="1"/>
  <c r="T201" i="71" s="1"/>
  <c r="Q135" i="83"/>
  <c r="Q137" i="72" s="1"/>
  <c r="Q207" i="72" s="1"/>
  <c r="Q237" i="72" s="1"/>
  <c r="M222" i="83"/>
  <c r="M96" i="71" s="1"/>
  <c r="M201" i="71" s="1"/>
  <c r="L193" i="83"/>
  <c r="L66" i="71" s="1"/>
  <c r="L171" i="71" s="1"/>
  <c r="P222" i="83"/>
  <c r="P96" i="71" s="1"/>
  <c r="P201" i="71" s="1"/>
  <c r="Y164" i="83"/>
  <c r="U164" i="83"/>
  <c r="V135" i="83"/>
  <c r="N164" i="83"/>
  <c r="X164" i="83"/>
  <c r="N222" i="83"/>
  <c r="N96" i="71" s="1"/>
  <c r="N201" i="71" s="1"/>
  <c r="M228" i="83"/>
  <c r="M102" i="71" s="1"/>
  <c r="M207" i="71" s="1"/>
  <c r="O170" i="83"/>
  <c r="O42" i="71" s="1"/>
  <c r="O147" i="71" s="1"/>
  <c r="W228" i="83"/>
  <c r="W102" i="71" s="1"/>
  <c r="W207" i="71" s="1"/>
  <c r="S178" i="72"/>
  <c r="S213" i="72" s="1"/>
  <c r="S243" i="72" s="1"/>
  <c r="W178" i="72"/>
  <c r="W213" i="72" s="1"/>
  <c r="W243" i="72" s="1"/>
  <c r="X178" i="72"/>
  <c r="X213" i="72" s="1"/>
  <c r="X243" i="72" s="1"/>
  <c r="V178" i="72"/>
  <c r="V213" i="72" s="1"/>
  <c r="V243" i="72" s="1"/>
  <c r="T178" i="72"/>
  <c r="T213" i="72" s="1"/>
  <c r="T243" i="72" s="1"/>
  <c r="Y178" i="72"/>
  <c r="Y213" i="72" s="1"/>
  <c r="Y243" i="72" s="1"/>
  <c r="R178" i="72"/>
  <c r="R213" i="72" s="1"/>
  <c r="R243" i="72" s="1"/>
  <c r="U178" i="72"/>
  <c r="U213" i="72" s="1"/>
  <c r="U243" i="72" s="1"/>
  <c r="M147" i="73"/>
  <c r="N147" i="73"/>
  <c r="V198" i="83"/>
  <c r="V71" i="71" s="1"/>
  <c r="V176" i="71" s="1"/>
  <c r="J180" i="73"/>
  <c r="J240" i="73" s="1"/>
  <c r="K180" i="73"/>
  <c r="K240" i="73" s="1"/>
  <c r="Q106" i="71"/>
  <c r="Q211" i="71" s="1"/>
  <c r="Q46" i="71"/>
  <c r="Q151" i="71" s="1"/>
  <c r="Q76" i="71"/>
  <c r="Q181" i="71" s="1"/>
  <c r="X180" i="72"/>
  <c r="X215" i="72" s="1"/>
  <c r="X245" i="72" s="1"/>
  <c r="Y180" i="72"/>
  <c r="Y215" i="72" s="1"/>
  <c r="Y245" i="72" s="1"/>
  <c r="W180" i="72"/>
  <c r="W215" i="72" s="1"/>
  <c r="W245" i="72" s="1"/>
  <c r="S180" i="72"/>
  <c r="S215" i="72" s="1"/>
  <c r="S245" i="72" s="1"/>
  <c r="V180" i="72"/>
  <c r="V215" i="72" s="1"/>
  <c r="V245" i="72" s="1"/>
  <c r="R180" i="72"/>
  <c r="R215" i="72" s="1"/>
  <c r="R245" i="72" s="1"/>
  <c r="T180" i="72"/>
  <c r="T215" i="72" s="1"/>
  <c r="T245" i="72" s="1"/>
  <c r="U180" i="72"/>
  <c r="U215" i="72" s="1"/>
  <c r="U245" i="72" s="1"/>
  <c r="V194" i="83"/>
  <c r="V67" i="71" s="1"/>
  <c r="V172" i="71" s="1"/>
  <c r="S194" i="83"/>
  <c r="S67" i="71" s="1"/>
  <c r="S172" i="71" s="1"/>
  <c r="M183" i="73"/>
  <c r="M243" i="73" s="1"/>
  <c r="J153" i="73"/>
  <c r="N183" i="73"/>
  <c r="N243" i="73" s="1"/>
  <c r="V224" i="83" l="1"/>
  <c r="V98" i="71" s="1"/>
  <c r="V203" i="71" s="1"/>
  <c r="Q166" i="83"/>
  <c r="Q38" i="71" s="1"/>
  <c r="Q143" i="71" s="1"/>
  <c r="L224" i="83"/>
  <c r="L98" i="71" s="1"/>
  <c r="L203" i="71" s="1"/>
  <c r="K137" i="83"/>
  <c r="K139" i="72" s="1"/>
  <c r="K209" i="72" s="1"/>
  <c r="K239" i="72" s="1"/>
  <c r="X224" i="83"/>
  <c r="X98" i="71" s="1"/>
  <c r="X203" i="71" s="1"/>
  <c r="Y195" i="83"/>
  <c r="Y68" i="71" s="1"/>
  <c r="Y173" i="71" s="1"/>
  <c r="L137" i="83"/>
  <c r="L139" i="72" s="1"/>
  <c r="L209" i="72" s="1"/>
  <c r="L239" i="72" s="1"/>
  <c r="U224" i="83"/>
  <c r="U98" i="71" s="1"/>
  <c r="U203" i="71" s="1"/>
  <c r="P224" i="83"/>
  <c r="P98" i="71" s="1"/>
  <c r="P203" i="71" s="1"/>
  <c r="N166" i="83"/>
  <c r="N38" i="71" s="1"/>
  <c r="N143" i="71" s="1"/>
  <c r="V137" i="83"/>
  <c r="M195" i="83"/>
  <c r="M68" i="71" s="1"/>
  <c r="M173" i="71" s="1"/>
  <c r="W195" i="83"/>
  <c r="W68" i="71" s="1"/>
  <c r="W173" i="71" s="1"/>
  <c r="L166" i="83"/>
  <c r="L38" i="71" s="1"/>
  <c r="L143" i="71" s="1"/>
  <c r="O195" i="83"/>
  <c r="O68" i="71" s="1"/>
  <c r="O173" i="71" s="1"/>
  <c r="S166" i="83"/>
  <c r="S38" i="71" s="1"/>
  <c r="S143" i="71" s="1"/>
  <c r="R172" i="72"/>
  <c r="R207" i="72" s="1"/>
  <c r="R237" i="72" s="1"/>
  <c r="S195" i="83"/>
  <c r="S68" i="71" s="1"/>
  <c r="S173" i="71" s="1"/>
  <c r="L195" i="83"/>
  <c r="L68" i="71" s="1"/>
  <c r="L173" i="71" s="1"/>
  <c r="Q195" i="83"/>
  <c r="Q68" i="71" s="1"/>
  <c r="Q173" i="71" s="1"/>
  <c r="O224" i="83"/>
  <c r="O98" i="71" s="1"/>
  <c r="O203" i="71" s="1"/>
  <c r="M137" i="83"/>
  <c r="M139" i="72" s="1"/>
  <c r="M209" i="72" s="1"/>
  <c r="M239" i="72" s="1"/>
  <c r="W136" i="83"/>
  <c r="N136" i="83"/>
  <c r="N138" i="72" s="1"/>
  <c r="N208" i="72" s="1"/>
  <c r="N238" i="72" s="1"/>
  <c r="T136" i="83"/>
  <c r="W173" i="72"/>
  <c r="W208" i="72" s="1"/>
  <c r="W238" i="72" s="1"/>
  <c r="K136" i="83"/>
  <c r="K138" i="72" s="1"/>
  <c r="K208" i="72" s="1"/>
  <c r="K238" i="72" s="1"/>
  <c r="O165" i="83"/>
  <c r="O37" i="71" s="1"/>
  <c r="O142" i="71" s="1"/>
  <c r="J141" i="83"/>
  <c r="J143" i="72" s="1"/>
  <c r="J213" i="72" s="1"/>
  <c r="J243" i="72" s="1"/>
  <c r="O230" i="83"/>
  <c r="O104" i="71" s="1"/>
  <c r="O209" i="71" s="1"/>
  <c r="W179" i="72"/>
  <c r="W214" i="72" s="1"/>
  <c r="W244" i="72" s="1"/>
  <c r="R174" i="72"/>
  <c r="R209" i="72" s="1"/>
  <c r="R239" i="72" s="1"/>
  <c r="L141" i="83"/>
  <c r="L143" i="72" s="1"/>
  <c r="L213" i="72" s="1"/>
  <c r="L243" i="72" s="1"/>
  <c r="Y177" i="72"/>
  <c r="Y212" i="72" s="1"/>
  <c r="Y242" i="72" s="1"/>
  <c r="V199" i="83"/>
  <c r="V72" i="71" s="1"/>
  <c r="V177" i="71" s="1"/>
  <c r="U177" i="72"/>
  <c r="U212" i="72" s="1"/>
  <c r="U242" i="72" s="1"/>
  <c r="T228" i="83"/>
  <c r="T102" i="71" s="1"/>
  <c r="T207" i="71" s="1"/>
  <c r="W177" i="72"/>
  <c r="W212" i="72" s="1"/>
  <c r="W242" i="72" s="1"/>
  <c r="U176" i="72"/>
  <c r="U211" i="72" s="1"/>
  <c r="U241" i="72" s="1"/>
  <c r="L170" i="83"/>
  <c r="L42" i="71" s="1"/>
  <c r="L147" i="71" s="1"/>
  <c r="V177" i="72"/>
  <c r="V212" i="72" s="1"/>
  <c r="V242" i="72" s="1"/>
  <c r="N137" i="83"/>
  <c r="N139" i="72" s="1"/>
  <c r="N209" i="72" s="1"/>
  <c r="N239" i="72" s="1"/>
  <c r="J224" i="83"/>
  <c r="J98" i="71" s="1"/>
  <c r="J203" i="71" s="1"/>
  <c r="T224" i="83"/>
  <c r="T98" i="71" s="1"/>
  <c r="T203" i="71" s="1"/>
  <c r="Y137" i="83"/>
  <c r="T137" i="83"/>
  <c r="Y224" i="83"/>
  <c r="Y98" i="71" s="1"/>
  <c r="Y203" i="71" s="1"/>
  <c r="X137" i="83"/>
  <c r="K166" i="83"/>
  <c r="K38" i="71" s="1"/>
  <c r="K143" i="71" s="1"/>
  <c r="P184" i="73"/>
  <c r="P244" i="73" s="1"/>
  <c r="O166" i="83"/>
  <c r="O38" i="71" s="1"/>
  <c r="O143" i="71" s="1"/>
  <c r="N224" i="83"/>
  <c r="N98" i="71" s="1"/>
  <c r="N203" i="71" s="1"/>
  <c r="X195" i="83"/>
  <c r="X68" i="71" s="1"/>
  <c r="X173" i="71" s="1"/>
  <c r="Q137" i="83"/>
  <c r="Q139" i="72" s="1"/>
  <c r="Q209" i="72" s="1"/>
  <c r="Q239" i="72" s="1"/>
  <c r="V195" i="83"/>
  <c r="V68" i="71" s="1"/>
  <c r="V173" i="71" s="1"/>
  <c r="M166" i="83"/>
  <c r="M38" i="71" s="1"/>
  <c r="M143" i="71" s="1"/>
  <c r="T166" i="83"/>
  <c r="T38" i="71" s="1"/>
  <c r="T143" i="71" s="1"/>
  <c r="T195" i="83"/>
  <c r="T68" i="71" s="1"/>
  <c r="T173" i="71" s="1"/>
  <c r="S224" i="83"/>
  <c r="S98" i="71" s="1"/>
  <c r="S203" i="71" s="1"/>
  <c r="K195" i="83"/>
  <c r="K68" i="71" s="1"/>
  <c r="K173" i="71" s="1"/>
  <c r="R195" i="83"/>
  <c r="R68" i="71" s="1"/>
  <c r="R173" i="71" s="1"/>
  <c r="U137" i="83"/>
  <c r="Y166" i="83"/>
  <c r="Y38" i="71" s="1"/>
  <c r="Y143" i="71" s="1"/>
  <c r="R137" i="83"/>
  <c r="P137" i="83"/>
  <c r="P139" i="72" s="1"/>
  <c r="P209" i="72" s="1"/>
  <c r="P239" i="72" s="1"/>
  <c r="W137" i="83"/>
  <c r="P195" i="83"/>
  <c r="P68" i="71" s="1"/>
  <c r="P173" i="71" s="1"/>
  <c r="K224" i="83"/>
  <c r="K98" i="71" s="1"/>
  <c r="K203" i="71" s="1"/>
  <c r="J166" i="83"/>
  <c r="J38" i="71" s="1"/>
  <c r="J143" i="71" s="1"/>
  <c r="U166" i="83"/>
  <c r="U38" i="71" s="1"/>
  <c r="U143" i="71" s="1"/>
  <c r="P166" i="83"/>
  <c r="P38" i="71" s="1"/>
  <c r="P143" i="71" s="1"/>
  <c r="W166" i="83"/>
  <c r="W38" i="71" s="1"/>
  <c r="W143" i="71" s="1"/>
  <c r="V166" i="83"/>
  <c r="V38" i="71" s="1"/>
  <c r="V143" i="71" s="1"/>
  <c r="P168" i="83"/>
  <c r="P40" i="71" s="1"/>
  <c r="P145" i="71" s="1"/>
  <c r="T201" i="83"/>
  <c r="T74" i="71" s="1"/>
  <c r="T179" i="71" s="1"/>
  <c r="L151" i="73"/>
  <c r="U179" i="72"/>
  <c r="U214" i="72" s="1"/>
  <c r="U244" i="72" s="1"/>
  <c r="O181" i="73"/>
  <c r="O241" i="73" s="1"/>
  <c r="T179" i="72"/>
  <c r="T214" i="72" s="1"/>
  <c r="T244" i="72" s="1"/>
  <c r="Q165" i="83"/>
  <c r="Q37" i="71" s="1"/>
  <c r="Q142" i="71" s="1"/>
  <c r="Q169" i="83"/>
  <c r="Q41" i="71" s="1"/>
  <c r="Q146" i="71" s="1"/>
  <c r="L181" i="73"/>
  <c r="L241" i="73" s="1"/>
  <c r="W140" i="83"/>
  <c r="N198" i="83"/>
  <c r="N71" i="71" s="1"/>
  <c r="N176" i="71" s="1"/>
  <c r="P198" i="83"/>
  <c r="P71" i="71" s="1"/>
  <c r="P176" i="71" s="1"/>
  <c r="U140" i="83"/>
  <c r="W175" i="72"/>
  <c r="W210" i="72" s="1"/>
  <c r="W240" i="72" s="1"/>
  <c r="L165" i="83"/>
  <c r="L37" i="71" s="1"/>
  <c r="L142" i="71" s="1"/>
  <c r="K223" i="83"/>
  <c r="K97" i="71" s="1"/>
  <c r="K202" i="71" s="1"/>
  <c r="T140" i="83"/>
  <c r="S179" i="72"/>
  <c r="S214" i="72" s="1"/>
  <c r="S244" i="72" s="1"/>
  <c r="V179" i="72"/>
  <c r="V214" i="72" s="1"/>
  <c r="V244" i="72" s="1"/>
  <c r="K181" i="73"/>
  <c r="K241" i="73" s="1"/>
  <c r="M181" i="73"/>
  <c r="M241" i="73" s="1"/>
  <c r="Y172" i="83"/>
  <c r="Y44" i="71" s="1"/>
  <c r="Y149" i="71" s="1"/>
  <c r="K230" i="83"/>
  <c r="K104" i="71" s="1"/>
  <c r="K209" i="71" s="1"/>
  <c r="J181" i="73"/>
  <c r="J241" i="73" s="1"/>
  <c r="Q151" i="73"/>
  <c r="P151" i="73"/>
  <c r="R143" i="83"/>
  <c r="P230" i="83"/>
  <c r="P104" i="71" s="1"/>
  <c r="P209" i="71" s="1"/>
  <c r="Y179" i="72"/>
  <c r="Y214" i="72" s="1"/>
  <c r="Y244" i="72" s="1"/>
  <c r="M151" i="73"/>
  <c r="M211" i="73" s="1"/>
  <c r="N181" i="73"/>
  <c r="N241" i="73" s="1"/>
  <c r="Q181" i="73"/>
  <c r="Q241" i="73" s="1"/>
  <c r="X172" i="83"/>
  <c r="X44" i="71" s="1"/>
  <c r="X149" i="71" s="1"/>
  <c r="V172" i="83"/>
  <c r="V44" i="71" s="1"/>
  <c r="V149" i="71" s="1"/>
  <c r="X179" i="72"/>
  <c r="X214" i="72" s="1"/>
  <c r="X244" i="72" s="1"/>
  <c r="N151" i="73"/>
  <c r="N211" i="73" s="1"/>
  <c r="P181" i="73"/>
  <c r="P241" i="73" s="1"/>
  <c r="O151" i="73"/>
  <c r="O201" i="83"/>
  <c r="O74" i="71" s="1"/>
  <c r="O179" i="71" s="1"/>
  <c r="J201" i="83"/>
  <c r="J74" i="71" s="1"/>
  <c r="J179" i="71" s="1"/>
  <c r="K151" i="73"/>
  <c r="K281" i="73" s="1"/>
  <c r="K44" i="74" s="1"/>
  <c r="K89" i="74" s="1"/>
  <c r="T172" i="83"/>
  <c r="T44" i="71" s="1"/>
  <c r="T149" i="71" s="1"/>
  <c r="Q201" i="83"/>
  <c r="Q74" i="71" s="1"/>
  <c r="Q179" i="71" s="1"/>
  <c r="X169" i="83"/>
  <c r="X41" i="71" s="1"/>
  <c r="X146" i="71" s="1"/>
  <c r="L227" i="83"/>
  <c r="L101" i="71" s="1"/>
  <c r="L206" i="71" s="1"/>
  <c r="R227" i="83"/>
  <c r="R101" i="71" s="1"/>
  <c r="R206" i="71" s="1"/>
  <c r="P140" i="83"/>
  <c r="P142" i="72" s="1"/>
  <c r="P212" i="72" s="1"/>
  <c r="P242" i="72" s="1"/>
  <c r="V227" i="83"/>
  <c r="V101" i="71" s="1"/>
  <c r="V206" i="71" s="1"/>
  <c r="K227" i="83"/>
  <c r="K101" i="71" s="1"/>
  <c r="K206" i="71" s="1"/>
  <c r="M169" i="83"/>
  <c r="M41" i="71" s="1"/>
  <c r="M146" i="71" s="1"/>
  <c r="P227" i="83"/>
  <c r="P101" i="71" s="1"/>
  <c r="P206" i="71" s="1"/>
  <c r="Q198" i="83"/>
  <c r="Q71" i="71" s="1"/>
  <c r="Q176" i="71" s="1"/>
  <c r="T194" i="83"/>
  <c r="T67" i="71" s="1"/>
  <c r="T172" i="71" s="1"/>
  <c r="U194" i="83"/>
  <c r="U67" i="71" s="1"/>
  <c r="U172" i="71" s="1"/>
  <c r="M194" i="83"/>
  <c r="M67" i="71" s="1"/>
  <c r="M172" i="71" s="1"/>
  <c r="P165" i="83"/>
  <c r="P37" i="71" s="1"/>
  <c r="P142" i="71" s="1"/>
  <c r="Q136" i="83"/>
  <c r="Q138" i="72" s="1"/>
  <c r="Q208" i="72" s="1"/>
  <c r="Q238" i="72" s="1"/>
  <c r="W165" i="83"/>
  <c r="W37" i="71" s="1"/>
  <c r="W142" i="71" s="1"/>
  <c r="Y165" i="83"/>
  <c r="Y37" i="71" s="1"/>
  <c r="Y142" i="71" s="1"/>
  <c r="T227" i="83"/>
  <c r="T101" i="71" s="1"/>
  <c r="T206" i="71" s="1"/>
  <c r="Y227" i="83"/>
  <c r="Y101" i="71" s="1"/>
  <c r="Y206" i="71" s="1"/>
  <c r="U198" i="83"/>
  <c r="U71" i="71" s="1"/>
  <c r="U176" i="71" s="1"/>
  <c r="M198" i="83"/>
  <c r="M71" i="71" s="1"/>
  <c r="M176" i="71" s="1"/>
  <c r="T169" i="83"/>
  <c r="T41" i="71" s="1"/>
  <c r="T146" i="71" s="1"/>
  <c r="J169" i="83"/>
  <c r="J41" i="71" s="1"/>
  <c r="J146" i="71" s="1"/>
  <c r="S198" i="83"/>
  <c r="S71" i="71" s="1"/>
  <c r="S176" i="71" s="1"/>
  <c r="O229" i="83"/>
  <c r="O103" i="71" s="1"/>
  <c r="O208" i="71" s="1"/>
  <c r="U168" i="83"/>
  <c r="U40" i="71" s="1"/>
  <c r="U145" i="71" s="1"/>
  <c r="K182" i="73"/>
  <c r="K242" i="73" s="1"/>
  <c r="N169" i="83"/>
  <c r="N41" i="71" s="1"/>
  <c r="N146" i="71" s="1"/>
  <c r="W227" i="83"/>
  <c r="W101" i="71" s="1"/>
  <c r="W206" i="71" s="1"/>
  <c r="L169" i="83"/>
  <c r="L41" i="71" s="1"/>
  <c r="L146" i="71" s="1"/>
  <c r="R140" i="83"/>
  <c r="J139" i="83"/>
  <c r="J141" i="72" s="1"/>
  <c r="J211" i="72" s="1"/>
  <c r="J241" i="72" s="1"/>
  <c r="T231" i="83"/>
  <c r="T105" i="71" s="1"/>
  <c r="T210" i="71" s="1"/>
  <c r="V169" i="83"/>
  <c r="V41" i="71" s="1"/>
  <c r="V146" i="71" s="1"/>
  <c r="O198" i="83"/>
  <c r="O71" i="71" s="1"/>
  <c r="O176" i="71" s="1"/>
  <c r="S169" i="83"/>
  <c r="S41" i="71" s="1"/>
  <c r="S146" i="71" s="1"/>
  <c r="T198" i="83"/>
  <c r="T71" i="71" s="1"/>
  <c r="T176" i="71" s="1"/>
  <c r="J140" i="83"/>
  <c r="J142" i="72" s="1"/>
  <c r="J212" i="72" s="1"/>
  <c r="J242" i="72" s="1"/>
  <c r="W198" i="83"/>
  <c r="W71" i="71" s="1"/>
  <c r="W176" i="71" s="1"/>
  <c r="Y198" i="83"/>
  <c r="Y71" i="71" s="1"/>
  <c r="Y176" i="71" s="1"/>
  <c r="K140" i="83"/>
  <c r="K142" i="72" s="1"/>
  <c r="K212" i="72" s="1"/>
  <c r="K242" i="72" s="1"/>
  <c r="J227" i="83"/>
  <c r="J101" i="71" s="1"/>
  <c r="J206" i="71" s="1"/>
  <c r="O136" i="83"/>
  <c r="O138" i="72" s="1"/>
  <c r="O208" i="72" s="1"/>
  <c r="O238" i="72" s="1"/>
  <c r="O223" i="83"/>
  <c r="O97" i="71" s="1"/>
  <c r="O202" i="71" s="1"/>
  <c r="L223" i="83"/>
  <c r="L97" i="71" s="1"/>
  <c r="L202" i="71" s="1"/>
  <c r="U169" i="83"/>
  <c r="U41" i="71" s="1"/>
  <c r="U146" i="71" s="1"/>
  <c r="X198" i="83"/>
  <c r="X71" i="71" s="1"/>
  <c r="X176" i="71" s="1"/>
  <c r="W169" i="83"/>
  <c r="W41" i="71" s="1"/>
  <c r="W146" i="71" s="1"/>
  <c r="S227" i="83"/>
  <c r="S101" i="71" s="1"/>
  <c r="S206" i="71" s="1"/>
  <c r="O227" i="83"/>
  <c r="O101" i="71" s="1"/>
  <c r="O206" i="71" s="1"/>
  <c r="X227" i="83"/>
  <c r="X101" i="71" s="1"/>
  <c r="X206" i="71" s="1"/>
  <c r="Y140" i="83"/>
  <c r="X175" i="72"/>
  <c r="X210" i="72" s="1"/>
  <c r="X240" i="72" s="1"/>
  <c r="S197" i="83"/>
  <c r="S70" i="71" s="1"/>
  <c r="S175" i="71" s="1"/>
  <c r="Q144" i="83"/>
  <c r="Q146" i="72" s="1"/>
  <c r="Q216" i="72" s="1"/>
  <c r="Q246" i="72" s="1"/>
  <c r="V140" i="83"/>
  <c r="R169" i="83"/>
  <c r="R41" i="71" s="1"/>
  <c r="R146" i="71" s="1"/>
  <c r="S140" i="83"/>
  <c r="R198" i="83"/>
  <c r="R71" i="71" s="1"/>
  <c r="R176" i="71" s="1"/>
  <c r="N227" i="83"/>
  <c r="N101" i="71" s="1"/>
  <c r="N206" i="71" s="1"/>
  <c r="L140" i="83"/>
  <c r="L142" i="72" s="1"/>
  <c r="L212" i="72" s="1"/>
  <c r="L242" i="72" s="1"/>
  <c r="M227" i="83"/>
  <c r="M101" i="71" s="1"/>
  <c r="M206" i="71" s="1"/>
  <c r="P169" i="83"/>
  <c r="P41" i="71" s="1"/>
  <c r="P146" i="71" s="1"/>
  <c r="J198" i="83"/>
  <c r="J71" i="71" s="1"/>
  <c r="J176" i="71" s="1"/>
  <c r="X140" i="83"/>
  <c r="U227" i="83"/>
  <c r="U101" i="71" s="1"/>
  <c r="U206" i="71" s="1"/>
  <c r="P149" i="73"/>
  <c r="P209" i="73" s="1"/>
  <c r="L173" i="83"/>
  <c r="L45" i="71" s="1"/>
  <c r="L150" i="71" s="1"/>
  <c r="L144" i="83"/>
  <c r="L146" i="72" s="1"/>
  <c r="L216" i="72" s="1"/>
  <c r="L246" i="72" s="1"/>
  <c r="W229" i="83"/>
  <c r="W103" i="71" s="1"/>
  <c r="W208" i="71" s="1"/>
  <c r="W173" i="83"/>
  <c r="W45" i="71" s="1"/>
  <c r="W150" i="71" s="1"/>
  <c r="W202" i="83"/>
  <c r="W75" i="71" s="1"/>
  <c r="W180" i="71" s="1"/>
  <c r="O140" i="83"/>
  <c r="O142" i="72" s="1"/>
  <c r="O212" i="72" s="1"/>
  <c r="O242" i="72" s="1"/>
  <c r="K169" i="83"/>
  <c r="K41" i="71" s="1"/>
  <c r="K146" i="71" s="1"/>
  <c r="O169" i="83"/>
  <c r="O41" i="71" s="1"/>
  <c r="O146" i="71" s="1"/>
  <c r="Y169" i="83"/>
  <c r="Y41" i="71" s="1"/>
  <c r="Y146" i="71" s="1"/>
  <c r="M140" i="83"/>
  <c r="M142" i="72" s="1"/>
  <c r="M212" i="72" s="1"/>
  <c r="M242" i="72" s="1"/>
  <c r="L198" i="83"/>
  <c r="L71" i="71" s="1"/>
  <c r="L176" i="71" s="1"/>
  <c r="N140" i="83"/>
  <c r="N142" i="72" s="1"/>
  <c r="N212" i="72" s="1"/>
  <c r="N242" i="72" s="1"/>
  <c r="Q140" i="83"/>
  <c r="Q142" i="72" s="1"/>
  <c r="Q212" i="72" s="1"/>
  <c r="Q242" i="72" s="1"/>
  <c r="Q227" i="83"/>
  <c r="Q101" i="71" s="1"/>
  <c r="Q206" i="71" s="1"/>
  <c r="S175" i="72"/>
  <c r="S210" i="72" s="1"/>
  <c r="S240" i="72" s="1"/>
  <c r="R171" i="83"/>
  <c r="R43" i="71" s="1"/>
  <c r="R148" i="71" s="1"/>
  <c r="S173" i="83"/>
  <c r="S45" i="71" s="1"/>
  <c r="S150" i="71" s="1"/>
  <c r="X231" i="83"/>
  <c r="X105" i="71" s="1"/>
  <c r="X210" i="71" s="1"/>
  <c r="M173" i="83"/>
  <c r="M45" i="71" s="1"/>
  <c r="M150" i="71" s="1"/>
  <c r="Y144" i="83"/>
  <c r="R144" i="83"/>
  <c r="U174" i="72"/>
  <c r="U209" i="72" s="1"/>
  <c r="U239" i="72" s="1"/>
  <c r="S173" i="72"/>
  <c r="S208" i="72" s="1"/>
  <c r="S238" i="72" s="1"/>
  <c r="K139" i="83"/>
  <c r="K141" i="72" s="1"/>
  <c r="K211" i="72" s="1"/>
  <c r="K241" i="72" s="1"/>
  <c r="L226" i="83"/>
  <c r="L100" i="71" s="1"/>
  <c r="L205" i="71" s="1"/>
  <c r="Y174" i="72"/>
  <c r="Y209" i="72" s="1"/>
  <c r="Y239" i="72" s="1"/>
  <c r="Q139" i="83"/>
  <c r="Q141" i="72" s="1"/>
  <c r="Q211" i="72" s="1"/>
  <c r="Q241" i="72" s="1"/>
  <c r="M165" i="83"/>
  <c r="M37" i="71" s="1"/>
  <c r="M142" i="71" s="1"/>
  <c r="R165" i="83"/>
  <c r="R37" i="71" s="1"/>
  <c r="R142" i="71" s="1"/>
  <c r="P223" i="83"/>
  <c r="P97" i="71" s="1"/>
  <c r="P202" i="71" s="1"/>
  <c r="V165" i="83"/>
  <c r="V37" i="71" s="1"/>
  <c r="V142" i="71" s="1"/>
  <c r="U165" i="83"/>
  <c r="U37" i="71" s="1"/>
  <c r="U142" i="71" s="1"/>
  <c r="Y136" i="83"/>
  <c r="R168" i="83"/>
  <c r="R40" i="71" s="1"/>
  <c r="R145" i="71" s="1"/>
  <c r="M139" i="83"/>
  <c r="M141" i="72" s="1"/>
  <c r="M211" i="72" s="1"/>
  <c r="M241" i="72" s="1"/>
  <c r="K152" i="73"/>
  <c r="K282" i="73" s="1"/>
  <c r="K45" i="74" s="1"/>
  <c r="K90" i="74" s="1"/>
  <c r="S165" i="83"/>
  <c r="S37" i="71" s="1"/>
  <c r="S142" i="71" s="1"/>
  <c r="X194" i="83"/>
  <c r="X67" i="71" s="1"/>
  <c r="X172" i="71" s="1"/>
  <c r="V136" i="83"/>
  <c r="R223" i="83"/>
  <c r="R97" i="71" s="1"/>
  <c r="R202" i="71" s="1"/>
  <c r="W194" i="83"/>
  <c r="W67" i="71" s="1"/>
  <c r="W172" i="71" s="1"/>
  <c r="M226" i="83"/>
  <c r="M100" i="71" s="1"/>
  <c r="M205" i="71" s="1"/>
  <c r="J197" i="83"/>
  <c r="J70" i="71" s="1"/>
  <c r="J175" i="71" s="1"/>
  <c r="N182" i="73"/>
  <c r="N242" i="73" s="1"/>
  <c r="L147" i="73"/>
  <c r="L277" i="73" s="1"/>
  <c r="L40" i="74" s="1"/>
  <c r="L85" i="74" s="1"/>
  <c r="U199" i="83"/>
  <c r="U72" i="71" s="1"/>
  <c r="U177" i="71" s="1"/>
  <c r="N228" i="83"/>
  <c r="N102" i="71" s="1"/>
  <c r="N207" i="71" s="1"/>
  <c r="P228" i="83"/>
  <c r="P102" i="71" s="1"/>
  <c r="P207" i="71" s="1"/>
  <c r="W141" i="83"/>
  <c r="M184" i="73"/>
  <c r="M244" i="73" s="1"/>
  <c r="Y176" i="72"/>
  <c r="Y211" i="72" s="1"/>
  <c r="Y241" i="72" s="1"/>
  <c r="N177" i="73"/>
  <c r="N237" i="73" s="1"/>
  <c r="Y141" i="83"/>
  <c r="U228" i="83"/>
  <c r="U102" i="71" s="1"/>
  <c r="U207" i="71" s="1"/>
  <c r="W170" i="83"/>
  <c r="W42" i="71" s="1"/>
  <c r="W147" i="71" s="1"/>
  <c r="J154" i="73"/>
  <c r="J284" i="73" s="1"/>
  <c r="J47" i="74" s="1"/>
  <c r="J92" i="74" s="1"/>
  <c r="W176" i="72"/>
  <c r="W211" i="72" s="1"/>
  <c r="W241" i="72" s="1"/>
  <c r="P177" i="73"/>
  <c r="P237" i="73" s="1"/>
  <c r="N199" i="83"/>
  <c r="N72" i="71" s="1"/>
  <c r="N177" i="71" s="1"/>
  <c r="P199" i="83"/>
  <c r="P72" i="71" s="1"/>
  <c r="P177" i="71" s="1"/>
  <c r="K170" i="83"/>
  <c r="K42" i="71" s="1"/>
  <c r="K147" i="71" s="1"/>
  <c r="J184" i="73"/>
  <c r="J244" i="73" s="1"/>
  <c r="O147" i="73"/>
  <c r="O207" i="73" s="1"/>
  <c r="S199" i="83"/>
  <c r="S72" i="71" s="1"/>
  <c r="S177" i="71" s="1"/>
  <c r="J170" i="83"/>
  <c r="J42" i="71" s="1"/>
  <c r="J147" i="71" s="1"/>
  <c r="X228" i="83"/>
  <c r="X102" i="71" s="1"/>
  <c r="X207" i="71" s="1"/>
  <c r="P154" i="73"/>
  <c r="L184" i="73"/>
  <c r="L244" i="73" s="1"/>
  <c r="X174" i="72"/>
  <c r="X209" i="72" s="1"/>
  <c r="X239" i="72" s="1"/>
  <c r="T174" i="72"/>
  <c r="T209" i="72" s="1"/>
  <c r="T239" i="72" s="1"/>
  <c r="R173" i="72"/>
  <c r="R208" i="72" s="1"/>
  <c r="R238" i="72" s="1"/>
  <c r="Q197" i="83"/>
  <c r="Q70" i="71" s="1"/>
  <c r="Q175" i="71" s="1"/>
  <c r="Y226" i="83"/>
  <c r="Y100" i="71" s="1"/>
  <c r="Y205" i="71" s="1"/>
  <c r="U139" i="83"/>
  <c r="M168" i="83"/>
  <c r="M40" i="71" s="1"/>
  <c r="M145" i="71" s="1"/>
  <c r="S139" i="83"/>
  <c r="V197" i="83"/>
  <c r="V70" i="71" s="1"/>
  <c r="V175" i="71" s="1"/>
  <c r="S168" i="83"/>
  <c r="S40" i="71" s="1"/>
  <c r="S145" i="71" s="1"/>
  <c r="V139" i="83"/>
  <c r="R197" i="83"/>
  <c r="R70" i="71" s="1"/>
  <c r="R175" i="71" s="1"/>
  <c r="L139" i="83"/>
  <c r="L141" i="72" s="1"/>
  <c r="L211" i="72" s="1"/>
  <c r="L241" i="72" s="1"/>
  <c r="X226" i="83"/>
  <c r="X100" i="71" s="1"/>
  <c r="X205" i="71" s="1"/>
  <c r="Q152" i="73"/>
  <c r="Q282" i="73" s="1"/>
  <c r="Q45" i="74" s="1"/>
  <c r="Q90" i="74" s="1"/>
  <c r="M152" i="73"/>
  <c r="M212" i="73" s="1"/>
  <c r="Y194" i="83"/>
  <c r="Y67" i="71" s="1"/>
  <c r="Y172" i="71" s="1"/>
  <c r="V223" i="83"/>
  <c r="V97" i="71" s="1"/>
  <c r="V202" i="71" s="1"/>
  <c r="U223" i="83"/>
  <c r="U97" i="71" s="1"/>
  <c r="U202" i="71" s="1"/>
  <c r="X223" i="83"/>
  <c r="X97" i="71" s="1"/>
  <c r="X202" i="71" s="1"/>
  <c r="N223" i="83"/>
  <c r="N97" i="71" s="1"/>
  <c r="N202" i="71" s="1"/>
  <c r="R136" i="83"/>
  <c r="Q223" i="83"/>
  <c r="Q97" i="71" s="1"/>
  <c r="Q202" i="71" s="1"/>
  <c r="W223" i="83"/>
  <c r="W97" i="71" s="1"/>
  <c r="W202" i="71" s="1"/>
  <c r="S136" i="83"/>
  <c r="J165" i="83"/>
  <c r="J37" i="71" s="1"/>
  <c r="J142" i="71" s="1"/>
  <c r="M223" i="83"/>
  <c r="M97" i="71" s="1"/>
  <c r="M202" i="71" s="1"/>
  <c r="W174" i="72"/>
  <c r="W209" i="72" s="1"/>
  <c r="W239" i="72" s="1"/>
  <c r="V173" i="72"/>
  <c r="V208" i="72" s="1"/>
  <c r="V238" i="72" s="1"/>
  <c r="T168" i="83"/>
  <c r="T40" i="71" s="1"/>
  <c r="T145" i="71" s="1"/>
  <c r="P197" i="83"/>
  <c r="P70" i="71" s="1"/>
  <c r="P175" i="71" s="1"/>
  <c r="R139" i="83"/>
  <c r="Q226" i="83"/>
  <c r="Q100" i="71" s="1"/>
  <c r="Q205" i="71" s="1"/>
  <c r="L168" i="83"/>
  <c r="L40" i="71" s="1"/>
  <c r="L145" i="71" s="1"/>
  <c r="X197" i="83"/>
  <c r="X70" i="71" s="1"/>
  <c r="X175" i="71" s="1"/>
  <c r="T226" i="83"/>
  <c r="T100" i="71" s="1"/>
  <c r="T205" i="71" s="1"/>
  <c r="P226" i="83"/>
  <c r="P100" i="71" s="1"/>
  <c r="P205" i="71" s="1"/>
  <c r="N226" i="83"/>
  <c r="N100" i="71" s="1"/>
  <c r="N205" i="71" s="1"/>
  <c r="N139" i="83"/>
  <c r="N141" i="72" s="1"/>
  <c r="N211" i="72" s="1"/>
  <c r="N241" i="72" s="1"/>
  <c r="R226" i="83"/>
  <c r="R100" i="71" s="1"/>
  <c r="R205" i="71" s="1"/>
  <c r="P182" i="73"/>
  <c r="P242" i="73" s="1"/>
  <c r="M182" i="73"/>
  <c r="M242" i="73" s="1"/>
  <c r="Q194" i="83"/>
  <c r="Q67" i="71" s="1"/>
  <c r="Q172" i="71" s="1"/>
  <c r="T165" i="83"/>
  <c r="T37" i="71" s="1"/>
  <c r="T142" i="71" s="1"/>
  <c r="X165" i="83"/>
  <c r="X37" i="71" s="1"/>
  <c r="X142" i="71" s="1"/>
  <c r="P136" i="83"/>
  <c r="P138" i="72" s="1"/>
  <c r="P208" i="72" s="1"/>
  <c r="P238" i="72" s="1"/>
  <c r="U136" i="83"/>
  <c r="L136" i="83"/>
  <c r="L138" i="72" s="1"/>
  <c r="L208" i="72" s="1"/>
  <c r="L238" i="72" s="1"/>
  <c r="Y223" i="83"/>
  <c r="Y97" i="71" s="1"/>
  <c r="Y202" i="71" s="1"/>
  <c r="N194" i="83"/>
  <c r="N67" i="71" s="1"/>
  <c r="N172" i="71" s="1"/>
  <c r="P194" i="83"/>
  <c r="P67" i="71" s="1"/>
  <c r="P172" i="71" s="1"/>
  <c r="K194" i="83"/>
  <c r="K67" i="71" s="1"/>
  <c r="K172" i="71" s="1"/>
  <c r="J223" i="83"/>
  <c r="J97" i="71" s="1"/>
  <c r="J202" i="71" s="1"/>
  <c r="V174" i="72"/>
  <c r="V209" i="72" s="1"/>
  <c r="V239" i="72" s="1"/>
  <c r="X173" i="72"/>
  <c r="X208" i="72" s="1"/>
  <c r="X238" i="72" s="1"/>
  <c r="T173" i="72"/>
  <c r="T208" i="72" s="1"/>
  <c r="T238" i="72" s="1"/>
  <c r="O168" i="83"/>
  <c r="O40" i="71" s="1"/>
  <c r="O145" i="71" s="1"/>
  <c r="X168" i="83"/>
  <c r="X40" i="71" s="1"/>
  <c r="X145" i="71" s="1"/>
  <c r="T197" i="83"/>
  <c r="T70" i="71" s="1"/>
  <c r="T175" i="71" s="1"/>
  <c r="V168" i="83"/>
  <c r="V40" i="71" s="1"/>
  <c r="V145" i="71" s="1"/>
  <c r="O139" i="83"/>
  <c r="O141" i="72" s="1"/>
  <c r="O211" i="72" s="1"/>
  <c r="O241" i="72" s="1"/>
  <c r="V226" i="83"/>
  <c r="V100" i="71" s="1"/>
  <c r="V205" i="71" s="1"/>
  <c r="N168" i="83"/>
  <c r="N40" i="71" s="1"/>
  <c r="N145" i="71" s="1"/>
  <c r="Y197" i="83"/>
  <c r="Y70" i="71" s="1"/>
  <c r="Y175" i="71" s="1"/>
  <c r="K197" i="83"/>
  <c r="K70" i="71" s="1"/>
  <c r="K175" i="71" s="1"/>
  <c r="W226" i="83"/>
  <c r="W100" i="71" s="1"/>
  <c r="W205" i="71" s="1"/>
  <c r="P139" i="83"/>
  <c r="P141" i="72" s="1"/>
  <c r="P211" i="72" s="1"/>
  <c r="P241" i="72" s="1"/>
  <c r="J182" i="73"/>
  <c r="J242" i="73" s="1"/>
  <c r="N152" i="73"/>
  <c r="N282" i="73" s="1"/>
  <c r="N45" i="74" s="1"/>
  <c r="N90" i="74" s="1"/>
  <c r="J152" i="73"/>
  <c r="J212" i="73" s="1"/>
  <c r="S223" i="83"/>
  <c r="S97" i="71" s="1"/>
  <c r="S202" i="71" s="1"/>
  <c r="K165" i="83"/>
  <c r="K37" i="71" s="1"/>
  <c r="K142" i="71" s="1"/>
  <c r="J136" i="83"/>
  <c r="J138" i="72" s="1"/>
  <c r="J208" i="72" s="1"/>
  <c r="J238" i="72" s="1"/>
  <c r="M136" i="83"/>
  <c r="M138" i="72" s="1"/>
  <c r="M208" i="72" s="1"/>
  <c r="M238" i="72" s="1"/>
  <c r="O194" i="83"/>
  <c r="O67" i="71" s="1"/>
  <c r="O172" i="71" s="1"/>
  <c r="X136" i="83"/>
  <c r="J194" i="83"/>
  <c r="J67" i="71" s="1"/>
  <c r="J172" i="71" s="1"/>
  <c r="L194" i="83"/>
  <c r="L67" i="71" s="1"/>
  <c r="L172" i="71" s="1"/>
  <c r="R194" i="83"/>
  <c r="R67" i="71" s="1"/>
  <c r="R172" i="71" s="1"/>
  <c r="T223" i="83"/>
  <c r="T97" i="71" s="1"/>
  <c r="T202" i="71" s="1"/>
  <c r="Y173" i="72"/>
  <c r="Y208" i="72" s="1"/>
  <c r="Y238" i="72" s="1"/>
  <c r="M197" i="83"/>
  <c r="M70" i="71" s="1"/>
  <c r="M175" i="71" s="1"/>
  <c r="U226" i="83"/>
  <c r="U100" i="71" s="1"/>
  <c r="U205" i="71" s="1"/>
  <c r="T139" i="83"/>
  <c r="Y139" i="83"/>
  <c r="O197" i="83"/>
  <c r="O70" i="71" s="1"/>
  <c r="O175" i="71" s="1"/>
  <c r="Y168" i="83"/>
  <c r="Y40" i="71" s="1"/>
  <c r="Y145" i="71" s="1"/>
  <c r="W197" i="83"/>
  <c r="W70" i="71" s="1"/>
  <c r="W175" i="71" s="1"/>
  <c r="S226" i="83"/>
  <c r="S100" i="71" s="1"/>
  <c r="S205" i="71" s="1"/>
  <c r="K226" i="83"/>
  <c r="K100" i="71" s="1"/>
  <c r="K205" i="71" s="1"/>
  <c r="X139" i="83"/>
  <c r="O152" i="73"/>
  <c r="O282" i="73" s="1"/>
  <c r="O45" i="74" s="1"/>
  <c r="O90" i="74" s="1"/>
  <c r="P152" i="73"/>
  <c r="P212" i="73" s="1"/>
  <c r="L152" i="73"/>
  <c r="L212" i="73" s="1"/>
  <c r="W168" i="83"/>
  <c r="W40" i="71" s="1"/>
  <c r="W145" i="71" s="1"/>
  <c r="L197" i="83"/>
  <c r="L70" i="71" s="1"/>
  <c r="L175" i="71" s="1"/>
  <c r="J226" i="83"/>
  <c r="J100" i="71" s="1"/>
  <c r="J205" i="71" s="1"/>
  <c r="W139" i="83"/>
  <c r="N197" i="83"/>
  <c r="N70" i="71" s="1"/>
  <c r="N175" i="71" s="1"/>
  <c r="U197" i="83"/>
  <c r="U70" i="71" s="1"/>
  <c r="U175" i="71" s="1"/>
  <c r="J168" i="83"/>
  <c r="J40" i="71" s="1"/>
  <c r="J145" i="71" s="1"/>
  <c r="O226" i="83"/>
  <c r="O100" i="71" s="1"/>
  <c r="O205" i="71" s="1"/>
  <c r="Q168" i="83"/>
  <c r="Q40" i="71" s="1"/>
  <c r="Q145" i="71" s="1"/>
  <c r="L182" i="73"/>
  <c r="L242" i="73" s="1"/>
  <c r="O182" i="73"/>
  <c r="O242" i="73" s="1"/>
  <c r="M178" i="73"/>
  <c r="M238" i="73" s="1"/>
  <c r="O177" i="73"/>
  <c r="O237" i="73" s="1"/>
  <c r="J147" i="73"/>
  <c r="J277" i="73" s="1"/>
  <c r="J40" i="74" s="1"/>
  <c r="J85" i="74" s="1"/>
  <c r="K177" i="73"/>
  <c r="K237" i="73" s="1"/>
  <c r="Q141" i="83"/>
  <c r="Q143" i="72" s="1"/>
  <c r="Q213" i="72" s="1"/>
  <c r="Q243" i="72" s="1"/>
  <c r="O199" i="83"/>
  <c r="O72" i="71" s="1"/>
  <c r="O177" i="71" s="1"/>
  <c r="R141" i="83"/>
  <c r="Q199" i="83"/>
  <c r="Q72" i="71" s="1"/>
  <c r="Q177" i="71" s="1"/>
  <c r="X170" i="83"/>
  <c r="X42" i="71" s="1"/>
  <c r="X147" i="71" s="1"/>
  <c r="S228" i="83"/>
  <c r="S102" i="71" s="1"/>
  <c r="S207" i="71" s="1"/>
  <c r="L228" i="83"/>
  <c r="L102" i="71" s="1"/>
  <c r="L207" i="71" s="1"/>
  <c r="O141" i="83"/>
  <c r="O143" i="72" s="1"/>
  <c r="O213" i="72" s="1"/>
  <c r="O243" i="72" s="1"/>
  <c r="J199" i="83"/>
  <c r="J72" i="71" s="1"/>
  <c r="J177" i="71" s="1"/>
  <c r="U141" i="83"/>
  <c r="Y199" i="83"/>
  <c r="Y72" i="71" s="1"/>
  <c r="Y177" i="71" s="1"/>
  <c r="K154" i="73"/>
  <c r="K284" i="73" s="1"/>
  <c r="K47" i="74" s="1"/>
  <c r="K92" i="74" s="1"/>
  <c r="O184" i="73"/>
  <c r="O244" i="73" s="1"/>
  <c r="N154" i="73"/>
  <c r="N214" i="73" s="1"/>
  <c r="V176" i="72"/>
  <c r="V211" i="72" s="1"/>
  <c r="V241" i="72" s="1"/>
  <c r="R176" i="72"/>
  <c r="R211" i="72" s="1"/>
  <c r="R241" i="72" s="1"/>
  <c r="T181" i="72"/>
  <c r="T216" i="72" s="1"/>
  <c r="T246" i="72" s="1"/>
  <c r="Q147" i="73"/>
  <c r="Q207" i="73" s="1"/>
  <c r="L177" i="73"/>
  <c r="L237" i="73" s="1"/>
  <c r="X199" i="83"/>
  <c r="X72" i="71" s="1"/>
  <c r="X177" i="71" s="1"/>
  <c r="K228" i="83"/>
  <c r="K102" i="71" s="1"/>
  <c r="K207" i="71" s="1"/>
  <c r="V228" i="83"/>
  <c r="V102" i="71" s="1"/>
  <c r="V207" i="71" s="1"/>
  <c r="M170" i="83"/>
  <c r="M42" i="71" s="1"/>
  <c r="M147" i="71" s="1"/>
  <c r="T170" i="83"/>
  <c r="T42" i="71" s="1"/>
  <c r="T147" i="71" s="1"/>
  <c r="R170" i="83"/>
  <c r="R42" i="71" s="1"/>
  <c r="R147" i="71" s="1"/>
  <c r="M199" i="83"/>
  <c r="M72" i="71" s="1"/>
  <c r="M177" i="71" s="1"/>
  <c r="X141" i="83"/>
  <c r="Y228" i="83"/>
  <c r="Y102" i="71" s="1"/>
  <c r="Y207" i="71" s="1"/>
  <c r="W199" i="83"/>
  <c r="W72" i="71" s="1"/>
  <c r="W177" i="71" s="1"/>
  <c r="J228" i="83"/>
  <c r="J102" i="71" s="1"/>
  <c r="J207" i="71" s="1"/>
  <c r="N184" i="73"/>
  <c r="N244" i="73" s="1"/>
  <c r="M154" i="73"/>
  <c r="M214" i="73" s="1"/>
  <c r="Q184" i="73"/>
  <c r="Q244" i="73" s="1"/>
  <c r="T176" i="72"/>
  <c r="T211" i="72" s="1"/>
  <c r="T241" i="72" s="1"/>
  <c r="X138" i="83"/>
  <c r="P147" i="73"/>
  <c r="P207" i="73" s="1"/>
  <c r="J177" i="73"/>
  <c r="J237" i="73" s="1"/>
  <c r="T199" i="83"/>
  <c r="T72" i="71" s="1"/>
  <c r="T177" i="71" s="1"/>
  <c r="Y170" i="83"/>
  <c r="Y42" i="71" s="1"/>
  <c r="Y147" i="71" s="1"/>
  <c r="S170" i="83"/>
  <c r="S42" i="71" s="1"/>
  <c r="S147" i="71" s="1"/>
  <c r="N170" i="83"/>
  <c r="N42" i="71" s="1"/>
  <c r="N147" i="71" s="1"/>
  <c r="K199" i="83"/>
  <c r="K72" i="71" s="1"/>
  <c r="K177" i="71" s="1"/>
  <c r="R199" i="83"/>
  <c r="R72" i="71" s="1"/>
  <c r="R177" i="71" s="1"/>
  <c r="M141" i="83"/>
  <c r="M143" i="72" s="1"/>
  <c r="M213" i="72" s="1"/>
  <c r="M243" i="72" s="1"/>
  <c r="S141" i="83"/>
  <c r="K141" i="83"/>
  <c r="K143" i="72" s="1"/>
  <c r="K213" i="72" s="1"/>
  <c r="K243" i="72" s="1"/>
  <c r="P141" i="83"/>
  <c r="P143" i="72" s="1"/>
  <c r="P213" i="72" s="1"/>
  <c r="P243" i="72" s="1"/>
  <c r="O228" i="83"/>
  <c r="O102" i="71" s="1"/>
  <c r="O207" i="71" s="1"/>
  <c r="O154" i="73"/>
  <c r="O284" i="73" s="1"/>
  <c r="O47" i="74" s="1"/>
  <c r="O92" i="74" s="1"/>
  <c r="K184" i="73"/>
  <c r="K244" i="73" s="1"/>
  <c r="X176" i="72"/>
  <c r="X211" i="72" s="1"/>
  <c r="X241" i="72" s="1"/>
  <c r="V225" i="83"/>
  <c r="V99" i="71" s="1"/>
  <c r="V204" i="71" s="1"/>
  <c r="M177" i="73"/>
  <c r="M237" i="73" s="1"/>
  <c r="K147" i="73"/>
  <c r="K277" i="73" s="1"/>
  <c r="K40" i="74" s="1"/>
  <c r="K85" i="74" s="1"/>
  <c r="V170" i="83"/>
  <c r="V42" i="71" s="1"/>
  <c r="V147" i="71" s="1"/>
  <c r="U170" i="83"/>
  <c r="U42" i="71" s="1"/>
  <c r="U147" i="71" s="1"/>
  <c r="Q170" i="83"/>
  <c r="Q42" i="71" s="1"/>
  <c r="Q147" i="71" s="1"/>
  <c r="V141" i="83"/>
  <c r="L199" i="83"/>
  <c r="L72" i="71" s="1"/>
  <c r="L177" i="71" s="1"/>
  <c r="Q228" i="83"/>
  <c r="Q102" i="71" s="1"/>
  <c r="Q207" i="71" s="1"/>
  <c r="R228" i="83"/>
  <c r="R102" i="71" s="1"/>
  <c r="R207" i="71" s="1"/>
  <c r="P170" i="83"/>
  <c r="P42" i="71" s="1"/>
  <c r="P147" i="71" s="1"/>
  <c r="T141" i="83"/>
  <c r="L154" i="73"/>
  <c r="L214" i="73" s="1"/>
  <c r="R181" i="72"/>
  <c r="R216" i="72" s="1"/>
  <c r="R246" i="72" s="1"/>
  <c r="V196" i="83"/>
  <c r="V69" i="71" s="1"/>
  <c r="V174" i="71" s="1"/>
  <c r="P225" i="83"/>
  <c r="P99" i="71" s="1"/>
  <c r="P204" i="71" s="1"/>
  <c r="J225" i="83"/>
  <c r="J99" i="71" s="1"/>
  <c r="J204" i="71" s="1"/>
  <c r="P167" i="83"/>
  <c r="P39" i="71" s="1"/>
  <c r="P144" i="71" s="1"/>
  <c r="P148" i="73"/>
  <c r="P208" i="73" s="1"/>
  <c r="O148" i="73"/>
  <c r="O278" i="73" s="1"/>
  <c r="O41" i="74" s="1"/>
  <c r="O86" i="74" s="1"/>
  <c r="Y225" i="83"/>
  <c r="Y99" i="71" s="1"/>
  <c r="Y204" i="71" s="1"/>
  <c r="W196" i="83"/>
  <c r="W69" i="71" s="1"/>
  <c r="W174" i="71" s="1"/>
  <c r="Q178" i="73"/>
  <c r="Q238" i="73" s="1"/>
  <c r="Q138" i="83"/>
  <c r="Q140" i="72" s="1"/>
  <c r="Q210" i="72" s="1"/>
  <c r="Q240" i="72" s="1"/>
  <c r="P178" i="73"/>
  <c r="P238" i="73" s="1"/>
  <c r="S225" i="83"/>
  <c r="S99" i="71" s="1"/>
  <c r="S204" i="71" s="1"/>
  <c r="K196" i="83"/>
  <c r="K69" i="71" s="1"/>
  <c r="K174" i="71" s="1"/>
  <c r="M148" i="73"/>
  <c r="M208" i="73" s="1"/>
  <c r="U225" i="83"/>
  <c r="U99" i="71" s="1"/>
  <c r="U204" i="71" s="1"/>
  <c r="P138" i="83"/>
  <c r="P140" i="72" s="1"/>
  <c r="P210" i="72" s="1"/>
  <c r="P240" i="72" s="1"/>
  <c r="X181" i="72"/>
  <c r="X216" i="72" s="1"/>
  <c r="X246" i="72" s="1"/>
  <c r="V172" i="72"/>
  <c r="V207" i="72" s="1"/>
  <c r="V237" i="72" s="1"/>
  <c r="Y172" i="72"/>
  <c r="Y207" i="72" s="1"/>
  <c r="Y237" i="72" s="1"/>
  <c r="L148" i="73"/>
  <c r="L208" i="73" s="1"/>
  <c r="N138" i="83"/>
  <c r="N140" i="72" s="1"/>
  <c r="N210" i="72" s="1"/>
  <c r="N240" i="72" s="1"/>
  <c r="Y196" i="83"/>
  <c r="Y69" i="71" s="1"/>
  <c r="Y174" i="71" s="1"/>
  <c r="L225" i="83"/>
  <c r="L99" i="71" s="1"/>
  <c r="L204" i="71" s="1"/>
  <c r="N196" i="83"/>
  <c r="N69" i="71" s="1"/>
  <c r="N174" i="71" s="1"/>
  <c r="S196" i="83"/>
  <c r="S69" i="71" s="1"/>
  <c r="S174" i="71" s="1"/>
  <c r="U181" i="72"/>
  <c r="U216" i="72" s="1"/>
  <c r="U246" i="72" s="1"/>
  <c r="V181" i="72"/>
  <c r="V216" i="72" s="1"/>
  <c r="V246" i="72" s="1"/>
  <c r="X172" i="72"/>
  <c r="X207" i="72" s="1"/>
  <c r="X237" i="72" s="1"/>
  <c r="U172" i="72"/>
  <c r="U207" i="72" s="1"/>
  <c r="U237" i="72" s="1"/>
  <c r="Y230" i="83"/>
  <c r="Y104" i="71" s="1"/>
  <c r="Y209" i="71" s="1"/>
  <c r="Q230" i="83"/>
  <c r="Q104" i="71" s="1"/>
  <c r="Q209" i="71" s="1"/>
  <c r="R230" i="83"/>
  <c r="R104" i="71" s="1"/>
  <c r="R209" i="71" s="1"/>
  <c r="J148" i="73"/>
  <c r="J208" i="73" s="1"/>
  <c r="R196" i="83"/>
  <c r="R69" i="71" s="1"/>
  <c r="R174" i="71" s="1"/>
  <c r="M196" i="83"/>
  <c r="M69" i="71" s="1"/>
  <c r="M174" i="71" s="1"/>
  <c r="S138" i="83"/>
  <c r="L138" i="83"/>
  <c r="L140" i="72" s="1"/>
  <c r="L210" i="72" s="1"/>
  <c r="L240" i="72" s="1"/>
  <c r="R225" i="83"/>
  <c r="R99" i="71" s="1"/>
  <c r="R204" i="71" s="1"/>
  <c r="Y181" i="72"/>
  <c r="Y216" i="72" s="1"/>
  <c r="Y246" i="72" s="1"/>
  <c r="W181" i="72"/>
  <c r="W216" i="72" s="1"/>
  <c r="W246" i="72" s="1"/>
  <c r="T172" i="72"/>
  <c r="T207" i="72" s="1"/>
  <c r="T237" i="72" s="1"/>
  <c r="S172" i="72"/>
  <c r="S207" i="72" s="1"/>
  <c r="S237" i="72" s="1"/>
  <c r="U143" i="83"/>
  <c r="K201" i="83"/>
  <c r="K74" i="71" s="1"/>
  <c r="K179" i="71" s="1"/>
  <c r="X201" i="83"/>
  <c r="X74" i="71" s="1"/>
  <c r="X179" i="71" s="1"/>
  <c r="O178" i="73"/>
  <c r="O238" i="73" s="1"/>
  <c r="N178" i="73"/>
  <c r="N238" i="73" s="1"/>
  <c r="U196" i="83"/>
  <c r="U69" i="71" s="1"/>
  <c r="U174" i="71" s="1"/>
  <c r="R167" i="83"/>
  <c r="R39" i="71" s="1"/>
  <c r="R144" i="71" s="1"/>
  <c r="W167" i="83"/>
  <c r="W39" i="71" s="1"/>
  <c r="W144" i="71" s="1"/>
  <c r="N167" i="83"/>
  <c r="N39" i="71" s="1"/>
  <c r="N144" i="71" s="1"/>
  <c r="Y167" i="83"/>
  <c r="Y39" i="71" s="1"/>
  <c r="Y144" i="71" s="1"/>
  <c r="P143" i="83"/>
  <c r="P145" i="72" s="1"/>
  <c r="P215" i="72" s="1"/>
  <c r="P245" i="72" s="1"/>
  <c r="K172" i="83"/>
  <c r="K44" i="71" s="1"/>
  <c r="K149" i="71" s="1"/>
  <c r="T230" i="83"/>
  <c r="T104" i="71" s="1"/>
  <c r="T209" i="71" s="1"/>
  <c r="N143" i="83"/>
  <c r="N145" i="72" s="1"/>
  <c r="N215" i="72" s="1"/>
  <c r="N245" i="72" s="1"/>
  <c r="U175" i="72"/>
  <c r="U210" i="72" s="1"/>
  <c r="U240" i="72" s="1"/>
  <c r="Y142" i="83"/>
  <c r="O171" i="83"/>
  <c r="O43" i="71" s="1"/>
  <c r="O148" i="71" s="1"/>
  <c r="Q231" i="83"/>
  <c r="Q105" i="71" s="1"/>
  <c r="Q210" i="71" s="1"/>
  <c r="J173" i="83"/>
  <c r="J45" i="71" s="1"/>
  <c r="J150" i="71" s="1"/>
  <c r="V173" i="83"/>
  <c r="V45" i="71" s="1"/>
  <c r="V150" i="71" s="1"/>
  <c r="P231" i="83"/>
  <c r="P105" i="71" s="1"/>
  <c r="P210" i="71" s="1"/>
  <c r="P144" i="83"/>
  <c r="P146" i="72" s="1"/>
  <c r="P216" i="72" s="1"/>
  <c r="P246" i="72" s="1"/>
  <c r="N144" i="83"/>
  <c r="N146" i="72" s="1"/>
  <c r="N216" i="72" s="1"/>
  <c r="N246" i="72" s="1"/>
  <c r="V144" i="83"/>
  <c r="S231" i="83"/>
  <c r="S105" i="71" s="1"/>
  <c r="S210" i="71" s="1"/>
  <c r="T144" i="83"/>
  <c r="Y202" i="83"/>
  <c r="Y75" i="71" s="1"/>
  <c r="Y180" i="71" s="1"/>
  <c r="O173" i="83"/>
  <c r="O45" i="71" s="1"/>
  <c r="O150" i="71" s="1"/>
  <c r="V175" i="72"/>
  <c r="V210" i="72" s="1"/>
  <c r="V240" i="72" s="1"/>
  <c r="M171" i="83"/>
  <c r="M43" i="71" s="1"/>
  <c r="M148" i="71" s="1"/>
  <c r="Q171" i="83"/>
  <c r="Q43" i="71" s="1"/>
  <c r="Q148" i="71" s="1"/>
  <c r="K144" i="83"/>
  <c r="K146" i="72" s="1"/>
  <c r="K216" i="72" s="1"/>
  <c r="K246" i="72" s="1"/>
  <c r="W231" i="83"/>
  <c r="W105" i="71" s="1"/>
  <c r="W210" i="71" s="1"/>
  <c r="T202" i="83"/>
  <c r="T75" i="71" s="1"/>
  <c r="T180" i="71" s="1"/>
  <c r="X173" i="83"/>
  <c r="X45" i="71" s="1"/>
  <c r="X150" i="71" s="1"/>
  <c r="V202" i="83"/>
  <c r="V75" i="71" s="1"/>
  <c r="V180" i="71" s="1"/>
  <c r="M231" i="83"/>
  <c r="M105" i="71" s="1"/>
  <c r="M210" i="71" s="1"/>
  <c r="R231" i="83"/>
  <c r="R105" i="71" s="1"/>
  <c r="R210" i="71" s="1"/>
  <c r="O144" i="83"/>
  <c r="O146" i="72" s="1"/>
  <c r="O216" i="72" s="1"/>
  <c r="O246" i="72" s="1"/>
  <c r="X202" i="83"/>
  <c r="X75" i="71" s="1"/>
  <c r="X180" i="71" s="1"/>
  <c r="N202" i="83"/>
  <c r="N75" i="71" s="1"/>
  <c r="N180" i="71" s="1"/>
  <c r="M202" i="83"/>
  <c r="M75" i="71" s="1"/>
  <c r="M180" i="71" s="1"/>
  <c r="R175" i="72"/>
  <c r="R210" i="72" s="1"/>
  <c r="R240" i="72" s="1"/>
  <c r="T200" i="83"/>
  <c r="T73" i="71" s="1"/>
  <c r="T178" i="71" s="1"/>
  <c r="P142" i="83"/>
  <c r="P144" i="72" s="1"/>
  <c r="P214" i="72" s="1"/>
  <c r="P244" i="72" s="1"/>
  <c r="Q202" i="83"/>
  <c r="Q75" i="71" s="1"/>
  <c r="Q180" i="71" s="1"/>
  <c r="Q173" i="83"/>
  <c r="Q45" i="71" s="1"/>
  <c r="Q150" i="71" s="1"/>
  <c r="O202" i="83"/>
  <c r="O75" i="71" s="1"/>
  <c r="O180" i="71" s="1"/>
  <c r="J202" i="83"/>
  <c r="J75" i="71" s="1"/>
  <c r="J180" i="71" s="1"/>
  <c r="X144" i="83"/>
  <c r="K231" i="83"/>
  <c r="K105" i="71" s="1"/>
  <c r="K210" i="71" s="1"/>
  <c r="P173" i="83"/>
  <c r="P45" i="71" s="1"/>
  <c r="P150" i="71" s="1"/>
  <c r="K202" i="83"/>
  <c r="K75" i="71" s="1"/>
  <c r="K180" i="71" s="1"/>
  <c r="Y231" i="83"/>
  <c r="Y105" i="71" s="1"/>
  <c r="Y210" i="71" s="1"/>
  <c r="P202" i="83"/>
  <c r="P75" i="71" s="1"/>
  <c r="P180" i="71" s="1"/>
  <c r="U173" i="83"/>
  <c r="U45" i="71" s="1"/>
  <c r="U150" i="71" s="1"/>
  <c r="Y173" i="83"/>
  <c r="Y45" i="71" s="1"/>
  <c r="Y150" i="71" s="1"/>
  <c r="U231" i="83"/>
  <c r="U105" i="71" s="1"/>
  <c r="U210" i="71" s="1"/>
  <c r="O231" i="83"/>
  <c r="O105" i="71" s="1"/>
  <c r="O210" i="71" s="1"/>
  <c r="N231" i="83"/>
  <c r="N105" i="71" s="1"/>
  <c r="N210" i="71" s="1"/>
  <c r="T173" i="83"/>
  <c r="T45" i="71" s="1"/>
  <c r="T150" i="71" s="1"/>
  <c r="S202" i="83"/>
  <c r="S75" i="71" s="1"/>
  <c r="S180" i="71" s="1"/>
  <c r="S144" i="83"/>
  <c r="L202" i="83"/>
  <c r="L75" i="71" s="1"/>
  <c r="L180" i="71" s="1"/>
  <c r="R202" i="83"/>
  <c r="R75" i="71" s="1"/>
  <c r="R180" i="71" s="1"/>
  <c r="J231" i="83"/>
  <c r="J105" i="71" s="1"/>
  <c r="J210" i="71" s="1"/>
  <c r="L149" i="73"/>
  <c r="L279" i="73" s="1"/>
  <c r="L42" i="74" s="1"/>
  <c r="L87" i="74" s="1"/>
  <c r="T175" i="72"/>
  <c r="T210" i="72" s="1"/>
  <c r="T240" i="72" s="1"/>
  <c r="P179" i="73"/>
  <c r="P239" i="73" s="1"/>
  <c r="J229" i="83"/>
  <c r="J103" i="71" s="1"/>
  <c r="J208" i="71" s="1"/>
  <c r="Q229" i="83"/>
  <c r="Q103" i="71" s="1"/>
  <c r="Q208" i="71" s="1"/>
  <c r="M144" i="83"/>
  <c r="M146" i="72" s="1"/>
  <c r="M216" i="72" s="1"/>
  <c r="M246" i="72" s="1"/>
  <c r="R173" i="83"/>
  <c r="R45" i="71" s="1"/>
  <c r="R150" i="71" s="1"/>
  <c r="N173" i="83"/>
  <c r="N45" i="71" s="1"/>
  <c r="N150" i="71" s="1"/>
  <c r="K173" i="83"/>
  <c r="K45" i="71" s="1"/>
  <c r="K150" i="71" s="1"/>
  <c r="U202" i="83"/>
  <c r="U75" i="71" s="1"/>
  <c r="U180" i="71" s="1"/>
  <c r="V231" i="83"/>
  <c r="V105" i="71" s="1"/>
  <c r="V210" i="71" s="1"/>
  <c r="U144" i="83"/>
  <c r="W144" i="83"/>
  <c r="J144" i="83"/>
  <c r="J146" i="72" s="1"/>
  <c r="J216" i="72" s="1"/>
  <c r="J246" i="72" s="1"/>
  <c r="J178" i="73"/>
  <c r="J238" i="73" s="1"/>
  <c r="L178" i="73"/>
  <c r="L238" i="73" s="1"/>
  <c r="K178" i="73"/>
  <c r="K238" i="73" s="1"/>
  <c r="O167" i="83"/>
  <c r="O39" i="71" s="1"/>
  <c r="O144" i="71" s="1"/>
  <c r="V167" i="83"/>
  <c r="V39" i="71" s="1"/>
  <c r="V144" i="71" s="1"/>
  <c r="X167" i="83"/>
  <c r="X39" i="71" s="1"/>
  <c r="X144" i="71" s="1"/>
  <c r="N225" i="83"/>
  <c r="N99" i="71" s="1"/>
  <c r="N204" i="71" s="1"/>
  <c r="U138" i="83"/>
  <c r="W138" i="83"/>
  <c r="S167" i="83"/>
  <c r="S39" i="71" s="1"/>
  <c r="S144" i="71" s="1"/>
  <c r="Q225" i="83"/>
  <c r="Q99" i="71" s="1"/>
  <c r="Q204" i="71" s="1"/>
  <c r="M138" i="83"/>
  <c r="M140" i="72" s="1"/>
  <c r="M210" i="72" s="1"/>
  <c r="M240" i="72" s="1"/>
  <c r="U167" i="83"/>
  <c r="U39" i="71" s="1"/>
  <c r="U144" i="71" s="1"/>
  <c r="A4" i="76"/>
  <c r="K148" i="73"/>
  <c r="K278" i="73" s="1"/>
  <c r="K41" i="74" s="1"/>
  <c r="K86" i="74" s="1"/>
  <c r="N148" i="73"/>
  <c r="N208" i="73" s="1"/>
  <c r="Y138" i="83"/>
  <c r="J138" i="83"/>
  <c r="J140" i="72" s="1"/>
  <c r="J210" i="72" s="1"/>
  <c r="J240" i="72" s="1"/>
  <c r="K138" i="83"/>
  <c r="K140" i="72" s="1"/>
  <c r="K210" i="72" s="1"/>
  <c r="K240" i="72" s="1"/>
  <c r="Q167" i="83"/>
  <c r="Q39" i="71" s="1"/>
  <c r="Q144" i="71" s="1"/>
  <c r="R138" i="83"/>
  <c r="O138" i="83"/>
  <c r="O140" i="72" s="1"/>
  <c r="O210" i="72" s="1"/>
  <c r="O240" i="72" s="1"/>
  <c r="W225" i="83"/>
  <c r="W99" i="71" s="1"/>
  <c r="W204" i="71" s="1"/>
  <c r="M225" i="83"/>
  <c r="M99" i="71" s="1"/>
  <c r="M204" i="71" s="1"/>
  <c r="T225" i="83"/>
  <c r="T99" i="71" s="1"/>
  <c r="T204" i="71" s="1"/>
  <c r="X225" i="83"/>
  <c r="X99" i="71" s="1"/>
  <c r="X204" i="71" s="1"/>
  <c r="K167" i="83"/>
  <c r="K39" i="71" s="1"/>
  <c r="K144" i="71" s="1"/>
  <c r="J196" i="83"/>
  <c r="J69" i="71" s="1"/>
  <c r="J174" i="71" s="1"/>
  <c r="L196" i="83"/>
  <c r="L69" i="71" s="1"/>
  <c r="L174" i="71" s="1"/>
  <c r="V138" i="83"/>
  <c r="X196" i="83"/>
  <c r="X69" i="71" s="1"/>
  <c r="X174" i="71" s="1"/>
  <c r="J167" i="83"/>
  <c r="J39" i="71" s="1"/>
  <c r="J144" i="71" s="1"/>
  <c r="O196" i="83"/>
  <c r="O69" i="71" s="1"/>
  <c r="O174" i="71" s="1"/>
  <c r="P196" i="83"/>
  <c r="P69" i="71" s="1"/>
  <c r="P174" i="71" s="1"/>
  <c r="T138" i="83"/>
  <c r="L167" i="83"/>
  <c r="L39" i="71" s="1"/>
  <c r="L144" i="71" s="1"/>
  <c r="Q196" i="83"/>
  <c r="Q69" i="71" s="1"/>
  <c r="Q174" i="71" s="1"/>
  <c r="M167" i="83"/>
  <c r="M39" i="71" s="1"/>
  <c r="M144" i="71" s="1"/>
  <c r="K225" i="83"/>
  <c r="K99" i="71" s="1"/>
  <c r="K204" i="71" s="1"/>
  <c r="O225" i="83"/>
  <c r="O99" i="71" s="1"/>
  <c r="O204" i="71" s="1"/>
  <c r="T196" i="83"/>
  <c r="T69" i="71" s="1"/>
  <c r="T174" i="71" s="1"/>
  <c r="O183" i="73"/>
  <c r="O243" i="73" s="1"/>
  <c r="M153" i="73"/>
  <c r="M283" i="73" s="1"/>
  <c r="M46" i="74" s="1"/>
  <c r="M91" i="74" s="1"/>
  <c r="P180" i="73"/>
  <c r="P240" i="73" s="1"/>
  <c r="L150" i="73"/>
  <c r="L210" i="73" s="1"/>
  <c r="Q150" i="73"/>
  <c r="Q210" i="73" s="1"/>
  <c r="M180" i="73"/>
  <c r="M240" i="73" s="1"/>
  <c r="T143" i="83"/>
  <c r="V201" i="83"/>
  <c r="V74" i="71" s="1"/>
  <c r="V179" i="71" s="1"/>
  <c r="M201" i="83"/>
  <c r="M74" i="71" s="1"/>
  <c r="M179" i="71" s="1"/>
  <c r="M172" i="83"/>
  <c r="M44" i="71" s="1"/>
  <c r="M149" i="71" s="1"/>
  <c r="V230" i="83"/>
  <c r="V104" i="71" s="1"/>
  <c r="V209" i="71" s="1"/>
  <c r="N201" i="83"/>
  <c r="N74" i="71" s="1"/>
  <c r="N179" i="71" s="1"/>
  <c r="L143" i="83"/>
  <c r="L145" i="72" s="1"/>
  <c r="L215" i="72" s="1"/>
  <c r="L245" i="72" s="1"/>
  <c r="J172" i="83"/>
  <c r="J44" i="71" s="1"/>
  <c r="J149" i="71" s="1"/>
  <c r="U172" i="83"/>
  <c r="U44" i="71" s="1"/>
  <c r="U149" i="71" s="1"/>
  <c r="Y201" i="83"/>
  <c r="Y74" i="71" s="1"/>
  <c r="Y179" i="71" s="1"/>
  <c r="P201" i="83"/>
  <c r="P74" i="71" s="1"/>
  <c r="P179" i="71" s="1"/>
  <c r="O153" i="73"/>
  <c r="O283" i="73" s="1"/>
  <c r="O46" i="74" s="1"/>
  <c r="O91" i="74" s="1"/>
  <c r="P183" i="73"/>
  <c r="P243" i="73" s="1"/>
  <c r="P153" i="73"/>
  <c r="P283" i="73" s="1"/>
  <c r="P46" i="74" s="1"/>
  <c r="P91" i="74" s="1"/>
  <c r="J150" i="73"/>
  <c r="J210" i="73" s="1"/>
  <c r="N150" i="73"/>
  <c r="N280" i="73" s="1"/>
  <c r="N43" i="74" s="1"/>
  <c r="N88" i="74" s="1"/>
  <c r="L180" i="73"/>
  <c r="L240" i="73" s="1"/>
  <c r="J143" i="83"/>
  <c r="J145" i="72" s="1"/>
  <c r="J215" i="72" s="1"/>
  <c r="J245" i="72" s="1"/>
  <c r="S172" i="83"/>
  <c r="S44" i="71" s="1"/>
  <c r="S149" i="71" s="1"/>
  <c r="L201" i="83"/>
  <c r="L74" i="71" s="1"/>
  <c r="L179" i="71" s="1"/>
  <c r="S230" i="83"/>
  <c r="S104" i="71" s="1"/>
  <c r="S209" i="71" s="1"/>
  <c r="W201" i="83"/>
  <c r="W74" i="71" s="1"/>
  <c r="W179" i="71" s="1"/>
  <c r="R201" i="83"/>
  <c r="R74" i="71" s="1"/>
  <c r="R179" i="71" s="1"/>
  <c r="S143" i="83"/>
  <c r="W172" i="83"/>
  <c r="W44" i="71" s="1"/>
  <c r="W149" i="71" s="1"/>
  <c r="S201" i="83"/>
  <c r="S74" i="71" s="1"/>
  <c r="S179" i="71" s="1"/>
  <c r="W143" i="83"/>
  <c r="J230" i="83"/>
  <c r="J104" i="71" s="1"/>
  <c r="J209" i="71" s="1"/>
  <c r="L183" i="73"/>
  <c r="L243" i="73" s="1"/>
  <c r="L153" i="73"/>
  <c r="L283" i="73" s="1"/>
  <c r="L46" i="74" s="1"/>
  <c r="L91" i="74" s="1"/>
  <c r="Q183" i="73"/>
  <c r="Q243" i="73" s="1"/>
  <c r="P150" i="73"/>
  <c r="P280" i="73" s="1"/>
  <c r="P43" i="74" s="1"/>
  <c r="P88" i="74" s="1"/>
  <c r="N180" i="73"/>
  <c r="N240" i="73" s="1"/>
  <c r="O150" i="73"/>
  <c r="O210" i="73" s="1"/>
  <c r="K176" i="73"/>
  <c r="K236" i="73" s="1"/>
  <c r="K143" i="83"/>
  <c r="K145" i="72" s="1"/>
  <c r="K215" i="72" s="1"/>
  <c r="K245" i="72" s="1"/>
  <c r="Q143" i="83"/>
  <c r="Q145" i="72" s="1"/>
  <c r="Q215" i="72" s="1"/>
  <c r="Q245" i="72" s="1"/>
  <c r="U201" i="83"/>
  <c r="U74" i="71" s="1"/>
  <c r="U179" i="71" s="1"/>
  <c r="X230" i="83"/>
  <c r="X104" i="71" s="1"/>
  <c r="X209" i="71" s="1"/>
  <c r="N230" i="83"/>
  <c r="N104" i="71" s="1"/>
  <c r="N209" i="71" s="1"/>
  <c r="O172" i="83"/>
  <c r="O44" i="71" s="1"/>
  <c r="O149" i="71" s="1"/>
  <c r="M230" i="83"/>
  <c r="M104" i="71" s="1"/>
  <c r="M209" i="71" s="1"/>
  <c r="Q172" i="83"/>
  <c r="Q44" i="71" s="1"/>
  <c r="Q149" i="71" s="1"/>
  <c r="X143" i="83"/>
  <c r="N172" i="83"/>
  <c r="N44" i="71" s="1"/>
  <c r="N149" i="71" s="1"/>
  <c r="J183" i="73"/>
  <c r="J243" i="73" s="1"/>
  <c r="K150" i="73"/>
  <c r="K280" i="73" s="1"/>
  <c r="K43" i="74" s="1"/>
  <c r="K88" i="74" s="1"/>
  <c r="K153" i="73"/>
  <c r="K283" i="73" s="1"/>
  <c r="K46" i="74" s="1"/>
  <c r="K91" i="74" s="1"/>
  <c r="N153" i="73"/>
  <c r="N213" i="73" s="1"/>
  <c r="K183" i="73"/>
  <c r="K243" i="73" s="1"/>
  <c r="O180" i="73"/>
  <c r="O240" i="73" s="1"/>
  <c r="M150" i="73"/>
  <c r="M210" i="73" s="1"/>
  <c r="L176" i="73"/>
  <c r="L236" i="73" s="1"/>
  <c r="P172" i="83"/>
  <c r="P44" i="71" s="1"/>
  <c r="P149" i="71" s="1"/>
  <c r="V143" i="83"/>
  <c r="L230" i="83"/>
  <c r="L104" i="71" s="1"/>
  <c r="L209" i="71" s="1"/>
  <c r="Y143" i="83"/>
  <c r="M143" i="83"/>
  <c r="M145" i="72" s="1"/>
  <c r="M215" i="72" s="1"/>
  <c r="M245" i="72" s="1"/>
  <c r="R172" i="83"/>
  <c r="R44" i="71" s="1"/>
  <c r="R149" i="71" s="1"/>
  <c r="W230" i="83"/>
  <c r="W104" i="71" s="1"/>
  <c r="W209" i="71" s="1"/>
  <c r="L172" i="83"/>
  <c r="L44" i="71" s="1"/>
  <c r="L149" i="71" s="1"/>
  <c r="O143" i="83"/>
  <c r="O145" i="72" s="1"/>
  <c r="O215" i="72" s="1"/>
  <c r="O245" i="72" s="1"/>
  <c r="J149" i="73"/>
  <c r="J279" i="73" s="1"/>
  <c r="J42" i="74" s="1"/>
  <c r="J87" i="74" s="1"/>
  <c r="O179" i="73"/>
  <c r="O239" i="73" s="1"/>
  <c r="M149" i="73"/>
  <c r="M279" i="73" s="1"/>
  <c r="M42" i="74" s="1"/>
  <c r="M87" i="74" s="1"/>
  <c r="K229" i="83"/>
  <c r="K103" i="71" s="1"/>
  <c r="K208" i="71" s="1"/>
  <c r="R200" i="83"/>
  <c r="R73" i="71" s="1"/>
  <c r="R178" i="71" s="1"/>
  <c r="W142" i="83"/>
  <c r="Q142" i="83"/>
  <c r="Q144" i="72" s="1"/>
  <c r="Q214" i="72" s="1"/>
  <c r="Q244" i="72" s="1"/>
  <c r="T171" i="83"/>
  <c r="T43" i="71" s="1"/>
  <c r="T148" i="71" s="1"/>
  <c r="P229" i="83"/>
  <c r="P103" i="71" s="1"/>
  <c r="P208" i="71" s="1"/>
  <c r="V200" i="83"/>
  <c r="V73" i="71" s="1"/>
  <c r="V178" i="71" s="1"/>
  <c r="S171" i="83"/>
  <c r="S43" i="71" s="1"/>
  <c r="S148" i="71" s="1"/>
  <c r="K142" i="83"/>
  <c r="K144" i="72" s="1"/>
  <c r="K214" i="72" s="1"/>
  <c r="K244" i="72" s="1"/>
  <c r="J142" i="83"/>
  <c r="J144" i="72" s="1"/>
  <c r="J214" i="72" s="1"/>
  <c r="J244" i="72" s="1"/>
  <c r="O142" i="83"/>
  <c r="O144" i="72" s="1"/>
  <c r="O214" i="72" s="1"/>
  <c r="O244" i="72" s="1"/>
  <c r="L179" i="73"/>
  <c r="L239" i="73" s="1"/>
  <c r="K149" i="73"/>
  <c r="K209" i="73" s="1"/>
  <c r="N179" i="73"/>
  <c r="N239" i="73" s="1"/>
  <c r="V229" i="83"/>
  <c r="V103" i="71" s="1"/>
  <c r="V208" i="71" s="1"/>
  <c r="P171" i="83"/>
  <c r="P43" i="71" s="1"/>
  <c r="P148" i="71" s="1"/>
  <c r="X142" i="83"/>
  <c r="L171" i="83"/>
  <c r="L43" i="71" s="1"/>
  <c r="L148" i="71" s="1"/>
  <c r="K171" i="83"/>
  <c r="K43" i="71" s="1"/>
  <c r="K148" i="71" s="1"/>
  <c r="U229" i="83"/>
  <c r="U103" i="71" s="1"/>
  <c r="U208" i="71" s="1"/>
  <c r="M200" i="83"/>
  <c r="M73" i="71" s="1"/>
  <c r="M178" i="71" s="1"/>
  <c r="W200" i="83"/>
  <c r="W73" i="71" s="1"/>
  <c r="W178" i="71" s="1"/>
  <c r="P200" i="83"/>
  <c r="P73" i="71" s="1"/>
  <c r="P178" i="71" s="1"/>
  <c r="U142" i="83"/>
  <c r="M179" i="73"/>
  <c r="M239" i="73" s="1"/>
  <c r="Q179" i="73"/>
  <c r="Q239" i="73" s="1"/>
  <c r="N149" i="73"/>
  <c r="N209" i="73" s="1"/>
  <c r="X200" i="83"/>
  <c r="X73" i="71" s="1"/>
  <c r="X178" i="71" s="1"/>
  <c r="Y171" i="83"/>
  <c r="Y43" i="71" s="1"/>
  <c r="Y148" i="71" s="1"/>
  <c r="Q200" i="83"/>
  <c r="Q73" i="71" s="1"/>
  <c r="Q178" i="71" s="1"/>
  <c r="X171" i="83"/>
  <c r="X43" i="71" s="1"/>
  <c r="X148" i="71" s="1"/>
  <c r="V171" i="83"/>
  <c r="V43" i="71" s="1"/>
  <c r="V148" i="71" s="1"/>
  <c r="S229" i="83"/>
  <c r="S103" i="71" s="1"/>
  <c r="S208" i="71" s="1"/>
  <c r="L200" i="83"/>
  <c r="L73" i="71" s="1"/>
  <c r="L178" i="71" s="1"/>
  <c r="X229" i="83"/>
  <c r="X103" i="71" s="1"/>
  <c r="X208" i="71" s="1"/>
  <c r="L142" i="83"/>
  <c r="L144" i="72" s="1"/>
  <c r="L214" i="72" s="1"/>
  <c r="L244" i="72" s="1"/>
  <c r="O200" i="83"/>
  <c r="O73" i="71" s="1"/>
  <c r="O178" i="71" s="1"/>
  <c r="J179" i="73"/>
  <c r="J239" i="73" s="1"/>
  <c r="O149" i="73"/>
  <c r="O209" i="73" s="1"/>
  <c r="R142" i="83"/>
  <c r="L229" i="83"/>
  <c r="L103" i="71" s="1"/>
  <c r="L208" i="71" s="1"/>
  <c r="N200" i="83"/>
  <c r="N73" i="71" s="1"/>
  <c r="N178" i="71" s="1"/>
  <c r="N229" i="83"/>
  <c r="N103" i="71" s="1"/>
  <c r="N208" i="71" s="1"/>
  <c r="W171" i="83"/>
  <c r="W43" i="71" s="1"/>
  <c r="W148" i="71" s="1"/>
  <c r="S200" i="83"/>
  <c r="S73" i="71" s="1"/>
  <c r="S178" i="71" s="1"/>
  <c r="U171" i="83"/>
  <c r="U43" i="71" s="1"/>
  <c r="U148" i="71" s="1"/>
  <c r="J171" i="83"/>
  <c r="J43" i="71" s="1"/>
  <c r="J148" i="71" s="1"/>
  <c r="K200" i="83"/>
  <c r="K73" i="71" s="1"/>
  <c r="K178" i="71" s="1"/>
  <c r="Y229" i="83"/>
  <c r="Y103" i="71" s="1"/>
  <c r="Y208" i="71" s="1"/>
  <c r="T229" i="83"/>
  <c r="T103" i="71" s="1"/>
  <c r="T208" i="71" s="1"/>
  <c r="Q149" i="73"/>
  <c r="Q279" i="73" s="1"/>
  <c r="Q42" i="74" s="1"/>
  <c r="Q87" i="74" s="1"/>
  <c r="M142" i="83"/>
  <c r="M144" i="72" s="1"/>
  <c r="M214" i="72" s="1"/>
  <c r="M244" i="72" s="1"/>
  <c r="R229" i="83"/>
  <c r="R103" i="71" s="1"/>
  <c r="R208" i="71" s="1"/>
  <c r="M229" i="83"/>
  <c r="M103" i="71" s="1"/>
  <c r="M208" i="71" s="1"/>
  <c r="N171" i="83"/>
  <c r="N43" i="71" s="1"/>
  <c r="N148" i="71" s="1"/>
  <c r="T142" i="83"/>
  <c r="J200" i="83"/>
  <c r="J73" i="71" s="1"/>
  <c r="J178" i="71" s="1"/>
  <c r="S142" i="83"/>
  <c r="V142" i="83"/>
  <c r="U200" i="83"/>
  <c r="U73" i="71" s="1"/>
  <c r="U178" i="71" s="1"/>
  <c r="N142" i="83"/>
  <c r="N144" i="72" s="1"/>
  <c r="N214" i="72" s="1"/>
  <c r="N244" i="72" s="1"/>
  <c r="J176" i="73"/>
  <c r="J236" i="73" s="1"/>
  <c r="O146" i="73"/>
  <c r="O206" i="73" s="1"/>
  <c r="O176" i="73"/>
  <c r="O236" i="73" s="1"/>
  <c r="J146" i="73"/>
  <c r="J206" i="73" s="1"/>
  <c r="P176" i="73"/>
  <c r="P236" i="73" s="1"/>
  <c r="Q176" i="73"/>
  <c r="Q236" i="73" s="1"/>
  <c r="M146" i="73"/>
  <c r="M206" i="73" s="1"/>
  <c r="K146" i="73"/>
  <c r="K276" i="73" s="1"/>
  <c r="K39" i="74" s="1"/>
  <c r="K84" i="74" s="1"/>
  <c r="P146" i="73"/>
  <c r="P276" i="73" s="1"/>
  <c r="P39" i="74" s="1"/>
  <c r="P84" i="74" s="1"/>
  <c r="N146" i="73"/>
  <c r="N276" i="73" s="1"/>
  <c r="N39" i="74" s="1"/>
  <c r="N84" i="74" s="1"/>
  <c r="M176" i="73"/>
  <c r="M236" i="73" s="1"/>
  <c r="N176" i="73"/>
  <c r="N236" i="73" s="1"/>
  <c r="Q146" i="73"/>
  <c r="Q276" i="73" s="1"/>
  <c r="Q39" i="74" s="1"/>
  <c r="Q84" i="74" s="1"/>
  <c r="K36" i="71"/>
  <c r="K141" i="71" s="1"/>
  <c r="P36" i="71"/>
  <c r="P141" i="71" s="1"/>
  <c r="J36" i="71"/>
  <c r="J141" i="71" s="1"/>
  <c r="M36" i="71"/>
  <c r="M141" i="71" s="1"/>
  <c r="N36" i="71"/>
  <c r="N141" i="71" s="1"/>
  <c r="L36" i="71"/>
  <c r="L141" i="71" s="1"/>
  <c r="O36" i="71"/>
  <c r="O141" i="71" s="1"/>
  <c r="Q281" i="73"/>
  <c r="Q44" i="74" s="1"/>
  <c r="Q89" i="74" s="1"/>
  <c r="Q211" i="73"/>
  <c r="P281" i="73"/>
  <c r="P44" i="74" s="1"/>
  <c r="P89" i="74" s="1"/>
  <c r="P211" i="73"/>
  <c r="L285" i="73"/>
  <c r="L48" i="74" s="1"/>
  <c r="L93" i="74" s="1"/>
  <c r="L215" i="73"/>
  <c r="P215" i="73"/>
  <c r="P285" i="73"/>
  <c r="P48" i="74" s="1"/>
  <c r="P93" i="74" s="1"/>
  <c r="N207" i="73"/>
  <c r="N277" i="73"/>
  <c r="N40" i="74" s="1"/>
  <c r="N85" i="74" s="1"/>
  <c r="M277" i="73"/>
  <c r="M40" i="74" s="1"/>
  <c r="M85" i="74" s="1"/>
  <c r="M207" i="73"/>
  <c r="J211" i="73"/>
  <c r="J281" i="73"/>
  <c r="J44" i="74" s="1"/>
  <c r="J89" i="74" s="1"/>
  <c r="O285" i="73"/>
  <c r="O48" i="74" s="1"/>
  <c r="O93" i="74" s="1"/>
  <c r="O215" i="73"/>
  <c r="L206" i="73"/>
  <c r="L276" i="73"/>
  <c r="L39" i="74" s="1"/>
  <c r="L84" i="74" s="1"/>
  <c r="P214" i="73"/>
  <c r="P284" i="73"/>
  <c r="P47" i="74" s="1"/>
  <c r="P92" i="74" s="1"/>
  <c r="Q213" i="73"/>
  <c r="Q283" i="73"/>
  <c r="Q46" i="74" s="1"/>
  <c r="Q91" i="74" s="1"/>
  <c r="V36" i="71"/>
  <c r="V141" i="71" s="1"/>
  <c r="R36" i="71"/>
  <c r="R141" i="71" s="1"/>
  <c r="M215" i="73"/>
  <c r="M285" i="73"/>
  <c r="M48" i="74" s="1"/>
  <c r="M93" i="74" s="1"/>
  <c r="Q215" i="73"/>
  <c r="Q285" i="73"/>
  <c r="Q48" i="74" s="1"/>
  <c r="Q93" i="74" s="1"/>
  <c r="W36" i="71"/>
  <c r="W141" i="71" s="1"/>
  <c r="Q214" i="73"/>
  <c r="Q284" i="73"/>
  <c r="Q47" i="74" s="1"/>
  <c r="Q92" i="74" s="1"/>
  <c r="K215" i="73"/>
  <c r="K285" i="73"/>
  <c r="K48" i="74" s="1"/>
  <c r="K93" i="74" s="1"/>
  <c r="X36" i="71"/>
  <c r="X141" i="71" s="1"/>
  <c r="J283" i="73"/>
  <c r="J46" i="74" s="1"/>
  <c r="J91" i="74" s="1"/>
  <c r="J213" i="73"/>
  <c r="Q208" i="73"/>
  <c r="Q278" i="73"/>
  <c r="Q41" i="74" s="1"/>
  <c r="Q86" i="74" s="1"/>
  <c r="U36" i="71"/>
  <c r="U141" i="71" s="1"/>
  <c r="T36" i="71"/>
  <c r="T141" i="71" s="1"/>
  <c r="L281" i="73"/>
  <c r="L44" i="74" s="1"/>
  <c r="L89" i="74" s="1"/>
  <c r="L211" i="73"/>
  <c r="J285" i="73"/>
  <c r="J48" i="74" s="1"/>
  <c r="J93" i="74" s="1"/>
  <c r="J215" i="73"/>
  <c r="Y36" i="71"/>
  <c r="Y141" i="71" s="1"/>
  <c r="Q36" i="71"/>
  <c r="Q141" i="71" s="1"/>
  <c r="S36" i="71"/>
  <c r="S141" i="71" s="1"/>
  <c r="O211" i="73"/>
  <c r="O281" i="73"/>
  <c r="O44" i="74" s="1"/>
  <c r="O89" i="74" s="1"/>
  <c r="N285" i="73"/>
  <c r="N48" i="74" s="1"/>
  <c r="N93" i="74" s="1"/>
  <c r="N215" i="73"/>
  <c r="K211" i="73" l="1"/>
  <c r="J214" i="73"/>
  <c r="O212" i="73"/>
  <c r="L209" i="73"/>
  <c r="K214" i="73"/>
  <c r="K207" i="73"/>
  <c r="L284" i="73"/>
  <c r="L47" i="74" s="1"/>
  <c r="L92" i="74" s="1"/>
  <c r="L122" i="74" s="1"/>
  <c r="L154" i="74" s="1"/>
  <c r="N281" i="73"/>
  <c r="N44" i="74" s="1"/>
  <c r="N89" i="74" s="1"/>
  <c r="L278" i="73"/>
  <c r="L41" i="74" s="1"/>
  <c r="L86" i="74" s="1"/>
  <c r="O214" i="73"/>
  <c r="P213" i="73"/>
  <c r="M281" i="73"/>
  <c r="M44" i="74" s="1"/>
  <c r="M89" i="74" s="1"/>
  <c r="M284" i="73"/>
  <c r="M47" i="74" s="1"/>
  <c r="M92" i="74" s="1"/>
  <c r="M278" i="73"/>
  <c r="M41" i="74" s="1"/>
  <c r="M86" i="74" s="1"/>
  <c r="K213" i="73"/>
  <c r="Q277" i="73"/>
  <c r="Q40" i="74" s="1"/>
  <c r="Q85" i="74" s="1"/>
  <c r="P277" i="73"/>
  <c r="P40" i="74" s="1"/>
  <c r="P85" i="74" s="1"/>
  <c r="L207" i="73"/>
  <c r="N212" i="73"/>
  <c r="X218" i="71"/>
  <c r="X21" i="41" s="1"/>
  <c r="AN41" i="41" s="1"/>
  <c r="AN21" i="65" s="1"/>
  <c r="P282" i="73"/>
  <c r="P45" i="74" s="1"/>
  <c r="P90" i="74" s="1"/>
  <c r="P279" i="73"/>
  <c r="P42" i="74" s="1"/>
  <c r="P87" i="74" s="1"/>
  <c r="Q212" i="73"/>
  <c r="O279" i="73"/>
  <c r="O42" i="74" s="1"/>
  <c r="O87" i="74" s="1"/>
  <c r="S250" i="72"/>
  <c r="S26" i="41" s="1"/>
  <c r="AI46" i="41" s="1"/>
  <c r="AI26" i="65" s="1"/>
  <c r="AI116" i="65" s="1"/>
  <c r="AI38" i="82" s="1"/>
  <c r="W250" i="72"/>
  <c r="W26" i="41" s="1"/>
  <c r="AM46" i="41" s="1"/>
  <c r="AM26" i="65" s="1"/>
  <c r="AM116" i="65" s="1"/>
  <c r="AM127" i="65" s="1"/>
  <c r="AM156" i="65" s="1"/>
  <c r="AM61" i="105" s="1"/>
  <c r="AM101" i="105" s="1"/>
  <c r="M282" i="73"/>
  <c r="M45" i="74" s="1"/>
  <c r="M90" i="74" s="1"/>
  <c r="K120" i="74" s="1"/>
  <c r="K152" i="74" s="1"/>
  <c r="L282" i="73"/>
  <c r="L45" i="74" s="1"/>
  <c r="L90" i="74" s="1"/>
  <c r="Y250" i="72"/>
  <c r="Y26" i="41" s="1"/>
  <c r="AO46" i="41" s="1"/>
  <c r="AO26" i="65" s="1"/>
  <c r="AO116" i="65" s="1"/>
  <c r="AO127" i="65" s="1"/>
  <c r="AO156" i="65" s="1"/>
  <c r="AO61" i="105" s="1"/>
  <c r="AO101" i="105" s="1"/>
  <c r="K212" i="73"/>
  <c r="J282" i="73"/>
  <c r="J45" i="74" s="1"/>
  <c r="J90" i="74" s="1"/>
  <c r="J209" i="73"/>
  <c r="O277" i="73"/>
  <c r="O40" i="74" s="1"/>
  <c r="O85" i="74" s="1"/>
  <c r="P206" i="73"/>
  <c r="R250" i="72"/>
  <c r="R26" i="41" s="1"/>
  <c r="AH46" i="41" s="1"/>
  <c r="AH26" i="65" s="1"/>
  <c r="AH116" i="65" s="1"/>
  <c r="AH136" i="65" s="1"/>
  <c r="AH165" i="65" s="1"/>
  <c r="AH70" i="105" s="1"/>
  <c r="J280" i="73"/>
  <c r="J43" i="74" s="1"/>
  <c r="J88" i="74" s="1"/>
  <c r="N283" i="73"/>
  <c r="N46" i="74" s="1"/>
  <c r="N91" i="74" s="1"/>
  <c r="N121" i="74" s="1"/>
  <c r="N153" i="74" s="1"/>
  <c r="U218" i="71"/>
  <c r="U21" i="41" s="1"/>
  <c r="AK41" i="41" s="1"/>
  <c r="AK21" i="65" s="1"/>
  <c r="Q218" i="71"/>
  <c r="Q21" i="41" s="1"/>
  <c r="AG41" i="41" s="1"/>
  <c r="AG21" i="65" s="1"/>
  <c r="L257" i="73"/>
  <c r="L25" i="41" s="1"/>
  <c r="O45" i="41" s="1"/>
  <c r="L213" i="73"/>
  <c r="X219" i="71"/>
  <c r="X22" i="41" s="1"/>
  <c r="AN42" i="41" s="1"/>
  <c r="AN22" i="65" s="1"/>
  <c r="X250" i="72"/>
  <c r="X26" i="41" s="1"/>
  <c r="AN46" i="41" s="1"/>
  <c r="AN26" i="65" s="1"/>
  <c r="AN116" i="65" s="1"/>
  <c r="AL38" i="82" s="1"/>
  <c r="K279" i="73"/>
  <c r="K42" i="74" s="1"/>
  <c r="K87" i="74" s="1"/>
  <c r="S218" i="71"/>
  <c r="S21" i="41" s="1"/>
  <c r="AI41" i="41" s="1"/>
  <c r="AI21" i="65" s="1"/>
  <c r="K210" i="73"/>
  <c r="J207" i="73"/>
  <c r="N278" i="73"/>
  <c r="N41" i="74" s="1"/>
  <c r="N86" i="74" s="1"/>
  <c r="Q280" i="73"/>
  <c r="Q43" i="74" s="1"/>
  <c r="Q88" i="74" s="1"/>
  <c r="J218" i="71"/>
  <c r="J21" i="41" s="1"/>
  <c r="J41" i="41" s="1"/>
  <c r="J21" i="65" s="1"/>
  <c r="S219" i="71"/>
  <c r="S22" i="41" s="1"/>
  <c r="AI42" i="41" s="1"/>
  <c r="AI22" i="65" s="1"/>
  <c r="L218" i="71"/>
  <c r="L21" i="41" s="1"/>
  <c r="O41" i="41" s="1"/>
  <c r="P219" i="71"/>
  <c r="P22" i="41" s="1"/>
  <c r="AC42" i="41" s="1"/>
  <c r="U219" i="71"/>
  <c r="U22" i="41" s="1"/>
  <c r="AK42" i="41" s="1"/>
  <c r="AK22" i="65" s="1"/>
  <c r="T218" i="71"/>
  <c r="T21" i="41" s="1"/>
  <c r="AJ41" i="41" s="1"/>
  <c r="AJ21" i="65" s="1"/>
  <c r="O208" i="73"/>
  <c r="J278" i="73"/>
  <c r="J41" i="74" s="1"/>
  <c r="J86" i="74" s="1"/>
  <c r="R217" i="71"/>
  <c r="R20" i="41" s="1"/>
  <c r="AH40" i="41" s="1"/>
  <c r="AH20" i="65" s="1"/>
  <c r="M213" i="73"/>
  <c r="Y219" i="71"/>
  <c r="Y22" i="41" s="1"/>
  <c r="AO42" i="41" s="1"/>
  <c r="AO22" i="65" s="1"/>
  <c r="V218" i="71"/>
  <c r="V21" i="41" s="1"/>
  <c r="AL41" i="41" s="1"/>
  <c r="AL21" i="65" s="1"/>
  <c r="W219" i="71"/>
  <c r="W22" i="41" s="1"/>
  <c r="AM42" i="41" s="1"/>
  <c r="AM22" i="65" s="1"/>
  <c r="T219" i="71"/>
  <c r="T22" i="41" s="1"/>
  <c r="AJ42" i="41" s="1"/>
  <c r="AJ78" i="41" s="1"/>
  <c r="V217" i="71"/>
  <c r="V20" i="41" s="1"/>
  <c r="AL40" i="41" s="1"/>
  <c r="AL20" i="65" s="1"/>
  <c r="Q209" i="73"/>
  <c r="U239" i="83"/>
  <c r="P210" i="73"/>
  <c r="M209" i="73"/>
  <c r="R219" i="71"/>
  <c r="R22" i="41" s="1"/>
  <c r="AH42" i="41" s="1"/>
  <c r="AH78" i="41" s="1"/>
  <c r="P218" i="71"/>
  <c r="P21" i="41" s="1"/>
  <c r="AD41" i="41" s="1"/>
  <c r="O250" i="72"/>
  <c r="O26" i="41" s="1"/>
  <c r="X46" i="41" s="1"/>
  <c r="J219" i="71"/>
  <c r="J22" i="41" s="1"/>
  <c r="J42" i="41" s="1"/>
  <c r="J78" i="41" s="1"/>
  <c r="W218" i="71"/>
  <c r="W21" i="41" s="1"/>
  <c r="AM41" i="41" s="1"/>
  <c r="AM21" i="65" s="1"/>
  <c r="Y218" i="71"/>
  <c r="Y21" i="41" s="1"/>
  <c r="AO41" i="41" s="1"/>
  <c r="AO21" i="65" s="1"/>
  <c r="K219" i="71"/>
  <c r="K22" i="41" s="1"/>
  <c r="K42" i="41" s="1"/>
  <c r="K22" i="65" s="1"/>
  <c r="K257" i="73"/>
  <c r="K25" i="41" s="1"/>
  <c r="K45" i="41" s="1"/>
  <c r="K25" i="65" s="1"/>
  <c r="K115" i="65" s="1"/>
  <c r="Q219" i="71"/>
  <c r="Q22" i="41" s="1"/>
  <c r="AG42" i="41" s="1"/>
  <c r="AG22" i="65" s="1"/>
  <c r="R218" i="71"/>
  <c r="R21" i="41" s="1"/>
  <c r="AH41" i="41" s="1"/>
  <c r="AH77" i="41" s="1"/>
  <c r="O219" i="71"/>
  <c r="O22" i="41" s="1"/>
  <c r="W42" i="41" s="1"/>
  <c r="V250" i="72"/>
  <c r="V26" i="41" s="1"/>
  <c r="AL46" i="41" s="1"/>
  <c r="AL26" i="65" s="1"/>
  <c r="AL116" i="65" s="1"/>
  <c r="AL145" i="65" s="1"/>
  <c r="AL174" i="65" s="1"/>
  <c r="AL79" i="105" s="1"/>
  <c r="P250" i="72"/>
  <c r="P26" i="41" s="1"/>
  <c r="AF46" i="41" s="1"/>
  <c r="AF82" i="41" s="1"/>
  <c r="T250" i="72"/>
  <c r="T26" i="41" s="1"/>
  <c r="AJ46" i="41" s="1"/>
  <c r="AJ82" i="41" s="1"/>
  <c r="U250" i="72"/>
  <c r="U26" i="41" s="1"/>
  <c r="AK46" i="41" s="1"/>
  <c r="AK82" i="41" s="1"/>
  <c r="N279" i="73"/>
  <c r="N42" i="74" s="1"/>
  <c r="N87" i="74" s="1"/>
  <c r="U217" i="71"/>
  <c r="U20" i="41" s="1"/>
  <c r="AK40" i="41" s="1"/>
  <c r="AK20" i="65" s="1"/>
  <c r="N284" i="73"/>
  <c r="N47" i="74" s="1"/>
  <c r="N92" i="74" s="1"/>
  <c r="L219" i="71"/>
  <c r="L22" i="41" s="1"/>
  <c r="L42" i="41" s="1"/>
  <c r="J276" i="73"/>
  <c r="J39" i="74" s="1"/>
  <c r="J84" i="74" s="1"/>
  <c r="P278" i="73"/>
  <c r="P41" i="74" s="1"/>
  <c r="P86" i="74" s="1"/>
  <c r="O280" i="73"/>
  <c r="O43" i="74" s="1"/>
  <c r="O88" i="74" s="1"/>
  <c r="N210" i="73"/>
  <c r="J217" i="71"/>
  <c r="J20" i="41" s="1"/>
  <c r="J40" i="41" s="1"/>
  <c r="J76" i="41" s="1"/>
  <c r="M250" i="72"/>
  <c r="M26" i="41" s="1"/>
  <c r="Q46" i="41" s="1"/>
  <c r="Q26" i="65" s="1"/>
  <c r="Q116" i="65" s="1"/>
  <c r="Y239" i="83"/>
  <c r="T217" i="71"/>
  <c r="T20" i="41" s="1"/>
  <c r="AJ40" i="41" s="1"/>
  <c r="AJ76" i="41" s="1"/>
  <c r="K208" i="73"/>
  <c r="M280" i="73"/>
  <c r="M43" i="74" s="1"/>
  <c r="M88" i="74" s="1"/>
  <c r="N206" i="73"/>
  <c r="P239" i="83"/>
  <c r="M218" i="71"/>
  <c r="M21" i="41" s="1"/>
  <c r="Q41" i="41" s="1"/>
  <c r="Q77" i="41" s="1"/>
  <c r="V219" i="71"/>
  <c r="V22" i="41" s="1"/>
  <c r="AL42" i="41" s="1"/>
  <c r="AL78" i="41" s="1"/>
  <c r="Y217" i="71"/>
  <c r="Y20" i="41" s="1"/>
  <c r="AO40" i="41" s="1"/>
  <c r="AO20" i="65" s="1"/>
  <c r="L280" i="73"/>
  <c r="L43" i="74" s="1"/>
  <c r="L88" i="74" s="1"/>
  <c r="J257" i="73"/>
  <c r="J25" i="41" s="1"/>
  <c r="J45" i="41" s="1"/>
  <c r="J25" i="65" s="1"/>
  <c r="J115" i="65" s="1"/>
  <c r="O217" i="71"/>
  <c r="O20" i="41" s="1"/>
  <c r="M217" i="71"/>
  <c r="M20" i="41" s="1"/>
  <c r="Q40" i="41" s="1"/>
  <c r="N250" i="72"/>
  <c r="N26" i="41" s="1"/>
  <c r="R46" i="41" s="1"/>
  <c r="N219" i="71"/>
  <c r="N22" i="41" s="1"/>
  <c r="V42" i="41" s="1"/>
  <c r="O218" i="71"/>
  <c r="O21" i="41" s="1"/>
  <c r="X41" i="41" s="1"/>
  <c r="M257" i="73"/>
  <c r="M25" i="41" s="1"/>
  <c r="Q45" i="41" s="1"/>
  <c r="Q81" i="41" s="1"/>
  <c r="K218" i="71"/>
  <c r="K21" i="41" s="1"/>
  <c r="K41" i="41" s="1"/>
  <c r="K21" i="65" s="1"/>
  <c r="Q250" i="72"/>
  <c r="Q26" i="41" s="1"/>
  <c r="AG46" i="41" s="1"/>
  <c r="AG26" i="65" s="1"/>
  <c r="AG116" i="65" s="1"/>
  <c r="AG38" i="82" s="1"/>
  <c r="L250" i="72"/>
  <c r="L26" i="41" s="1"/>
  <c r="O46" i="41" s="1"/>
  <c r="O257" i="73"/>
  <c r="O25" i="41" s="1"/>
  <c r="Z45" i="41" s="1"/>
  <c r="Q206" i="73"/>
  <c r="N257" i="73"/>
  <c r="N25" i="41" s="1"/>
  <c r="U45" i="41" s="1"/>
  <c r="Q257" i="73"/>
  <c r="Q25" i="41" s="1"/>
  <c r="AG45" i="41" s="1"/>
  <c r="AG25" i="65" s="1"/>
  <c r="AG115" i="65" s="1"/>
  <c r="M219" i="71"/>
  <c r="M22" i="41" s="1"/>
  <c r="Q42" i="41" s="1"/>
  <c r="Q22" i="65" s="1"/>
  <c r="J250" i="72"/>
  <c r="J26" i="41" s="1"/>
  <c r="J46" i="41" s="1"/>
  <c r="J26" i="65" s="1"/>
  <c r="J116" i="65" s="1"/>
  <c r="N218" i="71"/>
  <c r="N21" i="41" s="1"/>
  <c r="R41" i="41" s="1"/>
  <c r="W217" i="71"/>
  <c r="W20" i="41" s="1"/>
  <c r="AM40" i="41" s="1"/>
  <c r="AM20" i="65" s="1"/>
  <c r="S239" i="83"/>
  <c r="M276" i="73"/>
  <c r="M39" i="74" s="1"/>
  <c r="M84" i="74" s="1"/>
  <c r="P257" i="73"/>
  <c r="P25" i="41" s="1"/>
  <c r="AB45" i="41" s="1"/>
  <c r="S217" i="71"/>
  <c r="S20" i="41" s="1"/>
  <c r="AI40" i="41" s="1"/>
  <c r="AI20" i="65" s="1"/>
  <c r="N239" i="83"/>
  <c r="Q239" i="83"/>
  <c r="T239" i="83"/>
  <c r="R239" i="83"/>
  <c r="L239" i="83"/>
  <c r="Q217" i="71"/>
  <c r="Q20" i="41" s="1"/>
  <c r="AG40" i="41" s="1"/>
  <c r="AG76" i="41" s="1"/>
  <c r="L217" i="71"/>
  <c r="L20" i="41" s="1"/>
  <c r="N40" i="41" s="1"/>
  <c r="AM78" i="41"/>
  <c r="X239" i="83"/>
  <c r="N217" i="71"/>
  <c r="N20" i="41" s="1"/>
  <c r="T40" i="41" s="1"/>
  <c r="T20" i="65" s="1"/>
  <c r="P217" i="71"/>
  <c r="P20" i="41" s="1"/>
  <c r="K239" i="83"/>
  <c r="X217" i="71"/>
  <c r="X20" i="41" s="1"/>
  <c r="AN40" i="41" s="1"/>
  <c r="AN20" i="65" s="1"/>
  <c r="W239" i="83"/>
  <c r="O213" i="73"/>
  <c r="O239" i="83"/>
  <c r="K217" i="71"/>
  <c r="K20" i="41" s="1"/>
  <c r="K40" i="41" s="1"/>
  <c r="H237" i="83" a="1"/>
  <c r="H237" i="83" s="1"/>
  <c r="K250" i="72"/>
  <c r="K26" i="41" s="1"/>
  <c r="K46" i="41" s="1"/>
  <c r="K82" i="41" s="1"/>
  <c r="M239" i="83"/>
  <c r="V239" i="83"/>
  <c r="K206" i="73"/>
  <c r="O276" i="73"/>
  <c r="O39" i="74" s="1"/>
  <c r="O84" i="74" s="1"/>
  <c r="J239" i="83"/>
  <c r="O42" i="41"/>
  <c r="L121" i="74"/>
  <c r="L153" i="74" s="1"/>
  <c r="J121" i="74"/>
  <c r="J153" i="74" s="1"/>
  <c r="AG136" i="65"/>
  <c r="AG165" i="65" s="1"/>
  <c r="AG70" i="105" s="1"/>
  <c r="AG127" i="65"/>
  <c r="AG156" i="65" s="1"/>
  <c r="AG61" i="105" s="1"/>
  <c r="AG101" i="105" s="1"/>
  <c r="L117" i="74"/>
  <c r="L149" i="74" s="1"/>
  <c r="J117" i="74"/>
  <c r="J149" i="74" s="1"/>
  <c r="O123" i="74"/>
  <c r="O155" i="74" s="1"/>
  <c r="N123" i="74"/>
  <c r="N155" i="74" s="1"/>
  <c r="P123" i="74"/>
  <c r="P155" i="74" s="1"/>
  <c r="T123" i="74"/>
  <c r="T155" i="74" s="1"/>
  <c r="M123" i="74"/>
  <c r="M155" i="74" s="1"/>
  <c r="R123" i="74"/>
  <c r="R155" i="74" s="1"/>
  <c r="V123" i="74"/>
  <c r="V155" i="74" s="1"/>
  <c r="S123" i="74"/>
  <c r="S155" i="74" s="1"/>
  <c r="Q123" i="74"/>
  <c r="Q155" i="74" s="1"/>
  <c r="U123" i="74"/>
  <c r="U155" i="74" s="1"/>
  <c r="K123" i="74"/>
  <c r="K155" i="74" s="1"/>
  <c r="X123" i="74"/>
  <c r="X155" i="74" s="1"/>
  <c r="W123" i="74"/>
  <c r="W155" i="74" s="1"/>
  <c r="Y123" i="74"/>
  <c r="Y155" i="74" s="1"/>
  <c r="J123" i="74"/>
  <c r="J155" i="74" s="1"/>
  <c r="L123" i="74"/>
  <c r="L155" i="74" s="1"/>
  <c r="J115" i="74"/>
  <c r="J147" i="74" s="1"/>
  <c r="L115" i="74"/>
  <c r="L147" i="74" s="1"/>
  <c r="J119" i="74"/>
  <c r="J151" i="74" s="1"/>
  <c r="L119" i="74"/>
  <c r="L151" i="74" s="1"/>
  <c r="P42" i="41" l="1"/>
  <c r="W119" i="74"/>
  <c r="W151" i="74" s="1"/>
  <c r="S115" i="74"/>
  <c r="S147" i="74" s="1"/>
  <c r="Q21" i="65"/>
  <c r="AI77" i="41"/>
  <c r="AB41" i="41"/>
  <c r="K81" i="41"/>
  <c r="P256" i="73"/>
  <c r="P24" i="41" s="1"/>
  <c r="L120" i="74"/>
  <c r="L152" i="74" s="1"/>
  <c r="AI145" i="65"/>
  <c r="AI174" i="65" s="1"/>
  <c r="AI79" i="105" s="1"/>
  <c r="M42" i="41"/>
  <c r="J122" i="74"/>
  <c r="J154" i="74" s="1"/>
  <c r="M256" i="73"/>
  <c r="M24" i="41" s="1"/>
  <c r="Q44" i="41" s="1"/>
  <c r="Q24" i="65" s="1"/>
  <c r="Q114" i="65" s="1"/>
  <c r="O115" i="74"/>
  <c r="O147" i="74" s="1"/>
  <c r="L45" i="41"/>
  <c r="L81" i="41" s="1"/>
  <c r="AL76" i="41"/>
  <c r="Q115" i="74"/>
  <c r="Q147" i="74" s="1"/>
  <c r="N45" i="41"/>
  <c r="N81" i="41" s="1"/>
  <c r="AO77" i="41"/>
  <c r="M45" i="41"/>
  <c r="AL82" i="41"/>
  <c r="P45" i="41"/>
  <c r="P81" i="41" s="1"/>
  <c r="Z41" i="41"/>
  <c r="N42" i="41"/>
  <c r="N78" i="41" s="1"/>
  <c r="Y120" i="74"/>
  <c r="Y152" i="74" s="1"/>
  <c r="AI78" i="41"/>
  <c r="M120" i="74"/>
  <c r="M152" i="74" s="1"/>
  <c r="AH38" i="82"/>
  <c r="AK76" i="41"/>
  <c r="O120" i="74"/>
  <c r="O152" i="74" s="1"/>
  <c r="U115" i="74"/>
  <c r="U147" i="74" s="1"/>
  <c r="Q120" i="74"/>
  <c r="Q152" i="74" s="1"/>
  <c r="W120" i="74"/>
  <c r="W152" i="74" s="1"/>
  <c r="T115" i="74"/>
  <c r="T147" i="74" s="1"/>
  <c r="V115" i="74"/>
  <c r="V147" i="74" s="1"/>
  <c r="N115" i="74"/>
  <c r="N147" i="74" s="1"/>
  <c r="AG77" i="41"/>
  <c r="L118" i="74"/>
  <c r="L150" i="74" s="1"/>
  <c r="X119" i="74"/>
  <c r="X151" i="74" s="1"/>
  <c r="V120" i="74"/>
  <c r="V152" i="74" s="1"/>
  <c r="S120" i="74"/>
  <c r="S152" i="74" s="1"/>
  <c r="Y115" i="74"/>
  <c r="Y147" i="74" s="1"/>
  <c r="P120" i="74"/>
  <c r="P152" i="74" s="1"/>
  <c r="R120" i="74"/>
  <c r="R152" i="74" s="1"/>
  <c r="N120" i="74"/>
  <c r="N152" i="74" s="1"/>
  <c r="P115" i="74"/>
  <c r="P147" i="74" s="1"/>
  <c r="M115" i="74"/>
  <c r="M147" i="74" s="1"/>
  <c r="J116" i="74"/>
  <c r="J148" i="74" s="1"/>
  <c r="X120" i="74"/>
  <c r="X152" i="74" s="1"/>
  <c r="X115" i="74"/>
  <c r="X147" i="74" s="1"/>
  <c r="U120" i="74"/>
  <c r="U152" i="74" s="1"/>
  <c r="R115" i="74"/>
  <c r="R147" i="74" s="1"/>
  <c r="W115" i="74"/>
  <c r="W147" i="74" s="1"/>
  <c r="T120" i="74"/>
  <c r="T152" i="74" s="1"/>
  <c r="K115" i="74"/>
  <c r="K147" i="74" s="1"/>
  <c r="AN77" i="41"/>
  <c r="AH76" i="41"/>
  <c r="V119" i="74"/>
  <c r="V151" i="74" s="1"/>
  <c r="AF42" i="41"/>
  <c r="AD42" i="41"/>
  <c r="AD78" i="41" s="1"/>
  <c r="S119" i="74"/>
  <c r="S151" i="74" s="1"/>
  <c r="R119" i="74"/>
  <c r="R151" i="74" s="1"/>
  <c r="U122" i="74"/>
  <c r="U154" i="74" s="1"/>
  <c r="AC41" i="41"/>
  <c r="AC21" i="65" s="1"/>
  <c r="N119" i="74"/>
  <c r="N151" i="74" s="1"/>
  <c r="Y119" i="74"/>
  <c r="Y151" i="74" s="1"/>
  <c r="O119" i="74"/>
  <c r="O151" i="74" s="1"/>
  <c r="AF41" i="41"/>
  <c r="AB42" i="41"/>
  <c r="AB22" i="65" s="1"/>
  <c r="L256" i="73"/>
  <c r="L24" i="41" s="1"/>
  <c r="M44" i="41" s="1"/>
  <c r="K121" i="74"/>
  <c r="K153" i="74" s="1"/>
  <c r="T121" i="74"/>
  <c r="T153" i="74" s="1"/>
  <c r="U119" i="74"/>
  <c r="U151" i="74" s="1"/>
  <c r="M119" i="74"/>
  <c r="M151" i="74" s="1"/>
  <c r="P119" i="74"/>
  <c r="P151" i="74" s="1"/>
  <c r="AE41" i="41"/>
  <c r="AE77" i="41" s="1"/>
  <c r="AJ26" i="65"/>
  <c r="AJ116" i="65" s="1"/>
  <c r="AJ145" i="65" s="1"/>
  <c r="AJ174" i="65" s="1"/>
  <c r="AJ79" i="105" s="1"/>
  <c r="AJ121" i="105" s="1"/>
  <c r="N122" i="74"/>
  <c r="N154" i="74" s="1"/>
  <c r="Q119" i="74"/>
  <c r="Q151" i="74" s="1"/>
  <c r="K119" i="74"/>
  <c r="K151" i="74" s="1"/>
  <c r="U42" i="41"/>
  <c r="U22" i="65" s="1"/>
  <c r="AE42" i="41"/>
  <c r="AE78" i="41" s="1"/>
  <c r="AN78" i="41"/>
  <c r="N256" i="73"/>
  <c r="N24" i="41" s="1"/>
  <c r="V44" i="41" s="1"/>
  <c r="T119" i="74"/>
  <c r="T151" i="74" s="1"/>
  <c r="Z46" i="41"/>
  <c r="J118" i="74"/>
  <c r="J150" i="74" s="1"/>
  <c r="Q118" i="74"/>
  <c r="Q150" i="74" s="1"/>
  <c r="Q78" i="41"/>
  <c r="AE45" i="41"/>
  <c r="AE25" i="65" s="1"/>
  <c r="AE115" i="65" s="1"/>
  <c r="AE126" i="65" s="1"/>
  <c r="AE155" i="65" s="1"/>
  <c r="AE60" i="105" s="1"/>
  <c r="AE100" i="105" s="1"/>
  <c r="Y41" i="41"/>
  <c r="Y77" i="41" s="1"/>
  <c r="R42" i="41"/>
  <c r="AI127" i="65"/>
  <c r="AI156" i="65" s="1"/>
  <c r="AI61" i="105" s="1"/>
  <c r="AI101" i="105" s="1"/>
  <c r="AJ20" i="65"/>
  <c r="AO76" i="41"/>
  <c r="S41" i="41"/>
  <c r="S77" i="41" s="1"/>
  <c r="T42" i="41"/>
  <c r="T78" i="41" s="1"/>
  <c r="U46" i="41"/>
  <c r="V41" i="41"/>
  <c r="V21" i="65" s="1"/>
  <c r="P40" i="41"/>
  <c r="P20" i="65" s="1"/>
  <c r="K256" i="73"/>
  <c r="K24" i="41" s="1"/>
  <c r="K44" i="41" s="1"/>
  <c r="K80" i="41" s="1"/>
  <c r="S121" i="74"/>
  <c r="S153" i="74" s="1"/>
  <c r="T41" i="41"/>
  <c r="T77" i="41" s="1"/>
  <c r="X45" i="41"/>
  <c r="AI82" i="41"/>
  <c r="AM82" i="41"/>
  <c r="P121" i="74"/>
  <c r="P153" i="74" s="1"/>
  <c r="Y45" i="41"/>
  <c r="Y25" i="65" s="1"/>
  <c r="Y115" i="65" s="1"/>
  <c r="AG82" i="41"/>
  <c r="M116" i="74"/>
  <c r="M148" i="74" s="1"/>
  <c r="AH145" i="65"/>
  <c r="AH174" i="65" s="1"/>
  <c r="AH79" i="105" s="1"/>
  <c r="AH121" i="105" s="1"/>
  <c r="AH127" i="65"/>
  <c r="AH156" i="65" s="1"/>
  <c r="AH61" i="105" s="1"/>
  <c r="AH101" i="105" s="1"/>
  <c r="P114" i="74"/>
  <c r="P146" i="74" s="1"/>
  <c r="Q256" i="73"/>
  <c r="Q24" i="41" s="1"/>
  <c r="AG44" i="41" s="1"/>
  <c r="AG24" i="65" s="1"/>
  <c r="AG114" i="65" s="1"/>
  <c r="L41" i="41"/>
  <c r="L21" i="65" s="1"/>
  <c r="V45" i="41"/>
  <c r="O122" i="74"/>
  <c r="O154" i="74" s="1"/>
  <c r="AH82" i="41"/>
  <c r="V122" i="74"/>
  <c r="V154" i="74" s="1"/>
  <c r="L116" i="74"/>
  <c r="L148" i="74" s="1"/>
  <c r="AO82" i="41"/>
  <c r="T117" i="74"/>
  <c r="T149" i="74" s="1"/>
  <c r="J256" i="73"/>
  <c r="J24" i="41" s="1"/>
  <c r="J44" i="41" s="1"/>
  <c r="J24" i="65" s="1"/>
  <c r="J114" i="65" s="1"/>
  <c r="V121" i="74"/>
  <c r="V153" i="74" s="1"/>
  <c r="AF45" i="41"/>
  <c r="AF81" i="41" s="1"/>
  <c r="AN82" i="41"/>
  <c r="O121" i="74"/>
  <c r="O153" i="74" s="1"/>
  <c r="S116" i="74"/>
  <c r="S148" i="74" s="1"/>
  <c r="AG145" i="65"/>
  <c r="AG174" i="65" s="1"/>
  <c r="AG79" i="105" s="1"/>
  <c r="AG121" i="105" s="1"/>
  <c r="O114" i="74"/>
  <c r="O146" i="74" s="1"/>
  <c r="J120" i="74"/>
  <c r="J152" i="74" s="1"/>
  <c r="K26" i="65"/>
  <c r="K116" i="65" s="1"/>
  <c r="K38" i="82" s="1"/>
  <c r="AK77" i="41"/>
  <c r="M121" i="74"/>
  <c r="M153" i="74" s="1"/>
  <c r="R121" i="74"/>
  <c r="R153" i="74" s="1"/>
  <c r="O116" i="74"/>
  <c r="O148" i="74" s="1"/>
  <c r="Y46" i="41"/>
  <c r="Y26" i="65" s="1"/>
  <c r="Y116" i="65" s="1"/>
  <c r="W114" i="74"/>
  <c r="W146" i="74" s="1"/>
  <c r="AA46" i="41"/>
  <c r="AA26" i="65" s="1"/>
  <c r="AA116" i="65" s="1"/>
  <c r="U116" i="74"/>
  <c r="U148" i="74" s="1"/>
  <c r="N116" i="74"/>
  <c r="N148" i="74" s="1"/>
  <c r="S114" i="74"/>
  <c r="S146" i="74" s="1"/>
  <c r="X121" i="74"/>
  <c r="X153" i="74" s="1"/>
  <c r="Q121" i="74"/>
  <c r="Q153" i="74" s="1"/>
  <c r="AN127" i="65"/>
  <c r="AN156" i="65" s="1"/>
  <c r="AN61" i="105" s="1"/>
  <c r="AN101" i="105" s="1"/>
  <c r="W116" i="74"/>
  <c r="W148" i="74" s="1"/>
  <c r="Q116" i="74"/>
  <c r="Q148" i="74" s="1"/>
  <c r="U114" i="74"/>
  <c r="U146" i="74" s="1"/>
  <c r="Q114" i="74"/>
  <c r="Q146" i="74" s="1"/>
  <c r="J22" i="65"/>
  <c r="AG78" i="41"/>
  <c r="AK26" i="65"/>
  <c r="AK116" i="65" s="1"/>
  <c r="AK127" i="65" s="1"/>
  <c r="AK156" i="65" s="1"/>
  <c r="AK61" i="105" s="1"/>
  <c r="AK101" i="105" s="1"/>
  <c r="Y116" i="74"/>
  <c r="Y148" i="74" s="1"/>
  <c r="U121" i="74"/>
  <c r="U153" i="74" s="1"/>
  <c r="W121" i="74"/>
  <c r="W153" i="74" s="1"/>
  <c r="AN145" i="65"/>
  <c r="AN174" i="65" s="1"/>
  <c r="AN79" i="105" s="1"/>
  <c r="AN199" i="105" s="1"/>
  <c r="K116" i="74"/>
  <c r="K148" i="74" s="1"/>
  <c r="Y114" i="74"/>
  <c r="Y146" i="74" s="1"/>
  <c r="J20" i="65"/>
  <c r="W46" i="41"/>
  <c r="W26" i="65" s="1"/>
  <c r="W116" i="65" s="1"/>
  <c r="J81" i="41"/>
  <c r="Y121" i="74"/>
  <c r="Y153" i="74" s="1"/>
  <c r="AG20" i="65"/>
  <c r="R45" i="41"/>
  <c r="Q25" i="65"/>
  <c r="Q115" i="65" s="1"/>
  <c r="Q144" i="65" s="1"/>
  <c r="Q173" i="65" s="1"/>
  <c r="Q78" i="105" s="1"/>
  <c r="Q120" i="105" s="1"/>
  <c r="AK78" i="41"/>
  <c r="AJ77" i="41"/>
  <c r="P118" i="74"/>
  <c r="P150" i="74" s="1"/>
  <c r="U117" i="74"/>
  <c r="U149" i="74" s="1"/>
  <c r="N117" i="74"/>
  <c r="N149" i="74" s="1"/>
  <c r="S117" i="74"/>
  <c r="S149" i="74" s="1"/>
  <c r="S118" i="74"/>
  <c r="S150" i="74" s="1"/>
  <c r="W118" i="74"/>
  <c r="W150" i="74" s="1"/>
  <c r="U118" i="74"/>
  <c r="U150" i="74" s="1"/>
  <c r="X117" i="74"/>
  <c r="X149" i="74" s="1"/>
  <c r="K77" i="41"/>
  <c r="J77" i="41"/>
  <c r="AA42" i="41"/>
  <c r="AA78" i="41" s="1"/>
  <c r="O256" i="73"/>
  <c r="O24" i="41" s="1"/>
  <c r="W44" i="41" s="1"/>
  <c r="Z42" i="41"/>
  <c r="Z78" i="41" s="1"/>
  <c r="S122" i="74"/>
  <c r="S154" i="74" s="1"/>
  <c r="M122" i="74"/>
  <c r="M154" i="74" s="1"/>
  <c r="Q122" i="74"/>
  <c r="Q154" i="74" s="1"/>
  <c r="M41" i="41"/>
  <c r="M21" i="65" s="1"/>
  <c r="K78" i="41"/>
  <c r="AE46" i="41"/>
  <c r="AE26" i="65" s="1"/>
  <c r="AE116" i="65" s="1"/>
  <c r="AE127" i="65" s="1"/>
  <c r="AE156" i="65" s="1"/>
  <c r="AE61" i="105" s="1"/>
  <c r="AE101" i="105" s="1"/>
  <c r="W122" i="74"/>
  <c r="W154" i="74" s="1"/>
  <c r="AN76" i="41"/>
  <c r="P41" i="41"/>
  <c r="P21" i="65" s="1"/>
  <c r="AF26" i="65"/>
  <c r="AF116" i="65" s="1"/>
  <c r="AF38" i="82" s="1"/>
  <c r="AB46" i="41"/>
  <c r="AB26" i="65" s="1"/>
  <c r="AB116" i="65" s="1"/>
  <c r="AB127" i="65" s="1"/>
  <c r="AB156" i="65" s="1"/>
  <c r="AB61" i="105" s="1"/>
  <c r="AB101" i="105" s="1"/>
  <c r="AD46" i="41"/>
  <c r="AD82" i="41" s="1"/>
  <c r="AH22" i="65"/>
  <c r="K122" i="74"/>
  <c r="K154" i="74" s="1"/>
  <c r="X122" i="74"/>
  <c r="X154" i="74" s="1"/>
  <c r="Q82" i="41"/>
  <c r="N41" i="41"/>
  <c r="N77" i="41" s="1"/>
  <c r="Y122" i="74"/>
  <c r="Y154" i="74" s="1"/>
  <c r="R122" i="74"/>
  <c r="R154" i="74" s="1"/>
  <c r="AJ22" i="65"/>
  <c r="T122" i="74"/>
  <c r="T154" i="74" s="1"/>
  <c r="P122" i="74"/>
  <c r="P154" i="74" s="1"/>
  <c r="AG81" i="41"/>
  <c r="AC46" i="41"/>
  <c r="AB25" i="65"/>
  <c r="AB115" i="65" s="1"/>
  <c r="AB37" i="82" s="1"/>
  <c r="AB81" i="41"/>
  <c r="O117" i="74"/>
  <c r="O149" i="74" s="1"/>
  <c r="AM77" i="41"/>
  <c r="X42" i="41"/>
  <c r="X22" i="65" s="1"/>
  <c r="H223" i="71" a="1"/>
  <c r="H223" i="71" s="1"/>
  <c r="A4" i="71" s="1"/>
  <c r="U41" i="41"/>
  <c r="U77" i="41" s="1"/>
  <c r="AA45" i="41"/>
  <c r="S42" i="41"/>
  <c r="S78" i="41" s="1"/>
  <c r="AA41" i="41"/>
  <c r="AA21" i="65" s="1"/>
  <c r="Y42" i="41"/>
  <c r="Y78" i="41" s="1"/>
  <c r="AC45" i="41"/>
  <c r="AL77" i="41"/>
  <c r="X114" i="74"/>
  <c r="X146" i="74" s="1"/>
  <c r="N118" i="74"/>
  <c r="N150" i="74" s="1"/>
  <c r="AL127" i="65"/>
  <c r="AL156" i="65" s="1"/>
  <c r="AL61" i="105" s="1"/>
  <c r="AL101" i="105" s="1"/>
  <c r="AM76" i="41"/>
  <c r="V117" i="74"/>
  <c r="V149" i="74" s="1"/>
  <c r="M118" i="74"/>
  <c r="M150" i="74" s="1"/>
  <c r="T118" i="74"/>
  <c r="T150" i="74" s="1"/>
  <c r="AI76" i="41"/>
  <c r="W117" i="74"/>
  <c r="W149" i="74" s="1"/>
  <c r="V118" i="74"/>
  <c r="V150" i="74" s="1"/>
  <c r="X118" i="74"/>
  <c r="X150" i="74" s="1"/>
  <c r="R118" i="74"/>
  <c r="R150" i="74" s="1"/>
  <c r="AK38" i="82"/>
  <c r="R116" i="74"/>
  <c r="R148" i="74" s="1"/>
  <c r="X116" i="74"/>
  <c r="X148" i="74" s="1"/>
  <c r="P116" i="74"/>
  <c r="P148" i="74" s="1"/>
  <c r="P117" i="74"/>
  <c r="P149" i="74" s="1"/>
  <c r="Q117" i="74"/>
  <c r="Q149" i="74" s="1"/>
  <c r="M117" i="74"/>
  <c r="M149" i="74" s="1"/>
  <c r="W45" i="41"/>
  <c r="W25" i="65" s="1"/>
  <c r="W115" i="65" s="1"/>
  <c r="W41" i="41"/>
  <c r="W21" i="65" s="1"/>
  <c r="AD45" i="41"/>
  <c r="O118" i="74"/>
  <c r="O150" i="74" s="1"/>
  <c r="Y118" i="74"/>
  <c r="Y150" i="74" s="1"/>
  <c r="K117" i="74"/>
  <c r="K149" i="74" s="1"/>
  <c r="K118" i="74"/>
  <c r="K150" i="74" s="1"/>
  <c r="V116" i="74"/>
  <c r="V148" i="74" s="1"/>
  <c r="T116" i="74"/>
  <c r="T148" i="74" s="1"/>
  <c r="Y117" i="74"/>
  <c r="Y149" i="74" s="1"/>
  <c r="R117" i="74"/>
  <c r="R149" i="74" s="1"/>
  <c r="AO78" i="41"/>
  <c r="AH21" i="65"/>
  <c r="N114" i="74"/>
  <c r="N146" i="74" s="1"/>
  <c r="R114" i="74"/>
  <c r="R146" i="74" s="1"/>
  <c r="V46" i="41"/>
  <c r="V82" i="41" s="1"/>
  <c r="T114" i="74"/>
  <c r="T146" i="74" s="1"/>
  <c r="M114" i="74"/>
  <c r="M146" i="74" s="1"/>
  <c r="T46" i="41"/>
  <c r="T26" i="65" s="1"/>
  <c r="T116" i="65" s="1"/>
  <c r="M46" i="41"/>
  <c r="M82" i="41" s="1"/>
  <c r="AL22" i="65"/>
  <c r="H239" i="83"/>
  <c r="H241" i="83" s="1"/>
  <c r="J48" i="55" s="1"/>
  <c r="J82" i="41"/>
  <c r="S46" i="41"/>
  <c r="S26" i="65" s="1"/>
  <c r="S116" i="65" s="1"/>
  <c r="L46" i="41"/>
  <c r="L26" i="65" s="1"/>
  <c r="L116" i="65" s="1"/>
  <c r="K114" i="74"/>
  <c r="K146" i="74" s="1"/>
  <c r="V114" i="74"/>
  <c r="V146" i="74" s="1"/>
  <c r="P46" i="41"/>
  <c r="P82" i="41" s="1"/>
  <c r="H254" i="72" a="1"/>
  <c r="H254" i="72" s="1"/>
  <c r="J52" i="55" s="1"/>
  <c r="N46" i="41"/>
  <c r="N82" i="41" s="1"/>
  <c r="S45" i="41"/>
  <c r="S25" i="65" s="1"/>
  <c r="S115" i="65" s="1"/>
  <c r="T45" i="41"/>
  <c r="T81" i="41" s="1"/>
  <c r="Q20" i="65"/>
  <c r="Q76" i="41"/>
  <c r="Y40" i="41"/>
  <c r="AA40" i="41"/>
  <c r="W40" i="41"/>
  <c r="X40" i="41"/>
  <c r="Z40" i="41"/>
  <c r="J136" i="65"/>
  <c r="J165" i="65" s="1"/>
  <c r="J70" i="105" s="1"/>
  <c r="J188" i="105" s="1"/>
  <c r="J127" i="65"/>
  <c r="J156" i="65" s="1"/>
  <c r="J61" i="105" s="1"/>
  <c r="J101" i="105" s="1"/>
  <c r="J145" i="65"/>
  <c r="J174" i="65" s="1"/>
  <c r="J79" i="105" s="1"/>
  <c r="J199" i="105" s="1"/>
  <c r="J38" i="82"/>
  <c r="N76" i="41"/>
  <c r="N20" i="65"/>
  <c r="L40" i="41"/>
  <c r="AE81" i="41"/>
  <c r="M40" i="41"/>
  <c r="O40" i="41"/>
  <c r="K76" i="41"/>
  <c r="K20" i="65"/>
  <c r="AF40" i="41"/>
  <c r="AE40" i="41"/>
  <c r="AB40" i="41"/>
  <c r="AC40" i="41"/>
  <c r="AD40" i="41"/>
  <c r="S40" i="41"/>
  <c r="R40" i="41"/>
  <c r="U40" i="41"/>
  <c r="V40" i="41"/>
  <c r="V77" i="41"/>
  <c r="T76" i="41"/>
  <c r="R21" i="65"/>
  <c r="R77" i="41"/>
  <c r="M25" i="65"/>
  <c r="M115" i="65" s="1"/>
  <c r="M81" i="41"/>
  <c r="AF77" i="41"/>
  <c r="AF21" i="65"/>
  <c r="Z77" i="41"/>
  <c r="Z21" i="65"/>
  <c r="W22" i="65"/>
  <c r="W78" i="41"/>
  <c r="L25" i="65"/>
  <c r="L115" i="65" s="1"/>
  <c r="P25" i="65"/>
  <c r="P115" i="65" s="1"/>
  <c r="Z25" i="65"/>
  <c r="Z115" i="65" s="1"/>
  <c r="Z81" i="41"/>
  <c r="M78" i="41"/>
  <c r="M22" i="65"/>
  <c r="AA44" i="41"/>
  <c r="X44" i="41"/>
  <c r="Y21" i="65"/>
  <c r="X26" i="65"/>
  <c r="X116" i="65" s="1"/>
  <c r="X82" i="41"/>
  <c r="O22" i="65"/>
  <c r="O78" i="41"/>
  <c r="V78" i="41"/>
  <c r="V22" i="65"/>
  <c r="O82" i="41"/>
  <c r="O26" i="65"/>
  <c r="O116" i="65" s="1"/>
  <c r="AC78" i="41"/>
  <c r="AC22" i="65"/>
  <c r="U81" i="41"/>
  <c r="U25" i="65"/>
  <c r="U115" i="65" s="1"/>
  <c r="AG135" i="65"/>
  <c r="AG164" i="65" s="1"/>
  <c r="AG69" i="105" s="1"/>
  <c r="AG144" i="65"/>
  <c r="AG173" i="65" s="1"/>
  <c r="AG78" i="105" s="1"/>
  <c r="AG37" i="82"/>
  <c r="AG126" i="65"/>
  <c r="AG155" i="65" s="1"/>
  <c r="AG60" i="105" s="1"/>
  <c r="AG100" i="105" s="1"/>
  <c r="O81" i="41"/>
  <c r="O25" i="65"/>
  <c r="O115" i="65" s="1"/>
  <c r="X25" i="65"/>
  <c r="X115" i="65" s="1"/>
  <c r="X81" i="41"/>
  <c r="Y82" i="41"/>
  <c r="L22" i="65"/>
  <c r="L78" i="41"/>
  <c r="AD21" i="65"/>
  <c r="AD77" i="41"/>
  <c r="AD22" i="65"/>
  <c r="R81" i="41"/>
  <c r="R25" i="65"/>
  <c r="R115" i="65" s="1"/>
  <c r="K37" i="82"/>
  <c r="K144" i="65"/>
  <c r="K173" i="65" s="1"/>
  <c r="K78" i="105" s="1"/>
  <c r="K120" i="105" s="1"/>
  <c r="K135" i="65"/>
  <c r="K164" i="65" s="1"/>
  <c r="K69" i="105" s="1"/>
  <c r="K110" i="105" s="1"/>
  <c r="K126" i="65"/>
  <c r="K155" i="65" s="1"/>
  <c r="K60" i="105" s="1"/>
  <c r="K100" i="105" s="1"/>
  <c r="X78" i="41"/>
  <c r="Q38" i="82"/>
  <c r="Q136" i="65"/>
  <c r="Q165" i="65" s="1"/>
  <c r="Q70" i="105" s="1"/>
  <c r="Q127" i="65"/>
  <c r="Q156" i="65" s="1"/>
  <c r="Q61" i="105" s="1"/>
  <c r="Q101" i="105" s="1"/>
  <c r="Q145" i="65"/>
  <c r="Q174" i="65" s="1"/>
  <c r="Q79" i="105" s="1"/>
  <c r="O21" i="65"/>
  <c r="O77" i="41"/>
  <c r="P78" i="41"/>
  <c r="P22" i="65"/>
  <c r="U78" i="41"/>
  <c r="AB21" i="65"/>
  <c r="AB77" i="41"/>
  <c r="R26" i="65"/>
  <c r="R116" i="65" s="1"/>
  <c r="R82" i="41"/>
  <c r="J37" i="82"/>
  <c r="J126" i="65"/>
  <c r="J155" i="65" s="1"/>
  <c r="J60" i="105" s="1"/>
  <c r="J100" i="105" s="1"/>
  <c r="J135" i="65"/>
  <c r="J164" i="65" s="1"/>
  <c r="J69" i="105" s="1"/>
  <c r="J144" i="65"/>
  <c r="J173" i="65" s="1"/>
  <c r="J78" i="105" s="1"/>
  <c r="AF22" i="65"/>
  <c r="AF78" i="41"/>
  <c r="V81" i="41"/>
  <c r="V25" i="65"/>
  <c r="V115" i="65" s="1"/>
  <c r="N25" i="65"/>
  <c r="N115" i="65" s="1"/>
  <c r="AA81" i="41"/>
  <c r="AA25" i="65"/>
  <c r="AA115" i="65" s="1"/>
  <c r="Z26" i="65"/>
  <c r="Z116" i="65" s="1"/>
  <c r="Z82" i="41"/>
  <c r="N22" i="65"/>
  <c r="R22" i="65"/>
  <c r="R78" i="41"/>
  <c r="AC77" i="41"/>
  <c r="U82" i="41"/>
  <c r="U26" i="65"/>
  <c r="U116" i="65" s="1"/>
  <c r="R44" i="41"/>
  <c r="T44" i="41"/>
  <c r="AB78" i="41"/>
  <c r="AD44" i="41"/>
  <c r="AB44" i="41"/>
  <c r="AF44" i="41"/>
  <c r="AE44" i="41"/>
  <c r="AC44" i="41"/>
  <c r="X21" i="65"/>
  <c r="X77" i="41"/>
  <c r="L114" i="74"/>
  <c r="L146" i="74" s="1"/>
  <c r="L161" i="74" s="1"/>
  <c r="L23" i="41" s="1"/>
  <c r="J114" i="74"/>
  <c r="AH188" i="105"/>
  <c r="AH111" i="105"/>
  <c r="AH199" i="105"/>
  <c r="AL199" i="105"/>
  <c r="AL121" i="105"/>
  <c r="AI199" i="105"/>
  <c r="AI121" i="105"/>
  <c r="AG188" i="105"/>
  <c r="AG111" i="105"/>
  <c r="T21" i="65" l="1"/>
  <c r="AN121" i="105"/>
  <c r="Y22" i="65"/>
  <c r="Y81" i="41"/>
  <c r="U44" i="41"/>
  <c r="U24" i="65" s="1"/>
  <c r="U114" i="65" s="1"/>
  <c r="S44" i="41"/>
  <c r="S24" i="65" s="1"/>
  <c r="S114" i="65" s="1"/>
  <c r="AE144" i="65"/>
  <c r="AE173" i="65" s="1"/>
  <c r="AE78" i="105" s="1"/>
  <c r="AE198" i="105" s="1"/>
  <c r="K136" i="65"/>
  <c r="K165" i="65" s="1"/>
  <c r="K70" i="105" s="1"/>
  <c r="Q80" i="41"/>
  <c r="AG80" i="41"/>
  <c r="S21" i="65"/>
  <c r="AB38" i="82"/>
  <c r="AE37" i="82"/>
  <c r="K127" i="65"/>
  <c r="K156" i="65" s="1"/>
  <c r="K61" i="105" s="1"/>
  <c r="K101" i="105" s="1"/>
  <c r="K145" i="65"/>
  <c r="K174" i="65" s="1"/>
  <c r="K79" i="105" s="1"/>
  <c r="K24" i="65"/>
  <c r="K114" i="65" s="1"/>
  <c r="K143" i="65" s="1"/>
  <c r="K172" i="65" s="1"/>
  <c r="K77" i="105" s="1"/>
  <c r="K119" i="105" s="1"/>
  <c r="O44" i="41"/>
  <c r="O24" i="65" s="1"/>
  <c r="O114" i="65" s="1"/>
  <c r="W77" i="41"/>
  <c r="N21" i="65"/>
  <c r="AB145" i="65"/>
  <c r="AB174" i="65" s="1"/>
  <c r="AB79" i="105" s="1"/>
  <c r="AB121" i="105" s="1"/>
  <c r="Y44" i="41"/>
  <c r="Y80" i="41" s="1"/>
  <c r="Z44" i="41"/>
  <c r="Z80" i="41" s="1"/>
  <c r="AB82" i="41"/>
  <c r="H291" i="73" a="1"/>
  <c r="H291" i="73" s="1"/>
  <c r="H295" i="73" s="1"/>
  <c r="A4" i="73" s="1"/>
  <c r="P76" i="41"/>
  <c r="L44" i="41"/>
  <c r="L80" i="41" s="1"/>
  <c r="M77" i="41"/>
  <c r="AG199" i="105"/>
  <c r="W82" i="41"/>
  <c r="N44" i="41"/>
  <c r="N24" i="65" s="1"/>
  <c r="N114" i="65" s="1"/>
  <c r="T82" i="41"/>
  <c r="P44" i="41"/>
  <c r="P80" i="41" s="1"/>
  <c r="S81" i="41"/>
  <c r="J80" i="41"/>
  <c r="AA22" i="65"/>
  <c r="AE22" i="65"/>
  <c r="AE21" i="65"/>
  <c r="AF127" i="65"/>
  <c r="AF156" i="65" s="1"/>
  <c r="AF61" i="105" s="1"/>
  <c r="AF101" i="105" s="1"/>
  <c r="L82" i="41"/>
  <c r="P26" i="65"/>
  <c r="P116" i="65" s="1"/>
  <c r="P38" i="82" s="1"/>
  <c r="AJ136" i="65"/>
  <c r="AJ165" i="65" s="1"/>
  <c r="AJ70" i="105" s="1"/>
  <c r="AJ38" i="82"/>
  <c r="AJ127" i="65"/>
  <c r="AJ156" i="65" s="1"/>
  <c r="AJ61" i="105" s="1"/>
  <c r="AJ101" i="105" s="1"/>
  <c r="U161" i="74"/>
  <c r="U23" i="41" s="1"/>
  <c r="AK43" i="41" s="1"/>
  <c r="AK23" i="65" s="1"/>
  <c r="Z22" i="65"/>
  <c r="AE38" i="82"/>
  <c r="T22" i="65"/>
  <c r="L77" i="41"/>
  <c r="AA82" i="41"/>
  <c r="J111" i="105"/>
  <c r="AF25" i="65"/>
  <c r="AF115" i="65" s="1"/>
  <c r="AF37" i="82" s="1"/>
  <c r="M161" i="74"/>
  <c r="M23" i="41" s="1"/>
  <c r="Q43" i="41" s="1"/>
  <c r="Q79" i="41" s="1"/>
  <c r="O161" i="74"/>
  <c r="O23" i="41" s="1"/>
  <c r="W43" i="41" s="1"/>
  <c r="Y161" i="74"/>
  <c r="Y23" i="41" s="1"/>
  <c r="AO43" i="41" s="1"/>
  <c r="AO23" i="65" s="1"/>
  <c r="N161" i="74"/>
  <c r="N23" i="41" s="1"/>
  <c r="U43" i="41" s="1"/>
  <c r="U21" i="65"/>
  <c r="Q161" i="74"/>
  <c r="Q23" i="41" s="1"/>
  <c r="AG43" i="41" s="1"/>
  <c r="AG79" i="41" s="1"/>
  <c r="Q135" i="65"/>
  <c r="Q164" i="65" s="1"/>
  <c r="Q69" i="105" s="1"/>
  <c r="Q110" i="105" s="1"/>
  <c r="S22" i="65"/>
  <c r="Q126" i="65"/>
  <c r="Q155" i="65" s="1"/>
  <c r="Q60" i="105" s="1"/>
  <c r="Q100" i="105" s="1"/>
  <c r="T161" i="74"/>
  <c r="T23" i="41" s="1"/>
  <c r="AJ43" i="41" s="1"/>
  <c r="AJ23" i="65" s="1"/>
  <c r="Q37" i="82"/>
  <c r="P77" i="41"/>
  <c r="S161" i="74"/>
  <c r="S23" i="41" s="1"/>
  <c r="AI43" i="41" s="1"/>
  <c r="AI79" i="41" s="1"/>
  <c r="AI83" i="41" s="1"/>
  <c r="K161" i="74"/>
  <c r="K23" i="41" s="1"/>
  <c r="K43" i="41" s="1"/>
  <c r="K23" i="65" s="1"/>
  <c r="X161" i="74"/>
  <c r="X23" i="41" s="1"/>
  <c r="AN43" i="41" s="1"/>
  <c r="AN23" i="65" s="1"/>
  <c r="AB126" i="65"/>
  <c r="AB155" i="65" s="1"/>
  <c r="AB60" i="105" s="1"/>
  <c r="AB100" i="105" s="1"/>
  <c r="V26" i="65"/>
  <c r="V116" i="65" s="1"/>
  <c r="V38" i="82" s="1"/>
  <c r="AB144" i="65"/>
  <c r="AB173" i="65" s="1"/>
  <c r="AB78" i="105" s="1"/>
  <c r="AB120" i="105" s="1"/>
  <c r="R161" i="74"/>
  <c r="R23" i="41" s="1"/>
  <c r="AH43" i="41" s="1"/>
  <c r="AH23" i="65" s="1"/>
  <c r="V161" i="74"/>
  <c r="V23" i="41" s="1"/>
  <c r="AL43" i="41" s="1"/>
  <c r="AL23" i="65" s="1"/>
  <c r="W161" i="74"/>
  <c r="W23" i="41" s="1"/>
  <c r="AM43" i="41" s="1"/>
  <c r="AM23" i="65" s="1"/>
  <c r="P161" i="74"/>
  <c r="P23" i="41" s="1"/>
  <c r="AC43" i="41" s="1"/>
  <c r="AC23" i="65" s="1"/>
  <c r="AC82" i="41"/>
  <c r="AC26" i="65"/>
  <c r="AC116" i="65" s="1"/>
  <c r="T25" i="65"/>
  <c r="T115" i="65" s="1"/>
  <c r="T37" i="82" s="1"/>
  <c r="AF145" i="65"/>
  <c r="AF174" i="65" s="1"/>
  <c r="AF79" i="105" s="1"/>
  <c r="AF199" i="105" s="1"/>
  <c r="AE82" i="41"/>
  <c r="AA77" i="41"/>
  <c r="AE145" i="65"/>
  <c r="AE174" i="65" s="1"/>
  <c r="AE79" i="105" s="1"/>
  <c r="AE199" i="105" s="1"/>
  <c r="W81" i="41"/>
  <c r="AD26" i="65"/>
  <c r="AD116" i="65" s="1"/>
  <c r="J50" i="55"/>
  <c r="AG110" i="105"/>
  <c r="AG187" i="105"/>
  <c r="AC81" i="41"/>
  <c r="AC25" i="65"/>
  <c r="AC115" i="65" s="1"/>
  <c r="AJ199" i="105"/>
  <c r="M26" i="65"/>
  <c r="M116" i="65" s="1"/>
  <c r="M38" i="82" s="1"/>
  <c r="AD81" i="41"/>
  <c r="AD25" i="65"/>
  <c r="AD115" i="65" s="1"/>
  <c r="AG120" i="105"/>
  <c r="AG198" i="105"/>
  <c r="N26" i="65"/>
  <c r="N116" i="65" s="1"/>
  <c r="N127" i="65" s="1"/>
  <c r="N156" i="65" s="1"/>
  <c r="N61" i="105" s="1"/>
  <c r="N101" i="105" s="1"/>
  <c r="S82" i="41"/>
  <c r="A4" i="72"/>
  <c r="A4" i="83"/>
  <c r="AA20" i="65"/>
  <c r="AA76" i="41"/>
  <c r="J121" i="105"/>
  <c r="Y20" i="65"/>
  <c r="Y76" i="41"/>
  <c r="Z76" i="41"/>
  <c r="Z20" i="65"/>
  <c r="X20" i="65"/>
  <c r="X76" i="41"/>
  <c r="W20" i="65"/>
  <c r="W76" i="41"/>
  <c r="L20" i="65"/>
  <c r="L76" i="41"/>
  <c r="O20" i="65"/>
  <c r="O76" i="41"/>
  <c r="M20" i="65"/>
  <c r="M76" i="41"/>
  <c r="R20" i="65"/>
  <c r="R76" i="41"/>
  <c r="S20" i="65"/>
  <c r="S76" i="41"/>
  <c r="AE20" i="65"/>
  <c r="AE76" i="41"/>
  <c r="AB20" i="65"/>
  <c r="AB76" i="41"/>
  <c r="AF76" i="41"/>
  <c r="AF20" i="65"/>
  <c r="V20" i="65"/>
  <c r="V76" i="41"/>
  <c r="AD20" i="65"/>
  <c r="AD76" i="41"/>
  <c r="U20" i="65"/>
  <c r="U76" i="41"/>
  <c r="AC76" i="41"/>
  <c r="AC20" i="65"/>
  <c r="H78" i="41"/>
  <c r="AC80" i="41"/>
  <c r="AC24" i="65"/>
  <c r="AC114" i="65" s="1"/>
  <c r="R24" i="65"/>
  <c r="R114" i="65" s="1"/>
  <c r="R80" i="41"/>
  <c r="J110" i="105"/>
  <c r="J187" i="105"/>
  <c r="Q188" i="105"/>
  <c r="Q111" i="105"/>
  <c r="U37" i="82"/>
  <c r="U144" i="65"/>
  <c r="U173" i="65" s="1"/>
  <c r="U78" i="105" s="1"/>
  <c r="U135" i="65"/>
  <c r="U164" i="65" s="1"/>
  <c r="U69" i="105" s="1"/>
  <c r="U126" i="65"/>
  <c r="U155" i="65" s="1"/>
  <c r="U60" i="105" s="1"/>
  <c r="U100" i="105" s="1"/>
  <c r="Q134" i="65"/>
  <c r="Q163" i="65" s="1"/>
  <c r="Q68" i="105" s="1"/>
  <c r="Q109" i="105" s="1"/>
  <c r="Q125" i="65"/>
  <c r="Q154" i="65" s="1"/>
  <c r="Q59" i="105" s="1"/>
  <c r="Q99" i="105" s="1"/>
  <c r="Q143" i="65"/>
  <c r="Q172" i="65" s="1"/>
  <c r="Q77" i="105" s="1"/>
  <c r="Q119" i="105" s="1"/>
  <c r="Q36" i="82"/>
  <c r="M80" i="41"/>
  <c r="M24" i="65"/>
  <c r="M114" i="65" s="1"/>
  <c r="AE24" i="65"/>
  <c r="AE114" i="65" s="1"/>
  <c r="AE80" i="41"/>
  <c r="U38" i="82"/>
  <c r="U145" i="65"/>
  <c r="U174" i="65" s="1"/>
  <c r="U79" i="105" s="1"/>
  <c r="U136" i="65"/>
  <c r="U165" i="65" s="1"/>
  <c r="U70" i="105" s="1"/>
  <c r="U127" i="65"/>
  <c r="U156" i="65" s="1"/>
  <c r="U61" i="105" s="1"/>
  <c r="U101" i="105" s="1"/>
  <c r="Z38" i="82"/>
  <c r="Z145" i="65"/>
  <c r="Z174" i="65" s="1"/>
  <c r="Z79" i="105" s="1"/>
  <c r="Z127" i="65"/>
  <c r="Z156" i="65" s="1"/>
  <c r="Z61" i="105" s="1"/>
  <c r="Z101" i="105" s="1"/>
  <c r="V126" i="65"/>
  <c r="V155" i="65" s="1"/>
  <c r="V60" i="105" s="1"/>
  <c r="V100" i="105" s="1"/>
  <c r="V135" i="65"/>
  <c r="V164" i="65" s="1"/>
  <c r="V69" i="105" s="1"/>
  <c r="V144" i="65"/>
  <c r="V173" i="65" s="1"/>
  <c r="V78" i="105" s="1"/>
  <c r="V37" i="82"/>
  <c r="Y38" i="82"/>
  <c r="Y145" i="65"/>
  <c r="Y174" i="65" s="1"/>
  <c r="Y79" i="105" s="1"/>
  <c r="Y127" i="65"/>
  <c r="Y156" i="65" s="1"/>
  <c r="Y61" i="105" s="1"/>
  <c r="Y101" i="105" s="1"/>
  <c r="X144" i="65"/>
  <c r="X173" i="65" s="1"/>
  <c r="X78" i="105" s="1"/>
  <c r="X37" i="82"/>
  <c r="X126" i="65"/>
  <c r="X155" i="65" s="1"/>
  <c r="X60" i="105" s="1"/>
  <c r="X100" i="105" s="1"/>
  <c r="T38" i="82"/>
  <c r="T145" i="65"/>
  <c r="T174" i="65" s="1"/>
  <c r="T79" i="105" s="1"/>
  <c r="T136" i="65"/>
  <c r="T165" i="65" s="1"/>
  <c r="T70" i="105" s="1"/>
  <c r="T127" i="65"/>
  <c r="T156" i="65" s="1"/>
  <c r="T61" i="105" s="1"/>
  <c r="T101" i="105" s="1"/>
  <c r="W24" i="65"/>
  <c r="W114" i="65" s="1"/>
  <c r="W80" i="41"/>
  <c r="S38" i="82"/>
  <c r="S136" i="65"/>
  <c r="S165" i="65" s="1"/>
  <c r="S70" i="105" s="1"/>
  <c r="S145" i="65"/>
  <c r="S174" i="65" s="1"/>
  <c r="S79" i="105" s="1"/>
  <c r="S127" i="65"/>
  <c r="S156" i="65" s="1"/>
  <c r="S61" i="105" s="1"/>
  <c r="S101" i="105" s="1"/>
  <c r="S37" i="82"/>
  <c r="S126" i="65"/>
  <c r="S155" i="65" s="1"/>
  <c r="S60" i="105" s="1"/>
  <c r="S100" i="105" s="1"/>
  <c r="S135" i="65"/>
  <c r="S164" i="65" s="1"/>
  <c r="S69" i="105" s="1"/>
  <c r="S144" i="65"/>
  <c r="S173" i="65" s="1"/>
  <c r="S78" i="105" s="1"/>
  <c r="AF24" i="65"/>
  <c r="AF114" i="65" s="1"/>
  <c r="AF80" i="41"/>
  <c r="R38" i="82"/>
  <c r="R145" i="65"/>
  <c r="R174" i="65" s="1"/>
  <c r="R79" i="105" s="1"/>
  <c r="R136" i="65"/>
  <c r="R165" i="65" s="1"/>
  <c r="R70" i="105" s="1"/>
  <c r="R127" i="65"/>
  <c r="R156" i="65" s="1"/>
  <c r="R61" i="105" s="1"/>
  <c r="R101" i="105" s="1"/>
  <c r="Y144" i="65"/>
  <c r="Y173" i="65" s="1"/>
  <c r="Y78" i="105" s="1"/>
  <c r="Y126" i="65"/>
  <c r="Y155" i="65" s="1"/>
  <c r="Y60" i="105" s="1"/>
  <c r="Y100" i="105" s="1"/>
  <c r="Y37" i="82"/>
  <c r="O126" i="65"/>
  <c r="O155" i="65" s="1"/>
  <c r="O60" i="105" s="1"/>
  <c r="O100" i="105" s="1"/>
  <c r="O135" i="65"/>
  <c r="O164" i="65" s="1"/>
  <c r="O69" i="105" s="1"/>
  <c r="O37" i="82"/>
  <c r="O144" i="65"/>
  <c r="O173" i="65" s="1"/>
  <c r="O78" i="105" s="1"/>
  <c r="X38" i="82"/>
  <c r="X145" i="65"/>
  <c r="X174" i="65" s="1"/>
  <c r="X79" i="105" s="1"/>
  <c r="X127" i="65"/>
  <c r="X156" i="65" s="1"/>
  <c r="X61" i="105" s="1"/>
  <c r="X101" i="105" s="1"/>
  <c r="AG134" i="65"/>
  <c r="AG163" i="65" s="1"/>
  <c r="AG68" i="105" s="1"/>
  <c r="AG143" i="65"/>
  <c r="AG172" i="65" s="1"/>
  <c r="AG77" i="105" s="1"/>
  <c r="AG125" i="65"/>
  <c r="AG154" i="65" s="1"/>
  <c r="AG59" i="105" s="1"/>
  <c r="AG99" i="105" s="1"/>
  <c r="AG36" i="82"/>
  <c r="Y24" i="65"/>
  <c r="Y114" i="65" s="1"/>
  <c r="P37" i="82"/>
  <c r="P144" i="65"/>
  <c r="P173" i="65" s="1"/>
  <c r="P78" i="105" s="1"/>
  <c r="P126" i="65"/>
  <c r="P155" i="65" s="1"/>
  <c r="P60" i="105" s="1"/>
  <c r="P100" i="105" s="1"/>
  <c r="P135" i="65"/>
  <c r="P164" i="65" s="1"/>
  <c r="P69" i="105" s="1"/>
  <c r="L37" i="82"/>
  <c r="L126" i="65"/>
  <c r="L155" i="65" s="1"/>
  <c r="L60" i="105" s="1"/>
  <c r="L100" i="105" s="1"/>
  <c r="L144" i="65"/>
  <c r="L173" i="65" s="1"/>
  <c r="L78" i="105" s="1"/>
  <c r="L135" i="65"/>
  <c r="L164" i="65" s="1"/>
  <c r="L69" i="105" s="1"/>
  <c r="W38" i="82"/>
  <c r="W127" i="65"/>
  <c r="W156" i="65" s="1"/>
  <c r="W61" i="105" s="1"/>
  <c r="W101" i="105" s="1"/>
  <c r="W145" i="65"/>
  <c r="W174" i="65" s="1"/>
  <c r="W79" i="105" s="1"/>
  <c r="AB24" i="65"/>
  <c r="AB114" i="65" s="1"/>
  <c r="AB80" i="41"/>
  <c r="N135" i="65"/>
  <c r="N164" i="65" s="1"/>
  <c r="N69" i="105" s="1"/>
  <c r="N37" i="82"/>
  <c r="N144" i="65"/>
  <c r="N173" i="65" s="1"/>
  <c r="N78" i="105" s="1"/>
  <c r="N126" i="65"/>
  <c r="N155" i="65" s="1"/>
  <c r="N60" i="105" s="1"/>
  <c r="N100" i="105" s="1"/>
  <c r="AD80" i="41"/>
  <c r="AD24" i="65"/>
  <c r="AD114" i="65" s="1"/>
  <c r="V24" i="65"/>
  <c r="V114" i="65" s="1"/>
  <c r="V80" i="41"/>
  <c r="L38" i="82"/>
  <c r="L145" i="65"/>
  <c r="L174" i="65" s="1"/>
  <c r="L79" i="105" s="1"/>
  <c r="L127" i="65"/>
  <c r="L156" i="65" s="1"/>
  <c r="L61" i="105" s="1"/>
  <c r="L101" i="105" s="1"/>
  <c r="L136" i="65"/>
  <c r="L165" i="65" s="1"/>
  <c r="L70" i="105" s="1"/>
  <c r="J36" i="82"/>
  <c r="J134" i="65"/>
  <c r="J163" i="65" s="1"/>
  <c r="J68" i="105" s="1"/>
  <c r="J125" i="65"/>
  <c r="J154" i="65" s="1"/>
  <c r="J59" i="105" s="1"/>
  <c r="J99" i="105" s="1"/>
  <c r="J143" i="65"/>
  <c r="J172" i="65" s="1"/>
  <c r="J77" i="105" s="1"/>
  <c r="Q199" i="105"/>
  <c r="Q121" i="105"/>
  <c r="R37" i="82"/>
  <c r="R144" i="65"/>
  <c r="R173" i="65" s="1"/>
  <c r="R78" i="105" s="1"/>
  <c r="R126" i="65"/>
  <c r="R155" i="65" s="1"/>
  <c r="R60" i="105" s="1"/>
  <c r="R100" i="105" s="1"/>
  <c r="R135" i="65"/>
  <c r="R164" i="65" s="1"/>
  <c r="R69" i="105" s="1"/>
  <c r="O38" i="82"/>
  <c r="O145" i="65"/>
  <c r="O174" i="65" s="1"/>
  <c r="O79" i="105" s="1"/>
  <c r="O127" i="65"/>
  <c r="O156" i="65" s="1"/>
  <c r="O61" i="105" s="1"/>
  <c r="O101" i="105" s="1"/>
  <c r="O136" i="65"/>
  <c r="O165" i="65" s="1"/>
  <c r="O70" i="105" s="1"/>
  <c r="K188" i="105"/>
  <c r="K111" i="105"/>
  <c r="X80" i="41"/>
  <c r="X24" i="65"/>
  <c r="X114" i="65" s="1"/>
  <c r="M37" i="82"/>
  <c r="M144" i="65"/>
  <c r="M173" i="65" s="1"/>
  <c r="M78" i="105" s="1"/>
  <c r="M126" i="65"/>
  <c r="M155" i="65" s="1"/>
  <c r="M60" i="105" s="1"/>
  <c r="M100" i="105" s="1"/>
  <c r="M135" i="65"/>
  <c r="M164" i="65" s="1"/>
  <c r="M69" i="105" s="1"/>
  <c r="T24" i="65"/>
  <c r="T114" i="65" s="1"/>
  <c r="T80" i="41"/>
  <c r="AA37" i="82"/>
  <c r="AA144" i="65"/>
  <c r="AA173" i="65" s="1"/>
  <c r="AA78" i="105" s="1"/>
  <c r="AA126" i="65"/>
  <c r="AA155" i="65" s="1"/>
  <c r="AA60" i="105" s="1"/>
  <c r="AA100" i="105" s="1"/>
  <c r="J198" i="105"/>
  <c r="J120" i="105"/>
  <c r="AA38" i="82"/>
  <c r="AA127" i="65"/>
  <c r="AA156" i="65" s="1"/>
  <c r="AA61" i="105" s="1"/>
  <c r="AA101" i="105" s="1"/>
  <c r="AA145" i="65"/>
  <c r="AA174" i="65" s="1"/>
  <c r="AA79" i="105" s="1"/>
  <c r="K199" i="105"/>
  <c r="K121" i="105"/>
  <c r="AA24" i="65"/>
  <c r="AA114" i="65" s="1"/>
  <c r="AA80" i="41"/>
  <c r="Z126" i="65"/>
  <c r="Z155" i="65" s="1"/>
  <c r="Z60" i="105" s="1"/>
  <c r="Z100" i="105" s="1"/>
  <c r="Z144" i="65"/>
  <c r="Z173" i="65" s="1"/>
  <c r="Z78" i="105" s="1"/>
  <c r="Z37" i="82"/>
  <c r="W144" i="65"/>
  <c r="W173" i="65" s="1"/>
  <c r="W78" i="105" s="1"/>
  <c r="W37" i="82"/>
  <c r="W126" i="65"/>
  <c r="W155" i="65" s="1"/>
  <c r="W60" i="105" s="1"/>
  <c r="W100" i="105" s="1"/>
  <c r="J146" i="74"/>
  <c r="J161" i="74" s="1"/>
  <c r="J23" i="41" s="1"/>
  <c r="J43" i="41" s="1"/>
  <c r="AG23" i="65"/>
  <c r="M43" i="41"/>
  <c r="N43" i="41"/>
  <c r="P43" i="41"/>
  <c r="O43" i="41"/>
  <c r="L43" i="41"/>
  <c r="K134" i="65" l="1"/>
  <c r="K163" i="65" s="1"/>
  <c r="K68" i="105" s="1"/>
  <c r="K109" i="105" s="1"/>
  <c r="AG83" i="41"/>
  <c r="K125" i="65"/>
  <c r="K154" i="65" s="1"/>
  <c r="K59" i="105" s="1"/>
  <c r="K99" i="105" s="1"/>
  <c r="K36" i="82"/>
  <c r="AF144" i="65"/>
  <c r="AF173" i="65" s="1"/>
  <c r="AF78" i="105" s="1"/>
  <c r="AF198" i="105" s="1"/>
  <c r="U80" i="41"/>
  <c r="Z43" i="41"/>
  <c r="Z23" i="65" s="1"/>
  <c r="S80" i="41"/>
  <c r="Y43" i="41"/>
  <c r="O80" i="41"/>
  <c r="L24" i="65"/>
  <c r="L114" i="65" s="1"/>
  <c r="L36" i="82" s="1"/>
  <c r="AE120" i="105"/>
  <c r="Q83" i="41"/>
  <c r="P145" i="65"/>
  <c r="P174" i="65" s="1"/>
  <c r="P79" i="105" s="1"/>
  <c r="P199" i="105" s="1"/>
  <c r="P127" i="65"/>
  <c r="P156" i="65" s="1"/>
  <c r="P61" i="105" s="1"/>
  <c r="P101" i="105" s="1"/>
  <c r="Z24" i="65"/>
  <c r="Z114" i="65" s="1"/>
  <c r="Z125" i="65" s="1"/>
  <c r="Z154" i="65" s="1"/>
  <c r="Z59" i="105" s="1"/>
  <c r="Z99" i="105" s="1"/>
  <c r="P136" i="65"/>
  <c r="P165" i="65" s="1"/>
  <c r="P70" i="105" s="1"/>
  <c r="P188" i="105" s="1"/>
  <c r="AB199" i="105"/>
  <c r="V136" i="65"/>
  <c r="V165" i="65" s="1"/>
  <c r="V70" i="105" s="1"/>
  <c r="V188" i="105" s="1"/>
  <c r="AK79" i="41"/>
  <c r="AK83" i="41" s="1"/>
  <c r="AE121" i="105"/>
  <c r="P24" i="65"/>
  <c r="P114" i="65" s="1"/>
  <c r="P143" i="65" s="1"/>
  <c r="P172" i="65" s="1"/>
  <c r="P77" i="105" s="1"/>
  <c r="V127" i="65"/>
  <c r="V156" i="65" s="1"/>
  <c r="V61" i="105" s="1"/>
  <c r="V101" i="105" s="1"/>
  <c r="H165" i="74" a="1"/>
  <c r="H165" i="74" s="1"/>
  <c r="J53" i="55" s="1"/>
  <c r="AJ188" i="105"/>
  <c r="AJ111" i="105"/>
  <c r="J51" i="55"/>
  <c r="AA43" i="41"/>
  <c r="AA23" i="65" s="1"/>
  <c r="V145" i="65"/>
  <c r="V174" i="65" s="1"/>
  <c r="V79" i="105" s="1"/>
  <c r="V121" i="105" s="1"/>
  <c r="N80" i="41"/>
  <c r="X43" i="41"/>
  <c r="X23" i="65" s="1"/>
  <c r="AO79" i="41"/>
  <c r="AO83" i="41" s="1"/>
  <c r="AE43" i="41"/>
  <c r="AE23" i="65" s="1"/>
  <c r="AF43" i="41"/>
  <c r="AF23" i="65" s="1"/>
  <c r="H82" i="41"/>
  <c r="S43" i="41"/>
  <c r="Q23" i="65"/>
  <c r="AI23" i="65"/>
  <c r="AB198" i="105"/>
  <c r="H77" i="41"/>
  <c r="T126" i="65"/>
  <c r="T155" i="65" s="1"/>
  <c r="T60" i="105" s="1"/>
  <c r="T100" i="105" s="1"/>
  <c r="AF126" i="65"/>
  <c r="AF155" i="65" s="1"/>
  <c r="AF60" i="105" s="1"/>
  <c r="AF100" i="105" s="1"/>
  <c r="T43" i="41"/>
  <c r="AJ79" i="41"/>
  <c r="AJ83" i="41" s="1"/>
  <c r="V43" i="41"/>
  <c r="V23" i="65" s="1"/>
  <c r="R43" i="41"/>
  <c r="R23" i="65" s="1"/>
  <c r="AC79" i="41"/>
  <c r="AC83" i="41" s="1"/>
  <c r="AD43" i="41"/>
  <c r="AD79" i="41" s="1"/>
  <c r="AD83" i="41" s="1"/>
  <c r="AB43" i="41"/>
  <c r="AB23" i="65" s="1"/>
  <c r="M145" i="65"/>
  <c r="M174" i="65" s="1"/>
  <c r="M79" i="105" s="1"/>
  <c r="M199" i="105" s="1"/>
  <c r="T144" i="65"/>
  <c r="T173" i="65" s="1"/>
  <c r="T78" i="105" s="1"/>
  <c r="T198" i="105" s="1"/>
  <c r="M136" i="65"/>
  <c r="M165" i="65" s="1"/>
  <c r="M70" i="105" s="1"/>
  <c r="M188" i="105" s="1"/>
  <c r="M127" i="65"/>
  <c r="M156" i="65" s="1"/>
  <c r="M61" i="105" s="1"/>
  <c r="M101" i="105" s="1"/>
  <c r="AH79" i="41"/>
  <c r="AH83" i="41" s="1"/>
  <c r="AN79" i="41"/>
  <c r="AN83" i="41" s="1"/>
  <c r="T135" i="65"/>
  <c r="T164" i="65" s="1"/>
  <c r="T69" i="105" s="1"/>
  <c r="T187" i="105" s="1"/>
  <c r="AM79" i="41"/>
  <c r="AM83" i="41" s="1"/>
  <c r="K79" i="41"/>
  <c r="K83" i="41" s="1"/>
  <c r="AL79" i="41"/>
  <c r="AL83" i="41" s="1"/>
  <c r="AF121" i="105"/>
  <c r="N136" i="65"/>
  <c r="N165" i="65" s="1"/>
  <c r="N70" i="105" s="1"/>
  <c r="N111" i="105" s="1"/>
  <c r="AD38" i="82"/>
  <c r="AD127" i="65"/>
  <c r="AD156" i="65" s="1"/>
  <c r="AD61" i="105" s="1"/>
  <c r="AD101" i="105" s="1"/>
  <c r="AD145" i="65"/>
  <c r="AD174" i="65" s="1"/>
  <c r="AD79" i="105" s="1"/>
  <c r="H81" i="41"/>
  <c r="AC127" i="65"/>
  <c r="AC156" i="65" s="1"/>
  <c r="AC61" i="105" s="1"/>
  <c r="AC101" i="105" s="1"/>
  <c r="AC38" i="82"/>
  <c r="AC145" i="65"/>
  <c r="AC174" i="65" s="1"/>
  <c r="AC79" i="105" s="1"/>
  <c r="AC37" i="82"/>
  <c r="AC144" i="65"/>
  <c r="AC173" i="65" s="1"/>
  <c r="AC78" i="105" s="1"/>
  <c r="AC126" i="65"/>
  <c r="AC155" i="65" s="1"/>
  <c r="AC60" i="105" s="1"/>
  <c r="AC100" i="105" s="1"/>
  <c r="AG119" i="105"/>
  <c r="AG197" i="105"/>
  <c r="N38" i="82"/>
  <c r="AG109" i="105"/>
  <c r="AG186" i="105"/>
  <c r="AD126" i="65"/>
  <c r="AD155" i="65" s="1"/>
  <c r="AD60" i="105" s="1"/>
  <c r="AD100" i="105" s="1"/>
  <c r="AD37" i="82"/>
  <c r="AD144" i="65"/>
  <c r="AD173" i="65" s="1"/>
  <c r="AD78" i="105" s="1"/>
  <c r="N145" i="65"/>
  <c r="N174" i="65" s="1"/>
  <c r="N79" i="105" s="1"/>
  <c r="N199" i="105" s="1"/>
  <c r="H76" i="41"/>
  <c r="W120" i="105"/>
  <c r="W198" i="105"/>
  <c r="Z198" i="105"/>
  <c r="Z120" i="105"/>
  <c r="L111" i="105"/>
  <c r="L188" i="105"/>
  <c r="AD36" i="82"/>
  <c r="AD143" i="65"/>
  <c r="AD172" i="65" s="1"/>
  <c r="AD77" i="105" s="1"/>
  <c r="AD125" i="65"/>
  <c r="AD154" i="65" s="1"/>
  <c r="AD59" i="105" s="1"/>
  <c r="AD99" i="105" s="1"/>
  <c r="N198" i="105"/>
  <c r="N120" i="105"/>
  <c r="AB143" i="65"/>
  <c r="AB172" i="65" s="1"/>
  <c r="AB77" i="105" s="1"/>
  <c r="AB125" i="65"/>
  <c r="AB154" i="65" s="1"/>
  <c r="AB59" i="105" s="1"/>
  <c r="AB99" i="105" s="1"/>
  <c r="AB36" i="82"/>
  <c r="L110" i="105"/>
  <c r="L187" i="105"/>
  <c r="P120" i="105"/>
  <c r="P198" i="105"/>
  <c r="R121" i="105"/>
  <c r="R199" i="105"/>
  <c r="Z199" i="105"/>
  <c r="Z121" i="105"/>
  <c r="T36" i="82"/>
  <c r="T143" i="65"/>
  <c r="T172" i="65" s="1"/>
  <c r="T77" i="105" s="1"/>
  <c r="T125" i="65"/>
  <c r="T154" i="65" s="1"/>
  <c r="T59" i="105" s="1"/>
  <c r="T99" i="105" s="1"/>
  <c r="T134" i="65"/>
  <c r="T163" i="65" s="1"/>
  <c r="T68" i="105" s="1"/>
  <c r="N125" i="65"/>
  <c r="N154" i="65" s="1"/>
  <c r="N59" i="105" s="1"/>
  <c r="N99" i="105" s="1"/>
  <c r="N36" i="82"/>
  <c r="N143" i="65"/>
  <c r="N172" i="65" s="1"/>
  <c r="N77" i="105" s="1"/>
  <c r="N134" i="65"/>
  <c r="N163" i="65" s="1"/>
  <c r="N68" i="105" s="1"/>
  <c r="L120" i="105"/>
  <c r="L198" i="105"/>
  <c r="O187" i="105"/>
  <c r="O110" i="105"/>
  <c r="AF36" i="82"/>
  <c r="AF125" i="65"/>
  <c r="AF154" i="65" s="1"/>
  <c r="AF59" i="105" s="1"/>
  <c r="AF99" i="105" s="1"/>
  <c r="AF143" i="65"/>
  <c r="AF172" i="65" s="1"/>
  <c r="AF77" i="105" s="1"/>
  <c r="W125" i="65"/>
  <c r="W154" i="65" s="1"/>
  <c r="W59" i="105" s="1"/>
  <c r="W99" i="105" s="1"/>
  <c r="W36" i="82"/>
  <c r="W143" i="65"/>
  <c r="W172" i="65" s="1"/>
  <c r="W77" i="105" s="1"/>
  <c r="AE125" i="65"/>
  <c r="AE154" i="65" s="1"/>
  <c r="AE59" i="105" s="1"/>
  <c r="AE99" i="105" s="1"/>
  <c r="AE36" i="82"/>
  <c r="AE143" i="65"/>
  <c r="AE172" i="65" s="1"/>
  <c r="AE77" i="105" s="1"/>
  <c r="M134" i="65"/>
  <c r="M163" i="65" s="1"/>
  <c r="M68" i="105" s="1"/>
  <c r="M125" i="65"/>
  <c r="M154" i="65" s="1"/>
  <c r="M59" i="105" s="1"/>
  <c r="M99" i="105" s="1"/>
  <c r="M143" i="65"/>
  <c r="M172" i="65" s="1"/>
  <c r="M77" i="105" s="1"/>
  <c r="M36" i="82"/>
  <c r="W121" i="105"/>
  <c r="W199" i="105"/>
  <c r="Y198" i="105"/>
  <c r="Y120" i="105"/>
  <c r="M110" i="105"/>
  <c r="M187" i="105"/>
  <c r="O188" i="105"/>
  <c r="O111" i="105"/>
  <c r="R110" i="105"/>
  <c r="R187" i="105"/>
  <c r="J197" i="105"/>
  <c r="J119" i="105"/>
  <c r="L121" i="105"/>
  <c r="L199" i="105"/>
  <c r="N187" i="105"/>
  <c r="N110" i="105"/>
  <c r="Y143" i="65"/>
  <c r="Y172" i="65" s="1"/>
  <c r="Y77" i="105" s="1"/>
  <c r="Y125" i="65"/>
  <c r="Y154" i="65" s="1"/>
  <c r="Y59" i="105" s="1"/>
  <c r="Y99" i="105" s="1"/>
  <c r="Y36" i="82"/>
  <c r="X120" i="105"/>
  <c r="X198" i="105"/>
  <c r="V198" i="105"/>
  <c r="V120" i="105"/>
  <c r="U187" i="105"/>
  <c r="U110" i="105"/>
  <c r="AA36" i="82"/>
  <c r="AA125" i="65"/>
  <c r="AA154" i="65" s="1"/>
  <c r="AA59" i="105" s="1"/>
  <c r="AA99" i="105" s="1"/>
  <c r="AA143" i="65"/>
  <c r="AA172" i="65" s="1"/>
  <c r="AA77" i="105" s="1"/>
  <c r="S199" i="105"/>
  <c r="S121" i="105"/>
  <c r="V187" i="105"/>
  <c r="V110" i="105"/>
  <c r="U198" i="105"/>
  <c r="U120" i="105"/>
  <c r="AC36" i="82"/>
  <c r="AC125" i="65"/>
  <c r="AC154" i="65" s="1"/>
  <c r="AC59" i="105" s="1"/>
  <c r="AC99" i="105" s="1"/>
  <c r="AC143" i="65"/>
  <c r="AC172" i="65" s="1"/>
  <c r="AC77" i="105" s="1"/>
  <c r="AA199" i="105"/>
  <c r="AA121" i="105"/>
  <c r="AA120" i="105"/>
  <c r="AA198" i="105"/>
  <c r="M198" i="105"/>
  <c r="M120" i="105"/>
  <c r="X125" i="65"/>
  <c r="X154" i="65" s="1"/>
  <c r="X59" i="105" s="1"/>
  <c r="X99" i="105" s="1"/>
  <c r="X36" i="82"/>
  <c r="X143" i="65"/>
  <c r="X172" i="65" s="1"/>
  <c r="X77" i="105" s="1"/>
  <c r="O199" i="105"/>
  <c r="O121" i="105"/>
  <c r="R120" i="105"/>
  <c r="R198" i="105"/>
  <c r="J186" i="105"/>
  <c r="J109" i="105"/>
  <c r="S36" i="82"/>
  <c r="S125" i="65"/>
  <c r="S154" i="65" s="1"/>
  <c r="S59" i="105" s="1"/>
  <c r="S99" i="105" s="1"/>
  <c r="S134" i="65"/>
  <c r="S163" i="65" s="1"/>
  <c r="S68" i="105" s="1"/>
  <c r="S143" i="65"/>
  <c r="S172" i="65" s="1"/>
  <c r="S77" i="105" s="1"/>
  <c r="P187" i="105"/>
  <c r="P110" i="105"/>
  <c r="S120" i="105"/>
  <c r="S198" i="105"/>
  <c r="S188" i="105"/>
  <c r="S111" i="105"/>
  <c r="T199" i="105"/>
  <c r="T121" i="105"/>
  <c r="Y199" i="105"/>
  <c r="Y121" i="105"/>
  <c r="U199" i="105"/>
  <c r="U121" i="105"/>
  <c r="R143" i="65"/>
  <c r="R172" i="65" s="1"/>
  <c r="R77" i="105" s="1"/>
  <c r="R36" i="82"/>
  <c r="R125" i="65"/>
  <c r="R154" i="65" s="1"/>
  <c r="R59" i="105" s="1"/>
  <c r="R99" i="105" s="1"/>
  <c r="R134" i="65"/>
  <c r="R163" i="65" s="1"/>
  <c r="R68" i="105" s="1"/>
  <c r="X199" i="105"/>
  <c r="X121" i="105"/>
  <c r="T188" i="105"/>
  <c r="T111" i="105"/>
  <c r="U188" i="105"/>
  <c r="U111" i="105"/>
  <c r="V36" i="82"/>
  <c r="V125" i="65"/>
  <c r="V154" i="65" s="1"/>
  <c r="V59" i="105" s="1"/>
  <c r="V99" i="105" s="1"/>
  <c r="V134" i="65"/>
  <c r="V163" i="65" s="1"/>
  <c r="V68" i="105" s="1"/>
  <c r="V143" i="65"/>
  <c r="V172" i="65" s="1"/>
  <c r="V77" i="105" s="1"/>
  <c r="O143" i="65"/>
  <c r="O172" i="65" s="1"/>
  <c r="O77" i="105" s="1"/>
  <c r="O125" i="65"/>
  <c r="O154" i="65" s="1"/>
  <c r="O59" i="105" s="1"/>
  <c r="O99" i="105" s="1"/>
  <c r="O36" i="82"/>
  <c r="O134" i="65"/>
  <c r="O163" i="65" s="1"/>
  <c r="O68" i="105" s="1"/>
  <c r="O120" i="105"/>
  <c r="O198" i="105"/>
  <c r="R111" i="105"/>
  <c r="R188" i="105"/>
  <c r="U36" i="82"/>
  <c r="U125" i="65"/>
  <c r="U154" i="65" s="1"/>
  <c r="U59" i="105" s="1"/>
  <c r="U99" i="105" s="1"/>
  <c r="U143" i="65"/>
  <c r="U172" i="65" s="1"/>
  <c r="U77" i="105" s="1"/>
  <c r="U134" i="65"/>
  <c r="U163" i="65" s="1"/>
  <c r="U68" i="105" s="1"/>
  <c r="S187" i="105"/>
  <c r="S110" i="105"/>
  <c r="Y23" i="65"/>
  <c r="Y79" i="41"/>
  <c r="Y83" i="41" s="1"/>
  <c r="U23" i="65"/>
  <c r="U79" i="41"/>
  <c r="U83" i="41" s="1"/>
  <c r="O23" i="65"/>
  <c r="O79" i="41"/>
  <c r="O83" i="41" s="1"/>
  <c r="W23" i="65"/>
  <c r="W79" i="41"/>
  <c r="W83" i="41" s="1"/>
  <c r="J23" i="65"/>
  <c r="J79" i="41"/>
  <c r="P23" i="65"/>
  <c r="P79" i="41"/>
  <c r="P83" i="41" s="1"/>
  <c r="N23" i="65"/>
  <c r="N79" i="41"/>
  <c r="M23" i="65"/>
  <c r="M79" i="41"/>
  <c r="M83" i="41" s="1"/>
  <c r="L23" i="65"/>
  <c r="L79" i="41"/>
  <c r="L83" i="41" s="1"/>
  <c r="P121" i="105" l="1"/>
  <c r="Z79" i="41"/>
  <c r="Z83" i="41" s="1"/>
  <c r="AF120" i="105"/>
  <c r="P134" i="65"/>
  <c r="P163" i="65" s="1"/>
  <c r="P68" i="105" s="1"/>
  <c r="P109" i="105" s="1"/>
  <c r="P111" i="105"/>
  <c r="V111" i="105"/>
  <c r="N188" i="105"/>
  <c r="R79" i="41"/>
  <c r="R83" i="41" s="1"/>
  <c r="P36" i="82"/>
  <c r="L143" i="65"/>
  <c r="L172" i="65" s="1"/>
  <c r="L77" i="105" s="1"/>
  <c r="L119" i="105" s="1"/>
  <c r="M111" i="105"/>
  <c r="H80" i="41"/>
  <c r="P125" i="65"/>
  <c r="P154" i="65" s="1"/>
  <c r="P59" i="105" s="1"/>
  <c r="P99" i="105" s="1"/>
  <c r="L134" i="65"/>
  <c r="L163" i="65" s="1"/>
  <c r="L68" i="105" s="1"/>
  <c r="AA79" i="41"/>
  <c r="AA83" i="41" s="1"/>
  <c r="L125" i="65"/>
  <c r="L154" i="65" s="1"/>
  <c r="L59" i="105" s="1"/>
  <c r="L99" i="105" s="1"/>
  <c r="Z143" i="65"/>
  <c r="Z172" i="65" s="1"/>
  <c r="Z77" i="105" s="1"/>
  <c r="Z36" i="82"/>
  <c r="AF79" i="41"/>
  <c r="AF83" i="41" s="1"/>
  <c r="V199" i="105"/>
  <c r="X79" i="41"/>
  <c r="X83" i="41" s="1"/>
  <c r="AF223" i="41" a="1"/>
  <c r="AF223" i="41" s="1"/>
  <c r="A4" i="74"/>
  <c r="S223" i="41" a="1"/>
  <c r="S223" i="41" s="1"/>
  <c r="S23" i="65"/>
  <c r="S79" i="41"/>
  <c r="S83" i="41" s="1"/>
  <c r="N83" i="41"/>
  <c r="AE79" i="41"/>
  <c r="AE83" i="41" s="1"/>
  <c r="M121" i="105"/>
  <c r="AM223" i="41" a="1"/>
  <c r="AM223" i="41" s="1"/>
  <c r="AM225" i="41" s="1"/>
  <c r="AM227" i="41" s="1"/>
  <c r="AM229" i="41" s="1"/>
  <c r="T120" i="105"/>
  <c r="U223" i="41" a="1"/>
  <c r="U223" i="41" s="1"/>
  <c r="V79" i="41"/>
  <c r="V83" i="41" s="1"/>
  <c r="AO223" i="41" a="1"/>
  <c r="AO223" i="41" s="1"/>
  <c r="AO225" i="41" s="1"/>
  <c r="AO416" i="41" s="1"/>
  <c r="AO35" i="65" s="1"/>
  <c r="AO113" i="65" s="1"/>
  <c r="AO124" i="65" s="1"/>
  <c r="AO153" i="65" s="1"/>
  <c r="AO58" i="105" s="1"/>
  <c r="AO98" i="105" s="1"/>
  <c r="AD223" i="41" a="1"/>
  <c r="AD223" i="41" s="1"/>
  <c r="L223" i="41" a="1"/>
  <c r="L223" i="41" s="1"/>
  <c r="L225" i="41" s="1"/>
  <c r="L227" i="41" s="1"/>
  <c r="L229" i="41" s="1"/>
  <c r="AA223" i="41" a="1"/>
  <c r="AA223" i="41" s="1"/>
  <c r="T79" i="41"/>
  <c r="T83" i="41" s="1"/>
  <c r="O223" i="41" a="1"/>
  <c r="O223" i="41" s="1"/>
  <c r="Y223" i="41" a="1"/>
  <c r="Y223" i="41" s="1"/>
  <c r="AJ223" i="41" a="1"/>
  <c r="AJ223" i="41" s="1"/>
  <c r="AJ225" i="41" s="1"/>
  <c r="AJ227" i="41" s="1"/>
  <c r="AJ229" i="41" s="1"/>
  <c r="T23" i="65"/>
  <c r="T223" i="41" a="1"/>
  <c r="T223" i="41" s="1"/>
  <c r="AB79" i="41"/>
  <c r="AB83" i="41" s="1"/>
  <c r="AH223" i="41" a="1"/>
  <c r="AH223" i="41" s="1"/>
  <c r="AH225" i="41" s="1"/>
  <c r="AH416" i="41" s="1"/>
  <c r="AH35" i="65" s="1"/>
  <c r="AH113" i="65" s="1"/>
  <c r="P223" i="41" a="1"/>
  <c r="P223" i="41" s="1"/>
  <c r="AI223" i="41" a="1"/>
  <c r="AI223" i="41" s="1"/>
  <c r="AI225" i="41" s="1"/>
  <c r="AI227" i="41" s="1"/>
  <c r="AI229" i="41" s="1"/>
  <c r="AN223" i="41" a="1"/>
  <c r="AN223" i="41" s="1"/>
  <c r="AN225" i="41" s="1"/>
  <c r="AN416" i="41" s="1"/>
  <c r="AN35" i="65" s="1"/>
  <c r="AN113" i="65" s="1"/>
  <c r="AG223" i="41" a="1"/>
  <c r="AG223" i="41" s="1"/>
  <c r="AG225" i="41" s="1"/>
  <c r="AG416" i="41" s="1"/>
  <c r="AG35" i="65" s="1"/>
  <c r="AG113" i="65" s="1"/>
  <c r="AL223" i="41" a="1"/>
  <c r="AL223" i="41" s="1"/>
  <c r="AL225" i="41" s="1"/>
  <c r="AL416" i="41" s="1"/>
  <c r="AL35" i="65" s="1"/>
  <c r="AL113" i="65" s="1"/>
  <c r="V223" i="41" a="1"/>
  <c r="V223" i="41" s="1"/>
  <c r="M223" i="41" a="1"/>
  <c r="M223" i="41" s="1"/>
  <c r="Z223" i="41" a="1"/>
  <c r="Z223" i="41" s="1"/>
  <c r="N223" i="41" a="1"/>
  <c r="N223" i="41" s="1"/>
  <c r="AD23" i="65"/>
  <c r="J223" i="41" a="1"/>
  <c r="J223" i="41" s="1"/>
  <c r="AK223" i="41" a="1"/>
  <c r="AK223" i="41" s="1"/>
  <c r="AK225" i="41" s="1"/>
  <c r="AK227" i="41" s="1"/>
  <c r="AK229" i="41" s="1"/>
  <c r="W223" i="41" a="1"/>
  <c r="W223" i="41" s="1"/>
  <c r="W225" i="41" s="1"/>
  <c r="W227" i="41" s="1"/>
  <c r="W229" i="41" s="1"/>
  <c r="AB223" i="41" a="1"/>
  <c r="AB223" i="41" s="1"/>
  <c r="AB225" i="41" s="1"/>
  <c r="AB227" i="41" s="1"/>
  <c r="AB229" i="41" s="1"/>
  <c r="AC223" i="41" a="1"/>
  <c r="AC223" i="41" s="1"/>
  <c r="X223" i="41" a="1"/>
  <c r="X223" i="41" s="1"/>
  <c r="K223" i="41" a="1"/>
  <c r="K223" i="41" s="1"/>
  <c r="K225" i="41" s="1"/>
  <c r="K227" i="41" s="1"/>
  <c r="K229" i="41" s="1"/>
  <c r="R223" i="41" a="1"/>
  <c r="R223" i="41" s="1"/>
  <c r="R225" i="41" s="1"/>
  <c r="R416" i="41" s="1"/>
  <c r="R35" i="65" s="1"/>
  <c r="R113" i="65" s="1"/>
  <c r="Q223" i="41" a="1"/>
  <c r="Q223" i="41" s="1"/>
  <c r="Q225" i="41" s="1"/>
  <c r="Q227" i="41" s="1"/>
  <c r="Q229" i="41" s="1"/>
  <c r="AE223" i="41" a="1"/>
  <c r="AE223" i="41" s="1"/>
  <c r="N121" i="105"/>
  <c r="T110" i="105"/>
  <c r="H110" i="105" s="1"/>
  <c r="H101" i="105"/>
  <c r="H100" i="105"/>
  <c r="AD199" i="105"/>
  <c r="AD121" i="105"/>
  <c r="AC121" i="105"/>
  <c r="AC199" i="105"/>
  <c r="AC120" i="105"/>
  <c r="AC198" i="105"/>
  <c r="AD198" i="105"/>
  <c r="AD120" i="105"/>
  <c r="H111" i="105"/>
  <c r="U197" i="105"/>
  <c r="U119" i="105"/>
  <c r="V186" i="105"/>
  <c r="V109" i="105"/>
  <c r="P186" i="105"/>
  <c r="AC197" i="105"/>
  <c r="AC119" i="105"/>
  <c r="L109" i="105"/>
  <c r="L186" i="105"/>
  <c r="AE197" i="105"/>
  <c r="AE119" i="105"/>
  <c r="Z197" i="105"/>
  <c r="Z119" i="105"/>
  <c r="O109" i="105"/>
  <c r="O186" i="105"/>
  <c r="R109" i="105"/>
  <c r="R186" i="105"/>
  <c r="X197" i="105"/>
  <c r="X119" i="105"/>
  <c r="T186" i="105"/>
  <c r="T109" i="105"/>
  <c r="AF197" i="105"/>
  <c r="AF119" i="105"/>
  <c r="P197" i="105"/>
  <c r="P119" i="105"/>
  <c r="S197" i="105"/>
  <c r="S119" i="105"/>
  <c r="AA119" i="105"/>
  <c r="AA197" i="105"/>
  <c r="M197" i="105"/>
  <c r="M119" i="105"/>
  <c r="W119" i="105"/>
  <c r="W197" i="105"/>
  <c r="N186" i="105"/>
  <c r="N109" i="105"/>
  <c r="T197" i="105"/>
  <c r="T119" i="105"/>
  <c r="AD197" i="105"/>
  <c r="AD119" i="105"/>
  <c r="O119" i="105"/>
  <c r="O197" i="105"/>
  <c r="R119" i="105"/>
  <c r="R197" i="105"/>
  <c r="S186" i="105"/>
  <c r="S109" i="105"/>
  <c r="N119" i="105"/>
  <c r="N197" i="105"/>
  <c r="U186" i="105"/>
  <c r="U109" i="105"/>
  <c r="V197" i="105"/>
  <c r="V119" i="105"/>
  <c r="Y197" i="105"/>
  <c r="Y119" i="105"/>
  <c r="M186" i="105"/>
  <c r="M109" i="105"/>
  <c r="AB119" i="105"/>
  <c r="AB197" i="105"/>
  <c r="J83" i="41"/>
  <c r="L416" i="41" l="1"/>
  <c r="L35" i="65" s="1"/>
  <c r="L113" i="65" s="1"/>
  <c r="AM416" i="41"/>
  <c r="AM35" i="65" s="1"/>
  <c r="AM113" i="65" s="1"/>
  <c r="AM124" i="65" s="1"/>
  <c r="AM153" i="65" s="1"/>
  <c r="AM58" i="105" s="1"/>
  <c r="AM98" i="105" s="1"/>
  <c r="H99" i="105"/>
  <c r="L197" i="105"/>
  <c r="AN227" i="41"/>
  <c r="AN229" i="41" s="1"/>
  <c r="AN425" i="41" s="1"/>
  <c r="AG227" i="41"/>
  <c r="AG229" i="41" s="1"/>
  <c r="AG238" i="41" s="1"/>
  <c r="AL227" i="41"/>
  <c r="AL229" i="41" s="1"/>
  <c r="AL425" i="41" s="1"/>
  <c r="H79" i="41"/>
  <c r="AI416" i="41"/>
  <c r="AI35" i="65" s="1"/>
  <c r="AI113" i="65" s="1"/>
  <c r="AI124" i="65" s="1"/>
  <c r="AI153" i="65" s="1"/>
  <c r="AI58" i="105" s="1"/>
  <c r="AI98" i="105" s="1"/>
  <c r="H83" i="41"/>
  <c r="H85" i="105" s="1"/>
  <c r="H128" i="105" s="1"/>
  <c r="AJ416" i="41"/>
  <c r="AJ35" i="65" s="1"/>
  <c r="AJ113" i="65" s="1"/>
  <c r="AJ35" i="82" s="1"/>
  <c r="AO227" i="41"/>
  <c r="AO229" i="41" s="1"/>
  <c r="AO238" i="41" s="1"/>
  <c r="AB416" i="41"/>
  <c r="AB35" i="65" s="1"/>
  <c r="AB113" i="65" s="1"/>
  <c r="AB124" i="65" s="1"/>
  <c r="AB153" i="65" s="1"/>
  <c r="AB58" i="105" s="1"/>
  <c r="AB98" i="105" s="1"/>
  <c r="W416" i="41"/>
  <c r="W35" i="65" s="1"/>
  <c r="W113" i="65" s="1"/>
  <c r="W124" i="65" s="1"/>
  <c r="W153" i="65" s="1"/>
  <c r="W58" i="105" s="1"/>
  <c r="W98" i="105" s="1"/>
  <c r="Q416" i="41"/>
  <c r="Q35" i="65" s="1"/>
  <c r="Q113" i="65" s="1"/>
  <c r="Q142" i="65" s="1"/>
  <c r="Q171" i="65" s="1"/>
  <c r="Q76" i="105" s="1"/>
  <c r="AH227" i="41"/>
  <c r="AH229" i="41" s="1"/>
  <c r="AH425" i="41" s="1"/>
  <c r="R227" i="41"/>
  <c r="R229" i="41" s="1"/>
  <c r="K416" i="41"/>
  <c r="K35" i="65" s="1"/>
  <c r="K113" i="65" s="1"/>
  <c r="K133" i="65" s="1"/>
  <c r="K162" i="65" s="1"/>
  <c r="K67" i="105" s="1"/>
  <c r="AK416" i="41"/>
  <c r="AK35" i="65" s="1"/>
  <c r="AK113" i="65" s="1"/>
  <c r="AK124" i="65" s="1"/>
  <c r="AK153" i="65" s="1"/>
  <c r="AK58" i="105" s="1"/>
  <c r="AK98" i="105" s="1"/>
  <c r="H121" i="105"/>
  <c r="H120" i="105"/>
  <c r="H109" i="105"/>
  <c r="H119" i="105"/>
  <c r="AM425" i="41"/>
  <c r="AM238" i="41"/>
  <c r="AB425" i="41"/>
  <c r="AB238" i="41"/>
  <c r="Q425" i="41"/>
  <c r="Q238" i="41"/>
  <c r="AI425" i="41"/>
  <c r="AI238" i="41"/>
  <c r="W425" i="41"/>
  <c r="W238" i="41"/>
  <c r="AK35" i="82"/>
  <c r="AL124" i="65"/>
  <c r="AL153" i="65" s="1"/>
  <c r="AL58" i="105" s="1"/>
  <c r="AL98" i="105" s="1"/>
  <c r="AL142" i="65"/>
  <c r="AL171" i="65" s="1"/>
  <c r="AL76" i="105" s="1"/>
  <c r="AG35" i="82"/>
  <c r="AG142" i="65"/>
  <c r="AG171" i="65" s="1"/>
  <c r="AG76" i="105" s="1"/>
  <c r="AG133" i="65"/>
  <c r="AG162" i="65" s="1"/>
  <c r="AG67" i="105" s="1"/>
  <c r="AG124" i="65"/>
  <c r="AG153" i="65" s="1"/>
  <c r="AG58" i="105" s="1"/>
  <c r="AG98" i="105" s="1"/>
  <c r="L35" i="82"/>
  <c r="L133" i="65"/>
  <c r="L162" i="65" s="1"/>
  <c r="L67" i="105" s="1"/>
  <c r="L124" i="65"/>
  <c r="L153" i="65" s="1"/>
  <c r="L58" i="105" s="1"/>
  <c r="L98" i="105" s="1"/>
  <c r="L142" i="65"/>
  <c r="L171" i="65" s="1"/>
  <c r="L76" i="105" s="1"/>
  <c r="AH35" i="82"/>
  <c r="AH133" i="65"/>
  <c r="AH162" i="65" s="1"/>
  <c r="AH67" i="105" s="1"/>
  <c r="AH124" i="65"/>
  <c r="AH153" i="65" s="1"/>
  <c r="AH58" i="105" s="1"/>
  <c r="AH98" i="105" s="1"/>
  <c r="AH142" i="65"/>
  <c r="AH171" i="65" s="1"/>
  <c r="AH76" i="105" s="1"/>
  <c r="AK425" i="41"/>
  <c r="AK238" i="41"/>
  <c r="L425" i="41"/>
  <c r="L238" i="41"/>
  <c r="AL35" i="82"/>
  <c r="AN124" i="65"/>
  <c r="AN153" i="65" s="1"/>
  <c r="AN58" i="105" s="1"/>
  <c r="AN98" i="105" s="1"/>
  <c r="AN142" i="65"/>
  <c r="AN171" i="65" s="1"/>
  <c r="AN76" i="105" s="1"/>
  <c r="K425" i="41"/>
  <c r="K238" i="41"/>
  <c r="R35" i="82"/>
  <c r="R142" i="65"/>
  <c r="R171" i="65" s="1"/>
  <c r="R76" i="105" s="1"/>
  <c r="R124" i="65"/>
  <c r="R153" i="65" s="1"/>
  <c r="R58" i="105" s="1"/>
  <c r="R98" i="105" s="1"/>
  <c r="R133" i="65"/>
  <c r="R162" i="65" s="1"/>
  <c r="R67" i="105" s="1"/>
  <c r="AJ425" i="41"/>
  <c r="AJ238" i="41"/>
  <c r="AG425" i="41" l="1"/>
  <c r="AG294" i="41"/>
  <c r="AG296" i="41" s="1"/>
  <c r="H85" i="41"/>
  <c r="AI294" i="41"/>
  <c r="AI296" i="41" s="1"/>
  <c r="AN238" i="41"/>
  <c r="AN250" i="41" s="1"/>
  <c r="AJ142" i="65"/>
  <c r="AJ171" i="65" s="1"/>
  <c r="AJ76" i="105" s="1"/>
  <c r="AJ196" i="105" s="1"/>
  <c r="AJ124" i="65"/>
  <c r="AJ153" i="65" s="1"/>
  <c r="AJ58" i="105" s="1"/>
  <c r="AJ98" i="105" s="1"/>
  <c r="AL238" i="41"/>
  <c r="AL273" i="41" s="1"/>
  <c r="AJ133" i="65"/>
  <c r="AJ162" i="65" s="1"/>
  <c r="AJ67" i="105" s="1"/>
  <c r="AJ108" i="105" s="1"/>
  <c r="W35" i="82"/>
  <c r="W142" i="65"/>
  <c r="W171" i="65" s="1"/>
  <c r="W76" i="105" s="1"/>
  <c r="W118" i="105" s="1"/>
  <c r="AI35" i="82"/>
  <c r="Q35" i="82"/>
  <c r="AI142" i="65"/>
  <c r="AI171" i="65" s="1"/>
  <c r="AI76" i="105" s="1"/>
  <c r="AI118" i="105" s="1"/>
  <c r="K294" i="41"/>
  <c r="K296" i="41" s="1"/>
  <c r="AB142" i="65"/>
  <c r="AB171" i="65" s="1"/>
  <c r="AB76" i="105" s="1"/>
  <c r="AB196" i="105" s="1"/>
  <c r="AO425" i="41"/>
  <c r="AB35" i="82"/>
  <c r="AH238" i="41"/>
  <c r="AH405" i="41" s="1"/>
  <c r="AH414" i="41" s="1"/>
  <c r="AH33" i="65" s="1"/>
  <c r="AH111" i="65" s="1"/>
  <c r="R238" i="41"/>
  <c r="R275" i="41" s="1"/>
  <c r="AH294" i="41"/>
  <c r="AH296" i="41" s="1"/>
  <c r="Q124" i="65"/>
  <c r="Q153" i="65" s="1"/>
  <c r="Q58" i="105" s="1"/>
  <c r="Q98" i="105" s="1"/>
  <c r="AJ294" i="41"/>
  <c r="AJ296" i="41" s="1"/>
  <c r="Q133" i="65"/>
  <c r="Q162" i="65" s="1"/>
  <c r="Q67" i="105" s="1"/>
  <c r="Q108" i="105" s="1"/>
  <c r="AN294" i="41"/>
  <c r="AN296" i="41" s="1"/>
  <c r="R294" i="41"/>
  <c r="R296" i="41" s="1"/>
  <c r="W294" i="41"/>
  <c r="W296" i="41" s="1"/>
  <c r="R425" i="41"/>
  <c r="AK294" i="41"/>
  <c r="AK296" i="41" s="1"/>
  <c r="AL294" i="41"/>
  <c r="AL296" i="41" s="1"/>
  <c r="AO294" i="41"/>
  <c r="AO296" i="41" s="1"/>
  <c r="L294" i="41"/>
  <c r="L296" i="41" s="1"/>
  <c r="AM294" i="41"/>
  <c r="AM296" i="41" s="1"/>
  <c r="AB294" i="41"/>
  <c r="AB296" i="41" s="1"/>
  <c r="Q294" i="41"/>
  <c r="Q296" i="41" s="1"/>
  <c r="K142" i="65"/>
  <c r="K171" i="65" s="1"/>
  <c r="K76" i="105" s="1"/>
  <c r="K118" i="105" s="1"/>
  <c r="K124" i="65"/>
  <c r="K153" i="65" s="1"/>
  <c r="K58" i="105" s="1"/>
  <c r="K98" i="105" s="1"/>
  <c r="K35" i="82"/>
  <c r="L108" i="105"/>
  <c r="L185" i="105"/>
  <c r="R118" i="105"/>
  <c r="R196" i="105"/>
  <c r="R108" i="105"/>
  <c r="R185" i="105"/>
  <c r="L118" i="105"/>
  <c r="L196" i="105"/>
  <c r="AJ118" i="105"/>
  <c r="K252" i="41"/>
  <c r="K405" i="41"/>
  <c r="K274" i="41"/>
  <c r="K268" i="41"/>
  <c r="K269" i="41"/>
  <c r="K250" i="41"/>
  <c r="K270" i="41"/>
  <c r="K404" i="41"/>
  <c r="K275" i="41"/>
  <c r="K251" i="41"/>
  <c r="K273" i="41"/>
  <c r="K406" i="41"/>
  <c r="AK404" i="41"/>
  <c r="AK413" i="41" s="1"/>
  <c r="AK32" i="65" s="1"/>
  <c r="AK110" i="65" s="1"/>
  <c r="AK121" i="65" s="1"/>
  <c r="AK150" i="65" s="1"/>
  <c r="AK55" i="105" s="1"/>
  <c r="AK95" i="105" s="1"/>
  <c r="AK273" i="41"/>
  <c r="AK268" i="41"/>
  <c r="AK275" i="41"/>
  <c r="AK269" i="41"/>
  <c r="AK274" i="41"/>
  <c r="AK251" i="41"/>
  <c r="AK405" i="41"/>
  <c r="AK414" i="41" s="1"/>
  <c r="AK33" i="65" s="1"/>
  <c r="AK111" i="65" s="1"/>
  <c r="AK122" i="65" s="1"/>
  <c r="AK151" i="65" s="1"/>
  <c r="AK56" i="105" s="1"/>
  <c r="AK96" i="105" s="1"/>
  <c r="AK406" i="41"/>
  <c r="AK415" i="41" s="1"/>
  <c r="AK34" i="65" s="1"/>
  <c r="AK112" i="65" s="1"/>
  <c r="AK123" i="65" s="1"/>
  <c r="AK152" i="65" s="1"/>
  <c r="AK57" i="105" s="1"/>
  <c r="AK97" i="105" s="1"/>
  <c r="AK270" i="41"/>
  <c r="AK252" i="41"/>
  <c r="AK250" i="41"/>
  <c r="AG275" i="41"/>
  <c r="AG280" i="41" s="1"/>
  <c r="AG285" i="41" s="1"/>
  <c r="AG363" i="41" s="1"/>
  <c r="AG365" i="41" s="1"/>
  <c r="AG367" i="41" s="1"/>
  <c r="AG369" i="41" s="1"/>
  <c r="AG394" i="41" s="1"/>
  <c r="AG268" i="41"/>
  <c r="AG270" i="41"/>
  <c r="AG274" i="41"/>
  <c r="AG279" i="41" s="1"/>
  <c r="AG284" i="41" s="1"/>
  <c r="AG405" i="41"/>
  <c r="AG273" i="41"/>
  <c r="AG278" i="41" s="1"/>
  <c r="AG283" i="41" s="1"/>
  <c r="AG404" i="41"/>
  <c r="AG406" i="41"/>
  <c r="AG250" i="41"/>
  <c r="AG252" i="41"/>
  <c r="AG269" i="41"/>
  <c r="AG251" i="41"/>
  <c r="K185" i="105"/>
  <c r="K108" i="105"/>
  <c r="AJ406" i="41"/>
  <c r="AJ415" i="41" s="1"/>
  <c r="AJ34" i="65" s="1"/>
  <c r="AJ112" i="65" s="1"/>
  <c r="AJ250" i="41"/>
  <c r="AJ270" i="41"/>
  <c r="AJ251" i="41"/>
  <c r="AJ273" i="41"/>
  <c r="AJ405" i="41"/>
  <c r="AJ414" i="41" s="1"/>
  <c r="AJ33" i="65" s="1"/>
  <c r="AJ111" i="65" s="1"/>
  <c r="AJ268" i="41"/>
  <c r="AJ274" i="41"/>
  <c r="AJ252" i="41"/>
  <c r="AJ275" i="41"/>
  <c r="AJ269" i="41"/>
  <c r="AJ404" i="41"/>
  <c r="AJ413" i="41" s="1"/>
  <c r="AJ32" i="65" s="1"/>
  <c r="AJ110" i="65" s="1"/>
  <c r="H88" i="105"/>
  <c r="H131" i="105" s="1"/>
  <c r="AO191" i="41"/>
  <c r="R191" i="41"/>
  <c r="AB191" i="41"/>
  <c r="P191" i="41"/>
  <c r="P197" i="41" s="1"/>
  <c r="P199" i="41" s="1"/>
  <c r="V191" i="41"/>
  <c r="V197" i="41" s="1"/>
  <c r="V199" i="41" s="1"/>
  <c r="AM191" i="41"/>
  <c r="AJ191" i="41"/>
  <c r="AL191" i="41"/>
  <c r="AN191" i="41"/>
  <c r="AD191" i="41"/>
  <c r="AD197" i="41" s="1"/>
  <c r="AD199" i="41" s="1"/>
  <c r="Z191" i="41"/>
  <c r="Z197" i="41" s="1"/>
  <c r="Z199" i="41" s="1"/>
  <c r="W191" i="41"/>
  <c r="L191" i="41"/>
  <c r="N191" i="41"/>
  <c r="N197" i="41" s="1"/>
  <c r="N199" i="41" s="1"/>
  <c r="X191" i="41"/>
  <c r="X197" i="41" s="1"/>
  <c r="X199" i="41" s="1"/>
  <c r="AG191" i="41"/>
  <c r="AG206" i="41" s="1"/>
  <c r="AG208" i="41" s="1"/>
  <c r="AC191" i="41"/>
  <c r="AC197" i="41" s="1"/>
  <c r="AC199" i="41" s="1"/>
  <c r="K191" i="41"/>
  <c r="K208" i="41" s="1"/>
  <c r="AE191" i="41"/>
  <c r="AE197" i="41" s="1"/>
  <c r="AE199" i="41" s="1"/>
  <c r="S191" i="41"/>
  <c r="S197" i="41" s="1"/>
  <c r="S199" i="41" s="1"/>
  <c r="AF191" i="41"/>
  <c r="AF197" i="41" s="1"/>
  <c r="AF199" i="41" s="1"/>
  <c r="AH191" i="41"/>
  <c r="M191" i="41"/>
  <c r="M197" i="41" s="1"/>
  <c r="M199" i="41" s="1"/>
  <c r="Q191" i="41"/>
  <c r="J191" i="41"/>
  <c r="T191" i="41"/>
  <c r="T197" i="41" s="1"/>
  <c r="T199" i="41" s="1"/>
  <c r="AK191" i="41"/>
  <c r="Y191" i="41"/>
  <c r="Y197" i="41" s="1"/>
  <c r="Y199" i="41" s="1"/>
  <c r="O191" i="41"/>
  <c r="O197" i="41" s="1"/>
  <c r="O199" i="41" s="1"/>
  <c r="AI191" i="41"/>
  <c r="AA191" i="41"/>
  <c r="AA197" i="41" s="1"/>
  <c r="AA199" i="41" s="1"/>
  <c r="U191" i="41"/>
  <c r="U197" i="41" s="1"/>
  <c r="U199" i="41" s="1"/>
  <c r="AH196" i="105"/>
  <c r="AH118" i="105"/>
  <c r="AL196" i="105"/>
  <c r="AL118" i="105"/>
  <c r="W404" i="41"/>
  <c r="W413" i="41" s="1"/>
  <c r="W32" i="65" s="1"/>
  <c r="W110" i="65" s="1"/>
  <c r="W405" i="41"/>
  <c r="W414" i="41" s="1"/>
  <c r="W33" i="65" s="1"/>
  <c r="W111" i="65" s="1"/>
  <c r="W250" i="41"/>
  <c r="W406" i="41"/>
  <c r="W415" i="41" s="1"/>
  <c r="W34" i="65" s="1"/>
  <c r="W112" i="65" s="1"/>
  <c r="W269" i="41"/>
  <c r="W268" i="41"/>
  <c r="W274" i="41"/>
  <c r="W251" i="41"/>
  <c r="W270" i="41"/>
  <c r="W252" i="41"/>
  <c r="W273" i="41"/>
  <c r="W275" i="41"/>
  <c r="Q405" i="41"/>
  <c r="Q414" i="41" s="1"/>
  <c r="Q33" i="65" s="1"/>
  <c r="Q111" i="65" s="1"/>
  <c r="Q251" i="41"/>
  <c r="Q273" i="41"/>
  <c r="Q269" i="41"/>
  <c r="Q404" i="41"/>
  <c r="Q413" i="41" s="1"/>
  <c r="Q32" i="65" s="1"/>
  <c r="Q110" i="65" s="1"/>
  <c r="Q274" i="41"/>
  <c r="Q268" i="41"/>
  <c r="Q250" i="41"/>
  <c r="Q406" i="41"/>
  <c r="Q415" i="41" s="1"/>
  <c r="Q34" i="65" s="1"/>
  <c r="Q112" i="65" s="1"/>
  <c r="Q275" i="41"/>
  <c r="Q270" i="41"/>
  <c r="Q252" i="41"/>
  <c r="K196" i="105"/>
  <c r="AN196" i="105"/>
  <c r="AN118" i="105"/>
  <c r="AH185" i="105"/>
  <c r="AH108" i="105"/>
  <c r="Q185" i="105"/>
  <c r="AN269" i="41"/>
  <c r="AN404" i="41"/>
  <c r="AN413" i="41" s="1"/>
  <c r="AN32" i="65" s="1"/>
  <c r="AN110" i="65" s="1"/>
  <c r="L275" i="41"/>
  <c r="L270" i="41"/>
  <c r="L268" i="41"/>
  <c r="L404" i="41"/>
  <c r="L413" i="41" s="1"/>
  <c r="L32" i="65" s="1"/>
  <c r="L110" i="65" s="1"/>
  <c r="L274" i="41"/>
  <c r="L252" i="41"/>
  <c r="L406" i="41"/>
  <c r="L415" i="41" s="1"/>
  <c r="L34" i="65" s="1"/>
  <c r="L112" i="65" s="1"/>
  <c r="L273" i="41"/>
  <c r="L405" i="41"/>
  <c r="L414" i="41" s="1"/>
  <c r="L33" i="65" s="1"/>
  <c r="L111" i="65" s="1"/>
  <c r="L250" i="41"/>
  <c r="L251" i="41"/>
  <c r="L269" i="41"/>
  <c r="AG185" i="105"/>
  <c r="AG108" i="105"/>
  <c r="Q196" i="105"/>
  <c r="Q118" i="105"/>
  <c r="AB404" i="41"/>
  <c r="AB413" i="41" s="1"/>
  <c r="AB32" i="65" s="1"/>
  <c r="AB110" i="65" s="1"/>
  <c r="AB406" i="41"/>
  <c r="AB415" i="41" s="1"/>
  <c r="AB34" i="65" s="1"/>
  <c r="AB112" i="65" s="1"/>
  <c r="AB270" i="41"/>
  <c r="AB251" i="41"/>
  <c r="AB252" i="41"/>
  <c r="AB250" i="41"/>
  <c r="AB269" i="41"/>
  <c r="AB274" i="41"/>
  <c r="AB405" i="41"/>
  <c r="AB414" i="41" s="1"/>
  <c r="AB33" i="65" s="1"/>
  <c r="AB111" i="65" s="1"/>
  <c r="AB275" i="41"/>
  <c r="AB273" i="41"/>
  <c r="AB268" i="41"/>
  <c r="AM273" i="41"/>
  <c r="AM250" i="41"/>
  <c r="AM274" i="41"/>
  <c r="AM405" i="41"/>
  <c r="AM414" i="41" s="1"/>
  <c r="AM33" i="65" s="1"/>
  <c r="AM111" i="65" s="1"/>
  <c r="AM122" i="65" s="1"/>
  <c r="AM151" i="65" s="1"/>
  <c r="AM56" i="105" s="1"/>
  <c r="AM96" i="105" s="1"/>
  <c r="AM252" i="41"/>
  <c r="AM268" i="41"/>
  <c r="AM275" i="41"/>
  <c r="AM251" i="41"/>
  <c r="AM269" i="41"/>
  <c r="AM404" i="41"/>
  <c r="AM413" i="41" s="1"/>
  <c r="AM32" i="65" s="1"/>
  <c r="AM110" i="65" s="1"/>
  <c r="AM121" i="65" s="1"/>
  <c r="AM150" i="65" s="1"/>
  <c r="AM55" i="105" s="1"/>
  <c r="AM95" i="105" s="1"/>
  <c r="AM406" i="41"/>
  <c r="AM415" i="41" s="1"/>
  <c r="AM34" i="65" s="1"/>
  <c r="AM112" i="65" s="1"/>
  <c r="AM123" i="65" s="1"/>
  <c r="AM152" i="65" s="1"/>
  <c r="AM57" i="105" s="1"/>
  <c r="AM97" i="105" s="1"/>
  <c r="AM270" i="41"/>
  <c r="AO404" i="41"/>
  <c r="AO413" i="41" s="1"/>
  <c r="AO32" i="65" s="1"/>
  <c r="AO110" i="65" s="1"/>
  <c r="AO121" i="65" s="1"/>
  <c r="AO150" i="65" s="1"/>
  <c r="AO55" i="105" s="1"/>
  <c r="AO95" i="105" s="1"/>
  <c r="AO405" i="41"/>
  <c r="AO414" i="41" s="1"/>
  <c r="AO33" i="65" s="1"/>
  <c r="AO111" i="65" s="1"/>
  <c r="AO122" i="65" s="1"/>
  <c r="AO151" i="65" s="1"/>
  <c r="AO56" i="105" s="1"/>
  <c r="AO96" i="105" s="1"/>
  <c r="AO252" i="41"/>
  <c r="AO268" i="41"/>
  <c r="AO269" i="41"/>
  <c r="AO406" i="41"/>
  <c r="AO415" i="41" s="1"/>
  <c r="AO34" i="65" s="1"/>
  <c r="AO112" i="65" s="1"/>
  <c r="AO123" i="65" s="1"/>
  <c r="AO152" i="65" s="1"/>
  <c r="AO57" i="105" s="1"/>
  <c r="AO97" i="105" s="1"/>
  <c r="AO250" i="41"/>
  <c r="AO251" i="41"/>
  <c r="AO273" i="41"/>
  <c r="AO274" i="41"/>
  <c r="AO275" i="41"/>
  <c r="AO270" i="41"/>
  <c r="AG196" i="105"/>
  <c r="AG118" i="105"/>
  <c r="AI273" i="41"/>
  <c r="AI275" i="41"/>
  <c r="AI252" i="41"/>
  <c r="AI269" i="41"/>
  <c r="AI405" i="41"/>
  <c r="AI414" i="41" s="1"/>
  <c r="AI33" i="65" s="1"/>
  <c r="AI111" i="65" s="1"/>
  <c r="AI270" i="41"/>
  <c r="AI404" i="41"/>
  <c r="AI413" i="41" s="1"/>
  <c r="AI32" i="65" s="1"/>
  <c r="AI110" i="65" s="1"/>
  <c r="AI251" i="41"/>
  <c r="AI268" i="41"/>
  <c r="AI250" i="41"/>
  <c r="AI274" i="41"/>
  <c r="AI406" i="41"/>
  <c r="AI415" i="41" s="1"/>
  <c r="AI34" i="65" s="1"/>
  <c r="AI112" i="65" s="1"/>
  <c r="AI196" i="105"/>
  <c r="AN268" i="41" l="1"/>
  <c r="AN273" i="41"/>
  <c r="AN405" i="41"/>
  <c r="AN414" i="41" s="1"/>
  <c r="AN33" i="65" s="1"/>
  <c r="AN111" i="65" s="1"/>
  <c r="AL33" i="82" s="1"/>
  <c r="AN251" i="41"/>
  <c r="AN275" i="41"/>
  <c r="AN270" i="41"/>
  <c r="AN274" i="41"/>
  <c r="AN252" i="41"/>
  <c r="AN406" i="41"/>
  <c r="AN415" i="41" s="1"/>
  <c r="AN34" i="65" s="1"/>
  <c r="AN112" i="65" s="1"/>
  <c r="AL250" i="41"/>
  <c r="AL406" i="41"/>
  <c r="AL415" i="41" s="1"/>
  <c r="AL34" i="65" s="1"/>
  <c r="AL112" i="65" s="1"/>
  <c r="AK34" i="82" s="1"/>
  <c r="AB118" i="105"/>
  <c r="AL404" i="41"/>
  <c r="AL413" i="41" s="1"/>
  <c r="AL32" i="65" s="1"/>
  <c r="AL110" i="65" s="1"/>
  <c r="AL121" i="65" s="1"/>
  <c r="AL150" i="65" s="1"/>
  <c r="AL55" i="105" s="1"/>
  <c r="AL95" i="105" s="1"/>
  <c r="AJ185" i="105"/>
  <c r="AL268" i="41"/>
  <c r="AL275" i="41"/>
  <c r="AL269" i="41"/>
  <c r="AL270" i="41"/>
  <c r="AL252" i="41"/>
  <c r="AL251" i="41"/>
  <c r="AL405" i="41"/>
  <c r="AL414" i="41" s="1"/>
  <c r="AL33" i="65" s="1"/>
  <c r="AL111" i="65" s="1"/>
  <c r="AK33" i="82" s="1"/>
  <c r="AL274" i="41"/>
  <c r="W196" i="105"/>
  <c r="R268" i="41"/>
  <c r="AH251" i="41"/>
  <c r="AH250" i="41"/>
  <c r="R273" i="41"/>
  <c r="AH252" i="41"/>
  <c r="AH274" i="41"/>
  <c r="R404" i="41"/>
  <c r="R413" i="41" s="1"/>
  <c r="R32" i="65" s="1"/>
  <c r="R110" i="65" s="1"/>
  <c r="R139" i="65" s="1"/>
  <c r="R168" i="65" s="1"/>
  <c r="R73" i="105" s="1"/>
  <c r="AH268" i="41"/>
  <c r="AH269" i="41"/>
  <c r="R269" i="41"/>
  <c r="R405" i="41"/>
  <c r="R414" i="41" s="1"/>
  <c r="R33" i="65" s="1"/>
  <c r="R111" i="65" s="1"/>
  <c r="R33" i="82" s="1"/>
  <c r="AH275" i="41"/>
  <c r="AH404" i="41"/>
  <c r="AH413" i="41" s="1"/>
  <c r="AH32" i="65" s="1"/>
  <c r="AH110" i="65" s="1"/>
  <c r="AH130" i="65" s="1"/>
  <c r="AH159" i="65" s="1"/>
  <c r="AH64" i="105" s="1"/>
  <c r="R270" i="41"/>
  <c r="R252" i="41"/>
  <c r="AH406" i="41"/>
  <c r="AH415" i="41" s="1"/>
  <c r="AH34" i="65" s="1"/>
  <c r="AH112" i="65" s="1"/>
  <c r="AH123" i="65" s="1"/>
  <c r="AH152" i="65" s="1"/>
  <c r="AH57" i="105" s="1"/>
  <c r="AH97" i="105" s="1"/>
  <c r="AH270" i="41"/>
  <c r="R250" i="41"/>
  <c r="R274" i="41"/>
  <c r="R251" i="41"/>
  <c r="AH273" i="41"/>
  <c r="Q278" i="41" s="1"/>
  <c r="Q283" i="41" s="1"/>
  <c r="R406" i="41"/>
  <c r="R415" i="41" s="1"/>
  <c r="R34" i="65" s="1"/>
  <c r="R112" i="65" s="1"/>
  <c r="R34" i="82" s="1"/>
  <c r="AG415" i="41"/>
  <c r="AG34" i="65" s="1"/>
  <c r="AG112" i="65" s="1"/>
  <c r="AG34" i="82" s="1"/>
  <c r="AM102" i="105"/>
  <c r="O225" i="41"/>
  <c r="O416" i="41" s="1"/>
  <c r="O35" i="65" s="1"/>
  <c r="O113" i="65" s="1"/>
  <c r="M225" i="41"/>
  <c r="M416" i="41" s="1"/>
  <c r="M35" i="65" s="1"/>
  <c r="M113" i="65" s="1"/>
  <c r="AC225" i="41"/>
  <c r="AC416" i="41" s="1"/>
  <c r="AC35" i="65" s="1"/>
  <c r="AC113" i="65" s="1"/>
  <c r="Z225" i="41"/>
  <c r="Z416" i="41" s="1"/>
  <c r="Z35" i="65" s="1"/>
  <c r="Z113" i="65" s="1"/>
  <c r="V225" i="41"/>
  <c r="V416" i="41" s="1"/>
  <c r="V35" i="65" s="1"/>
  <c r="V113" i="65" s="1"/>
  <c r="P225" i="41"/>
  <c r="P416" i="41" s="1"/>
  <c r="P35" i="65" s="1"/>
  <c r="P113" i="65" s="1"/>
  <c r="AF225" i="41"/>
  <c r="AF416" i="41" s="1"/>
  <c r="AF35" i="65" s="1"/>
  <c r="AF113" i="65" s="1"/>
  <c r="X225" i="41"/>
  <c r="X416" i="41" s="1"/>
  <c r="X35" i="65" s="1"/>
  <c r="X113" i="65" s="1"/>
  <c r="U225" i="41"/>
  <c r="U416" i="41" s="1"/>
  <c r="U35" i="65" s="1"/>
  <c r="U113" i="65" s="1"/>
  <c r="T225" i="41"/>
  <c r="T416" i="41" s="1"/>
  <c r="T35" i="65" s="1"/>
  <c r="T113" i="65" s="1"/>
  <c r="S225" i="41"/>
  <c r="S416" i="41" s="1"/>
  <c r="S35" i="65" s="1"/>
  <c r="S113" i="65" s="1"/>
  <c r="N225" i="41"/>
  <c r="N416" i="41" s="1"/>
  <c r="N35" i="65" s="1"/>
  <c r="N113" i="65" s="1"/>
  <c r="AD225" i="41"/>
  <c r="AD416" i="41" s="1"/>
  <c r="AD35" i="65" s="1"/>
  <c r="AD113" i="65" s="1"/>
  <c r="AO102" i="105"/>
  <c r="AA225" i="41"/>
  <c r="AA416" i="41" s="1"/>
  <c r="AA35" i="65" s="1"/>
  <c r="AA113" i="65" s="1"/>
  <c r="AE225" i="41"/>
  <c r="AE416" i="41" s="1"/>
  <c r="AE35" i="65" s="1"/>
  <c r="AE113" i="65" s="1"/>
  <c r="Y225" i="41"/>
  <c r="Y416" i="41" s="1"/>
  <c r="Y35" i="65" s="1"/>
  <c r="Y113" i="65" s="1"/>
  <c r="AK102" i="105"/>
  <c r="AG299" i="41"/>
  <c r="AG305" i="41" s="1"/>
  <c r="AG392" i="41" s="1"/>
  <c r="AG331" i="41"/>
  <c r="AG333" i="41" s="1"/>
  <c r="AG335" i="41" s="1"/>
  <c r="AG337" i="41" s="1"/>
  <c r="AG393" i="41" s="1"/>
  <c r="AL34" i="82"/>
  <c r="AN141" i="65"/>
  <c r="AN170" i="65" s="1"/>
  <c r="AN75" i="105" s="1"/>
  <c r="AN123" i="65"/>
  <c r="AN152" i="65" s="1"/>
  <c r="AN57" i="105" s="1"/>
  <c r="AN97" i="105" s="1"/>
  <c r="Q130" i="65"/>
  <c r="Q159" i="65" s="1"/>
  <c r="Q64" i="105" s="1"/>
  <c r="Q139" i="65"/>
  <c r="Q168" i="65" s="1"/>
  <c r="Q73" i="105" s="1"/>
  <c r="Q121" i="65"/>
  <c r="Q150" i="65" s="1"/>
  <c r="Q55" i="105" s="1"/>
  <c r="Q95" i="105" s="1"/>
  <c r="Q32" i="82"/>
  <c r="AJ32" i="82"/>
  <c r="AJ130" i="65"/>
  <c r="AJ159" i="65" s="1"/>
  <c r="AJ64" i="105" s="1"/>
  <c r="AJ121" i="65"/>
  <c r="AJ150" i="65" s="1"/>
  <c r="AJ55" i="105" s="1"/>
  <c r="AJ95" i="105" s="1"/>
  <c r="AJ139" i="65"/>
  <c r="AJ168" i="65" s="1"/>
  <c r="AJ73" i="105" s="1"/>
  <c r="AJ33" i="82"/>
  <c r="AJ122" i="65"/>
  <c r="AJ151" i="65" s="1"/>
  <c r="AJ56" i="105" s="1"/>
  <c r="AJ96" i="105" s="1"/>
  <c r="AJ131" i="65"/>
  <c r="AJ160" i="65" s="1"/>
  <c r="AJ65" i="105" s="1"/>
  <c r="AJ140" i="65"/>
  <c r="AJ169" i="65" s="1"/>
  <c r="AJ74" i="105" s="1"/>
  <c r="K413" i="41"/>
  <c r="K32" i="65" s="1"/>
  <c r="K110" i="65" s="1"/>
  <c r="K414" i="41"/>
  <c r="K33" i="65" s="1"/>
  <c r="K111" i="65" s="1"/>
  <c r="AI33" i="82"/>
  <c r="AI140" i="65"/>
  <c r="AI169" i="65" s="1"/>
  <c r="AI74" i="105" s="1"/>
  <c r="AI122" i="65"/>
  <c r="AI151" i="65" s="1"/>
  <c r="AI56" i="105" s="1"/>
  <c r="AI96" i="105" s="1"/>
  <c r="L121" i="65"/>
  <c r="L150" i="65" s="1"/>
  <c r="L55" i="105" s="1"/>
  <c r="L95" i="105" s="1"/>
  <c r="L130" i="65"/>
  <c r="L159" i="65" s="1"/>
  <c r="L64" i="105" s="1"/>
  <c r="L139" i="65"/>
  <c r="L168" i="65" s="1"/>
  <c r="L73" i="105" s="1"/>
  <c r="L32" i="82"/>
  <c r="W34" i="82"/>
  <c r="W123" i="65"/>
  <c r="W152" i="65" s="1"/>
  <c r="W57" i="105" s="1"/>
  <c r="W97" i="105" s="1"/>
  <c r="W141" i="65"/>
  <c r="W170" i="65" s="1"/>
  <c r="W75" i="105" s="1"/>
  <c r="AG414" i="41"/>
  <c r="AG33" i="65" s="1"/>
  <c r="AG111" i="65" s="1"/>
  <c r="AB33" i="82"/>
  <c r="AB140" i="65"/>
  <c r="AB169" i="65" s="1"/>
  <c r="AB74" i="105" s="1"/>
  <c r="AB122" i="65"/>
  <c r="AB151" i="65" s="1"/>
  <c r="AB56" i="105" s="1"/>
  <c r="AB96" i="105" s="1"/>
  <c r="L33" i="82"/>
  <c r="L131" i="65"/>
  <c r="L160" i="65" s="1"/>
  <c r="L65" i="105" s="1"/>
  <c r="L140" i="65"/>
  <c r="L169" i="65" s="1"/>
  <c r="L74" i="105" s="1"/>
  <c r="L122" i="65"/>
  <c r="L151" i="65" s="1"/>
  <c r="L56" i="105" s="1"/>
  <c r="L96" i="105" s="1"/>
  <c r="AL32" i="82"/>
  <c r="AN139" i="65"/>
  <c r="AN168" i="65" s="1"/>
  <c r="AN73" i="105" s="1"/>
  <c r="AN121" i="65"/>
  <c r="AN150" i="65" s="1"/>
  <c r="AN55" i="105" s="1"/>
  <c r="AN95" i="105" s="1"/>
  <c r="Q34" i="82"/>
  <c r="Q141" i="65"/>
  <c r="Q170" i="65" s="1"/>
  <c r="Q75" i="105" s="1"/>
  <c r="Q132" i="65"/>
  <c r="Q161" i="65" s="1"/>
  <c r="Q66" i="105" s="1"/>
  <c r="Q123" i="65"/>
  <c r="Q152" i="65" s="1"/>
  <c r="Q57" i="105" s="1"/>
  <c r="Q97" i="105" s="1"/>
  <c r="K415" i="41"/>
  <c r="K34" i="65" s="1"/>
  <c r="K112" i="65" s="1"/>
  <c r="AB123" i="65"/>
  <c r="AB152" i="65" s="1"/>
  <c r="AB57" i="105" s="1"/>
  <c r="AB97" i="105" s="1"/>
  <c r="AB34" i="82"/>
  <c r="AB141" i="65"/>
  <c r="AB170" i="65" s="1"/>
  <c r="AB75" i="105" s="1"/>
  <c r="AN122" i="65"/>
  <c r="AN151" i="65" s="1"/>
  <c r="AN56" i="105" s="1"/>
  <c r="AN96" i="105" s="1"/>
  <c r="W33" i="82"/>
  <c r="W122" i="65"/>
  <c r="W151" i="65" s="1"/>
  <c r="W56" i="105" s="1"/>
  <c r="W96" i="105" s="1"/>
  <c r="W140" i="65"/>
  <c r="W169" i="65" s="1"/>
  <c r="W74" i="105" s="1"/>
  <c r="AI32" i="82"/>
  <c r="AI121" i="65"/>
  <c r="AI150" i="65" s="1"/>
  <c r="AI55" i="105" s="1"/>
  <c r="AI95" i="105" s="1"/>
  <c r="AI139" i="65"/>
  <c r="AI168" i="65" s="1"/>
  <c r="AI73" i="105" s="1"/>
  <c r="AB32" i="82"/>
  <c r="AB139" i="65"/>
  <c r="AB168" i="65" s="1"/>
  <c r="AB73" i="105" s="1"/>
  <c r="AB121" i="65"/>
  <c r="AB150" i="65" s="1"/>
  <c r="AB55" i="105" s="1"/>
  <c r="AB95" i="105" s="1"/>
  <c r="L123" i="65"/>
  <c r="L152" i="65" s="1"/>
  <c r="L57" i="105" s="1"/>
  <c r="L97" i="105" s="1"/>
  <c r="L141" i="65"/>
  <c r="L170" i="65" s="1"/>
  <c r="L75" i="105" s="1"/>
  <c r="L132" i="65"/>
  <c r="L161" i="65" s="1"/>
  <c r="L66" i="105" s="1"/>
  <c r="L34" i="82"/>
  <c r="Q131" i="65"/>
  <c r="Q160" i="65" s="1"/>
  <c r="Q65" i="105" s="1"/>
  <c r="Q122" i="65"/>
  <c r="Q151" i="65" s="1"/>
  <c r="Q56" i="105" s="1"/>
  <c r="Q96" i="105" s="1"/>
  <c r="Q140" i="65"/>
  <c r="Q169" i="65" s="1"/>
  <c r="Q74" i="105" s="1"/>
  <c r="Q33" i="82"/>
  <c r="W121" i="65"/>
  <c r="W150" i="65" s="1"/>
  <c r="W55" i="105" s="1"/>
  <c r="W95" i="105" s="1"/>
  <c r="W32" i="82"/>
  <c r="W139" i="65"/>
  <c r="W168" i="65" s="1"/>
  <c r="W73" i="105" s="1"/>
  <c r="J197" i="41"/>
  <c r="J199" i="41" s="1"/>
  <c r="AH141" i="65"/>
  <c r="AH170" i="65" s="1"/>
  <c r="AH75" i="105" s="1"/>
  <c r="AL122" i="65"/>
  <c r="AL151" i="65" s="1"/>
  <c r="AL56" i="105" s="1"/>
  <c r="AL96" i="105" s="1"/>
  <c r="AI34" i="82"/>
  <c r="AI141" i="65"/>
  <c r="AI170" i="65" s="1"/>
  <c r="AI75" i="105" s="1"/>
  <c r="AI123" i="65"/>
  <c r="AI152" i="65" s="1"/>
  <c r="AI57" i="105" s="1"/>
  <c r="AI97" i="105" s="1"/>
  <c r="AH33" i="82"/>
  <c r="AH140" i="65"/>
  <c r="AH169" i="65" s="1"/>
  <c r="AH74" i="105" s="1"/>
  <c r="AH131" i="65"/>
  <c r="AH160" i="65" s="1"/>
  <c r="AH65" i="105" s="1"/>
  <c r="AH122" i="65"/>
  <c r="AH151" i="65" s="1"/>
  <c r="AH56" i="105" s="1"/>
  <c r="AH96" i="105" s="1"/>
  <c r="AJ34" i="82"/>
  <c r="AJ141" i="65"/>
  <c r="AJ170" i="65" s="1"/>
  <c r="AJ75" i="105" s="1"/>
  <c r="AJ132" i="65"/>
  <c r="AJ161" i="65" s="1"/>
  <c r="AJ66" i="105" s="1"/>
  <c r="AJ123" i="65"/>
  <c r="AJ152" i="65" s="1"/>
  <c r="AJ57" i="105" s="1"/>
  <c r="AJ97" i="105" s="1"/>
  <c r="AG413" i="41"/>
  <c r="AG32" i="65" s="1"/>
  <c r="AG110" i="65" s="1"/>
  <c r="AN140" i="65" l="1"/>
  <c r="AN169" i="65" s="1"/>
  <c r="AN74" i="105" s="1"/>
  <c r="AH132" i="65"/>
  <c r="AH161" i="65" s="1"/>
  <c r="AH66" i="105" s="1"/>
  <c r="R121" i="65"/>
  <c r="R150" i="65" s="1"/>
  <c r="R55" i="105" s="1"/>
  <c r="R95" i="105" s="1"/>
  <c r="AL123" i="65"/>
  <c r="AL152" i="65" s="1"/>
  <c r="AL57" i="105" s="1"/>
  <c r="AL97" i="105" s="1"/>
  <c r="AL141" i="65"/>
  <c r="AL170" i="65" s="1"/>
  <c r="AL75" i="105" s="1"/>
  <c r="L278" i="41"/>
  <c r="L283" i="41" s="1"/>
  <c r="W278" i="41"/>
  <c r="W283" i="41" s="1"/>
  <c r="AL139" i="65"/>
  <c r="AL168" i="65" s="1"/>
  <c r="AL73" i="105" s="1"/>
  <c r="AL115" i="105" s="1"/>
  <c r="AH34" i="82"/>
  <c r="AI278" i="41"/>
  <c r="AI283" i="41" s="1"/>
  <c r="AK278" i="41"/>
  <c r="AK283" i="41" s="1"/>
  <c r="AN278" i="41"/>
  <c r="AN283" i="41" s="1"/>
  <c r="AL278" i="41"/>
  <c r="AL283" i="41" s="1"/>
  <c r="AB279" i="41"/>
  <c r="AB284" i="41" s="1"/>
  <c r="AL140" i="65"/>
  <c r="AL169" i="65" s="1"/>
  <c r="AL74" i="105" s="1"/>
  <c r="AL116" i="105" s="1"/>
  <c r="AH278" i="41"/>
  <c r="AH283" i="41" s="1"/>
  <c r="AK32" i="82"/>
  <c r="W280" i="41"/>
  <c r="W285" i="41" s="1"/>
  <c r="W363" i="41" s="1"/>
  <c r="R123" i="65"/>
  <c r="R152" i="65" s="1"/>
  <c r="R57" i="105" s="1"/>
  <c r="R97" i="105" s="1"/>
  <c r="R141" i="65"/>
  <c r="R170" i="65" s="1"/>
  <c r="R75" i="105" s="1"/>
  <c r="R195" i="105" s="1"/>
  <c r="AB278" i="41"/>
  <c r="AB283" i="41" s="1"/>
  <c r="R132" i="65"/>
  <c r="R161" i="65" s="1"/>
  <c r="R66" i="105" s="1"/>
  <c r="R107" i="105" s="1"/>
  <c r="R278" i="41"/>
  <c r="R283" i="41" s="1"/>
  <c r="AJ278" i="41"/>
  <c r="AJ283" i="41" s="1"/>
  <c r="AM278" i="41"/>
  <c r="AM283" i="41" s="1"/>
  <c r="K278" i="41"/>
  <c r="K283" i="41" s="1"/>
  <c r="K279" i="41"/>
  <c r="K284" i="41" s="1"/>
  <c r="AO278" i="41"/>
  <c r="AO283" i="41" s="1"/>
  <c r="AM280" i="41"/>
  <c r="AM285" i="41" s="1"/>
  <c r="AM363" i="41" s="1"/>
  <c r="AO280" i="41"/>
  <c r="AO285" i="41" s="1"/>
  <c r="AO363" i="41" s="1"/>
  <c r="AH279" i="41"/>
  <c r="AH284" i="41" s="1"/>
  <c r="AG141" i="65"/>
  <c r="AG170" i="65" s="1"/>
  <c r="AG75" i="105" s="1"/>
  <c r="AG195" i="105" s="1"/>
  <c r="R279" i="41"/>
  <c r="R284" i="41" s="1"/>
  <c r="AJ279" i="41"/>
  <c r="AJ284" i="41" s="1"/>
  <c r="Q279" i="41"/>
  <c r="Q284" i="41" s="1"/>
  <c r="AO279" i="41"/>
  <c r="AO284" i="41" s="1"/>
  <c r="AL279" i="41"/>
  <c r="AL284" i="41" s="1"/>
  <c r="AH121" i="65"/>
  <c r="AH150" i="65" s="1"/>
  <c r="AH55" i="105" s="1"/>
  <c r="AH95" i="105" s="1"/>
  <c r="AH102" i="105" s="1"/>
  <c r="R32" i="82"/>
  <c r="R280" i="41"/>
  <c r="R285" i="41" s="1"/>
  <c r="R363" i="41" s="1"/>
  <c r="W279" i="41"/>
  <c r="W284" i="41" s="1"/>
  <c r="AK279" i="41"/>
  <c r="AK284" i="41" s="1"/>
  <c r="AN279" i="41"/>
  <c r="AN284" i="41" s="1"/>
  <c r="AH32" i="82"/>
  <c r="AI279" i="41"/>
  <c r="AI284" i="41" s="1"/>
  <c r="AH139" i="65"/>
  <c r="AH168" i="65" s="1"/>
  <c r="AH73" i="105" s="1"/>
  <c r="AH115" i="105" s="1"/>
  <c r="R130" i="65"/>
  <c r="R159" i="65" s="1"/>
  <c r="R64" i="105" s="1"/>
  <c r="R182" i="105" s="1"/>
  <c r="L279" i="41"/>
  <c r="L284" i="41" s="1"/>
  <c r="AM279" i="41"/>
  <c r="AM284" i="41" s="1"/>
  <c r="L280" i="41"/>
  <c r="L285" i="41" s="1"/>
  <c r="L363" i="41" s="1"/>
  <c r="K280" i="41"/>
  <c r="K285" i="41" s="1"/>
  <c r="K363" i="41" s="1"/>
  <c r="AJ280" i="41"/>
  <c r="AJ285" i="41" s="1"/>
  <c r="AJ363" i="41" s="1"/>
  <c r="R140" i="65"/>
  <c r="R169" i="65" s="1"/>
  <c r="R74" i="105" s="1"/>
  <c r="R116" i="105" s="1"/>
  <c r="AG123" i="65"/>
  <c r="AG152" i="65" s="1"/>
  <c r="AG57" i="105" s="1"/>
  <c r="AG97" i="105" s="1"/>
  <c r="AH280" i="41"/>
  <c r="AH285" i="41" s="1"/>
  <c r="AH363" i="41" s="1"/>
  <c r="AL280" i="41"/>
  <c r="AL285" i="41" s="1"/>
  <c r="AL363" i="41" s="1"/>
  <c r="R131" i="65"/>
  <c r="R160" i="65" s="1"/>
  <c r="R65" i="105" s="1"/>
  <c r="R106" i="105" s="1"/>
  <c r="AG132" i="65"/>
  <c r="AG161" i="65" s="1"/>
  <c r="AG66" i="105" s="1"/>
  <c r="AG184" i="105" s="1"/>
  <c r="Q280" i="41"/>
  <c r="Q285" i="41" s="1"/>
  <c r="Q363" i="41" s="1"/>
  <c r="AN280" i="41"/>
  <c r="AN285" i="41" s="1"/>
  <c r="AN363" i="41" s="1"/>
  <c r="AI280" i="41"/>
  <c r="AI285" i="41" s="1"/>
  <c r="AI363" i="41" s="1"/>
  <c r="R122" i="65"/>
  <c r="R151" i="65" s="1"/>
  <c r="R56" i="105" s="1"/>
  <c r="R96" i="105" s="1"/>
  <c r="AB280" i="41"/>
  <c r="AB285" i="41" s="1"/>
  <c r="AB363" i="41" s="1"/>
  <c r="AK280" i="41"/>
  <c r="AK285" i="41" s="1"/>
  <c r="AK363" i="41" s="1"/>
  <c r="AG301" i="41"/>
  <c r="AG303" i="41" s="1"/>
  <c r="L102" i="105"/>
  <c r="L140" i="105" s="1"/>
  <c r="Y227" i="41"/>
  <c r="Y229" i="41" s="1"/>
  <c r="AD227" i="41"/>
  <c r="AD229" i="41" s="1"/>
  <c r="Z227" i="41"/>
  <c r="Z229" i="41" s="1"/>
  <c r="AE227" i="41"/>
  <c r="AE229" i="41" s="1"/>
  <c r="AF227" i="41"/>
  <c r="AF229" i="41" s="1"/>
  <c r="AA227" i="41"/>
  <c r="AA229" i="41" s="1"/>
  <c r="T227" i="41"/>
  <c r="T229" i="41" s="1"/>
  <c r="O227" i="41"/>
  <c r="O229" i="41" s="1"/>
  <c r="J225" i="41"/>
  <c r="J416" i="41" s="1"/>
  <c r="J35" i="65" s="1"/>
  <c r="J113" i="65" s="1"/>
  <c r="L117" i="105"/>
  <c r="L195" i="105"/>
  <c r="AI102" i="105"/>
  <c r="AI174" i="105" s="1"/>
  <c r="AI65" i="82" s="1"/>
  <c r="Q102" i="105"/>
  <c r="AB116" i="105"/>
  <c r="AB194" i="105"/>
  <c r="R115" i="105"/>
  <c r="R193" i="105"/>
  <c r="L105" i="105"/>
  <c r="L182" i="105"/>
  <c r="N133" i="65"/>
  <c r="N162" i="65" s="1"/>
  <c r="N67" i="105" s="1"/>
  <c r="N124" i="65"/>
  <c r="N153" i="65" s="1"/>
  <c r="N58" i="105" s="1"/>
  <c r="N98" i="105" s="1"/>
  <c r="N142" i="65"/>
  <c r="N171" i="65" s="1"/>
  <c r="N76" i="105" s="1"/>
  <c r="N35" i="82"/>
  <c r="U124" i="65"/>
  <c r="U153" i="65" s="1"/>
  <c r="U58" i="105" s="1"/>
  <c r="U98" i="105" s="1"/>
  <c r="U142" i="65"/>
  <c r="U171" i="65" s="1"/>
  <c r="U76" i="105" s="1"/>
  <c r="U35" i="82"/>
  <c r="U133" i="65"/>
  <c r="U162" i="65" s="1"/>
  <c r="U67" i="105" s="1"/>
  <c r="P124" i="65"/>
  <c r="P153" i="65" s="1"/>
  <c r="P58" i="105" s="1"/>
  <c r="P98" i="105" s="1"/>
  <c r="P133" i="65"/>
  <c r="P162" i="65" s="1"/>
  <c r="P67" i="105" s="1"/>
  <c r="P142" i="65"/>
  <c r="P171" i="65" s="1"/>
  <c r="P76" i="105" s="1"/>
  <c r="P35" i="82"/>
  <c r="AC35" i="82"/>
  <c r="AC142" i="65"/>
  <c r="AC171" i="65" s="1"/>
  <c r="AC76" i="105" s="1"/>
  <c r="AC124" i="65"/>
  <c r="AC153" i="65" s="1"/>
  <c r="AC58" i="105" s="1"/>
  <c r="AC98" i="105" s="1"/>
  <c r="W117" i="105"/>
  <c r="W195" i="105"/>
  <c r="AA35" i="82"/>
  <c r="AA124" i="65"/>
  <c r="AA153" i="65" s="1"/>
  <c r="AA58" i="105" s="1"/>
  <c r="AA98" i="105" s="1"/>
  <c r="AA142" i="65"/>
  <c r="AA171" i="65" s="1"/>
  <c r="AA76" i="105" s="1"/>
  <c r="N227" i="41"/>
  <c r="N229" i="41" s="1"/>
  <c r="U227" i="41"/>
  <c r="U229" i="41" s="1"/>
  <c r="P227" i="41"/>
  <c r="P229" i="41" s="1"/>
  <c r="AC227" i="41"/>
  <c r="AC229" i="41" s="1"/>
  <c r="L116" i="105"/>
  <c r="L194" i="105"/>
  <c r="AJ102" i="105"/>
  <c r="S142" i="65"/>
  <c r="S171" i="65" s="1"/>
  <c r="S76" i="105" s="1"/>
  <c r="S133" i="65"/>
  <c r="S162" i="65" s="1"/>
  <c r="S67" i="105" s="1"/>
  <c r="S35" i="82"/>
  <c r="S124" i="65"/>
  <c r="S153" i="65" s="1"/>
  <c r="S58" i="105" s="1"/>
  <c r="S98" i="105" s="1"/>
  <c r="X142" i="65"/>
  <c r="X171" i="65" s="1"/>
  <c r="X76" i="105" s="1"/>
  <c r="X124" i="65"/>
  <c r="X153" i="65" s="1"/>
  <c r="X58" i="105" s="1"/>
  <c r="X98" i="105" s="1"/>
  <c r="X35" i="82"/>
  <c r="V124" i="65"/>
  <c r="V153" i="65" s="1"/>
  <c r="V58" i="105" s="1"/>
  <c r="V98" i="105" s="1"/>
  <c r="V142" i="65"/>
  <c r="V171" i="65" s="1"/>
  <c r="V76" i="105" s="1"/>
  <c r="V133" i="65"/>
  <c r="V162" i="65" s="1"/>
  <c r="V67" i="105" s="1"/>
  <c r="V35" i="82"/>
  <c r="M124" i="65"/>
  <c r="M153" i="65" s="1"/>
  <c r="M58" i="105" s="1"/>
  <c r="M98" i="105" s="1"/>
  <c r="M142" i="65"/>
  <c r="M171" i="65" s="1"/>
  <c r="M76" i="105" s="1"/>
  <c r="M133" i="65"/>
  <c r="M162" i="65" s="1"/>
  <c r="M67" i="105" s="1"/>
  <c r="M35" i="82"/>
  <c r="W115" i="105"/>
  <c r="W193" i="105"/>
  <c r="AB115" i="105"/>
  <c r="AB193" i="105"/>
  <c r="L106" i="105"/>
  <c r="L183" i="105"/>
  <c r="Y124" i="65"/>
  <c r="Y153" i="65" s="1"/>
  <c r="Y58" i="105" s="1"/>
  <c r="Y98" i="105" s="1"/>
  <c r="Y142" i="65"/>
  <c r="Y171" i="65" s="1"/>
  <c r="Y76" i="105" s="1"/>
  <c r="Y35" i="82"/>
  <c r="S227" i="41"/>
  <c r="S229" i="41" s="1"/>
  <c r="X227" i="41"/>
  <c r="X229" i="41" s="1"/>
  <c r="V227" i="41"/>
  <c r="V229" i="41" s="1"/>
  <c r="M227" i="41"/>
  <c r="M229" i="41" s="1"/>
  <c r="AN102" i="105"/>
  <c r="AL102" i="105"/>
  <c r="AD124" i="65"/>
  <c r="AD153" i="65" s="1"/>
  <c r="AD58" i="105" s="1"/>
  <c r="AD98" i="105" s="1"/>
  <c r="AD142" i="65"/>
  <c r="AD171" i="65" s="1"/>
  <c r="AD76" i="105" s="1"/>
  <c r="AD35" i="82"/>
  <c r="T142" i="65"/>
  <c r="T171" i="65" s="1"/>
  <c r="T76" i="105" s="1"/>
  <c r="T35" i="82"/>
  <c r="T124" i="65"/>
  <c r="T153" i="65" s="1"/>
  <c r="T58" i="105" s="1"/>
  <c r="T98" i="105" s="1"/>
  <c r="T133" i="65"/>
  <c r="T162" i="65" s="1"/>
  <c r="T67" i="105" s="1"/>
  <c r="AF35" i="82"/>
  <c r="AF124" i="65"/>
  <c r="AF153" i="65" s="1"/>
  <c r="AF58" i="105" s="1"/>
  <c r="AF98" i="105" s="1"/>
  <c r="AF142" i="65"/>
  <c r="AF171" i="65" s="1"/>
  <c r="AF76" i="105" s="1"/>
  <c r="Z142" i="65"/>
  <c r="Z171" i="65" s="1"/>
  <c r="Z76" i="105" s="1"/>
  <c r="Z124" i="65"/>
  <c r="Z153" i="65" s="1"/>
  <c r="Z58" i="105" s="1"/>
  <c r="Z98" i="105" s="1"/>
  <c r="Z35" i="82"/>
  <c r="O35" i="82"/>
  <c r="O133" i="65"/>
  <c r="O162" i="65" s="1"/>
  <c r="O67" i="105" s="1"/>
  <c r="O142" i="65"/>
  <c r="O171" i="65" s="1"/>
  <c r="O76" i="105" s="1"/>
  <c r="O124" i="65"/>
  <c r="O153" i="65" s="1"/>
  <c r="O58" i="105" s="1"/>
  <c r="O98" i="105" s="1"/>
  <c r="L107" i="105"/>
  <c r="L184" i="105"/>
  <c r="W116" i="105"/>
  <c r="W194" i="105"/>
  <c r="AB117" i="105"/>
  <c r="AB195" i="105"/>
  <c r="L115" i="105"/>
  <c r="L193" i="105"/>
  <c r="AE142" i="65"/>
  <c r="AE171" i="65" s="1"/>
  <c r="AE76" i="105" s="1"/>
  <c r="AE35" i="82"/>
  <c r="AE124" i="65"/>
  <c r="AE153" i="65" s="1"/>
  <c r="AE58" i="105" s="1"/>
  <c r="AE98" i="105" s="1"/>
  <c r="AL194" i="105"/>
  <c r="AG121" i="65"/>
  <c r="AG150" i="65" s="1"/>
  <c r="AG55" i="105" s="1"/>
  <c r="AG95" i="105" s="1"/>
  <c r="AG130" i="65"/>
  <c r="AG159" i="65" s="1"/>
  <c r="AG64" i="105" s="1"/>
  <c r="AG32" i="82"/>
  <c r="AG139" i="65"/>
  <c r="AG168" i="65" s="1"/>
  <c r="AG73" i="105" s="1"/>
  <c r="AJ184" i="105"/>
  <c r="AJ107" i="105"/>
  <c r="AH195" i="105"/>
  <c r="AH117" i="105"/>
  <c r="AH182" i="105"/>
  <c r="AH105" i="105"/>
  <c r="K139" i="65"/>
  <c r="K168" i="65" s="1"/>
  <c r="K73" i="105" s="1"/>
  <c r="K130" i="65"/>
  <c r="K159" i="65" s="1"/>
  <c r="K64" i="105" s="1"/>
  <c r="K121" i="65"/>
  <c r="K150" i="65" s="1"/>
  <c r="K55" i="105" s="1"/>
  <c r="K95" i="105" s="1"/>
  <c r="K32" i="82"/>
  <c r="AJ194" i="105"/>
  <c r="AJ116" i="105"/>
  <c r="AJ182" i="105"/>
  <c r="AJ105" i="105"/>
  <c r="AH194" i="105"/>
  <c r="AH116" i="105"/>
  <c r="AH184" i="105"/>
  <c r="AH107" i="105"/>
  <c r="AJ195" i="105"/>
  <c r="AJ117" i="105"/>
  <c r="Q194" i="105"/>
  <c r="Q116" i="105"/>
  <c r="AB102" i="105"/>
  <c r="Q184" i="105"/>
  <c r="Q107" i="105"/>
  <c r="AJ183" i="105"/>
  <c r="AJ106" i="105"/>
  <c r="Q193" i="105"/>
  <c r="Q115" i="105"/>
  <c r="AI195" i="105"/>
  <c r="AI117" i="105"/>
  <c r="AL195" i="105"/>
  <c r="AL117" i="105"/>
  <c r="AN194" i="105"/>
  <c r="AN116" i="105"/>
  <c r="K34" i="82"/>
  <c r="K123" i="65"/>
  <c r="K152" i="65" s="1"/>
  <c r="K57" i="105" s="1"/>
  <c r="K97" i="105" s="1"/>
  <c r="K141" i="65"/>
  <c r="K170" i="65" s="1"/>
  <c r="K75" i="105" s="1"/>
  <c r="K132" i="65"/>
  <c r="K161" i="65" s="1"/>
  <c r="K66" i="105" s="1"/>
  <c r="Q195" i="105"/>
  <c r="Q117" i="105"/>
  <c r="AG33" i="82"/>
  <c r="AG140" i="65"/>
  <c r="AG169" i="65" s="1"/>
  <c r="AG74" i="105" s="1"/>
  <c r="AG122" i="65"/>
  <c r="AG151" i="65" s="1"/>
  <c r="AG56" i="105" s="1"/>
  <c r="AG96" i="105" s="1"/>
  <c r="AG131" i="65"/>
  <c r="AG160" i="65" s="1"/>
  <c r="AG65" i="105" s="1"/>
  <c r="W102" i="105"/>
  <c r="Q182" i="105"/>
  <c r="Q105" i="105"/>
  <c r="Q183" i="105"/>
  <c r="Q106" i="105"/>
  <c r="AI194" i="105"/>
  <c r="AI116" i="105"/>
  <c r="AH183" i="105"/>
  <c r="AH106" i="105"/>
  <c r="AJ193" i="105"/>
  <c r="AJ115" i="105"/>
  <c r="AN195" i="105"/>
  <c r="AN117" i="105"/>
  <c r="AI193" i="105"/>
  <c r="AI115" i="105"/>
  <c r="AH193" i="105"/>
  <c r="AN193" i="105"/>
  <c r="AN115" i="105"/>
  <c r="K140" i="65"/>
  <c r="K169" i="65" s="1"/>
  <c r="K74" i="105" s="1"/>
  <c r="K116" i="105" s="1"/>
  <c r="K122" i="65"/>
  <c r="K151" i="65" s="1"/>
  <c r="K56" i="105" s="1"/>
  <c r="K96" i="105" s="1"/>
  <c r="K131" i="65"/>
  <c r="K160" i="65" s="1"/>
  <c r="K65" i="105" s="1"/>
  <c r="K33" i="82"/>
  <c r="AL193" i="105" l="1"/>
  <c r="AG107" i="105"/>
  <c r="R331" i="41"/>
  <c r="AO299" i="41"/>
  <c r="AO305" i="41" s="1"/>
  <c r="AO392" i="41" s="1"/>
  <c r="AO396" i="41" s="1"/>
  <c r="AJ299" i="41"/>
  <c r="AJ305" i="41" s="1"/>
  <c r="AJ392" i="41" s="1"/>
  <c r="AJ396" i="41" s="1"/>
  <c r="Q331" i="41"/>
  <c r="R105" i="105"/>
  <c r="R112" i="105" s="1"/>
  <c r="R194" i="105"/>
  <c r="R184" i="105"/>
  <c r="AM331" i="41"/>
  <c r="W299" i="41"/>
  <c r="W305" i="41" s="1"/>
  <c r="W392" i="41" s="1"/>
  <c r="W396" i="41" s="1"/>
  <c r="W331" i="41"/>
  <c r="R102" i="105"/>
  <c r="R174" i="105" s="1"/>
  <c r="R65" i="82" s="1"/>
  <c r="R117" i="105"/>
  <c r="Q299" i="41"/>
  <c r="Q305" i="41" s="1"/>
  <c r="Q392" i="41" s="1"/>
  <c r="Q396" i="41" s="1"/>
  <c r="AG117" i="105"/>
  <c r="L299" i="41"/>
  <c r="L305" i="41" s="1"/>
  <c r="L392" i="41" s="1"/>
  <c r="L396" i="41" s="1"/>
  <c r="AJ331" i="41"/>
  <c r="AK299" i="41"/>
  <c r="AK305" i="41" s="1"/>
  <c r="AK392" i="41" s="1"/>
  <c r="AK396" i="41" s="1"/>
  <c r="AO331" i="41"/>
  <c r="AK331" i="41"/>
  <c r="AI331" i="41"/>
  <c r="AL331" i="41"/>
  <c r="AM365" i="41"/>
  <c r="AM367" i="41" s="1"/>
  <c r="AM369" i="41" s="1"/>
  <c r="AM394" i="41" s="1"/>
  <c r="R183" i="105"/>
  <c r="R299" i="41"/>
  <c r="R305" i="41" s="1"/>
  <c r="R392" i="41" s="1"/>
  <c r="R396" i="41" s="1"/>
  <c r="AH365" i="41"/>
  <c r="AH367" i="41" s="1"/>
  <c r="AH369" i="41" s="1"/>
  <c r="AH394" i="41" s="1"/>
  <c r="AM299" i="41"/>
  <c r="AM305" i="41" s="1"/>
  <c r="AM392" i="41" s="1"/>
  <c r="AM396" i="41" s="1"/>
  <c r="AB299" i="41"/>
  <c r="AB305" i="41" s="1"/>
  <c r="AB392" i="41" s="1"/>
  <c r="AB396" i="41" s="1"/>
  <c r="K331" i="41"/>
  <c r="AL299" i="41"/>
  <c r="AL305" i="41" s="1"/>
  <c r="AL392" i="41" s="1"/>
  <c r="AL396" i="41" s="1"/>
  <c r="AB365" i="41"/>
  <c r="AB367" i="41" s="1"/>
  <c r="AB369" i="41" s="1"/>
  <c r="AB394" i="41" s="1"/>
  <c r="K299" i="41"/>
  <c r="K305" i="41" s="1"/>
  <c r="K392" i="41" s="1"/>
  <c r="K396" i="41" s="1"/>
  <c r="L331" i="41"/>
  <c r="AI299" i="41"/>
  <c r="AI305" i="41" s="1"/>
  <c r="AI392" i="41" s="1"/>
  <c r="AI396" i="41" s="1"/>
  <c r="AB331" i="41"/>
  <c r="AL365" i="41"/>
  <c r="AL367" i="41" s="1"/>
  <c r="AL369" i="41" s="1"/>
  <c r="AL394" i="41" s="1"/>
  <c r="AH331" i="41"/>
  <c r="AN331" i="41"/>
  <c r="W365" i="41"/>
  <c r="W367" i="41" s="1"/>
  <c r="W369" i="41" s="1"/>
  <c r="W394" i="41" s="1"/>
  <c r="AN365" i="41"/>
  <c r="AN367" i="41" s="1"/>
  <c r="AN369" i="41" s="1"/>
  <c r="AN394" i="41" s="1"/>
  <c r="AH299" i="41"/>
  <c r="AH305" i="41" s="1"/>
  <c r="AH392" i="41" s="1"/>
  <c r="AH396" i="41" s="1"/>
  <c r="AO365" i="41"/>
  <c r="AO367" i="41" s="1"/>
  <c r="AO369" i="41" s="1"/>
  <c r="AO394" i="41" s="1"/>
  <c r="AK365" i="41"/>
  <c r="AK367" i="41" s="1"/>
  <c r="AK369" i="41" s="1"/>
  <c r="AK394" i="41" s="1"/>
  <c r="R365" i="41"/>
  <c r="R367" i="41" s="1"/>
  <c r="R369" i="41" s="1"/>
  <c r="R394" i="41" s="1"/>
  <c r="AJ365" i="41"/>
  <c r="AJ367" i="41" s="1"/>
  <c r="AJ369" i="41" s="1"/>
  <c r="AJ394" i="41" s="1"/>
  <c r="Q365" i="41"/>
  <c r="Q367" i="41" s="1"/>
  <c r="Q369" i="41" s="1"/>
  <c r="Q394" i="41" s="1"/>
  <c r="AI365" i="41"/>
  <c r="AI367" i="41" s="1"/>
  <c r="AI369" i="41" s="1"/>
  <c r="AI394" i="41" s="1"/>
  <c r="K365" i="41"/>
  <c r="K367" i="41" s="1"/>
  <c r="K369" i="41" s="1"/>
  <c r="K394" i="41" s="1"/>
  <c r="L365" i="41"/>
  <c r="L367" i="41" s="1"/>
  <c r="L369" i="41" s="1"/>
  <c r="L394" i="41" s="1"/>
  <c r="AN299" i="41"/>
  <c r="AN305" i="41" s="1"/>
  <c r="AN392" i="41" s="1"/>
  <c r="AN396" i="41" s="1"/>
  <c r="L146" i="105"/>
  <c r="L63" i="82" s="1"/>
  <c r="L174" i="105"/>
  <c r="L65" i="82" s="1"/>
  <c r="AB122" i="105"/>
  <c r="W122" i="105"/>
  <c r="AG102" i="105"/>
  <c r="AG140" i="105" s="1"/>
  <c r="AN122" i="105"/>
  <c r="AN142" i="105" s="1"/>
  <c r="L200" i="105"/>
  <c r="L207" i="105" s="1"/>
  <c r="L74" i="82" s="1"/>
  <c r="AI122" i="105"/>
  <c r="AH122" i="105"/>
  <c r="AH148" i="105" s="1"/>
  <c r="AI200" i="105"/>
  <c r="R122" i="105"/>
  <c r="AL122" i="105"/>
  <c r="L112" i="105"/>
  <c r="Y425" i="41"/>
  <c r="Y238" i="41"/>
  <c r="AA238" i="41"/>
  <c r="AA425" i="41"/>
  <c r="O238" i="41"/>
  <c r="O294" i="41"/>
  <c r="O296" i="41" s="1"/>
  <c r="O425" i="41"/>
  <c r="AF425" i="41"/>
  <c r="AF294" i="41"/>
  <c r="AF296" i="41" s="1"/>
  <c r="AF238" i="41"/>
  <c r="T425" i="41"/>
  <c r="T294" i="41"/>
  <c r="T296" i="41" s="1"/>
  <c r="Y294" i="41"/>
  <c r="Y296" i="41" s="1"/>
  <c r="T238" i="41"/>
  <c r="AE425" i="41"/>
  <c r="AE238" i="41"/>
  <c r="AE294" i="41"/>
  <c r="AE296" i="41" s="1"/>
  <c r="W200" i="105"/>
  <c r="Z425" i="41"/>
  <c r="Z238" i="41"/>
  <c r="AD294" i="41"/>
  <c r="AD296" i="41" s="1"/>
  <c r="AD238" i="41"/>
  <c r="AD425" i="41"/>
  <c r="AL200" i="105"/>
  <c r="O108" i="105"/>
  <c r="O185" i="105"/>
  <c r="X294" i="41"/>
  <c r="X296" i="41" s="1"/>
  <c r="S425" i="41"/>
  <c r="S238" i="41"/>
  <c r="S294" i="41"/>
  <c r="S296" i="41" s="1"/>
  <c r="V118" i="105"/>
  <c r="V196" i="105"/>
  <c r="U425" i="41"/>
  <c r="Z294" i="41"/>
  <c r="Z296" i="41" s="1"/>
  <c r="U238" i="41"/>
  <c r="U294" i="41"/>
  <c r="U296" i="41" s="1"/>
  <c r="P185" i="105"/>
  <c r="P108" i="105"/>
  <c r="R200" i="105"/>
  <c r="K102" i="105"/>
  <c r="Q112" i="105"/>
  <c r="AD196" i="105"/>
  <c r="AD118" i="105"/>
  <c r="AH174" i="105"/>
  <c r="AH65" i="82" s="1"/>
  <c r="AH146" i="105"/>
  <c r="AH63" i="82" s="1"/>
  <c r="M185" i="105"/>
  <c r="M108" i="105"/>
  <c r="S108" i="105"/>
  <c r="S185" i="105"/>
  <c r="N425" i="41"/>
  <c r="N294" i="41"/>
  <c r="N296" i="41" s="1"/>
  <c r="N238" i="41"/>
  <c r="N196" i="105"/>
  <c r="N118" i="105"/>
  <c r="AB146" i="105"/>
  <c r="AB63" i="82" s="1"/>
  <c r="AB174" i="105"/>
  <c r="AB65" i="82" s="1"/>
  <c r="AB140" i="105"/>
  <c r="T108" i="105"/>
  <c r="T185" i="105"/>
  <c r="Y196" i="105"/>
  <c r="Y118" i="105"/>
  <c r="M196" i="105"/>
  <c r="M118" i="105"/>
  <c r="S118" i="105"/>
  <c r="S196" i="105"/>
  <c r="AA118" i="105"/>
  <c r="AA196" i="105"/>
  <c r="AC118" i="105"/>
  <c r="AC196" i="105"/>
  <c r="U185" i="105"/>
  <c r="U108" i="105"/>
  <c r="AH112" i="105"/>
  <c r="AH147" i="105" s="1"/>
  <c r="AE118" i="105"/>
  <c r="AE196" i="105"/>
  <c r="AL174" i="105"/>
  <c r="AK65" i="82" s="1"/>
  <c r="AL140" i="105"/>
  <c r="AL146" i="105"/>
  <c r="AK63" i="82" s="1"/>
  <c r="M294" i="41"/>
  <c r="M296" i="41" s="1"/>
  <c r="M425" i="41"/>
  <c r="M238" i="41"/>
  <c r="AJ174" i="105"/>
  <c r="AJ65" i="82" s="1"/>
  <c r="AJ140" i="105"/>
  <c r="AJ146" i="105"/>
  <c r="AJ63" i="82" s="1"/>
  <c r="L62" i="82"/>
  <c r="N185" i="105"/>
  <c r="N108" i="105"/>
  <c r="L122" i="105"/>
  <c r="Z196" i="105"/>
  <c r="Z118" i="105"/>
  <c r="AN174" i="105"/>
  <c r="AL65" i="82" s="1"/>
  <c r="AN140" i="105"/>
  <c r="AN146" i="105"/>
  <c r="AL63" i="82" s="1"/>
  <c r="V425" i="41"/>
  <c r="AA294" i="41"/>
  <c r="AA296" i="41" s="1"/>
  <c r="V294" i="41"/>
  <c r="V296" i="41" s="1"/>
  <c r="V238" i="41"/>
  <c r="X118" i="105"/>
  <c r="X196" i="105"/>
  <c r="AC425" i="41"/>
  <c r="AC238" i="41"/>
  <c r="AC294" i="41"/>
  <c r="AC296" i="41" s="1"/>
  <c r="U118" i="105"/>
  <c r="U196" i="105"/>
  <c r="L189" i="105"/>
  <c r="L206" i="105" s="1"/>
  <c r="L73" i="82" s="1"/>
  <c r="Q174" i="105"/>
  <c r="Q65" i="82" s="1"/>
  <c r="Q146" i="105"/>
  <c r="Q63" i="82" s="1"/>
  <c r="J142" i="65"/>
  <c r="J171" i="65" s="1"/>
  <c r="J76" i="105" s="1"/>
  <c r="J35" i="82"/>
  <c r="J124" i="65"/>
  <c r="J153" i="65" s="1"/>
  <c r="J58" i="105" s="1"/>
  <c r="J98" i="105" s="1"/>
  <c r="H98" i="105" s="1"/>
  <c r="J133" i="65"/>
  <c r="J162" i="65" s="1"/>
  <c r="J67" i="105" s="1"/>
  <c r="W140" i="105"/>
  <c r="W174" i="105"/>
  <c r="W65" i="82" s="1"/>
  <c r="W146" i="105"/>
  <c r="W63" i="82" s="1"/>
  <c r="O118" i="105"/>
  <c r="O196" i="105"/>
  <c r="AF118" i="105"/>
  <c r="AF196" i="105"/>
  <c r="T196" i="105"/>
  <c r="T118" i="105"/>
  <c r="X425" i="41"/>
  <c r="X238" i="41"/>
  <c r="AB200" i="105"/>
  <c r="V108" i="105"/>
  <c r="V185" i="105"/>
  <c r="P425" i="41"/>
  <c r="P294" i="41"/>
  <c r="P296" i="41" s="1"/>
  <c r="P238" i="41"/>
  <c r="P118" i="105"/>
  <c r="P196" i="105"/>
  <c r="J227" i="41"/>
  <c r="J229" i="41" s="1"/>
  <c r="AN200" i="105"/>
  <c r="AH200" i="105"/>
  <c r="Q189" i="105"/>
  <c r="K183" i="105"/>
  <c r="K106" i="105"/>
  <c r="K195" i="105"/>
  <c r="K117" i="105"/>
  <c r="AG182" i="105"/>
  <c r="AG105" i="105"/>
  <c r="AG194" i="105"/>
  <c r="AG116" i="105"/>
  <c r="K182" i="105"/>
  <c r="K105" i="105"/>
  <c r="Q122" i="105"/>
  <c r="AJ112" i="105"/>
  <c r="AJ122" i="105"/>
  <c r="K193" i="105"/>
  <c r="K115" i="105"/>
  <c r="Q200" i="105"/>
  <c r="AJ189" i="105"/>
  <c r="AJ200" i="105"/>
  <c r="AH189" i="105"/>
  <c r="AG193" i="105"/>
  <c r="AG115" i="105"/>
  <c r="AG183" i="105"/>
  <c r="AG106" i="105"/>
  <c r="K184" i="105"/>
  <c r="K107" i="105"/>
  <c r="R189" i="105" l="1"/>
  <c r="R140" i="105"/>
  <c r="R146" i="105"/>
  <c r="R63" i="82" s="1"/>
  <c r="AH333" i="41"/>
  <c r="AH335" i="41" s="1"/>
  <c r="AH337" i="41" s="1"/>
  <c r="AH393" i="41" s="1"/>
  <c r="Q333" i="41"/>
  <c r="Q335" i="41" s="1"/>
  <c r="Q337" i="41" s="1"/>
  <c r="Q393" i="41" s="1"/>
  <c r="W333" i="41"/>
  <c r="W335" i="41" s="1"/>
  <c r="W337" i="41" s="1"/>
  <c r="W393" i="41" s="1"/>
  <c r="R333" i="41"/>
  <c r="R335" i="41" s="1"/>
  <c r="R337" i="41" s="1"/>
  <c r="R393" i="41" s="1"/>
  <c r="AI333" i="41"/>
  <c r="AI335" i="41" s="1"/>
  <c r="AI337" i="41" s="1"/>
  <c r="AI393" i="41" s="1"/>
  <c r="AL333" i="41"/>
  <c r="AL335" i="41" s="1"/>
  <c r="AL337" i="41" s="1"/>
  <c r="AL393" i="41" s="1"/>
  <c r="L333" i="41"/>
  <c r="L335" i="41" s="1"/>
  <c r="L337" i="41" s="1"/>
  <c r="L393" i="41" s="1"/>
  <c r="L301" i="41"/>
  <c r="L303" i="41" s="1"/>
  <c r="AK333" i="41"/>
  <c r="AK335" i="41" s="1"/>
  <c r="AK337" i="41" s="1"/>
  <c r="AK393" i="41" s="1"/>
  <c r="AN333" i="41"/>
  <c r="AN335" i="41" s="1"/>
  <c r="AN337" i="41" s="1"/>
  <c r="AN393" i="41" s="1"/>
  <c r="AO333" i="41"/>
  <c r="AO335" i="41" s="1"/>
  <c r="AO337" i="41" s="1"/>
  <c r="AO393" i="41" s="1"/>
  <c r="AM333" i="41"/>
  <c r="AM335" i="41" s="1"/>
  <c r="AM337" i="41" s="1"/>
  <c r="AM393" i="41" s="1"/>
  <c r="AJ333" i="41"/>
  <c r="AJ335" i="41" s="1"/>
  <c r="AJ337" i="41" s="1"/>
  <c r="AJ393" i="41" s="1"/>
  <c r="AI301" i="41"/>
  <c r="AI303" i="41" s="1"/>
  <c r="K333" i="41"/>
  <c r="K335" i="41" s="1"/>
  <c r="K337" i="41" s="1"/>
  <c r="K393" i="41" s="1"/>
  <c r="AB333" i="41"/>
  <c r="AB335" i="41" s="1"/>
  <c r="AB337" i="41" s="1"/>
  <c r="AB393" i="41" s="1"/>
  <c r="AK301" i="41"/>
  <c r="AK303" i="41" s="1"/>
  <c r="AL301" i="41"/>
  <c r="AL303" i="41" s="1"/>
  <c r="Q301" i="41"/>
  <c r="Q303" i="41" s="1"/>
  <c r="K301" i="41"/>
  <c r="K303" i="41" s="1"/>
  <c r="AN301" i="41"/>
  <c r="AN303" i="41" s="1"/>
  <c r="AJ301" i="41"/>
  <c r="AJ303" i="41" s="1"/>
  <c r="AB301" i="41"/>
  <c r="AB303" i="41" s="1"/>
  <c r="AH301" i="41"/>
  <c r="AH303" i="41" s="1"/>
  <c r="W301" i="41"/>
  <c r="W303" i="41" s="1"/>
  <c r="AM301" i="41"/>
  <c r="AM303" i="41" s="1"/>
  <c r="AO301" i="41"/>
  <c r="AO303" i="41" s="1"/>
  <c r="R301" i="41"/>
  <c r="R303" i="41" s="1"/>
  <c r="AG174" i="105"/>
  <c r="AG65" i="82" s="1"/>
  <c r="AG146" i="105"/>
  <c r="AG63" i="82" s="1"/>
  <c r="AG62" i="82"/>
  <c r="AG122" i="105"/>
  <c r="AG148" i="105" s="1"/>
  <c r="AG142" i="105"/>
  <c r="AG112" i="105"/>
  <c r="AG147" i="105" s="1"/>
  <c r="AN148" i="105"/>
  <c r="Y250" i="41"/>
  <c r="Y268" i="41" s="1"/>
  <c r="Y273" i="41" s="1"/>
  <c r="Y251" i="41"/>
  <c r="Y269" i="41" s="1"/>
  <c r="Y274" i="41" s="1"/>
  <c r="Y252" i="41"/>
  <c r="Y270" i="41" s="1"/>
  <c r="Y275" i="41" s="1"/>
  <c r="Z251" i="41"/>
  <c r="Z269" i="41" s="1"/>
  <c r="Z274" i="41" s="1"/>
  <c r="Z250" i="41"/>
  <c r="Z268" i="41" s="1"/>
  <c r="Z273" i="41" s="1"/>
  <c r="Z252" i="41"/>
  <c r="Z270" i="41" s="1"/>
  <c r="Z275" i="41" s="1"/>
  <c r="T252" i="41"/>
  <c r="T270" i="41" s="1"/>
  <c r="T275" i="41" s="1"/>
  <c r="T250" i="41"/>
  <c r="T268" i="41" s="1"/>
  <c r="T273" i="41" s="1"/>
  <c r="T251" i="41"/>
  <c r="T269" i="41" s="1"/>
  <c r="T274" i="41" s="1"/>
  <c r="K189" i="105"/>
  <c r="AG200" i="105"/>
  <c r="AG207" i="105" s="1"/>
  <c r="AG74" i="82" s="1"/>
  <c r="O252" i="41"/>
  <c r="O270" i="41" s="1"/>
  <c r="O275" i="41" s="1"/>
  <c r="O280" i="41" s="1"/>
  <c r="O285" i="41" s="1"/>
  <c r="O363" i="41" s="1"/>
  <c r="O365" i="41" s="1"/>
  <c r="O367" i="41" s="1"/>
  <c r="O250" i="41"/>
  <c r="O268" i="41" s="1"/>
  <c r="O273" i="41" s="1"/>
  <c r="O278" i="41" s="1"/>
  <c r="O283" i="41" s="1"/>
  <c r="O251" i="41"/>
  <c r="O269" i="41" s="1"/>
  <c r="O274" i="41" s="1"/>
  <c r="O279" i="41" s="1"/>
  <c r="O284" i="41" s="1"/>
  <c r="AD252" i="41"/>
  <c r="AD270" i="41" s="1"/>
  <c r="AD275" i="41" s="1"/>
  <c r="AD280" i="41" s="1"/>
  <c r="AD285" i="41" s="1"/>
  <c r="AD363" i="41" s="1"/>
  <c r="AD365" i="41" s="1"/>
  <c r="AD367" i="41" s="1"/>
  <c r="AD250" i="41"/>
  <c r="AD268" i="41" s="1"/>
  <c r="AD273" i="41" s="1"/>
  <c r="AD278" i="41" s="1"/>
  <c r="AD283" i="41" s="1"/>
  <c r="AD251" i="41"/>
  <c r="AD269" i="41" s="1"/>
  <c r="AD274" i="41" s="1"/>
  <c r="AD279" i="41" s="1"/>
  <c r="AD284" i="41" s="1"/>
  <c r="AE252" i="41"/>
  <c r="AE270" i="41" s="1"/>
  <c r="AE275" i="41" s="1"/>
  <c r="AE280" i="41" s="1"/>
  <c r="AE285" i="41" s="1"/>
  <c r="AE363" i="41" s="1"/>
  <c r="AE365" i="41" s="1"/>
  <c r="AE367" i="41" s="1"/>
  <c r="AE251" i="41"/>
  <c r="AE269" i="41" s="1"/>
  <c r="AE274" i="41" s="1"/>
  <c r="AE279" i="41" s="1"/>
  <c r="AE284" i="41" s="1"/>
  <c r="AE250" i="41"/>
  <c r="AE268" i="41" s="1"/>
  <c r="AE273" i="41" s="1"/>
  <c r="AE278" i="41" s="1"/>
  <c r="AE283" i="41" s="1"/>
  <c r="AF252" i="41"/>
  <c r="AF270" i="41" s="1"/>
  <c r="AF275" i="41" s="1"/>
  <c r="AF280" i="41" s="1"/>
  <c r="AF285" i="41" s="1"/>
  <c r="AF363" i="41" s="1"/>
  <c r="AF365" i="41" s="1"/>
  <c r="AF367" i="41" s="1"/>
  <c r="AF251" i="41"/>
  <c r="AF269" i="41" s="1"/>
  <c r="AF274" i="41" s="1"/>
  <c r="AF279" i="41" s="1"/>
  <c r="AF284" i="41" s="1"/>
  <c r="AF250" i="41"/>
  <c r="AF268" i="41" s="1"/>
  <c r="AF273" i="41" s="1"/>
  <c r="AF278" i="41" s="1"/>
  <c r="AF283" i="41" s="1"/>
  <c r="AA252" i="41"/>
  <c r="AA270" i="41" s="1"/>
  <c r="AA275" i="41" s="1"/>
  <c r="AA250" i="41"/>
  <c r="AA268" i="41" s="1"/>
  <c r="AA273" i="41" s="1"/>
  <c r="AA251" i="41"/>
  <c r="AA269" i="41" s="1"/>
  <c r="AA274" i="41" s="1"/>
  <c r="AN207" i="105"/>
  <c r="AL74" i="82" s="1"/>
  <c r="AL62" i="82"/>
  <c r="AK62" i="82"/>
  <c r="AL207" i="105"/>
  <c r="AK74" i="82" s="1"/>
  <c r="J425" i="41"/>
  <c r="H425" i="41" s="1"/>
  <c r="J294" i="41"/>
  <c r="J296" i="41" s="1"/>
  <c r="J238" i="41"/>
  <c r="H231" i="41"/>
  <c r="J118" i="105"/>
  <c r="H118" i="105" s="1"/>
  <c r="J196" i="105"/>
  <c r="V251" i="41"/>
  <c r="V269" i="41" s="1"/>
  <c r="V274" i="41" s="1"/>
  <c r="V252" i="41"/>
  <c r="V270" i="41" s="1"/>
  <c r="V275" i="41" s="1"/>
  <c r="V250" i="41"/>
  <c r="V268" i="41" s="1"/>
  <c r="V273" i="41" s="1"/>
  <c r="AC251" i="41"/>
  <c r="AC269" i="41" s="1"/>
  <c r="AC274" i="41" s="1"/>
  <c r="AC279" i="41" s="1"/>
  <c r="AC284" i="41" s="1"/>
  <c r="AC252" i="41"/>
  <c r="AC270" i="41" s="1"/>
  <c r="AC250" i="41"/>
  <c r="AC268" i="41" s="1"/>
  <c r="AC273" i="41" s="1"/>
  <c r="AC278" i="41" s="1"/>
  <c r="AC283" i="41" s="1"/>
  <c r="M250" i="41"/>
  <c r="M268" i="41" s="1"/>
  <c r="M273" i="41" s="1"/>
  <c r="M278" i="41" s="1"/>
  <c r="M283" i="41" s="1"/>
  <c r="M406" i="41"/>
  <c r="M415" i="41" s="1"/>
  <c r="M34" i="65" s="1"/>
  <c r="M112" i="65" s="1"/>
  <c r="M252" i="41"/>
  <c r="M270" i="41" s="1"/>
  <c r="M275" i="41" s="1"/>
  <c r="M280" i="41" s="1"/>
  <c r="M285" i="41" s="1"/>
  <c r="M363" i="41" s="1"/>
  <c r="M365" i="41" s="1"/>
  <c r="M367" i="41" s="1"/>
  <c r="M251" i="41"/>
  <c r="M269" i="41" s="1"/>
  <c r="M274" i="41" s="1"/>
  <c r="M279" i="41" s="1"/>
  <c r="M284" i="41" s="1"/>
  <c r="AB206" i="105"/>
  <c r="AB62" i="82"/>
  <c r="AB207" i="105"/>
  <c r="AB74" i="82" s="1"/>
  <c r="N252" i="41"/>
  <c r="N270" i="41" s="1"/>
  <c r="N275" i="41" s="1"/>
  <c r="N280" i="41" s="1"/>
  <c r="N285" i="41" s="1"/>
  <c r="N363" i="41" s="1"/>
  <c r="N365" i="41" s="1"/>
  <c r="N367" i="41" s="1"/>
  <c r="N250" i="41"/>
  <c r="N268" i="41" s="1"/>
  <c r="N273" i="41" s="1"/>
  <c r="N278" i="41" s="1"/>
  <c r="N283" i="41" s="1"/>
  <c r="N251" i="41"/>
  <c r="N269" i="41" s="1"/>
  <c r="N274" i="41" s="1"/>
  <c r="N279" i="41" s="1"/>
  <c r="N284" i="41" s="1"/>
  <c r="W62" i="82"/>
  <c r="W207" i="105"/>
  <c r="W74" i="82" s="1"/>
  <c r="W206" i="105"/>
  <c r="U252" i="41"/>
  <c r="U270" i="41" s="1"/>
  <c r="U275" i="41" s="1"/>
  <c r="U251" i="41"/>
  <c r="U269" i="41" s="1"/>
  <c r="U274" i="41" s="1"/>
  <c r="U250" i="41"/>
  <c r="U268" i="41" s="1"/>
  <c r="U273" i="41" s="1"/>
  <c r="AJ62" i="82"/>
  <c r="AJ207" i="105"/>
  <c r="AJ74" i="82" s="1"/>
  <c r="AJ206" i="105"/>
  <c r="AJ73" i="82" s="1"/>
  <c r="AJ148" i="105"/>
  <c r="AJ142" i="105"/>
  <c r="P250" i="41"/>
  <c r="P268" i="41" s="1"/>
  <c r="P273" i="41" s="1"/>
  <c r="P278" i="41" s="1"/>
  <c r="P283" i="41" s="1"/>
  <c r="P251" i="41"/>
  <c r="P269" i="41" s="1"/>
  <c r="P274" i="41" s="1"/>
  <c r="P279" i="41" s="1"/>
  <c r="P284" i="41" s="1"/>
  <c r="P275" i="41"/>
  <c r="P280" i="41" s="1"/>
  <c r="P285" i="41" s="1"/>
  <c r="P363" i="41" s="1"/>
  <c r="P365" i="41" s="1"/>
  <c r="P367" i="41" s="1"/>
  <c r="P252" i="41"/>
  <c r="P270" i="41" s="1"/>
  <c r="X250" i="41"/>
  <c r="X268" i="41" s="1"/>
  <c r="X273" i="41" s="1"/>
  <c r="X252" i="41"/>
  <c r="X270" i="41" s="1"/>
  <c r="X275" i="41" s="1"/>
  <c r="X251" i="41"/>
  <c r="X269" i="41" s="1"/>
  <c r="X274" i="41" s="1"/>
  <c r="J185" i="105"/>
  <c r="J108" i="105"/>
  <c r="H108" i="105" s="1"/>
  <c r="K174" i="105"/>
  <c r="K65" i="82" s="1"/>
  <c r="K146" i="105"/>
  <c r="K63" i="82" s="1"/>
  <c r="S251" i="41"/>
  <c r="S269" i="41" s="1"/>
  <c r="S274" i="41" s="1"/>
  <c r="S250" i="41"/>
  <c r="S268" i="41" s="1"/>
  <c r="S273" i="41" s="1"/>
  <c r="S252" i="41"/>
  <c r="S270" i="41" s="1"/>
  <c r="S275" i="41" s="1"/>
  <c r="R206" i="105"/>
  <c r="R73" i="82" s="1"/>
  <c r="R207" i="105"/>
  <c r="R74" i="82" s="1"/>
  <c r="R62" i="82"/>
  <c r="K112" i="105"/>
  <c r="AG189" i="105"/>
  <c r="AG206" i="105" s="1"/>
  <c r="AG73" i="82" s="1"/>
  <c r="K122" i="105"/>
  <c r="K200" i="105"/>
  <c r="AD331" i="41" l="1"/>
  <c r="AD333" i="41" s="1"/>
  <c r="AD335" i="41" s="1"/>
  <c r="AF331" i="41"/>
  <c r="AF333" i="41" s="1"/>
  <c r="AF335" i="41" s="1"/>
  <c r="O299" i="41"/>
  <c r="O301" i="41" s="1"/>
  <c r="O303" i="41" s="1"/>
  <c r="O305" i="41" s="1"/>
  <c r="O392" i="41" s="1"/>
  <c r="Y280" i="41"/>
  <c r="Y285" i="41" s="1"/>
  <c r="Y363" i="41" s="1"/>
  <c r="T280" i="41"/>
  <c r="T285" i="41" s="1"/>
  <c r="T363" i="41" s="1"/>
  <c r="AE299" i="41"/>
  <c r="AE301" i="41" s="1"/>
  <c r="AE303" i="41" s="1"/>
  <c r="AE305" i="41" s="1"/>
  <c r="AE392" i="41" s="1"/>
  <c r="AD299" i="41"/>
  <c r="AD301" i="41" s="1"/>
  <c r="AD303" i="41" s="1"/>
  <c r="AD305" i="41" s="1"/>
  <c r="AD392" i="41" s="1"/>
  <c r="M299" i="41"/>
  <c r="M301" i="41" s="1"/>
  <c r="M303" i="41" s="1"/>
  <c r="M305" i="41" s="1"/>
  <c r="M392" i="41" s="1"/>
  <c r="Y278" i="41"/>
  <c r="Y283" i="41" s="1"/>
  <c r="T278" i="41"/>
  <c r="T283" i="41" s="1"/>
  <c r="AE331" i="41"/>
  <c r="AE333" i="41" s="1"/>
  <c r="AE335" i="41" s="1"/>
  <c r="N331" i="41"/>
  <c r="N333" i="41" s="1"/>
  <c r="N335" i="41" s="1"/>
  <c r="M331" i="41"/>
  <c r="M333" i="41" s="1"/>
  <c r="M335" i="41" s="1"/>
  <c r="AF299" i="41"/>
  <c r="AF301" i="41" s="1"/>
  <c r="AF303" i="41" s="1"/>
  <c r="AF305" i="41" s="1"/>
  <c r="AF392" i="41" s="1"/>
  <c r="O331" i="41"/>
  <c r="O333" i="41" s="1"/>
  <c r="O335" i="41" s="1"/>
  <c r="Y279" i="41"/>
  <c r="Y284" i="41" s="1"/>
  <c r="T279" i="41"/>
  <c r="T284" i="41" s="1"/>
  <c r="T331" i="41" s="1"/>
  <c r="V279" i="41"/>
  <c r="V284" i="41" s="1"/>
  <c r="AA279" i="41"/>
  <c r="AA284" i="41" s="1"/>
  <c r="S280" i="41"/>
  <c r="S285" i="41" s="1"/>
  <c r="S363" i="41" s="1"/>
  <c r="X280" i="41"/>
  <c r="X285" i="41" s="1"/>
  <c r="X363" i="41" s="1"/>
  <c r="N299" i="41"/>
  <c r="N301" i="41" s="1"/>
  <c r="N303" i="41" s="1"/>
  <c r="N305" i="41" s="1"/>
  <c r="N392" i="41" s="1"/>
  <c r="P331" i="41"/>
  <c r="P333" i="41" s="1"/>
  <c r="P335" i="41" s="1"/>
  <c r="AC275" i="41"/>
  <c r="AC280" i="41" s="1"/>
  <c r="AC285" i="41" s="1"/>
  <c r="AC363" i="41" s="1"/>
  <c r="AC365" i="41" s="1"/>
  <c r="AC367" i="41" s="1"/>
  <c r="Z279" i="41"/>
  <c r="Z284" i="41" s="1"/>
  <c r="U279" i="41"/>
  <c r="U284" i="41" s="1"/>
  <c r="X278" i="41"/>
  <c r="X283" i="41" s="1"/>
  <c r="S278" i="41"/>
  <c r="S283" i="41" s="1"/>
  <c r="P299" i="41"/>
  <c r="P301" i="41" s="1"/>
  <c r="P303" i="41" s="1"/>
  <c r="P305" i="41" s="1"/>
  <c r="P392" i="41" s="1"/>
  <c r="AA278" i="41"/>
  <c r="AA283" i="41" s="1"/>
  <c r="V278" i="41"/>
  <c r="V283" i="41" s="1"/>
  <c r="S279" i="41"/>
  <c r="S284" i="41" s="1"/>
  <c r="X279" i="41"/>
  <c r="X284" i="41" s="1"/>
  <c r="Z278" i="41"/>
  <c r="Z283" i="41" s="1"/>
  <c r="U278" i="41"/>
  <c r="U283" i="41" s="1"/>
  <c r="U280" i="41"/>
  <c r="U285" i="41" s="1"/>
  <c r="U363" i="41" s="1"/>
  <c r="Z280" i="41"/>
  <c r="Z285" i="41" s="1"/>
  <c r="Z363" i="41" s="1"/>
  <c r="M132" i="65"/>
  <c r="M161" i="65" s="1"/>
  <c r="M66" i="105" s="1"/>
  <c r="M141" i="65"/>
  <c r="M170" i="65" s="1"/>
  <c r="M75" i="105" s="1"/>
  <c r="M123" i="65"/>
  <c r="M152" i="65" s="1"/>
  <c r="M57" i="105" s="1"/>
  <c r="M97" i="105" s="1"/>
  <c r="M34" i="82"/>
  <c r="V280" i="41"/>
  <c r="V285" i="41" s="1"/>
  <c r="V363" i="41" s="1"/>
  <c r="AA280" i="41"/>
  <c r="AA285" i="41" s="1"/>
  <c r="AA363" i="41" s="1"/>
  <c r="J251" i="41"/>
  <c r="J250" i="41"/>
  <c r="J252" i="41"/>
  <c r="J270" i="41" s="1"/>
  <c r="J275" i="41" s="1"/>
  <c r="J280" i="41" s="1"/>
  <c r="J285" i="41" s="1"/>
  <c r="J363" i="41" s="1"/>
  <c r="J365" i="41" s="1"/>
  <c r="J367" i="41" s="1"/>
  <c r="Y331" i="41" l="1"/>
  <c r="T333" i="41" s="1"/>
  <c r="T335" i="41" s="1"/>
  <c r="X331" i="41"/>
  <c r="U299" i="41"/>
  <c r="V299" i="41"/>
  <c r="Y365" i="41"/>
  <c r="Y367" i="41" s="1"/>
  <c r="T365" i="41"/>
  <c r="T367" i="41" s="1"/>
  <c r="T299" i="41"/>
  <c r="S331" i="41"/>
  <c r="Y299" i="41"/>
  <c r="M117" i="105"/>
  <c r="M195" i="105"/>
  <c r="AA259" i="41" a="1"/>
  <c r="AA259" i="41" s="1"/>
  <c r="AA264" i="41" s="1"/>
  <c r="L259" i="41" a="1"/>
  <c r="L259" i="41" s="1"/>
  <c r="L264" i="41" s="1"/>
  <c r="L400" i="41" s="1"/>
  <c r="T259" i="41" a="1"/>
  <c r="T259" i="41" s="1"/>
  <c r="T264" i="41" s="1"/>
  <c r="Q259" i="41" a="1"/>
  <c r="Q259" i="41" s="1"/>
  <c r="Q264" i="41" s="1"/>
  <c r="Q400" i="41" s="1"/>
  <c r="W259" i="41" a="1"/>
  <c r="W259" i="41" s="1"/>
  <c r="W264" i="41" s="1"/>
  <c r="W400" i="41" s="1"/>
  <c r="Y259" i="41" a="1"/>
  <c r="Y259" i="41" s="1"/>
  <c r="Y264" i="41" s="1"/>
  <c r="J259" i="41" a="1"/>
  <c r="J259" i="41" s="1"/>
  <c r="J264" i="41" s="1"/>
  <c r="K259" i="41" a="1"/>
  <c r="K259" i="41" s="1"/>
  <c r="K264" i="41" s="1"/>
  <c r="K400" i="41" s="1"/>
  <c r="AL259" i="41" a="1"/>
  <c r="AL259" i="41" s="1"/>
  <c r="AL264" i="41" s="1"/>
  <c r="AL400" i="41" s="1"/>
  <c r="AF259" i="41" a="1"/>
  <c r="AF259" i="41" s="1"/>
  <c r="AF264" i="41" s="1"/>
  <c r="AF309" i="41" s="1"/>
  <c r="Z259" i="41" a="1"/>
  <c r="Z259" i="41" s="1"/>
  <c r="Z264" i="41" s="1"/>
  <c r="X259" i="41" a="1"/>
  <c r="X259" i="41" s="1"/>
  <c r="X264" i="41" s="1"/>
  <c r="U259" i="41" a="1"/>
  <c r="U259" i="41" s="1"/>
  <c r="U264" i="41" s="1"/>
  <c r="AD259" i="41" a="1"/>
  <c r="AD259" i="41" s="1"/>
  <c r="AD264" i="41" s="1"/>
  <c r="AJ259" i="41" a="1"/>
  <c r="AJ259" i="41" s="1"/>
  <c r="AJ264" i="41" s="1"/>
  <c r="AJ400" i="41" s="1"/>
  <c r="AB259" i="41" a="1"/>
  <c r="AB259" i="41" s="1"/>
  <c r="AB264" i="41" s="1"/>
  <c r="AB400" i="41" s="1"/>
  <c r="N259" i="41" a="1"/>
  <c r="N259" i="41" s="1"/>
  <c r="N264" i="41" s="1"/>
  <c r="N309" i="41" s="1"/>
  <c r="AG259" i="41" a="1"/>
  <c r="AG259" i="41" s="1"/>
  <c r="AG264" i="41" s="1"/>
  <c r="J269" i="41"/>
  <c r="J274" i="41" s="1"/>
  <c r="J279" i="41" s="1"/>
  <c r="J284" i="41" s="1"/>
  <c r="J331" i="41" s="1"/>
  <c r="J333" i="41" s="1"/>
  <c r="J335" i="41" s="1"/>
  <c r="S259" i="41" a="1"/>
  <c r="S259" i="41" s="1"/>
  <c r="S264" i="41" s="1"/>
  <c r="R259" i="41" a="1"/>
  <c r="R259" i="41" s="1"/>
  <c r="R264" i="41" s="1"/>
  <c r="R400" i="41" s="1"/>
  <c r="V259" i="41" a="1"/>
  <c r="V259" i="41" s="1"/>
  <c r="V264" i="41" s="1"/>
  <c r="AO259" i="41" a="1"/>
  <c r="AO259" i="41" s="1"/>
  <c r="AO264" i="41" s="1"/>
  <c r="AO400" i="41" s="1"/>
  <c r="O259" i="41" a="1"/>
  <c r="O259" i="41" s="1"/>
  <c r="O264" i="41" s="1"/>
  <c r="AC259" i="41" a="1"/>
  <c r="AC259" i="41" s="1"/>
  <c r="AC264" i="41" s="1"/>
  <c r="AK259" i="41" a="1"/>
  <c r="AK259" i="41" s="1"/>
  <c r="AK264" i="41" s="1"/>
  <c r="AK400" i="41" s="1"/>
  <c r="P259" i="41" a="1"/>
  <c r="P259" i="41" s="1"/>
  <c r="P264" i="41" s="1"/>
  <c r="AI259" i="41" a="1"/>
  <c r="AI259" i="41" s="1"/>
  <c r="AI264" i="41" s="1"/>
  <c r="AI400" i="41" s="1"/>
  <c r="AN259" i="41" a="1"/>
  <c r="AN259" i="41" s="1"/>
  <c r="AN264" i="41" s="1"/>
  <c r="AN400" i="41" s="1"/>
  <c r="AM259" i="41" a="1"/>
  <c r="AM259" i="41" s="1"/>
  <c r="AM264" i="41" s="1"/>
  <c r="AM400" i="41" s="1"/>
  <c r="M259" i="41" a="1"/>
  <c r="M259" i="41" s="1"/>
  <c r="M264" i="41" s="1"/>
  <c r="M309" i="41" s="1"/>
  <c r="AH259" i="41" a="1"/>
  <c r="AH259" i="41" s="1"/>
  <c r="AH264" i="41" s="1"/>
  <c r="AH400" i="41" s="1"/>
  <c r="AE259" i="41" a="1"/>
  <c r="AE259" i="41" s="1"/>
  <c r="AE264" i="41" s="1"/>
  <c r="AE309" i="41" s="1"/>
  <c r="M107" i="105"/>
  <c r="M184" i="105"/>
  <c r="S299" i="41"/>
  <c r="S365" i="41"/>
  <c r="S367" i="41" s="1"/>
  <c r="X365" i="41"/>
  <c r="X367" i="41" s="1"/>
  <c r="V365" i="41"/>
  <c r="V367" i="41" s="1"/>
  <c r="AA365" i="41"/>
  <c r="AA367" i="41" s="1"/>
  <c r="U365" i="41"/>
  <c r="U367" i="41" s="1"/>
  <c r="Z365" i="41"/>
  <c r="Z367" i="41" s="1"/>
  <c r="AA299" i="41"/>
  <c r="X299" i="41"/>
  <c r="R260" i="41" a="1"/>
  <c r="R260" i="41" s="1"/>
  <c r="R265" i="41" s="1"/>
  <c r="R401" i="41" s="1"/>
  <c r="AE260" i="41" a="1"/>
  <c r="AE260" i="41" s="1"/>
  <c r="AE265" i="41" s="1"/>
  <c r="AE310" i="41" s="1"/>
  <c r="U260" i="41" a="1"/>
  <c r="U260" i="41" s="1"/>
  <c r="U265" i="41" s="1"/>
  <c r="AL260" i="41" a="1"/>
  <c r="AL260" i="41" s="1"/>
  <c r="AL265" i="41" s="1"/>
  <c r="AL401" i="41" s="1"/>
  <c r="X260" i="41" a="1"/>
  <c r="X260" i="41" s="1"/>
  <c r="X265" i="41" s="1"/>
  <c r="AM260" i="41" a="1"/>
  <c r="AM260" i="41" s="1"/>
  <c r="AM265" i="41" s="1"/>
  <c r="AM401" i="41" s="1"/>
  <c r="S260" i="41" a="1"/>
  <c r="S260" i="41" s="1"/>
  <c r="S265" i="41" s="1"/>
  <c r="AD260" i="41" a="1"/>
  <c r="AD260" i="41" s="1"/>
  <c r="AD265" i="41" s="1"/>
  <c r="AK260" i="41" a="1"/>
  <c r="AK260" i="41" s="1"/>
  <c r="AK265" i="41" s="1"/>
  <c r="AK401" i="41" s="1"/>
  <c r="AO260" i="41" a="1"/>
  <c r="AO260" i="41" s="1"/>
  <c r="AO265" i="41" s="1"/>
  <c r="AO401" i="41" s="1"/>
  <c r="L260" i="41" a="1"/>
  <c r="L260" i="41" s="1"/>
  <c r="L265" i="41" s="1"/>
  <c r="L401" i="41" s="1"/>
  <c r="P260" i="41" a="1"/>
  <c r="P260" i="41" s="1"/>
  <c r="P265" i="41" s="1"/>
  <c r="Q260" i="41" a="1"/>
  <c r="Q260" i="41" s="1"/>
  <c r="Q265" i="41" s="1"/>
  <c r="Q401" i="41" s="1"/>
  <c r="AG260" i="41" a="1"/>
  <c r="AG260" i="41" s="1"/>
  <c r="AG265" i="41" s="1"/>
  <c r="Z260" i="41" a="1"/>
  <c r="Z260" i="41" s="1"/>
  <c r="Z265" i="41" s="1"/>
  <c r="J260" i="41" a="1"/>
  <c r="J260" i="41" s="1"/>
  <c r="J265" i="41" s="1"/>
  <c r="AH260" i="41" a="1"/>
  <c r="AH260" i="41" s="1"/>
  <c r="AH265" i="41" s="1"/>
  <c r="AH401" i="41" s="1"/>
  <c r="AC260" i="41" a="1"/>
  <c r="AC260" i="41" s="1"/>
  <c r="AC265" i="41" s="1"/>
  <c r="O260" i="41" a="1"/>
  <c r="O260" i="41" s="1"/>
  <c r="O265" i="41" s="1"/>
  <c r="M260" i="41" a="1"/>
  <c r="M260" i="41" s="1"/>
  <c r="M265" i="41" s="1"/>
  <c r="M310" i="41" s="1"/>
  <c r="AF260" i="41" a="1"/>
  <c r="AF260" i="41" s="1"/>
  <c r="AF265" i="41" s="1"/>
  <c r="AF310" i="41" s="1"/>
  <c r="V260" i="41" a="1"/>
  <c r="V260" i="41" s="1"/>
  <c r="V265" i="41" s="1"/>
  <c r="AI260" i="41" a="1"/>
  <c r="AI260" i="41" s="1"/>
  <c r="AI265" i="41" s="1"/>
  <c r="AI401" i="41" s="1"/>
  <c r="AB260" i="41" a="1"/>
  <c r="AB260" i="41" s="1"/>
  <c r="AB265" i="41" s="1"/>
  <c r="AB401" i="41" s="1"/>
  <c r="T260" i="41" a="1"/>
  <c r="T260" i="41" s="1"/>
  <c r="T265" i="41" s="1"/>
  <c r="W260" i="41" a="1"/>
  <c r="W260" i="41" s="1"/>
  <c r="W265" i="41" s="1"/>
  <c r="W401" i="41" s="1"/>
  <c r="AA260" i="41" a="1"/>
  <c r="AA260" i="41" s="1"/>
  <c r="AA265" i="41" s="1"/>
  <c r="Y260" i="41" a="1"/>
  <c r="Y260" i="41" s="1"/>
  <c r="Y265" i="41" s="1"/>
  <c r="AN260" i="41" a="1"/>
  <c r="AN260" i="41" s="1"/>
  <c r="AN265" i="41" s="1"/>
  <c r="AN401" i="41" s="1"/>
  <c r="AJ260" i="41" a="1"/>
  <c r="AJ260" i="41" s="1"/>
  <c r="AJ265" i="41" s="1"/>
  <c r="AJ401" i="41" s="1"/>
  <c r="K260" i="41" a="1"/>
  <c r="K260" i="41" s="1"/>
  <c r="K265" i="41" s="1"/>
  <c r="K401" i="41" s="1"/>
  <c r="N260" i="41" a="1"/>
  <c r="N260" i="41" s="1"/>
  <c r="N265" i="41" s="1"/>
  <c r="N310" i="41" s="1"/>
  <c r="AC299" i="41"/>
  <c r="AC301" i="41" s="1"/>
  <c r="AC303" i="41" s="1"/>
  <c r="AC305" i="41" s="1"/>
  <c r="AC392" i="41" s="1"/>
  <c r="U331" i="41"/>
  <c r="AA331" i="41"/>
  <c r="AG258" i="41" a="1"/>
  <c r="AG258" i="41" s="1"/>
  <c r="AG263" i="41" s="1"/>
  <c r="AL258" i="41" a="1"/>
  <c r="AL258" i="41" s="1"/>
  <c r="AL263" i="41" s="1"/>
  <c r="S258" i="41" a="1"/>
  <c r="S258" i="41" s="1"/>
  <c r="S263" i="41" s="1"/>
  <c r="AC258" i="41" a="1"/>
  <c r="AC258" i="41" s="1"/>
  <c r="AC263" i="41" s="1"/>
  <c r="AM258" i="41" a="1"/>
  <c r="AM258" i="41" s="1"/>
  <c r="AM263" i="41" s="1"/>
  <c r="AF258" i="41" a="1"/>
  <c r="AF258" i="41" s="1"/>
  <c r="AF263" i="41" s="1"/>
  <c r="J258" i="41" a="1"/>
  <c r="J258" i="41" s="1"/>
  <c r="J263" i="41" s="1"/>
  <c r="K258" i="41" a="1"/>
  <c r="K258" i="41" s="1"/>
  <c r="K263" i="41" s="1"/>
  <c r="P258" i="41" a="1"/>
  <c r="P258" i="41" s="1"/>
  <c r="P263" i="41" s="1"/>
  <c r="N258" i="41" a="1"/>
  <c r="N258" i="41" s="1"/>
  <c r="N263" i="41" s="1"/>
  <c r="R258" i="41" a="1"/>
  <c r="R258" i="41" s="1"/>
  <c r="R263" i="41" s="1"/>
  <c r="T258" i="41" a="1"/>
  <c r="T258" i="41" s="1"/>
  <c r="T263" i="41" s="1"/>
  <c r="AO258" i="41" a="1"/>
  <c r="AO258" i="41" s="1"/>
  <c r="AO263" i="41" s="1"/>
  <c r="W258" i="41" a="1"/>
  <c r="W258" i="41" s="1"/>
  <c r="W263" i="41" s="1"/>
  <c r="V258" i="41" a="1"/>
  <c r="V258" i="41" s="1"/>
  <c r="V263" i="41" s="1"/>
  <c r="Y258" i="41" a="1"/>
  <c r="Y258" i="41" s="1"/>
  <c r="Y263" i="41" s="1"/>
  <c r="M258" i="41" a="1"/>
  <c r="M258" i="41" s="1"/>
  <c r="M263" i="41" s="1"/>
  <c r="AN258" i="41" a="1"/>
  <c r="AN258" i="41" s="1"/>
  <c r="AN263" i="41" s="1"/>
  <c r="AI258" i="41" a="1"/>
  <c r="AI258" i="41" s="1"/>
  <c r="AI263" i="41" s="1"/>
  <c r="U258" i="41" a="1"/>
  <c r="U258" i="41" s="1"/>
  <c r="U263" i="41" s="1"/>
  <c r="AB258" i="41" a="1"/>
  <c r="AB258" i="41" s="1"/>
  <c r="AB263" i="41" s="1"/>
  <c r="Q258" i="41" a="1"/>
  <c r="Q258" i="41" s="1"/>
  <c r="Q263" i="41" s="1"/>
  <c r="L258" i="41" a="1"/>
  <c r="L258" i="41" s="1"/>
  <c r="L263" i="41" s="1"/>
  <c r="AH258" i="41" a="1"/>
  <c r="AH258" i="41" s="1"/>
  <c r="AH263" i="41" s="1"/>
  <c r="AD258" i="41" a="1"/>
  <c r="AD258" i="41" s="1"/>
  <c r="AD263" i="41" s="1"/>
  <c r="AE258" i="41" a="1"/>
  <c r="AE258" i="41" s="1"/>
  <c r="AE263" i="41" s="1"/>
  <c r="AK258" i="41" a="1"/>
  <c r="AK258" i="41" s="1"/>
  <c r="AK263" i="41" s="1"/>
  <c r="O258" i="41" a="1"/>
  <c r="O258" i="41" s="1"/>
  <c r="O263" i="41" s="1"/>
  <c r="AA258" i="41" a="1"/>
  <c r="AA258" i="41" s="1"/>
  <c r="AA263" i="41" s="1"/>
  <c r="AJ258" i="41" a="1"/>
  <c r="AJ258" i="41" s="1"/>
  <c r="AJ263" i="41" s="1"/>
  <c r="Z258" i="41" a="1"/>
  <c r="Z258" i="41" s="1"/>
  <c r="Z263" i="41" s="1"/>
  <c r="J268" i="41"/>
  <c r="J273" i="41" s="1"/>
  <c r="J278" i="41" s="1"/>
  <c r="J283" i="41" s="1"/>
  <c r="X258" i="41" a="1"/>
  <c r="X258" i="41" s="1"/>
  <c r="X263" i="41" s="1"/>
  <c r="Z299" i="41"/>
  <c r="Z331" i="41"/>
  <c r="AC331" i="41"/>
  <c r="AC333" i="41" s="1"/>
  <c r="AC335" i="41" s="1"/>
  <c r="V331" i="41"/>
  <c r="Y333" i="41" l="1"/>
  <c r="Y335" i="41" s="1"/>
  <c r="U301" i="41"/>
  <c r="U303" i="41" s="1"/>
  <c r="U305" i="41" s="1"/>
  <c r="U392" i="41" s="1"/>
  <c r="X333" i="41"/>
  <c r="X335" i="41" s="1"/>
  <c r="AA301" i="41"/>
  <c r="AA303" i="41" s="1"/>
  <c r="AA305" i="41" s="1"/>
  <c r="AA392" i="41" s="1"/>
  <c r="J299" i="41"/>
  <c r="J301" i="41" s="1"/>
  <c r="J303" i="41" s="1"/>
  <c r="J305" i="41" s="1"/>
  <c r="J392" i="41" s="1"/>
  <c r="J354" i="41"/>
  <c r="J356" i="41" s="1"/>
  <c r="J358" i="41" s="1"/>
  <c r="J360" i="41" s="1"/>
  <c r="J369" i="41" s="1"/>
  <c r="J394" i="41" s="1"/>
  <c r="S333" i="41"/>
  <c r="S335" i="41" s="1"/>
  <c r="V301" i="41"/>
  <c r="V303" i="41" s="1"/>
  <c r="V305" i="41" s="1"/>
  <c r="V392" i="41" s="1"/>
  <c r="Y301" i="41"/>
  <c r="Y303" i="41" s="1"/>
  <c r="Y305" i="41" s="1"/>
  <c r="Y392" i="41" s="1"/>
  <c r="T301" i="41"/>
  <c r="T303" i="41" s="1"/>
  <c r="T305" i="41" s="1"/>
  <c r="T392" i="41" s="1"/>
  <c r="J322" i="41"/>
  <c r="J324" i="41" s="1"/>
  <c r="J326" i="41" s="1"/>
  <c r="J328" i="41" s="1"/>
  <c r="J337" i="41" s="1"/>
  <c r="J393" i="41" s="1"/>
  <c r="AF322" i="41"/>
  <c r="AF324" i="41" s="1"/>
  <c r="AF326" i="41" s="1"/>
  <c r="AF328" i="41" s="1"/>
  <c r="AF337" i="41" s="1"/>
  <c r="AF354" i="41"/>
  <c r="AF356" i="41" s="1"/>
  <c r="AF358" i="41" s="1"/>
  <c r="AF360" i="41" s="1"/>
  <c r="AF369" i="41" s="1"/>
  <c r="AF308" i="41"/>
  <c r="AF312" i="41" s="1"/>
  <c r="AF385" i="41" s="1"/>
  <c r="AA322" i="41"/>
  <c r="AA324" i="41" s="1"/>
  <c r="AA354" i="41"/>
  <c r="AA356" i="41" s="1"/>
  <c r="L399" i="41"/>
  <c r="L423" i="41" s="1"/>
  <c r="L427" i="41" s="1"/>
  <c r="L354" i="41"/>
  <c r="L356" i="41" s="1"/>
  <c r="L322" i="41"/>
  <c r="L324" i="41" s="1"/>
  <c r="M308" i="41"/>
  <c r="M312" i="41" s="1"/>
  <c r="M385" i="41" s="1"/>
  <c r="M322" i="41"/>
  <c r="M324" i="41" s="1"/>
  <c r="M326" i="41" s="1"/>
  <c r="M328" i="41" s="1"/>
  <c r="M337" i="41" s="1"/>
  <c r="M354" i="41"/>
  <c r="M356" i="41" s="1"/>
  <c r="M358" i="41" s="1"/>
  <c r="M360" i="41" s="1"/>
  <c r="M369" i="41" s="1"/>
  <c r="R399" i="41"/>
  <c r="R423" i="41" s="1"/>
  <c r="R427" i="41" s="1"/>
  <c r="R322" i="41"/>
  <c r="R324" i="41" s="1"/>
  <c r="R354" i="41"/>
  <c r="R356" i="41" s="1"/>
  <c r="AM399" i="41"/>
  <c r="AM423" i="41" s="1"/>
  <c r="AM427" i="41" s="1"/>
  <c r="AM354" i="41"/>
  <c r="AM356" i="41" s="1"/>
  <c r="AM322" i="41"/>
  <c r="AM324" i="41" s="1"/>
  <c r="Z333" i="41"/>
  <c r="Z335" i="41" s="1"/>
  <c r="U333" i="41"/>
  <c r="U335" i="41" s="1"/>
  <c r="AC310" i="41"/>
  <c r="P310" i="41"/>
  <c r="AD309" i="41"/>
  <c r="T322" i="41"/>
  <c r="T324" i="41" s="1"/>
  <c r="T354" i="41"/>
  <c r="T356" i="41" s="1"/>
  <c r="O310" i="41"/>
  <c r="O322" i="41"/>
  <c r="O324" i="41" s="1"/>
  <c r="O326" i="41" s="1"/>
  <c r="O328" i="41" s="1"/>
  <c r="O337" i="41" s="1"/>
  <c r="O393" i="41" s="1"/>
  <c r="O354" i="41"/>
  <c r="O356" i="41" s="1"/>
  <c r="O358" i="41" s="1"/>
  <c r="O360" i="41" s="1"/>
  <c r="O369" i="41" s="1"/>
  <c r="O394" i="41" s="1"/>
  <c r="O308" i="41"/>
  <c r="N308" i="41"/>
  <c r="N312" i="41" s="1"/>
  <c r="N385" i="41" s="1"/>
  <c r="N354" i="41"/>
  <c r="N356" i="41" s="1"/>
  <c r="N358" i="41" s="1"/>
  <c r="N360" i="41" s="1"/>
  <c r="N369" i="41" s="1"/>
  <c r="N322" i="41"/>
  <c r="N324" i="41" s="1"/>
  <c r="N326" i="41" s="1"/>
  <c r="N328" i="41" s="1"/>
  <c r="N337" i="41" s="1"/>
  <c r="AC309" i="41"/>
  <c r="AJ399" i="41"/>
  <c r="AJ423" i="41" s="1"/>
  <c r="AJ427" i="41" s="1"/>
  <c r="AJ354" i="41"/>
  <c r="AJ356" i="41" s="1"/>
  <c r="AJ322" i="41"/>
  <c r="AJ324" i="41" s="1"/>
  <c r="P309" i="41"/>
  <c r="Q399" i="41"/>
  <c r="Q423" i="41" s="1"/>
  <c r="Q427" i="41" s="1"/>
  <c r="Q322" i="41"/>
  <c r="Q324" i="41" s="1"/>
  <c r="Q354" i="41"/>
  <c r="Q356" i="41" s="1"/>
  <c r="AC322" i="41"/>
  <c r="AC324" i="41" s="1"/>
  <c r="AC326" i="41" s="1"/>
  <c r="AC328" i="41" s="1"/>
  <c r="AC337" i="41" s="1"/>
  <c r="AC308" i="41"/>
  <c r="AC354" i="41"/>
  <c r="AC356" i="41" s="1"/>
  <c r="AC358" i="41" s="1"/>
  <c r="AC360" i="41" s="1"/>
  <c r="AC369" i="41" s="1"/>
  <c r="X354" i="41"/>
  <c r="X356" i="41" s="1"/>
  <c r="X322" i="41"/>
  <c r="X324" i="41" s="1"/>
  <c r="AK399" i="41"/>
  <c r="AK423" i="41" s="1"/>
  <c r="AK427" i="41" s="1"/>
  <c r="AK322" i="41"/>
  <c r="AK324" i="41" s="1"/>
  <c r="AK354" i="41"/>
  <c r="AK356" i="41" s="1"/>
  <c r="AB399" i="41"/>
  <c r="AB423" i="41" s="1"/>
  <c r="AB427" i="41" s="1"/>
  <c r="AB354" i="41"/>
  <c r="AB356" i="41" s="1"/>
  <c r="AB322" i="41"/>
  <c r="AB324" i="41" s="1"/>
  <c r="V322" i="41"/>
  <c r="V324" i="41" s="1"/>
  <c r="V354" i="41"/>
  <c r="V356" i="41" s="1"/>
  <c r="P322" i="41"/>
  <c r="P324" i="41" s="1"/>
  <c r="P326" i="41" s="1"/>
  <c r="P328" i="41" s="1"/>
  <c r="P337" i="41" s="1"/>
  <c r="P393" i="41" s="1"/>
  <c r="P354" i="41"/>
  <c r="P356" i="41" s="1"/>
  <c r="P358" i="41" s="1"/>
  <c r="P360" i="41" s="1"/>
  <c r="P369" i="41" s="1"/>
  <c r="P308" i="41"/>
  <c r="S322" i="41"/>
  <c r="S324" i="41" s="1"/>
  <c r="S354" i="41"/>
  <c r="S356" i="41" s="1"/>
  <c r="Z301" i="41"/>
  <c r="Z303" i="41" s="1"/>
  <c r="Z305" i="41" s="1"/>
  <c r="Z392" i="41" s="1"/>
  <c r="O309" i="41"/>
  <c r="AG341" i="41"/>
  <c r="AG309" i="41"/>
  <c r="AN399" i="41"/>
  <c r="AN423" i="41" s="1"/>
  <c r="AN427" i="41" s="1"/>
  <c r="AN322" i="41"/>
  <c r="AN324" i="41" s="1"/>
  <c r="AN354" i="41"/>
  <c r="AN356" i="41" s="1"/>
  <c r="Y322" i="41"/>
  <c r="Y324" i="41" s="1"/>
  <c r="Y354" i="41"/>
  <c r="Y356" i="41" s="1"/>
  <c r="AE354" i="41"/>
  <c r="AE356" i="41" s="1"/>
  <c r="AE358" i="41" s="1"/>
  <c r="AE360" i="41" s="1"/>
  <c r="AE369" i="41" s="1"/>
  <c r="AE322" i="41"/>
  <c r="AE324" i="41" s="1"/>
  <c r="AE326" i="41" s="1"/>
  <c r="AE328" i="41" s="1"/>
  <c r="AE337" i="41" s="1"/>
  <c r="AE341" i="41" s="1"/>
  <c r="AE308" i="41"/>
  <c r="AE312" i="41" s="1"/>
  <c r="AE385" i="41" s="1"/>
  <c r="U322" i="41"/>
  <c r="U324" i="41" s="1"/>
  <c r="U354" i="41"/>
  <c r="U356" i="41" s="1"/>
  <c r="W399" i="41"/>
  <c r="W423" i="41" s="1"/>
  <c r="W427" i="41" s="1"/>
  <c r="W322" i="41"/>
  <c r="W324" i="41" s="1"/>
  <c r="W354" i="41"/>
  <c r="W356" i="41" s="1"/>
  <c r="K399" i="41"/>
  <c r="K423" i="41" s="1"/>
  <c r="K427" i="41" s="1"/>
  <c r="K322" i="41"/>
  <c r="K324" i="41" s="1"/>
  <c r="K354" i="41"/>
  <c r="K356" i="41" s="1"/>
  <c r="AL399" i="41"/>
  <c r="AL423" i="41" s="1"/>
  <c r="AL427" i="41" s="1"/>
  <c r="AL354" i="41"/>
  <c r="AL356" i="41" s="1"/>
  <c r="AL322" i="41"/>
  <c r="AL324" i="41" s="1"/>
  <c r="S301" i="41"/>
  <c r="S303" i="41" s="1"/>
  <c r="S305" i="41" s="1"/>
  <c r="S392" i="41" s="1"/>
  <c r="X301" i="41"/>
  <c r="X303" i="41" s="1"/>
  <c r="X305" i="41" s="1"/>
  <c r="X392" i="41" s="1"/>
  <c r="AH399" i="41"/>
  <c r="AH423" i="41" s="1"/>
  <c r="AH427" i="41" s="1"/>
  <c r="AH322" i="41"/>
  <c r="AH324" i="41" s="1"/>
  <c r="AH354" i="41"/>
  <c r="AH356" i="41" s="1"/>
  <c r="AA333" i="41"/>
  <c r="AA335" i="41" s="1"/>
  <c r="V333" i="41"/>
  <c r="V335" i="41" s="1"/>
  <c r="Z322" i="41"/>
  <c r="Z324" i="41" s="1"/>
  <c r="Z354" i="41"/>
  <c r="Z356" i="41" s="1"/>
  <c r="AD354" i="41"/>
  <c r="AD356" i="41" s="1"/>
  <c r="AD358" i="41" s="1"/>
  <c r="AD360" i="41" s="1"/>
  <c r="AD369" i="41" s="1"/>
  <c r="AD322" i="41"/>
  <c r="AD324" i="41" s="1"/>
  <c r="AD326" i="41" s="1"/>
  <c r="AD328" i="41" s="1"/>
  <c r="AD337" i="41" s="1"/>
  <c r="AD393" i="41" s="1"/>
  <c r="AD308" i="41"/>
  <c r="AI399" i="41"/>
  <c r="AI423" i="41" s="1"/>
  <c r="AI427" i="41" s="1"/>
  <c r="AI354" i="41"/>
  <c r="AI356" i="41" s="1"/>
  <c r="AI322" i="41"/>
  <c r="AI324" i="41" s="1"/>
  <c r="AO399" i="41"/>
  <c r="AO423" i="41" s="1"/>
  <c r="AO427" i="41" s="1"/>
  <c r="AO322" i="41"/>
  <c r="AO324" i="41" s="1"/>
  <c r="AO354" i="41"/>
  <c r="AO356" i="41" s="1"/>
  <c r="AG322" i="41"/>
  <c r="AG324" i="41" s="1"/>
  <c r="AG326" i="41" s="1"/>
  <c r="AG328" i="41" s="1"/>
  <c r="AG308" i="41"/>
  <c r="AG354" i="41"/>
  <c r="AG356" i="41" s="1"/>
  <c r="AG358" i="41" s="1"/>
  <c r="AG360" i="41" s="1"/>
  <c r="AG342" i="41"/>
  <c r="AG310" i="41"/>
  <c r="AG374" i="41"/>
  <c r="AG376" i="41" s="1"/>
  <c r="AG387" i="41" s="1"/>
  <c r="AD310" i="41"/>
  <c r="U309" i="41" l="1"/>
  <c r="U310" i="41"/>
  <c r="U308" i="41"/>
  <c r="J310" i="41"/>
  <c r="J309" i="41"/>
  <c r="V310" i="41"/>
  <c r="V308" i="41"/>
  <c r="AC312" i="41"/>
  <c r="AC385" i="41" s="1"/>
  <c r="AA310" i="41"/>
  <c r="AA309" i="41"/>
  <c r="AA308" i="41"/>
  <c r="V309" i="41"/>
  <c r="J374" i="41"/>
  <c r="J376" i="41" s="1"/>
  <c r="J387" i="41" s="1"/>
  <c r="Y308" i="41"/>
  <c r="J308" i="41"/>
  <c r="T308" i="41"/>
  <c r="Z308" i="41"/>
  <c r="Z309" i="41"/>
  <c r="J342" i="41"/>
  <c r="AD312" i="41"/>
  <c r="AD385" i="41" s="1"/>
  <c r="Z310" i="41"/>
  <c r="T310" i="41"/>
  <c r="O341" i="41"/>
  <c r="AD342" i="41"/>
  <c r="Y309" i="41"/>
  <c r="T309" i="41"/>
  <c r="X310" i="41"/>
  <c r="Y310" i="41"/>
  <c r="AC393" i="41"/>
  <c r="AC341" i="41"/>
  <c r="AC342" i="41"/>
  <c r="AE394" i="41"/>
  <c r="AE374" i="41"/>
  <c r="AE376" i="41" s="1"/>
  <c r="AE387" i="41" s="1"/>
  <c r="V326" i="41"/>
  <c r="V328" i="41" s="1"/>
  <c r="V337" i="41" s="1"/>
  <c r="AA326" i="41"/>
  <c r="AA328" i="41" s="1"/>
  <c r="AA337" i="41" s="1"/>
  <c r="T326" i="41"/>
  <c r="T328" i="41" s="1"/>
  <c r="T337" i="41" s="1"/>
  <c r="Y326" i="41"/>
  <c r="Y328" i="41" s="1"/>
  <c r="Y337" i="41" s="1"/>
  <c r="AI358" i="41"/>
  <c r="AI360" i="41" s="1"/>
  <c r="K358" i="41"/>
  <c r="K360" i="41" s="1"/>
  <c r="W358" i="41"/>
  <c r="W360" i="41" s="1"/>
  <c r="L358" i="41"/>
  <c r="L360" i="41" s="1"/>
  <c r="R358" i="41"/>
  <c r="R360" i="41" s="1"/>
  <c r="AL358" i="41"/>
  <c r="AL360" i="41" s="1"/>
  <c r="Q358" i="41"/>
  <c r="Q360" i="41" s="1"/>
  <c r="AO358" i="41"/>
  <c r="AO360" i="41" s="1"/>
  <c r="AB358" i="41"/>
  <c r="AB360" i="41" s="1"/>
  <c r="AN358" i="41"/>
  <c r="AN360" i="41" s="1"/>
  <c r="AH358" i="41"/>
  <c r="AH360" i="41" s="1"/>
  <c r="AK358" i="41"/>
  <c r="AK360" i="41" s="1"/>
  <c r="AJ358" i="41"/>
  <c r="AJ360" i="41" s="1"/>
  <c r="AM358" i="41"/>
  <c r="AM360" i="41" s="1"/>
  <c r="U358" i="41"/>
  <c r="U360" i="41" s="1"/>
  <c r="U369" i="41" s="1"/>
  <c r="Z358" i="41"/>
  <c r="Z360" i="41" s="1"/>
  <c r="Z369" i="41" s="1"/>
  <c r="P312" i="41"/>
  <c r="P385" i="41" s="1"/>
  <c r="X326" i="41"/>
  <c r="X328" i="41" s="1"/>
  <c r="X337" i="41" s="1"/>
  <c r="S326" i="41"/>
  <c r="S328" i="41" s="1"/>
  <c r="S337" i="41" s="1"/>
  <c r="M393" i="41"/>
  <c r="M341" i="41"/>
  <c r="M342" i="41"/>
  <c r="AD394" i="41"/>
  <c r="AD374" i="41"/>
  <c r="AD376" i="41" s="1"/>
  <c r="AD387" i="41" s="1"/>
  <c r="L326" i="41"/>
  <c r="L328" i="41" s="1"/>
  <c r="AK326" i="41"/>
  <c r="AK328" i="41" s="1"/>
  <c r="AH326" i="41"/>
  <c r="AH328" i="41" s="1"/>
  <c r="K326" i="41"/>
  <c r="K328" i="41" s="1"/>
  <c r="AM326" i="41"/>
  <c r="AM328" i="41" s="1"/>
  <c r="W326" i="41"/>
  <c r="W328" i="41" s="1"/>
  <c r="AB326" i="41"/>
  <c r="AB328" i="41" s="1"/>
  <c r="AN326" i="41"/>
  <c r="AN328" i="41" s="1"/>
  <c r="AI326" i="41"/>
  <c r="AI328" i="41" s="1"/>
  <c r="AO326" i="41"/>
  <c r="AO328" i="41" s="1"/>
  <c r="R326" i="41"/>
  <c r="R328" i="41" s="1"/>
  <c r="AL326" i="41"/>
  <c r="AL328" i="41" s="1"/>
  <c r="AJ326" i="41"/>
  <c r="AJ328" i="41" s="1"/>
  <c r="Q326" i="41"/>
  <c r="Q328" i="41" s="1"/>
  <c r="U326" i="41"/>
  <c r="U328" i="41" s="1"/>
  <c r="U337" i="41" s="1"/>
  <c r="Z326" i="41"/>
  <c r="Z328" i="41" s="1"/>
  <c r="Z337" i="41" s="1"/>
  <c r="P394" i="41"/>
  <c r="P374" i="41"/>
  <c r="P376" i="41" s="1"/>
  <c r="P387" i="41" s="1"/>
  <c r="X308" i="41"/>
  <c r="N393" i="41"/>
  <c r="N341" i="41"/>
  <c r="N342" i="41"/>
  <c r="AD341" i="41"/>
  <c r="U312" i="41"/>
  <c r="U385" i="41" s="1"/>
  <c r="X309" i="41"/>
  <c r="S310" i="41"/>
  <c r="J341" i="41"/>
  <c r="N394" i="41"/>
  <c r="N374" i="41"/>
  <c r="N376" i="41" s="1"/>
  <c r="N387" i="41" s="1"/>
  <c r="O342" i="41"/>
  <c r="AF394" i="41"/>
  <c r="AF374" i="41"/>
  <c r="AF376" i="41" s="1"/>
  <c r="AF387" i="41" s="1"/>
  <c r="AG312" i="41"/>
  <c r="AG385" i="41" s="1"/>
  <c r="O374" i="41"/>
  <c r="O376" i="41" s="1"/>
  <c r="O387" i="41" s="1"/>
  <c r="S308" i="41"/>
  <c r="S309" i="41"/>
  <c r="AF393" i="41"/>
  <c r="AF342" i="41"/>
  <c r="AF341" i="41"/>
  <c r="AE393" i="41"/>
  <c r="AE342" i="41"/>
  <c r="AE344" i="41" s="1"/>
  <c r="AE386" i="41" s="1"/>
  <c r="AG344" i="41"/>
  <c r="AG386" i="41" s="1"/>
  <c r="X358" i="41"/>
  <c r="X360" i="41" s="1"/>
  <c r="X369" i="41" s="1"/>
  <c r="S358" i="41"/>
  <c r="S360" i="41" s="1"/>
  <c r="S369" i="41" s="1"/>
  <c r="AA358" i="41"/>
  <c r="AA360" i="41" s="1"/>
  <c r="AA369" i="41" s="1"/>
  <c r="V358" i="41"/>
  <c r="V360" i="41" s="1"/>
  <c r="V369" i="41" s="1"/>
  <c r="AC394" i="41"/>
  <c r="AC374" i="41"/>
  <c r="AC376" i="41" s="1"/>
  <c r="AC387" i="41" s="1"/>
  <c r="P341" i="41"/>
  <c r="O312" i="41"/>
  <c r="O385" i="41" s="1"/>
  <c r="Y358" i="41"/>
  <c r="Y360" i="41" s="1"/>
  <c r="Y369" i="41" s="1"/>
  <c r="T358" i="41"/>
  <c r="T360" i="41" s="1"/>
  <c r="T369" i="41" s="1"/>
  <c r="P342" i="41"/>
  <c r="M394" i="41"/>
  <c r="M374" i="41"/>
  <c r="M376" i="41" s="1"/>
  <c r="M387" i="41" s="1"/>
  <c r="J312" i="41" l="1"/>
  <c r="J385" i="41" s="1"/>
  <c r="V312" i="41"/>
  <c r="V385" i="41" s="1"/>
  <c r="AA312" i="41"/>
  <c r="AA385" i="41" s="1"/>
  <c r="O344" i="41"/>
  <c r="O386" i="41" s="1"/>
  <c r="O389" i="41" s="1"/>
  <c r="O396" i="41" s="1"/>
  <c r="AE389" i="41"/>
  <c r="AE396" i="41" s="1"/>
  <c r="AE399" i="41" s="1"/>
  <c r="Z312" i="41"/>
  <c r="Z385" i="41" s="1"/>
  <c r="J344" i="41"/>
  <c r="J386" i="41" s="1"/>
  <c r="J389" i="41" s="1"/>
  <c r="J396" i="41" s="1"/>
  <c r="J401" i="41" s="1"/>
  <c r="J404" i="41" s="1"/>
  <c r="J413" i="41" s="1"/>
  <c r="J32" i="65" s="1"/>
  <c r="J110" i="65" s="1"/>
  <c r="Y312" i="41"/>
  <c r="Y385" i="41" s="1"/>
  <c r="AD344" i="41"/>
  <c r="AD386" i="41" s="1"/>
  <c r="AD389" i="41" s="1"/>
  <c r="AD396" i="41" s="1"/>
  <c r="AD401" i="41" s="1"/>
  <c r="AD404" i="41" s="1"/>
  <c r="AD413" i="41" s="1"/>
  <c r="AD32" i="65" s="1"/>
  <c r="AD110" i="65" s="1"/>
  <c r="T312" i="41"/>
  <c r="T385" i="41" s="1"/>
  <c r="P344" i="41"/>
  <c r="P386" i="41" s="1"/>
  <c r="P389" i="41" s="1"/>
  <c r="P396" i="41" s="1"/>
  <c r="P400" i="41" s="1"/>
  <c r="P405" i="41" s="1"/>
  <c r="P414" i="41" s="1"/>
  <c r="P33" i="65" s="1"/>
  <c r="P111" i="65" s="1"/>
  <c r="AF344" i="41"/>
  <c r="AF386" i="41" s="1"/>
  <c r="AF389" i="41" s="1"/>
  <c r="AF396" i="41" s="1"/>
  <c r="Z393" i="41"/>
  <c r="Z342" i="41"/>
  <c r="Z341" i="41"/>
  <c r="AA393" i="41"/>
  <c r="AA341" i="41"/>
  <c r="AA342" i="41"/>
  <c r="AA374" i="41"/>
  <c r="AA376" i="41" s="1"/>
  <c r="AA387" i="41" s="1"/>
  <c r="AA394" i="41"/>
  <c r="Z394" i="41"/>
  <c r="Z374" i="41"/>
  <c r="Z376" i="41" s="1"/>
  <c r="Z387" i="41" s="1"/>
  <c r="T393" i="41"/>
  <c r="T342" i="41"/>
  <c r="T341" i="41"/>
  <c r="V394" i="41"/>
  <c r="V374" i="41"/>
  <c r="V376" i="41" s="1"/>
  <c r="V387" i="41" s="1"/>
  <c r="Y342" i="41"/>
  <c r="Y341" i="41"/>
  <c r="Y393" i="41"/>
  <c r="S394" i="41"/>
  <c r="S374" i="41"/>
  <c r="S376" i="41" s="1"/>
  <c r="S312" i="41"/>
  <c r="S385" i="41" s="1"/>
  <c r="U393" i="41"/>
  <c r="U341" i="41"/>
  <c r="U342" i="41"/>
  <c r="N344" i="41"/>
  <c r="N386" i="41" s="1"/>
  <c r="N389" i="41" s="1"/>
  <c r="N396" i="41" s="1"/>
  <c r="M344" i="41"/>
  <c r="M386" i="41" s="1"/>
  <c r="M389" i="41" s="1"/>
  <c r="M396" i="41" s="1"/>
  <c r="U394" i="41"/>
  <c r="U374" i="41"/>
  <c r="U376" i="41" s="1"/>
  <c r="U387" i="41" s="1"/>
  <c r="T374" i="41"/>
  <c r="T376" i="41" s="1"/>
  <c r="T387" i="41" s="1"/>
  <c r="T394" i="41"/>
  <c r="X374" i="41"/>
  <c r="X376" i="41" s="1"/>
  <c r="X387" i="41" s="1"/>
  <c r="X394" i="41"/>
  <c r="AC344" i="41"/>
  <c r="AC386" i="41" s="1"/>
  <c r="AC389" i="41" s="1"/>
  <c r="AC396" i="41" s="1"/>
  <c r="Y394" i="41"/>
  <c r="Y374" i="41"/>
  <c r="Y376" i="41" s="1"/>
  <c r="Y387" i="41" s="1"/>
  <c r="AG389" i="41"/>
  <c r="AG396" i="41" s="1"/>
  <c r="X312" i="41"/>
  <c r="X385" i="41" s="1"/>
  <c r="S393" i="41"/>
  <c r="S341" i="41"/>
  <c r="S342" i="41"/>
  <c r="V393" i="41"/>
  <c r="V341" i="41"/>
  <c r="V342" i="41"/>
  <c r="X393" i="41"/>
  <c r="X341" i="41"/>
  <c r="X342" i="41"/>
  <c r="AE400" i="41" l="1"/>
  <c r="AE405" i="41" s="1"/>
  <c r="AE414" i="41" s="1"/>
  <c r="AE33" i="65" s="1"/>
  <c r="AE111" i="65" s="1"/>
  <c r="AE122" i="65" s="1"/>
  <c r="AE151" i="65" s="1"/>
  <c r="AE56" i="105" s="1"/>
  <c r="AE96" i="105" s="1"/>
  <c r="J399" i="41"/>
  <c r="J400" i="41"/>
  <c r="J405" i="41" s="1"/>
  <c r="J414" i="41" s="1"/>
  <c r="J33" i="65" s="1"/>
  <c r="J111" i="65" s="1"/>
  <c r="J140" i="65" s="1"/>
  <c r="J169" i="65" s="1"/>
  <c r="J74" i="105" s="1"/>
  <c r="J194" i="105" s="1"/>
  <c r="AE401" i="41"/>
  <c r="AE404" i="41" s="1"/>
  <c r="AE413" i="41" s="1"/>
  <c r="AE32" i="65" s="1"/>
  <c r="AE110" i="65" s="1"/>
  <c r="AE32" i="82" s="1"/>
  <c r="P399" i="41"/>
  <c r="Y344" i="41"/>
  <c r="Y386" i="41" s="1"/>
  <c r="Y389" i="41" s="1"/>
  <c r="Y396" i="41" s="1"/>
  <c r="P401" i="41"/>
  <c r="P404" i="41" s="1"/>
  <c r="P413" i="41" s="1"/>
  <c r="P32" i="65" s="1"/>
  <c r="P110" i="65" s="1"/>
  <c r="P139" i="65" s="1"/>
  <c r="P168" i="65" s="1"/>
  <c r="P73" i="105" s="1"/>
  <c r="Z344" i="41"/>
  <c r="Z386" i="41" s="1"/>
  <c r="Z389" i="41" s="1"/>
  <c r="Z396" i="41" s="1"/>
  <c r="AD400" i="41"/>
  <c r="AD405" i="41" s="1"/>
  <c r="AD414" i="41" s="1"/>
  <c r="AD33" i="65" s="1"/>
  <c r="AD111" i="65" s="1"/>
  <c r="AD33" i="82" s="1"/>
  <c r="AD399" i="41"/>
  <c r="X344" i="41"/>
  <c r="X386" i="41" s="1"/>
  <c r="X389" i="41" s="1"/>
  <c r="X396" i="41" s="1"/>
  <c r="S344" i="41"/>
  <c r="S386" i="41" s="1"/>
  <c r="U344" i="41"/>
  <c r="U386" i="41" s="1"/>
  <c r="U389" i="41" s="1"/>
  <c r="U396" i="41" s="1"/>
  <c r="AA344" i="41"/>
  <c r="AA386" i="41" s="1"/>
  <c r="AA389" i="41" s="1"/>
  <c r="AA396" i="41" s="1"/>
  <c r="AC401" i="41"/>
  <c r="AC404" i="41" s="1"/>
  <c r="AC413" i="41" s="1"/>
  <c r="AC32" i="65" s="1"/>
  <c r="AC110" i="65" s="1"/>
  <c r="AC399" i="41"/>
  <c r="AC400" i="41"/>
  <c r="AC405" i="41" s="1"/>
  <c r="AC414" i="41" s="1"/>
  <c r="AC33" i="65" s="1"/>
  <c r="AC111" i="65" s="1"/>
  <c r="P122" i="65"/>
  <c r="P151" i="65" s="1"/>
  <c r="P56" i="105" s="1"/>
  <c r="P96" i="105" s="1"/>
  <c r="P33" i="82"/>
  <c r="P140" i="65"/>
  <c r="P169" i="65" s="1"/>
  <c r="P74" i="105" s="1"/>
  <c r="P131" i="65"/>
  <c r="P160" i="65" s="1"/>
  <c r="P65" i="105" s="1"/>
  <c r="P406" i="41"/>
  <c r="P415" i="41" s="1"/>
  <c r="P34" i="65" s="1"/>
  <c r="P112" i="65" s="1"/>
  <c r="V344" i="41"/>
  <c r="V386" i="41" s="1"/>
  <c r="V389" i="41" s="1"/>
  <c r="V396" i="41" s="1"/>
  <c r="M399" i="41"/>
  <c r="M401" i="41"/>
  <c r="M404" i="41" s="1"/>
  <c r="M413" i="41" s="1"/>
  <c r="M32" i="65" s="1"/>
  <c r="M110" i="65" s="1"/>
  <c r="M400" i="41"/>
  <c r="M405" i="41" s="1"/>
  <c r="M414" i="41" s="1"/>
  <c r="M33" i="65" s="1"/>
  <c r="M111" i="65" s="1"/>
  <c r="AF400" i="41"/>
  <c r="AF405" i="41" s="1"/>
  <c r="AF414" i="41" s="1"/>
  <c r="AF33" i="65" s="1"/>
  <c r="AF111" i="65" s="1"/>
  <c r="AF401" i="41"/>
  <c r="AF404" i="41" s="1"/>
  <c r="AF413" i="41" s="1"/>
  <c r="AF32" i="65" s="1"/>
  <c r="AF110" i="65" s="1"/>
  <c r="AF399" i="41"/>
  <c r="AD406" i="41"/>
  <c r="AD415" i="41" s="1"/>
  <c r="AD34" i="65" s="1"/>
  <c r="AD112" i="65" s="1"/>
  <c r="AG399" i="41"/>
  <c r="AG400" i="41"/>
  <c r="AG401" i="41"/>
  <c r="N400" i="41"/>
  <c r="N405" i="41" s="1"/>
  <c r="N414" i="41" s="1"/>
  <c r="N33" i="65" s="1"/>
  <c r="N111" i="65" s="1"/>
  <c r="N399" i="41"/>
  <c r="N401" i="41"/>
  <c r="N404" i="41" s="1"/>
  <c r="N413" i="41" s="1"/>
  <c r="N32" i="65" s="1"/>
  <c r="N110" i="65" s="1"/>
  <c r="S387" i="41"/>
  <c r="H429" i="41"/>
  <c r="AD32" i="82"/>
  <c r="AD121" i="65"/>
  <c r="AD150" i="65" s="1"/>
  <c r="AD55" i="105" s="1"/>
  <c r="AD95" i="105" s="1"/>
  <c r="AD139" i="65"/>
  <c r="AD168" i="65" s="1"/>
  <c r="AD73" i="105" s="1"/>
  <c r="J406" i="41"/>
  <c r="J415" i="41" s="1"/>
  <c r="J34" i="65" s="1"/>
  <c r="J112" i="65" s="1"/>
  <c r="AE406" i="41"/>
  <c r="AE415" i="41" s="1"/>
  <c r="AE34" i="65" s="1"/>
  <c r="AE112" i="65" s="1"/>
  <c r="O399" i="41"/>
  <c r="O400" i="41"/>
  <c r="O405" i="41" s="1"/>
  <c r="O414" i="41" s="1"/>
  <c r="O33" i="65" s="1"/>
  <c r="O111" i="65" s="1"/>
  <c r="O401" i="41"/>
  <c r="O404" i="41" s="1"/>
  <c r="O413" i="41" s="1"/>
  <c r="O32" i="65" s="1"/>
  <c r="O110" i="65" s="1"/>
  <c r="T344" i="41"/>
  <c r="T386" i="41" s="1"/>
  <c r="T389" i="41" s="1"/>
  <c r="T396" i="41" s="1"/>
  <c r="J139" i="65"/>
  <c r="J168" i="65" s="1"/>
  <c r="J130" i="65"/>
  <c r="J159" i="65" s="1"/>
  <c r="J32" i="82"/>
  <c r="J121" i="65"/>
  <c r="J150" i="65" s="1"/>
  <c r="AE139" i="65" l="1"/>
  <c r="AE168" i="65" s="1"/>
  <c r="AE73" i="105" s="1"/>
  <c r="AE193" i="105" s="1"/>
  <c r="J116" i="105"/>
  <c r="J423" i="41"/>
  <c r="AE33" i="82"/>
  <c r="AE140" i="65"/>
  <c r="AE169" i="65" s="1"/>
  <c r="AE74" i="105" s="1"/>
  <c r="AE194" i="105" s="1"/>
  <c r="J131" i="65"/>
  <c r="J160" i="65" s="1"/>
  <c r="J65" i="105" s="1"/>
  <c r="J183" i="105" s="1"/>
  <c r="J33" i="82"/>
  <c r="Y399" i="41"/>
  <c r="Y406" i="41" s="1"/>
  <c r="Y415" i="41" s="1"/>
  <c r="Y34" i="65" s="1"/>
  <c r="Y112" i="65" s="1"/>
  <c r="Y34" i="82" s="1"/>
  <c r="Y400" i="41"/>
  <c r="Y405" i="41" s="1"/>
  <c r="Y414" i="41" s="1"/>
  <c r="Y33" i="65" s="1"/>
  <c r="Y111" i="65" s="1"/>
  <c r="Y33" i="82" s="1"/>
  <c r="Y401" i="41"/>
  <c r="Y404" i="41" s="1"/>
  <c r="Y413" i="41" s="1"/>
  <c r="Y32" i="65" s="1"/>
  <c r="Y110" i="65" s="1"/>
  <c r="Y121" i="65" s="1"/>
  <c r="Y150" i="65" s="1"/>
  <c r="Y55" i="105" s="1"/>
  <c r="Y95" i="105" s="1"/>
  <c r="AE121" i="65"/>
  <c r="AE150" i="65" s="1"/>
  <c r="AE55" i="105" s="1"/>
  <c r="AE95" i="105" s="1"/>
  <c r="AE423" i="41"/>
  <c r="AE427" i="41" s="1"/>
  <c r="J122" i="65"/>
  <c r="J151" i="65" s="1"/>
  <c r="J56" i="105" s="1"/>
  <c r="J96" i="105" s="1"/>
  <c r="AD140" i="65"/>
  <c r="AD169" i="65" s="1"/>
  <c r="AD74" i="105" s="1"/>
  <c r="AD116" i="105" s="1"/>
  <c r="AD122" i="65"/>
  <c r="AD151" i="65" s="1"/>
  <c r="AD56" i="105" s="1"/>
  <c r="AD96" i="105" s="1"/>
  <c r="AD423" i="41"/>
  <c r="AD427" i="41" s="1"/>
  <c r="P423" i="41"/>
  <c r="P427" i="41" s="1"/>
  <c r="P121" i="65"/>
  <c r="P150" i="65" s="1"/>
  <c r="P55" i="105" s="1"/>
  <c r="P95" i="105" s="1"/>
  <c r="P130" i="65"/>
  <c r="P159" i="65" s="1"/>
  <c r="P64" i="105" s="1"/>
  <c r="P182" i="105" s="1"/>
  <c r="P32" i="82"/>
  <c r="Z401" i="41"/>
  <c r="Z404" i="41" s="1"/>
  <c r="Z413" i="41" s="1"/>
  <c r="Z32" i="65" s="1"/>
  <c r="Z110" i="65" s="1"/>
  <c r="Z139" i="65" s="1"/>
  <c r="Z168" i="65" s="1"/>
  <c r="Z73" i="105" s="1"/>
  <c r="Z399" i="41"/>
  <c r="Z400" i="41"/>
  <c r="Z405" i="41" s="1"/>
  <c r="Z414" i="41" s="1"/>
  <c r="Z33" i="65" s="1"/>
  <c r="Z111" i="65" s="1"/>
  <c r="Z140" i="65" s="1"/>
  <c r="Z169" i="65" s="1"/>
  <c r="Z74" i="105" s="1"/>
  <c r="S389" i="41"/>
  <c r="S396" i="41" s="1"/>
  <c r="S400" i="41" s="1"/>
  <c r="S405" i="41" s="1"/>
  <c r="S414" i="41" s="1"/>
  <c r="S33" i="65" s="1"/>
  <c r="S111" i="65" s="1"/>
  <c r="T400" i="41"/>
  <c r="T405" i="41" s="1"/>
  <c r="T414" i="41" s="1"/>
  <c r="T33" i="65" s="1"/>
  <c r="T111" i="65" s="1"/>
  <c r="T401" i="41"/>
  <c r="T404" i="41" s="1"/>
  <c r="T413" i="41" s="1"/>
  <c r="T32" i="65" s="1"/>
  <c r="T110" i="65" s="1"/>
  <c r="T399" i="41"/>
  <c r="V399" i="41"/>
  <c r="V401" i="41"/>
  <c r="V404" i="41" s="1"/>
  <c r="V413" i="41" s="1"/>
  <c r="V32" i="65" s="1"/>
  <c r="V110" i="65" s="1"/>
  <c r="V400" i="41"/>
  <c r="V405" i="41" s="1"/>
  <c r="V414" i="41" s="1"/>
  <c r="V33" i="65" s="1"/>
  <c r="V111" i="65" s="1"/>
  <c r="AD141" i="65"/>
  <c r="AD170" i="65" s="1"/>
  <c r="AD75" i="105" s="1"/>
  <c r="AD34" i="82"/>
  <c r="AD123" i="65"/>
  <c r="AD152" i="65" s="1"/>
  <c r="AD57" i="105" s="1"/>
  <c r="AD97" i="105" s="1"/>
  <c r="M32" i="82"/>
  <c r="M139" i="65"/>
  <c r="M168" i="65" s="1"/>
  <c r="M73" i="105" s="1"/>
  <c r="M121" i="65"/>
  <c r="M150" i="65" s="1"/>
  <c r="M55" i="105" s="1"/>
  <c r="M95" i="105" s="1"/>
  <c r="M130" i="65"/>
  <c r="M159" i="65" s="1"/>
  <c r="M64" i="105" s="1"/>
  <c r="P132" i="65"/>
  <c r="P161" i="65" s="1"/>
  <c r="P66" i="105" s="1"/>
  <c r="P123" i="65"/>
  <c r="P152" i="65" s="1"/>
  <c r="P57" i="105" s="1"/>
  <c r="P97" i="105" s="1"/>
  <c r="P34" i="82"/>
  <c r="P141" i="65"/>
  <c r="P170" i="65" s="1"/>
  <c r="P75" i="105" s="1"/>
  <c r="P194" i="105"/>
  <c r="P116" i="105"/>
  <c r="AC32" i="82"/>
  <c r="AC139" i="65"/>
  <c r="AC168" i="65" s="1"/>
  <c r="AC73" i="105" s="1"/>
  <c r="AC121" i="65"/>
  <c r="AC150" i="65" s="1"/>
  <c r="AC55" i="105" s="1"/>
  <c r="AC95" i="105" s="1"/>
  <c r="AA401" i="41"/>
  <c r="AA404" i="41" s="1"/>
  <c r="AA413" i="41" s="1"/>
  <c r="AA32" i="65" s="1"/>
  <c r="AA110" i="65" s="1"/>
  <c r="AA400" i="41"/>
  <c r="AA405" i="41" s="1"/>
  <c r="AA414" i="41" s="1"/>
  <c r="AA33" i="65" s="1"/>
  <c r="AA111" i="65" s="1"/>
  <c r="AA399" i="41"/>
  <c r="O130" i="65"/>
  <c r="O159" i="65" s="1"/>
  <c r="O64" i="105" s="1"/>
  <c r="O139" i="65"/>
  <c r="O168" i="65" s="1"/>
  <c r="O73" i="105" s="1"/>
  <c r="O121" i="65"/>
  <c r="O150" i="65" s="1"/>
  <c r="O55" i="105" s="1"/>
  <c r="O95" i="105" s="1"/>
  <c r="O32" i="82"/>
  <c r="J132" i="65"/>
  <c r="J161" i="65" s="1"/>
  <c r="J66" i="105" s="1"/>
  <c r="J141" i="65"/>
  <c r="J170" i="65" s="1"/>
  <c r="J75" i="105" s="1"/>
  <c r="J34" i="82"/>
  <c r="J123" i="65"/>
  <c r="J152" i="65" s="1"/>
  <c r="J57" i="105" s="1"/>
  <c r="J97" i="105" s="1"/>
  <c r="M423" i="41"/>
  <c r="M427" i="41" s="1"/>
  <c r="M33" i="82"/>
  <c r="M122" i="65"/>
  <c r="M151" i="65" s="1"/>
  <c r="M56" i="105" s="1"/>
  <c r="M96" i="105" s="1"/>
  <c r="M140" i="65"/>
  <c r="M169" i="65" s="1"/>
  <c r="M74" i="105" s="1"/>
  <c r="M131" i="65"/>
  <c r="M160" i="65" s="1"/>
  <c r="M65" i="105" s="1"/>
  <c r="AC423" i="41"/>
  <c r="AC427" i="41" s="1"/>
  <c r="AC406" i="41"/>
  <c r="AC415" i="41" s="1"/>
  <c r="AC34" i="65" s="1"/>
  <c r="AC112" i="65" s="1"/>
  <c r="O140" i="65"/>
  <c r="O169" i="65" s="1"/>
  <c r="O74" i="105" s="1"/>
  <c r="O33" i="82"/>
  <c r="O122" i="65"/>
  <c r="O151" i="65" s="1"/>
  <c r="O56" i="105" s="1"/>
  <c r="O96" i="105" s="1"/>
  <c r="O131" i="65"/>
  <c r="O160" i="65" s="1"/>
  <c r="O65" i="105" s="1"/>
  <c r="J427" i="41"/>
  <c r="N139" i="65"/>
  <c r="N168" i="65" s="1"/>
  <c r="N73" i="105" s="1"/>
  <c r="N130" i="65"/>
  <c r="N159" i="65" s="1"/>
  <c r="N64" i="105" s="1"/>
  <c r="N121" i="65"/>
  <c r="N150" i="65" s="1"/>
  <c r="N55" i="105" s="1"/>
  <c r="N95" i="105" s="1"/>
  <c r="N32" i="82"/>
  <c r="AG423" i="41"/>
  <c r="AG427" i="41" s="1"/>
  <c r="AF423" i="41"/>
  <c r="AF427" i="41" s="1"/>
  <c r="AF406" i="41"/>
  <c r="AF415" i="41" s="1"/>
  <c r="AF34" i="65" s="1"/>
  <c r="AF112" i="65" s="1"/>
  <c r="X400" i="41"/>
  <c r="X405" i="41" s="1"/>
  <c r="X414" i="41" s="1"/>
  <c r="X33" i="65" s="1"/>
  <c r="X111" i="65" s="1"/>
  <c r="X399" i="41"/>
  <c r="X401" i="41"/>
  <c r="X404" i="41" s="1"/>
  <c r="X413" i="41" s="1"/>
  <c r="X32" i="65" s="1"/>
  <c r="X110" i="65" s="1"/>
  <c r="P106" i="105"/>
  <c r="P183" i="105"/>
  <c r="O423" i="41"/>
  <c r="O427" i="41" s="1"/>
  <c r="O406" i="41"/>
  <c r="O415" i="41" s="1"/>
  <c r="O34" i="65" s="1"/>
  <c r="O112" i="65" s="1"/>
  <c r="AD115" i="105"/>
  <c r="AD193" i="105"/>
  <c r="N406" i="41"/>
  <c r="N415" i="41" s="1"/>
  <c r="N34" i="65" s="1"/>
  <c r="N112" i="65" s="1"/>
  <c r="N423" i="41"/>
  <c r="N427" i="41" s="1"/>
  <c r="AF121" i="65"/>
  <c r="AF150" i="65" s="1"/>
  <c r="AF55" i="105" s="1"/>
  <c r="AF95" i="105" s="1"/>
  <c r="AF139" i="65"/>
  <c r="AF168" i="65" s="1"/>
  <c r="AF73" i="105" s="1"/>
  <c r="AF32" i="82"/>
  <c r="Z406" i="41"/>
  <c r="Z415" i="41" s="1"/>
  <c r="Z34" i="65" s="1"/>
  <c r="Z112" i="65" s="1"/>
  <c r="P193" i="105"/>
  <c r="P115" i="105"/>
  <c r="Y141" i="65"/>
  <c r="Y170" i="65" s="1"/>
  <c r="Y75" i="105" s="1"/>
  <c r="AE123" i="65"/>
  <c r="AE152" i="65" s="1"/>
  <c r="AE57" i="105" s="1"/>
  <c r="AE97" i="105" s="1"/>
  <c r="AE34" i="82"/>
  <c r="AE141" i="65"/>
  <c r="AE170" i="65" s="1"/>
  <c r="AE75" i="105" s="1"/>
  <c r="N33" i="82"/>
  <c r="N131" i="65"/>
  <c r="N160" i="65" s="1"/>
  <c r="N65" i="105" s="1"/>
  <c r="N140" i="65"/>
  <c r="N169" i="65" s="1"/>
  <c r="N74" i="105" s="1"/>
  <c r="N122" i="65"/>
  <c r="N151" i="65" s="1"/>
  <c r="N56" i="105" s="1"/>
  <c r="N96" i="105" s="1"/>
  <c r="AF140" i="65"/>
  <c r="AF169" i="65" s="1"/>
  <c r="AF74" i="105" s="1"/>
  <c r="AF33" i="82"/>
  <c r="AF122" i="65"/>
  <c r="AF151" i="65" s="1"/>
  <c r="AF56" i="105" s="1"/>
  <c r="AF96" i="105" s="1"/>
  <c r="Z32" i="82"/>
  <c r="AC33" i="82"/>
  <c r="AC122" i="65"/>
  <c r="AC151" i="65" s="1"/>
  <c r="AC56" i="105" s="1"/>
  <c r="AC96" i="105" s="1"/>
  <c r="AC140" i="65"/>
  <c r="AC169" i="65" s="1"/>
  <c r="AC74" i="105" s="1"/>
  <c r="U400" i="41"/>
  <c r="U405" i="41" s="1"/>
  <c r="U414" i="41" s="1"/>
  <c r="U33" i="65" s="1"/>
  <c r="U111" i="65" s="1"/>
  <c r="U401" i="41"/>
  <c r="U404" i="41" s="1"/>
  <c r="U413" i="41" s="1"/>
  <c r="U32" i="65" s="1"/>
  <c r="U110" i="65" s="1"/>
  <c r="U399" i="41"/>
  <c r="J73" i="105"/>
  <c r="J64" i="105"/>
  <c r="J55" i="105"/>
  <c r="AE115" i="105" l="1"/>
  <c r="Y32" i="82"/>
  <c r="Y139" i="65"/>
  <c r="Y168" i="65" s="1"/>
  <c r="Y73" i="105" s="1"/>
  <c r="Z121" i="65"/>
  <c r="Z150" i="65" s="1"/>
  <c r="Z55" i="105" s="1"/>
  <c r="Z95" i="105" s="1"/>
  <c r="AD102" i="105"/>
  <c r="AD146" i="105" s="1"/>
  <c r="AD63" i="82" s="1"/>
  <c r="J106" i="105"/>
  <c r="AD194" i="105"/>
  <c r="Y140" i="65"/>
  <c r="Y169" i="65" s="1"/>
  <c r="Y74" i="105" s="1"/>
  <c r="Y122" i="65"/>
  <c r="Y151" i="65" s="1"/>
  <c r="Y56" i="105" s="1"/>
  <c r="Y96" i="105" s="1"/>
  <c r="Z423" i="41"/>
  <c r="Z427" i="41" s="1"/>
  <c r="AE116" i="105"/>
  <c r="Y423" i="41"/>
  <c r="Y427" i="41" s="1"/>
  <c r="Y123" i="65"/>
  <c r="Y152" i="65" s="1"/>
  <c r="Y57" i="105" s="1"/>
  <c r="Y97" i="105" s="1"/>
  <c r="AE102" i="105"/>
  <c r="AE174" i="105" s="1"/>
  <c r="AE65" i="82" s="1"/>
  <c r="P105" i="105"/>
  <c r="P102" i="105"/>
  <c r="P140" i="105" s="1"/>
  <c r="P62" i="82" s="1"/>
  <c r="AD140" i="105"/>
  <c r="AD62" i="82" s="1"/>
  <c r="S399" i="41"/>
  <c r="Z33" i="82"/>
  <c r="S401" i="41"/>
  <c r="S404" i="41" s="1"/>
  <c r="S413" i="41" s="1"/>
  <c r="S32" i="65" s="1"/>
  <c r="S110" i="65" s="1"/>
  <c r="S139" i="65" s="1"/>
  <c r="S168" i="65" s="1"/>
  <c r="S73" i="105" s="1"/>
  <c r="Z122" i="65"/>
  <c r="Z151" i="65" s="1"/>
  <c r="Z56" i="105" s="1"/>
  <c r="Z96" i="105" s="1"/>
  <c r="N34" i="82"/>
  <c r="N123" i="65"/>
  <c r="N152" i="65" s="1"/>
  <c r="N57" i="105" s="1"/>
  <c r="N97" i="105" s="1"/>
  <c r="N102" i="105" s="1"/>
  <c r="N132" i="65"/>
  <c r="N161" i="65" s="1"/>
  <c r="N66" i="105" s="1"/>
  <c r="N141" i="65"/>
  <c r="N170" i="65" s="1"/>
  <c r="N75" i="105" s="1"/>
  <c r="O183" i="105"/>
  <c r="O106" i="105"/>
  <c r="AC193" i="105"/>
  <c r="AC115" i="105"/>
  <c r="S406" i="41"/>
  <c r="AF194" i="105"/>
  <c r="AF116" i="105"/>
  <c r="Y117" i="105"/>
  <c r="Y195" i="105"/>
  <c r="Z34" i="82"/>
  <c r="Z123" i="65"/>
  <c r="Z152" i="65" s="1"/>
  <c r="Z57" i="105" s="1"/>
  <c r="Z97" i="105" s="1"/>
  <c r="Z141" i="65"/>
  <c r="Z170" i="65" s="1"/>
  <c r="Z75" i="105" s="1"/>
  <c r="X139" i="65"/>
  <c r="X168" i="65" s="1"/>
  <c r="X73" i="105" s="1"/>
  <c r="X32" i="82"/>
  <c r="X121" i="65"/>
  <c r="X150" i="65" s="1"/>
  <c r="X55" i="105" s="1"/>
  <c r="X95" i="105" s="1"/>
  <c r="AA139" i="65"/>
  <c r="AA168" i="65" s="1"/>
  <c r="AA73" i="105" s="1"/>
  <c r="AA32" i="82"/>
  <c r="AA121" i="65"/>
  <c r="AA150" i="65" s="1"/>
  <c r="AA55" i="105" s="1"/>
  <c r="AA95" i="105" s="1"/>
  <c r="P184" i="105"/>
  <c r="P189" i="105" s="1"/>
  <c r="P107" i="105"/>
  <c r="P112" i="105" s="1"/>
  <c r="S140" i="65"/>
  <c r="S169" i="65" s="1"/>
  <c r="S74" i="105" s="1"/>
  <c r="S122" i="65"/>
  <c r="S151" i="65" s="1"/>
  <c r="S56" i="105" s="1"/>
  <c r="S96" i="105" s="1"/>
  <c r="S131" i="65"/>
  <c r="S160" i="65" s="1"/>
  <c r="S65" i="105" s="1"/>
  <c r="S33" i="82"/>
  <c r="U423" i="41"/>
  <c r="U427" i="41" s="1"/>
  <c r="U406" i="41"/>
  <c r="U415" i="41" s="1"/>
  <c r="U34" i="65" s="1"/>
  <c r="U112" i="65" s="1"/>
  <c r="Z193" i="105"/>
  <c r="Z115" i="105"/>
  <c r="X423" i="41"/>
  <c r="X427" i="41" s="1"/>
  <c r="X406" i="41"/>
  <c r="X415" i="41" s="1"/>
  <c r="X34" i="65" s="1"/>
  <c r="X112" i="65" s="1"/>
  <c r="Z194" i="105"/>
  <c r="Z116" i="105"/>
  <c r="N105" i="105"/>
  <c r="N182" i="105"/>
  <c r="M183" i="105"/>
  <c r="M106" i="105"/>
  <c r="M182" i="105"/>
  <c r="M105" i="105"/>
  <c r="AD117" i="105"/>
  <c r="AD122" i="105" s="1"/>
  <c r="AD195" i="105"/>
  <c r="J184" i="105"/>
  <c r="J107" i="105"/>
  <c r="U139" i="65"/>
  <c r="U168" i="65" s="1"/>
  <c r="U73" i="105" s="1"/>
  <c r="U121" i="65"/>
  <c r="U150" i="65" s="1"/>
  <c r="U55" i="105" s="1"/>
  <c r="U95" i="105" s="1"/>
  <c r="U130" i="65"/>
  <c r="U159" i="65" s="1"/>
  <c r="U64" i="105" s="1"/>
  <c r="U32" i="82"/>
  <c r="AF115" i="105"/>
  <c r="AF193" i="105"/>
  <c r="O132" i="65"/>
  <c r="O161" i="65" s="1"/>
  <c r="O66" i="105" s="1"/>
  <c r="O141" i="65"/>
  <c r="O170" i="65" s="1"/>
  <c r="O75" i="105" s="1"/>
  <c r="O123" i="65"/>
  <c r="O152" i="65" s="1"/>
  <c r="O57" i="105" s="1"/>
  <c r="O97" i="105" s="1"/>
  <c r="O34" i="82"/>
  <c r="X122" i="65"/>
  <c r="X151" i="65" s="1"/>
  <c r="X56" i="105" s="1"/>
  <c r="X96" i="105" s="1"/>
  <c r="X140" i="65"/>
  <c r="X169" i="65" s="1"/>
  <c r="X74" i="105" s="1"/>
  <c r="X33" i="82"/>
  <c r="AF34" i="82"/>
  <c r="AF123" i="65"/>
  <c r="AF152" i="65" s="1"/>
  <c r="AF57" i="105" s="1"/>
  <c r="AF97" i="105" s="1"/>
  <c r="AF102" i="105" s="1"/>
  <c r="AF141" i="65"/>
  <c r="AF170" i="65" s="1"/>
  <c r="AF75" i="105" s="1"/>
  <c r="N193" i="105"/>
  <c r="N115" i="105"/>
  <c r="O194" i="105"/>
  <c r="O116" i="105"/>
  <c r="M194" i="105"/>
  <c r="M116" i="105"/>
  <c r="O115" i="105"/>
  <c r="O193" i="105"/>
  <c r="M102" i="105"/>
  <c r="V131" i="65"/>
  <c r="V160" i="65" s="1"/>
  <c r="V65" i="105" s="1"/>
  <c r="V140" i="65"/>
  <c r="V169" i="65" s="1"/>
  <c r="V74" i="105" s="1"/>
  <c r="V33" i="82"/>
  <c r="V122" i="65"/>
  <c r="V151" i="65" s="1"/>
  <c r="V56" i="105" s="1"/>
  <c r="V96" i="105" s="1"/>
  <c r="T423" i="41"/>
  <c r="T427" i="41" s="1"/>
  <c r="T406" i="41"/>
  <c r="T415" i="41" s="1"/>
  <c r="T34" i="65" s="1"/>
  <c r="T112" i="65" s="1"/>
  <c r="AC123" i="65"/>
  <c r="AC152" i="65" s="1"/>
  <c r="AC57" i="105" s="1"/>
  <c r="AC97" i="105" s="1"/>
  <c r="AC102" i="105" s="1"/>
  <c r="AC34" i="82"/>
  <c r="AC141" i="65"/>
  <c r="AC170" i="65" s="1"/>
  <c r="AC75" i="105" s="1"/>
  <c r="AA122" i="65"/>
  <c r="AA151" i="65" s="1"/>
  <c r="AA56" i="105" s="1"/>
  <c r="AA96" i="105" s="1"/>
  <c r="AA140" i="65"/>
  <c r="AA169" i="65" s="1"/>
  <c r="AA74" i="105" s="1"/>
  <c r="AA33" i="82"/>
  <c r="U140" i="65"/>
  <c r="U169" i="65" s="1"/>
  <c r="U74" i="105" s="1"/>
  <c r="U33" i="82"/>
  <c r="U131" i="65"/>
  <c r="U160" i="65" s="1"/>
  <c r="U65" i="105" s="1"/>
  <c r="U122" i="65"/>
  <c r="U151" i="65" s="1"/>
  <c r="U56" i="105" s="1"/>
  <c r="U96" i="105" s="1"/>
  <c r="N194" i="105"/>
  <c r="N116" i="105"/>
  <c r="AE117" i="105"/>
  <c r="AE195" i="105"/>
  <c r="AE200" i="105" s="1"/>
  <c r="O182" i="105"/>
  <c r="O105" i="105"/>
  <c r="P195" i="105"/>
  <c r="P200" i="105" s="1"/>
  <c r="P117" i="105"/>
  <c r="P122" i="105" s="1"/>
  <c r="M193" i="105"/>
  <c r="M115" i="105"/>
  <c r="V32" i="82"/>
  <c r="V130" i="65"/>
  <c r="V159" i="65" s="1"/>
  <c r="V64" i="105" s="1"/>
  <c r="V139" i="65"/>
  <c r="V168" i="65" s="1"/>
  <c r="V73" i="105" s="1"/>
  <c r="V121" i="65"/>
  <c r="V150" i="65" s="1"/>
  <c r="V55" i="105" s="1"/>
  <c r="V95" i="105" s="1"/>
  <c r="T121" i="65"/>
  <c r="T150" i="65" s="1"/>
  <c r="T55" i="105" s="1"/>
  <c r="T95" i="105" s="1"/>
  <c r="T139" i="65"/>
  <c r="T168" i="65" s="1"/>
  <c r="T73" i="105" s="1"/>
  <c r="T130" i="65"/>
  <c r="T159" i="65" s="1"/>
  <c r="T64" i="105" s="1"/>
  <c r="T32" i="82"/>
  <c r="AC116" i="105"/>
  <c r="AC194" i="105"/>
  <c r="N183" i="105"/>
  <c r="N106" i="105"/>
  <c r="J195" i="105"/>
  <c r="J117" i="105"/>
  <c r="AA423" i="41"/>
  <c r="AA427" i="41" s="1"/>
  <c r="AA406" i="41"/>
  <c r="AA415" i="41" s="1"/>
  <c r="AA34" i="65" s="1"/>
  <c r="AA112" i="65" s="1"/>
  <c r="V423" i="41"/>
  <c r="V427" i="41" s="1"/>
  <c r="V406" i="41"/>
  <c r="V415" i="41" s="1"/>
  <c r="V34" i="65" s="1"/>
  <c r="V112" i="65" s="1"/>
  <c r="T33" i="82"/>
  <c r="T122" i="65"/>
  <c r="T151" i="65" s="1"/>
  <c r="T56" i="105" s="1"/>
  <c r="T96" i="105" s="1"/>
  <c r="T140" i="65"/>
  <c r="T169" i="65" s="1"/>
  <c r="T74" i="105" s="1"/>
  <c r="T131" i="65"/>
  <c r="T160" i="65" s="1"/>
  <c r="T65" i="105" s="1"/>
  <c r="Y193" i="105"/>
  <c r="Y115" i="105"/>
  <c r="J95" i="105"/>
  <c r="J182" i="105"/>
  <c r="J189" i="105" s="1"/>
  <c r="J105" i="105"/>
  <c r="J193" i="105"/>
  <c r="J115" i="105"/>
  <c r="Y194" i="105"/>
  <c r="Y116" i="105"/>
  <c r="P206" i="105" l="1"/>
  <c r="P73" i="82" s="1"/>
  <c r="AD200" i="105"/>
  <c r="AD207" i="105" s="1"/>
  <c r="AD74" i="82" s="1"/>
  <c r="AD174" i="105"/>
  <c r="AD65" i="82" s="1"/>
  <c r="S121" i="65"/>
  <c r="S150" i="65" s="1"/>
  <c r="S55" i="105" s="1"/>
  <c r="S95" i="105" s="1"/>
  <c r="H95" i="105" s="1"/>
  <c r="P207" i="105"/>
  <c r="P74" i="82" s="1"/>
  <c r="P146" i="105"/>
  <c r="P63" i="82" s="1"/>
  <c r="AE122" i="105"/>
  <c r="AE148" i="105" s="1"/>
  <c r="P174" i="105"/>
  <c r="P65" i="82" s="1"/>
  <c r="Y102" i="105"/>
  <c r="Y146" i="105" s="1"/>
  <c r="Y63" i="82" s="1"/>
  <c r="AE140" i="105"/>
  <c r="AE62" i="82" s="1"/>
  <c r="AE146" i="105"/>
  <c r="AE63" i="82" s="1"/>
  <c r="H96" i="105"/>
  <c r="J200" i="105"/>
  <c r="S423" i="41"/>
  <c r="S427" i="41" s="1"/>
  <c r="H427" i="41" s="1"/>
  <c r="S130" i="65"/>
  <c r="S159" i="65" s="1"/>
  <c r="S64" i="105" s="1"/>
  <c r="S105" i="105" s="1"/>
  <c r="S32" i="82"/>
  <c r="J122" i="105"/>
  <c r="J142" i="105" s="1"/>
  <c r="Z102" i="105"/>
  <c r="Z140" i="105" s="1"/>
  <c r="P142" i="105"/>
  <c r="P148" i="105"/>
  <c r="AF146" i="105"/>
  <c r="AF63" i="82" s="1"/>
  <c r="AF140" i="105"/>
  <c r="AF206" i="105" s="1"/>
  <c r="AF174" i="105"/>
  <c r="AF65" i="82" s="1"/>
  <c r="AD142" i="105"/>
  <c r="AD148" i="105"/>
  <c r="P141" i="105"/>
  <c r="P147" i="105"/>
  <c r="AC140" i="105"/>
  <c r="AC206" i="105" s="1"/>
  <c r="AC174" i="105"/>
  <c r="AC65" i="82" s="1"/>
  <c r="AC146" i="105"/>
  <c r="AC63" i="82" s="1"/>
  <c r="AD206" i="105"/>
  <c r="O102" i="105"/>
  <c r="M112" i="105"/>
  <c r="M147" i="105" s="1"/>
  <c r="M200" i="105"/>
  <c r="M122" i="105"/>
  <c r="M148" i="105" s="1"/>
  <c r="M189" i="105"/>
  <c r="O195" i="105"/>
  <c r="O200" i="105" s="1"/>
  <c r="O117" i="105"/>
  <c r="O122" i="105" s="1"/>
  <c r="T141" i="65"/>
  <c r="T170" i="65" s="1"/>
  <c r="T75" i="105" s="1"/>
  <c r="T132" i="65"/>
  <c r="T161" i="65" s="1"/>
  <c r="T66" i="105" s="1"/>
  <c r="T34" i="82"/>
  <c r="T123" i="65"/>
  <c r="T152" i="65" s="1"/>
  <c r="T57" i="105" s="1"/>
  <c r="T97" i="105" s="1"/>
  <c r="T102" i="105" s="1"/>
  <c r="M174" i="105"/>
  <c r="M65" i="82" s="1"/>
  <c r="M146" i="105"/>
  <c r="M63" i="82" s="1"/>
  <c r="M140" i="105"/>
  <c r="S116" i="105"/>
  <c r="S194" i="105"/>
  <c r="N174" i="105"/>
  <c r="N65" i="82" s="1"/>
  <c r="N140" i="105"/>
  <c r="N146" i="105"/>
  <c r="N63" i="82" s="1"/>
  <c r="T194" i="105"/>
  <c r="T116" i="105"/>
  <c r="T193" i="105"/>
  <c r="T115" i="105"/>
  <c r="T183" i="105"/>
  <c r="T106" i="105"/>
  <c r="T182" i="105"/>
  <c r="T105" i="105"/>
  <c r="U116" i="105"/>
  <c r="U194" i="105"/>
  <c r="V183" i="105"/>
  <c r="V106" i="105"/>
  <c r="U182" i="105"/>
  <c r="U105" i="105"/>
  <c r="AA115" i="105"/>
  <c r="AA193" i="105"/>
  <c r="S415" i="41"/>
  <c r="S34" i="65" s="1"/>
  <c r="H431" i="41" a="1"/>
  <c r="H431" i="41" s="1"/>
  <c r="AA194" i="105"/>
  <c r="AA116" i="105"/>
  <c r="O184" i="105"/>
  <c r="O189" i="105" s="1"/>
  <c r="O107" i="105"/>
  <c r="O112" i="105" s="1"/>
  <c r="O141" i="105" s="1"/>
  <c r="U115" i="105"/>
  <c r="U193" i="105"/>
  <c r="S115" i="105"/>
  <c r="S193" i="105"/>
  <c r="U34" i="82"/>
  <c r="U123" i="65"/>
  <c r="U152" i="65" s="1"/>
  <c r="U57" i="105" s="1"/>
  <c r="U97" i="105" s="1"/>
  <c r="U102" i="105" s="1"/>
  <c r="U141" i="65"/>
  <c r="U170" i="65" s="1"/>
  <c r="U75" i="105" s="1"/>
  <c r="U132" i="65"/>
  <c r="U161" i="65" s="1"/>
  <c r="U66" i="105" s="1"/>
  <c r="N195" i="105"/>
  <c r="N200" i="105" s="1"/>
  <c r="N117" i="105"/>
  <c r="AA141" i="65"/>
  <c r="AA170" i="65" s="1"/>
  <c r="AA75" i="105" s="1"/>
  <c r="AA34" i="82"/>
  <c r="AA123" i="65"/>
  <c r="AA152" i="65" s="1"/>
  <c r="AA57" i="105" s="1"/>
  <c r="AA97" i="105" s="1"/>
  <c r="AA102" i="105" s="1"/>
  <c r="X194" i="105"/>
  <c r="X116" i="105"/>
  <c r="N107" i="105"/>
  <c r="N112" i="105" s="1"/>
  <c r="N184" i="105"/>
  <c r="N189" i="105" s="1"/>
  <c r="V132" i="65"/>
  <c r="V161" i="65" s="1"/>
  <c r="V66" i="105" s="1"/>
  <c r="V141" i="65"/>
  <c r="V170" i="65" s="1"/>
  <c r="V75" i="105" s="1"/>
  <c r="V123" i="65"/>
  <c r="V152" i="65" s="1"/>
  <c r="V57" i="105" s="1"/>
  <c r="V97" i="105" s="1"/>
  <c r="V102" i="105" s="1"/>
  <c r="V34" i="82"/>
  <c r="V115" i="105"/>
  <c r="V193" i="105"/>
  <c r="U183" i="105"/>
  <c r="U106" i="105"/>
  <c r="AC195" i="105"/>
  <c r="AC200" i="105" s="1"/>
  <c r="AC117" i="105"/>
  <c r="AC122" i="105" s="1"/>
  <c r="X115" i="105"/>
  <c r="X193" i="105"/>
  <c r="V182" i="105"/>
  <c r="V105" i="105"/>
  <c r="V194" i="105"/>
  <c r="V116" i="105"/>
  <c r="AF195" i="105"/>
  <c r="AF200" i="105" s="1"/>
  <c r="AF117" i="105"/>
  <c r="AF122" i="105" s="1"/>
  <c r="X141" i="65"/>
  <c r="X170" i="65" s="1"/>
  <c r="X75" i="105" s="1"/>
  <c r="X34" i="82"/>
  <c r="X123" i="65"/>
  <c r="X152" i="65" s="1"/>
  <c r="X57" i="105" s="1"/>
  <c r="X97" i="105" s="1"/>
  <c r="X102" i="105" s="1"/>
  <c r="S106" i="105"/>
  <c r="S183" i="105"/>
  <c r="Z195" i="105"/>
  <c r="Z200" i="105" s="1"/>
  <c r="Z117" i="105"/>
  <c r="Z122" i="105" s="1"/>
  <c r="J102" i="105"/>
  <c r="Y122" i="105"/>
  <c r="J112" i="105"/>
  <c r="Y200" i="105"/>
  <c r="AC62" i="82" l="1"/>
  <c r="AE142" i="105"/>
  <c r="S182" i="105"/>
  <c r="Y140" i="105"/>
  <c r="Y206" i="105" s="1"/>
  <c r="AF62" i="82"/>
  <c r="Y174" i="105"/>
  <c r="Y65" i="82" s="1"/>
  <c r="AE206" i="105"/>
  <c r="AE207" i="105"/>
  <c r="AE74" i="82" s="1"/>
  <c r="H105" i="105"/>
  <c r="AF207" i="105"/>
  <c r="AF74" i="82" s="1"/>
  <c r="H116" i="105"/>
  <c r="J148" i="105"/>
  <c r="Z174" i="105"/>
  <c r="Z65" i="82" s="1"/>
  <c r="Z146" i="105"/>
  <c r="Z63" i="82" s="1"/>
  <c r="Z206" i="105"/>
  <c r="Z62" i="82"/>
  <c r="H423" i="41"/>
  <c r="H433" i="41"/>
  <c r="A4" i="41" s="1"/>
  <c r="Z207" i="105"/>
  <c r="Z74" i="82" s="1"/>
  <c r="H106" i="105"/>
  <c r="V140" i="105"/>
  <c r="V62" i="82" s="1"/>
  <c r="V174" i="105"/>
  <c r="V65" i="82" s="1"/>
  <c r="V146" i="105"/>
  <c r="V63" i="82" s="1"/>
  <c r="U174" i="105"/>
  <c r="U65" i="82" s="1"/>
  <c r="U146" i="105"/>
  <c r="U63" i="82" s="1"/>
  <c r="U140" i="105"/>
  <c r="U62" i="82" s="1"/>
  <c r="Z148" i="105"/>
  <c r="Z142" i="105"/>
  <c r="T146" i="105"/>
  <c r="T63" i="82" s="1"/>
  <c r="T140" i="105"/>
  <c r="T174" i="105"/>
  <c r="T65" i="82" s="1"/>
  <c r="AF142" i="105"/>
  <c r="AF148" i="105"/>
  <c r="AA140" i="105"/>
  <c r="AA206" i="105" s="1"/>
  <c r="AA174" i="105"/>
  <c r="AA65" i="82" s="1"/>
  <c r="AA146" i="105"/>
  <c r="AA63" i="82" s="1"/>
  <c r="X146" i="105"/>
  <c r="X63" i="82" s="1"/>
  <c r="X174" i="105"/>
  <c r="X65" i="82" s="1"/>
  <c r="X140" i="105"/>
  <c r="X62" i="82" s="1"/>
  <c r="AC142" i="105"/>
  <c r="AC148" i="105"/>
  <c r="O148" i="105"/>
  <c r="O142" i="105"/>
  <c r="O147" i="105"/>
  <c r="O174" i="105"/>
  <c r="O65" i="82" s="1"/>
  <c r="O146" i="105"/>
  <c r="O63" i="82" s="1"/>
  <c r="O140" i="105"/>
  <c r="AC207" i="105"/>
  <c r="AC74" i="82" s="1"/>
  <c r="M142" i="105"/>
  <c r="H115" i="105"/>
  <c r="M141" i="105"/>
  <c r="N122" i="105"/>
  <c r="N142" i="105" s="1"/>
  <c r="N147" i="105"/>
  <c r="N141" i="105"/>
  <c r="J141" i="105"/>
  <c r="J147" i="105"/>
  <c r="J174" i="105"/>
  <c r="J65" i="82" s="1"/>
  <c r="J146" i="105"/>
  <c r="J63" i="82" s="1"/>
  <c r="J140" i="105"/>
  <c r="X117" i="105"/>
  <c r="X122" i="105" s="1"/>
  <c r="X195" i="105"/>
  <c r="X200" i="105" s="1"/>
  <c r="AA117" i="105"/>
  <c r="AA122" i="105" s="1"/>
  <c r="AA195" i="105"/>
  <c r="AA200" i="105" s="1"/>
  <c r="T107" i="105"/>
  <c r="T112" i="105" s="1"/>
  <c r="T184" i="105"/>
  <c r="T189" i="105" s="1"/>
  <c r="Y148" i="105"/>
  <c r="Y142" i="105"/>
  <c r="V195" i="105"/>
  <c r="V200" i="105" s="1"/>
  <c r="V117" i="105"/>
  <c r="V122" i="105" s="1"/>
  <c r="M207" i="105"/>
  <c r="M74" i="82" s="1"/>
  <c r="M206" i="105"/>
  <c r="M73" i="82" s="1"/>
  <c r="M62" i="82"/>
  <c r="T195" i="105"/>
  <c r="T200" i="105" s="1"/>
  <c r="T117" i="105"/>
  <c r="T122" i="105" s="1"/>
  <c r="V184" i="105"/>
  <c r="V189" i="105" s="1"/>
  <c r="V107" i="105"/>
  <c r="V112" i="105" s="1"/>
  <c r="U184" i="105"/>
  <c r="U189" i="105" s="1"/>
  <c r="U107" i="105"/>
  <c r="U112" i="105" s="1"/>
  <c r="U117" i="105"/>
  <c r="U122" i="105" s="1"/>
  <c r="U195" i="105"/>
  <c r="U200" i="105" s="1"/>
  <c r="S112" i="65"/>
  <c r="N62" i="82"/>
  <c r="N206" i="105"/>
  <c r="N73" i="82" s="1"/>
  <c r="N207" i="105"/>
  <c r="N74" i="82" s="1"/>
  <c r="V207" i="105" l="1"/>
  <c r="V74" i="82" s="1"/>
  <c r="Y207" i="105"/>
  <c r="Y74" i="82" s="1"/>
  <c r="Y62" i="82"/>
  <c r="X207" i="105"/>
  <c r="X74" i="82" s="1"/>
  <c r="V206" i="105"/>
  <c r="V73" i="82" s="1"/>
  <c r="U206" i="105"/>
  <c r="U73" i="82" s="1"/>
  <c r="U207" i="105"/>
  <c r="U74" i="82" s="1"/>
  <c r="AA62" i="82"/>
  <c r="AA207" i="105"/>
  <c r="AA74" i="82" s="1"/>
  <c r="X206" i="105"/>
  <c r="J55" i="55"/>
  <c r="N148" i="105"/>
  <c r="T206" i="105"/>
  <c r="T73" i="82" s="1"/>
  <c r="U148" i="105"/>
  <c r="U142" i="105"/>
  <c r="U147" i="105"/>
  <c r="U141" i="105"/>
  <c r="AA142" i="105"/>
  <c r="AA148" i="105"/>
  <c r="V148" i="105"/>
  <c r="V142" i="105"/>
  <c r="T142" i="105"/>
  <c r="T148" i="105"/>
  <c r="X142" i="105"/>
  <c r="X148" i="105"/>
  <c r="V147" i="105"/>
  <c r="V141" i="105"/>
  <c r="T141" i="105"/>
  <c r="T147" i="105"/>
  <c r="O207" i="105"/>
  <c r="O74" i="82" s="1"/>
  <c r="O206" i="105"/>
  <c r="O73" i="82" s="1"/>
  <c r="O62" i="82"/>
  <c r="T207" i="105"/>
  <c r="T74" i="82" s="1"/>
  <c r="T62" i="82"/>
  <c r="J62" i="82"/>
  <c r="J207" i="105"/>
  <c r="J74" i="82" s="1"/>
  <c r="J206" i="105"/>
  <c r="J73" i="82" s="1"/>
  <c r="S34" i="82"/>
  <c r="S123" i="65"/>
  <c r="S141" i="65"/>
  <c r="S170" i="65" s="1"/>
  <c r="S132" i="65"/>
  <c r="S161" i="65" s="1"/>
  <c r="S152" i="65" l="1"/>
  <c r="H178" i="65" a="1"/>
  <c r="H178" i="65" s="1"/>
  <c r="S66" i="105"/>
  <c r="J50" i="106" a="1"/>
  <c r="S75" i="105"/>
  <c r="J84" i="106" a="1"/>
  <c r="J81" i="106" l="1"/>
  <c r="N78" i="106"/>
  <c r="K69" i="106"/>
  <c r="N61" i="106"/>
  <c r="M66" i="106"/>
  <c r="N75" i="106"/>
  <c r="P53" i="106"/>
  <c r="N80" i="106"/>
  <c r="P61" i="106"/>
  <c r="O60" i="106"/>
  <c r="K58" i="106"/>
  <c r="N64" i="106"/>
  <c r="J77" i="106"/>
  <c r="J51" i="106"/>
  <c r="M61" i="106"/>
  <c r="K75" i="106"/>
  <c r="M55" i="106"/>
  <c r="N63" i="106"/>
  <c r="N76" i="106"/>
  <c r="P81" i="106"/>
  <c r="O80" i="106"/>
  <c r="O73" i="106"/>
  <c r="J79" i="106"/>
  <c r="K53" i="106"/>
  <c r="O62" i="106"/>
  <c r="K61" i="106"/>
  <c r="J63" i="106"/>
  <c r="O58" i="106"/>
  <c r="P57" i="106"/>
  <c r="P80" i="106"/>
  <c r="J68" i="106"/>
  <c r="O79" i="106"/>
  <c r="N57" i="106"/>
  <c r="M64" i="106"/>
  <c r="M71" i="106"/>
  <c r="P79" i="106"/>
  <c r="N60" i="106"/>
  <c r="L75" i="106"/>
  <c r="M73" i="106"/>
  <c r="O51" i="106"/>
  <c r="P67" i="106"/>
  <c r="K77" i="106"/>
  <c r="O67" i="106"/>
  <c r="P65" i="106"/>
  <c r="P77" i="106"/>
  <c r="P64" i="106"/>
  <c r="L57" i="106"/>
  <c r="K59" i="106"/>
  <c r="M56" i="106"/>
  <c r="O77" i="106"/>
  <c r="K68" i="106"/>
  <c r="J67" i="106"/>
  <c r="N69" i="106"/>
  <c r="P70" i="106"/>
  <c r="K63" i="106"/>
  <c r="N62" i="106"/>
  <c r="J65" i="106"/>
  <c r="K78" i="106"/>
  <c r="N74" i="106"/>
  <c r="M60" i="106"/>
  <c r="J64" i="106"/>
  <c r="J71" i="106"/>
  <c r="K54" i="106"/>
  <c r="L50" i="106"/>
  <c r="O65" i="106"/>
  <c r="L69" i="106"/>
  <c r="K60" i="106"/>
  <c r="P58" i="106"/>
  <c r="J53" i="106"/>
  <c r="N77" i="106"/>
  <c r="O75" i="106"/>
  <c r="K67" i="106"/>
  <c r="L62" i="106"/>
  <c r="L60" i="106"/>
  <c r="O78" i="106"/>
  <c r="P50" i="106"/>
  <c r="N70" i="106"/>
  <c r="M53" i="106"/>
  <c r="J58" i="106"/>
  <c r="P71" i="106"/>
  <c r="L76" i="106"/>
  <c r="K79" i="106"/>
  <c r="K81" i="106"/>
  <c r="N65" i="106"/>
  <c r="M52" i="106"/>
  <c r="J55" i="106"/>
  <c r="L64" i="106"/>
  <c r="L71" i="106"/>
  <c r="K74" i="106"/>
  <c r="L68" i="106"/>
  <c r="L58" i="106"/>
  <c r="M57" i="106"/>
  <c r="L70" i="106"/>
  <c r="K80" i="106"/>
  <c r="L65" i="106"/>
  <c r="K55" i="106"/>
  <c r="P56" i="106"/>
  <c r="K73" i="106"/>
  <c r="P59" i="106"/>
  <c r="M75" i="106"/>
  <c r="J70" i="106"/>
  <c r="L59" i="106"/>
  <c r="N66" i="106"/>
  <c r="P69" i="106"/>
  <c r="P78" i="106"/>
  <c r="L73" i="106"/>
  <c r="J59" i="106"/>
  <c r="M59" i="106"/>
  <c r="N67" i="106"/>
  <c r="O54" i="106"/>
  <c r="K51" i="106"/>
  <c r="O74" i="106"/>
  <c r="P73" i="106"/>
  <c r="N79" i="106"/>
  <c r="K56" i="106"/>
  <c r="P72" i="106"/>
  <c r="N59" i="106"/>
  <c r="M70" i="106"/>
  <c r="P54" i="106"/>
  <c r="O55" i="106"/>
  <c r="O59" i="106"/>
  <c r="M58" i="106"/>
  <c r="K65" i="106"/>
  <c r="N81" i="106"/>
  <c r="L55" i="106"/>
  <c r="L53" i="106"/>
  <c r="J74" i="106"/>
  <c r="L56" i="106"/>
  <c r="M81" i="106"/>
  <c r="M76" i="106"/>
  <c r="O71" i="106"/>
  <c r="J52" i="106"/>
  <c r="N50" i="106"/>
  <c r="L51" i="106"/>
  <c r="J75" i="106"/>
  <c r="M80" i="106"/>
  <c r="N56" i="106"/>
  <c r="P63" i="106"/>
  <c r="M67" i="106"/>
  <c r="L81" i="106"/>
  <c r="J73" i="106"/>
  <c r="M50" i="106"/>
  <c r="K62" i="106"/>
  <c r="P66" i="106"/>
  <c r="O69" i="106"/>
  <c r="M63" i="106"/>
  <c r="J78" i="106"/>
  <c r="M54" i="106"/>
  <c r="L66" i="106"/>
  <c r="P68" i="106"/>
  <c r="L74" i="106"/>
  <c r="L67" i="106"/>
  <c r="J54" i="106"/>
  <c r="O53" i="106"/>
  <c r="O81" i="106"/>
  <c r="K64" i="106"/>
  <c r="J62" i="106"/>
  <c r="O56" i="106"/>
  <c r="L72" i="106"/>
  <c r="M62" i="106"/>
  <c r="P74" i="106"/>
  <c r="O76" i="106"/>
  <c r="M74" i="106"/>
  <c r="P55" i="106"/>
  <c r="L63" i="106"/>
  <c r="O72" i="106"/>
  <c r="O63" i="106"/>
  <c r="M65" i="106"/>
  <c r="N55" i="106"/>
  <c r="L52" i="106"/>
  <c r="P62" i="106"/>
  <c r="O57" i="106"/>
  <c r="K66" i="106"/>
  <c r="K72" i="106"/>
  <c r="K57" i="106"/>
  <c r="J60" i="106"/>
  <c r="O68" i="106"/>
  <c r="L54" i="106"/>
  <c r="K76" i="106"/>
  <c r="P60" i="106"/>
  <c r="M51" i="106"/>
  <c r="J56" i="106"/>
  <c r="K71" i="106"/>
  <c r="O52" i="106"/>
  <c r="J61" i="106"/>
  <c r="P75" i="106"/>
  <c r="M69" i="106"/>
  <c r="J80" i="106"/>
  <c r="N52" i="106"/>
  <c r="J57" i="106"/>
  <c r="K52" i="106"/>
  <c r="K70" i="106"/>
  <c r="J66" i="106"/>
  <c r="M68" i="106"/>
  <c r="M79" i="106"/>
  <c r="O50" i="106"/>
  <c r="N68" i="106"/>
  <c r="N72" i="106"/>
  <c r="P76" i="106"/>
  <c r="L77" i="106"/>
  <c r="N58" i="106"/>
  <c r="J50" i="106"/>
  <c r="J72" i="106"/>
  <c r="N73" i="106"/>
  <c r="N53" i="106"/>
  <c r="L79" i="106"/>
  <c r="L78" i="106"/>
  <c r="M72" i="106"/>
  <c r="N54" i="106"/>
  <c r="J69" i="106"/>
  <c r="L61" i="106"/>
  <c r="O70" i="106"/>
  <c r="P51" i="106"/>
  <c r="M78" i="106"/>
  <c r="K50" i="106"/>
  <c r="O66" i="106"/>
  <c r="J76" i="106"/>
  <c r="N71" i="106"/>
  <c r="O64" i="106"/>
  <c r="N51" i="106"/>
  <c r="L80" i="106"/>
  <c r="M77" i="106"/>
  <c r="P52" i="106"/>
  <c r="O61" i="106"/>
  <c r="S184" i="105"/>
  <c r="S189" i="105" s="1"/>
  <c r="S107" i="105"/>
  <c r="J56" i="55"/>
  <c r="A4" i="65"/>
  <c r="S57" i="105"/>
  <c r="S97" i="105" s="1"/>
  <c r="J16" i="106" a="1"/>
  <c r="M91" i="106"/>
  <c r="N100" i="106"/>
  <c r="O94" i="106"/>
  <c r="O103" i="106"/>
  <c r="N115" i="106"/>
  <c r="M99" i="106"/>
  <c r="N108" i="106"/>
  <c r="M96" i="106"/>
  <c r="K112" i="106"/>
  <c r="M93" i="106"/>
  <c r="J109" i="106"/>
  <c r="P87" i="106"/>
  <c r="K91" i="106"/>
  <c r="P99" i="106"/>
  <c r="K89" i="106"/>
  <c r="L112" i="106"/>
  <c r="L91" i="106"/>
  <c r="L107" i="106"/>
  <c r="N86" i="106"/>
  <c r="O95" i="106"/>
  <c r="J95" i="106"/>
  <c r="M97" i="106"/>
  <c r="K108" i="106"/>
  <c r="P85" i="106"/>
  <c r="J98" i="106"/>
  <c r="L92" i="106"/>
  <c r="L98" i="106"/>
  <c r="K97" i="106"/>
  <c r="P84" i="106"/>
  <c r="P111" i="106"/>
  <c r="M110" i="106"/>
  <c r="N104" i="106"/>
  <c r="N99" i="106"/>
  <c r="K110" i="106"/>
  <c r="O104" i="106"/>
  <c r="K84" i="106"/>
  <c r="L94" i="106"/>
  <c r="O92" i="106"/>
  <c r="M84" i="106"/>
  <c r="O108" i="106"/>
  <c r="L109" i="106"/>
  <c r="K86" i="106"/>
  <c r="J113" i="106"/>
  <c r="N92" i="106"/>
  <c r="L93" i="106"/>
  <c r="K115" i="106"/>
  <c r="P109" i="106"/>
  <c r="J100" i="106"/>
  <c r="K113" i="106"/>
  <c r="J97" i="106"/>
  <c r="J101" i="106"/>
  <c r="O111" i="106"/>
  <c r="L97" i="106"/>
  <c r="N96" i="106"/>
  <c r="K95" i="106"/>
  <c r="M109" i="106"/>
  <c r="O96" i="106"/>
  <c r="M108" i="106"/>
  <c r="N105" i="106"/>
  <c r="M101" i="106"/>
  <c r="M115" i="106"/>
  <c r="L101" i="106"/>
  <c r="J96" i="106"/>
  <c r="P110" i="106"/>
  <c r="K104" i="106"/>
  <c r="O93" i="106"/>
  <c r="N97" i="106"/>
  <c r="P108" i="106"/>
  <c r="M88" i="106"/>
  <c r="O97" i="106"/>
  <c r="K109" i="106"/>
  <c r="J114" i="106"/>
  <c r="O101" i="106"/>
  <c r="L90" i="106"/>
  <c r="N85" i="106"/>
  <c r="O86" i="106"/>
  <c r="N106" i="106"/>
  <c r="M106" i="106"/>
  <c r="P86" i="106"/>
  <c r="O105" i="106"/>
  <c r="M113" i="106"/>
  <c r="L87" i="106"/>
  <c r="K103" i="106"/>
  <c r="N90" i="106"/>
  <c r="J110" i="106"/>
  <c r="J90" i="106"/>
  <c r="P101" i="106"/>
  <c r="J89" i="106"/>
  <c r="J112" i="106"/>
  <c r="J102" i="106"/>
  <c r="O88" i="106"/>
  <c r="O89" i="106"/>
  <c r="O109" i="106"/>
  <c r="P105" i="106"/>
  <c r="L102" i="106"/>
  <c r="L106" i="106"/>
  <c r="M90" i="106"/>
  <c r="L111" i="106"/>
  <c r="J108" i="106"/>
  <c r="M89" i="106"/>
  <c r="L108" i="106"/>
  <c r="L115" i="106"/>
  <c r="M85" i="106"/>
  <c r="O98" i="106"/>
  <c r="L96" i="106"/>
  <c r="P98" i="106"/>
  <c r="P96" i="106"/>
  <c r="K99" i="106"/>
  <c r="J105" i="106"/>
  <c r="N110" i="106"/>
  <c r="K100" i="106"/>
  <c r="J106" i="106"/>
  <c r="P94" i="106"/>
  <c r="N91" i="106"/>
  <c r="N112" i="106"/>
  <c r="L88" i="106"/>
  <c r="O107" i="106"/>
  <c r="L95" i="106"/>
  <c r="P97" i="106"/>
  <c r="M95" i="106"/>
  <c r="K94" i="106"/>
  <c r="O115" i="106"/>
  <c r="M87" i="106"/>
  <c r="K85" i="106"/>
  <c r="O87" i="106"/>
  <c r="P89" i="106"/>
  <c r="M103" i="106"/>
  <c r="L113" i="106"/>
  <c r="M111" i="106"/>
  <c r="P102" i="106"/>
  <c r="N114" i="106"/>
  <c r="J94" i="106"/>
  <c r="N93" i="106"/>
  <c r="P91" i="106"/>
  <c r="N109" i="106"/>
  <c r="L86" i="106"/>
  <c r="N94" i="106"/>
  <c r="J103" i="106"/>
  <c r="J93" i="106"/>
  <c r="P112" i="106"/>
  <c r="L100" i="106"/>
  <c r="P90" i="106"/>
  <c r="M112" i="106"/>
  <c r="J111" i="106"/>
  <c r="L89" i="106"/>
  <c r="N84" i="106"/>
  <c r="K114" i="106"/>
  <c r="N103" i="106"/>
  <c r="M86" i="106"/>
  <c r="P103" i="106"/>
  <c r="P92" i="106"/>
  <c r="K101" i="106"/>
  <c r="L105" i="106"/>
  <c r="J115" i="106"/>
  <c r="K98" i="106"/>
  <c r="K105" i="106"/>
  <c r="K87" i="106"/>
  <c r="M100" i="106"/>
  <c r="O110" i="106"/>
  <c r="P115" i="106"/>
  <c r="N101" i="106"/>
  <c r="O106" i="106"/>
  <c r="O112" i="106"/>
  <c r="P114" i="106"/>
  <c r="K107" i="106"/>
  <c r="L85" i="106"/>
  <c r="P100" i="106"/>
  <c r="M102" i="106"/>
  <c r="K96" i="106"/>
  <c r="O85" i="106"/>
  <c r="M104" i="106"/>
  <c r="N98" i="106"/>
  <c r="L110" i="106"/>
  <c r="J92" i="106"/>
  <c r="P106" i="106"/>
  <c r="J84" i="106"/>
  <c r="M114" i="106"/>
  <c r="L104" i="106"/>
  <c r="M94" i="106"/>
  <c r="L84" i="106"/>
  <c r="K88" i="106"/>
  <c r="J86" i="106"/>
  <c r="N88" i="106"/>
  <c r="N113" i="106"/>
  <c r="P104" i="106"/>
  <c r="O99" i="106"/>
  <c r="K93" i="106"/>
  <c r="K102" i="106"/>
  <c r="J85" i="106"/>
  <c r="J104" i="106"/>
  <c r="J107" i="106"/>
  <c r="K90" i="106"/>
  <c r="P88" i="106"/>
  <c r="O113" i="106"/>
  <c r="P95" i="106"/>
  <c r="J99" i="106"/>
  <c r="M105" i="106"/>
  <c r="P107" i="106"/>
  <c r="L99" i="106"/>
  <c r="L114" i="106"/>
  <c r="M107" i="106"/>
  <c r="N102" i="106"/>
  <c r="O102" i="106"/>
  <c r="O90" i="106"/>
  <c r="M98" i="106"/>
  <c r="P113" i="106"/>
  <c r="O100" i="106"/>
  <c r="O114" i="106"/>
  <c r="L103" i="106"/>
  <c r="N111" i="106"/>
  <c r="O91" i="106"/>
  <c r="M92" i="106"/>
  <c r="O84" i="106"/>
  <c r="N107" i="106"/>
  <c r="P93" i="106"/>
  <c r="N89" i="106"/>
  <c r="K111" i="106"/>
  <c r="N95" i="106"/>
  <c r="J91" i="106"/>
  <c r="J87" i="106"/>
  <c r="K92" i="106"/>
  <c r="K106" i="106"/>
  <c r="J88" i="106"/>
  <c r="N87" i="106"/>
  <c r="S195" i="105"/>
  <c r="S200" i="105" s="1"/>
  <c r="S117" i="105"/>
  <c r="S112" i="105" l="1"/>
  <c r="H107" i="105"/>
  <c r="H112" i="105" s="1"/>
  <c r="S122" i="105"/>
  <c r="H117" i="105"/>
  <c r="H122" i="105" s="1"/>
  <c r="S102" i="105"/>
  <c r="H97" i="105"/>
  <c r="H102" i="105" s="1"/>
  <c r="P31" i="106"/>
  <c r="J32" i="106"/>
  <c r="L39" i="106"/>
  <c r="M22" i="106"/>
  <c r="N43" i="106"/>
  <c r="J45" i="106"/>
  <c r="J39" i="106"/>
  <c r="M41" i="106"/>
  <c r="K29" i="106"/>
  <c r="M42" i="106"/>
  <c r="K41" i="106"/>
  <c r="N29" i="106"/>
  <c r="N30" i="106"/>
  <c r="J20" i="106"/>
  <c r="O22" i="106"/>
  <c r="M24" i="106"/>
  <c r="M21" i="106"/>
  <c r="P38" i="106"/>
  <c r="P47" i="106"/>
  <c r="K24" i="106"/>
  <c r="O43" i="106"/>
  <c r="J29" i="106"/>
  <c r="N32" i="106"/>
  <c r="P40" i="106"/>
  <c r="N18" i="106"/>
  <c r="P17" i="106"/>
  <c r="L46" i="106"/>
  <c r="N23" i="106"/>
  <c r="P35" i="106"/>
  <c r="P44" i="106"/>
  <c r="M26" i="106"/>
  <c r="M25" i="106"/>
  <c r="K36" i="106"/>
  <c r="K34" i="106"/>
  <c r="M40" i="106"/>
  <c r="K43" i="106"/>
  <c r="K30" i="106"/>
  <c r="K44" i="106"/>
  <c r="O17" i="106"/>
  <c r="N36" i="106"/>
  <c r="K42" i="106"/>
  <c r="M19" i="106"/>
  <c r="N40" i="106"/>
  <c r="O44" i="106"/>
  <c r="M30" i="106"/>
  <c r="J36" i="106"/>
  <c r="N22" i="106"/>
  <c r="O33" i="106"/>
  <c r="O23" i="106"/>
  <c r="N42" i="106"/>
  <c r="L30" i="106"/>
  <c r="N41" i="106"/>
  <c r="P43" i="106"/>
  <c r="L17" i="106"/>
  <c r="L38" i="106"/>
  <c r="L36" i="106"/>
  <c r="P37" i="106"/>
  <c r="M28" i="106"/>
  <c r="O40" i="106"/>
  <c r="L35" i="106"/>
  <c r="P42" i="106"/>
  <c r="L22" i="106"/>
  <c r="J37" i="106"/>
  <c r="O24" i="106"/>
  <c r="K21" i="106"/>
  <c r="L33" i="106"/>
  <c r="J34" i="106"/>
  <c r="K33" i="106"/>
  <c r="O47" i="106"/>
  <c r="K26" i="106"/>
  <c r="P34" i="106"/>
  <c r="P39" i="106"/>
  <c r="O45" i="106"/>
  <c r="K45" i="106"/>
  <c r="J41" i="106"/>
  <c r="K38" i="106"/>
  <c r="O26" i="106"/>
  <c r="K40" i="106"/>
  <c r="K27" i="106"/>
  <c r="L40" i="106"/>
  <c r="O30" i="106"/>
  <c r="O34" i="106"/>
  <c r="L29" i="106"/>
  <c r="L45" i="106"/>
  <c r="N16" i="106"/>
  <c r="N34" i="106"/>
  <c r="O38" i="106"/>
  <c r="P18" i="106"/>
  <c r="N21" i="106"/>
  <c r="L26" i="106"/>
  <c r="J27" i="106"/>
  <c r="L32" i="106"/>
  <c r="P24" i="106"/>
  <c r="K17" i="106"/>
  <c r="L18" i="106"/>
  <c r="P22" i="106"/>
  <c r="M17" i="106"/>
  <c r="O25" i="106"/>
  <c r="J18" i="106"/>
  <c r="P16" i="106"/>
  <c r="J17" i="106"/>
  <c r="J25" i="106"/>
  <c r="P29" i="106"/>
  <c r="N45" i="106"/>
  <c r="O19" i="106"/>
  <c r="O41" i="106"/>
  <c r="J26" i="106"/>
  <c r="M32" i="106"/>
  <c r="N38" i="106"/>
  <c r="O32" i="106"/>
  <c r="L47" i="106"/>
  <c r="O16" i="106"/>
  <c r="M33" i="106"/>
  <c r="M44" i="106"/>
  <c r="J28" i="106"/>
  <c r="M27" i="106"/>
  <c r="P32" i="106"/>
  <c r="M38" i="106"/>
  <c r="O42" i="106"/>
  <c r="J31" i="106"/>
  <c r="K35" i="106"/>
  <c r="K16" i="106"/>
  <c r="L23" i="106"/>
  <c r="O39" i="106"/>
  <c r="N35" i="106"/>
  <c r="K20" i="106"/>
  <c r="N28" i="106"/>
  <c r="J21" i="106"/>
  <c r="N17" i="106"/>
  <c r="M45" i="106"/>
  <c r="N19" i="106"/>
  <c r="L31" i="106"/>
  <c r="N39" i="106"/>
  <c r="L34" i="106"/>
  <c r="P19" i="106"/>
  <c r="N44" i="106"/>
  <c r="J33" i="106"/>
  <c r="J47" i="106"/>
  <c r="L21" i="106"/>
  <c r="N46" i="106"/>
  <c r="M37" i="106"/>
  <c r="J42" i="106"/>
  <c r="O29" i="106"/>
  <c r="M23" i="106"/>
  <c r="J44" i="106"/>
  <c r="N31" i="106"/>
  <c r="K39" i="106"/>
  <c r="L27" i="106"/>
  <c r="L28" i="106"/>
  <c r="K47" i="106"/>
  <c r="P45" i="106"/>
  <c r="L25" i="106"/>
  <c r="L44" i="106"/>
  <c r="N37" i="106"/>
  <c r="P41" i="106"/>
  <c r="L16" i="106"/>
  <c r="J46" i="106"/>
  <c r="K19" i="106"/>
  <c r="K31" i="106"/>
  <c r="N26" i="106"/>
  <c r="J30" i="106"/>
  <c r="K37" i="106"/>
  <c r="M29" i="106"/>
  <c r="K28" i="106"/>
  <c r="J23" i="106"/>
  <c r="O46" i="106"/>
  <c r="J19" i="106"/>
  <c r="N20" i="106"/>
  <c r="N25" i="106"/>
  <c r="O36" i="106"/>
  <c r="M35" i="106"/>
  <c r="N24" i="106"/>
  <c r="L19" i="106"/>
  <c r="L42" i="106"/>
  <c r="J35" i="106"/>
  <c r="N27" i="106"/>
  <c r="M16" i="106"/>
  <c r="P46" i="106"/>
  <c r="M43" i="106"/>
  <c r="K22" i="106"/>
  <c r="M46" i="106"/>
  <c r="J43" i="106"/>
  <c r="J24" i="106"/>
  <c r="J16" i="106"/>
  <c r="P27" i="106"/>
  <c r="M36" i="106"/>
  <c r="L37" i="106"/>
  <c r="J22" i="106"/>
  <c r="M31" i="106"/>
  <c r="M47" i="106"/>
  <c r="M34" i="106"/>
  <c r="K25" i="106"/>
  <c r="O37" i="106"/>
  <c r="K23" i="106"/>
  <c r="L20" i="106"/>
  <c r="N47" i="106"/>
  <c r="M18" i="106"/>
  <c r="P26" i="106"/>
  <c r="O35" i="106"/>
  <c r="O27" i="106"/>
  <c r="P25" i="106"/>
  <c r="J40" i="106"/>
  <c r="M20" i="106"/>
  <c r="O20" i="106"/>
  <c r="P20" i="106"/>
  <c r="P21" i="106"/>
  <c r="L24" i="106"/>
  <c r="K32" i="106"/>
  <c r="J38" i="106"/>
  <c r="P23" i="106"/>
  <c r="O28" i="106"/>
  <c r="P33" i="106"/>
  <c r="K18" i="106"/>
  <c r="O18" i="106"/>
  <c r="K46" i="106"/>
  <c r="O21" i="106"/>
  <c r="M39" i="106"/>
  <c r="P28" i="106"/>
  <c r="P30" i="106"/>
  <c r="P36" i="106"/>
  <c r="O31" i="106"/>
  <c r="L41" i="106"/>
  <c r="L43" i="106"/>
  <c r="N33" i="106"/>
  <c r="H132" i="105" l="1"/>
  <c r="H133" i="105" s="1"/>
  <c r="H135" i="105" s="1"/>
  <c r="S174" i="105"/>
  <c r="S65" i="82" s="1"/>
  <c r="S140" i="105"/>
  <c r="S146" i="105"/>
  <c r="S63" i="82" s="1"/>
  <c r="S148" i="105"/>
  <c r="S142" i="105"/>
  <c r="S147" i="105"/>
  <c r="S141" i="105"/>
  <c r="H119" i="106" a="1"/>
  <c r="H119" i="106" s="1"/>
  <c r="A4" i="106" s="1"/>
  <c r="H136" i="105" l="1"/>
  <c r="S206" i="105"/>
  <c r="S207" i="105"/>
  <c r="S74" i="82" s="1"/>
  <c r="S62" i="82"/>
  <c r="J58" i="55"/>
  <c r="S73" i="82" l="1"/>
  <c r="H78" i="82" s="1" a="1"/>
  <c r="H78" i="82" s="1"/>
  <c r="H211" i="105" a="1"/>
  <c r="H211" i="105" s="1"/>
  <c r="A4" i="105" l="1"/>
  <c r="J57" i="55"/>
  <c r="A4" i="82"/>
  <c r="J59" i="55"/>
  <c r="J60" i="55" l="1"/>
  <c r="A4" i="55" s="1"/>
</calcChain>
</file>

<file path=xl/sharedStrings.xml><?xml version="1.0" encoding="utf-8"?>
<sst xmlns="http://schemas.openxmlformats.org/spreadsheetml/2006/main" count="7946" uniqueCount="1167">
  <si>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</si>
  <si>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</si>
  <si>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</si>
  <si>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</si>
  <si>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</si>
  <si>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</si>
  <si>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</si>
  <si>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</si>
  <si>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</si>
  <si>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</si>
  <si>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</si>
  <si>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</si>
  <si>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</si>
  <si>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</si>
  <si>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</si>
  <si>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</si>
  <si>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</si>
  <si>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</si>
  <si>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</si>
  <si>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</si>
  <si>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</si>
  <si>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</si>
  <si>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</si>
  <si>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</si>
  <si>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</si>
  <si>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</si>
  <si>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</si>
  <si>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</si>
  <si>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</si>
  <si>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</si>
  <si>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</si>
  <si>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</si>
  <si>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</si>
  <si>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</si>
  <si>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</si>
  <si>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</si>
  <si>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</si>
  <si>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</si>
  <si>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</si>
  <si>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</si>
  <si>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</si>
  <si>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</si>
  <si>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</si>
  <si>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</si>
  <si>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</si>
  <si>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</si>
  <si>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</si>
  <si>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</si>
  <si>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</si>
  <si>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</si>
  <si>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</si>
  <si>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</si>
  <si>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</si>
  <si>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</si>
  <si>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</si>
  <si>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</si>
  <si>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</si>
  <si>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</si>
  <si>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</si>
  <si>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</si>
  <si>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</si>
  <si>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</si>
  <si>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</si>
  <si>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</si>
  <si>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</si>
  <si>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</si>
  <si>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</si>
  <si>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</si>
  <si>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</si>
  <si>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</si>
  <si>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</si>
  <si>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</si>
  <si>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</si>
  <si>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</si>
  <si>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</si>
  <si>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</si>
  <si>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</si>
  <si>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</si>
  <si>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</si>
  <si>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</si>
  <si>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</si>
  <si>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</si>
  <si>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</si>
  <si>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</si>
  <si>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</si>
  <si>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</si>
  <si>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</si>
  <si>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</si>
  <si>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</si>
  <si>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</si>
  <si>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</si>
  <si>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</si>
  <si>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</si>
  <si>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</si>
  <si>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</si>
  <si>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</si>
  <si>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</si>
  <si>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</si>
  <si>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</si>
  <si>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</si>
  <si>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</si>
  <si>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</si>
  <si>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</si>
  <si>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</si>
  <si>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</si>
  <si>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</si>
  <si>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</si>
  <si>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</si>
  <si>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</si>
  <si>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</si>
  <si>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</si>
  <si>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</si>
  <si>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</si>
  <si>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</si>
  <si>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</si>
  <si>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</si>
  <si>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</si>
  <si>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</si>
  <si>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</si>
  <si>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</si>
  <si>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</si>
  <si>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</si>
  <si>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</si>
  <si>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</si>
  <si>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</si>
  <si>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</si>
  <si>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</si>
  <si>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</si>
  <si>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</si>
  <si>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</si>
  <si>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</si>
  <si>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</si>
  <si>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</si>
  <si>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</si>
  <si>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</si>
  <si>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</si>
  <si>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</si>
  <si>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</si>
  <si>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</si>
  <si>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</si>
  <si>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</si>
  <si>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</si>
  <si>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</si>
  <si>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</si>
  <si>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</si>
  <si>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</si>
  <si>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</si>
  <si>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</si>
  <si>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</si>
  <si>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</si>
  <si>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</si>
  <si>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</si>
  <si>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</si>
  <si>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</si>
  <si>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</si>
  <si>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</si>
  <si>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</si>
  <si>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</si>
  <si>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</si>
  <si>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</si>
  <si>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</si>
  <si>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</si>
  <si>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</si>
  <si>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</si>
  <si>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</si>
  <si>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</si>
  <si>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</si>
  <si>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</si>
  <si>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</si>
  <si>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</si>
  <si>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</si>
  <si>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</si>
  <si>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</si>
  <si>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</si>
  <si>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</si>
  <si>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</si>
  <si>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</si>
  <si>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</si>
  <si>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</si>
  <si>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</si>
  <si>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</si>
  <si>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</si>
  <si>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</si>
  <si>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</si>
  <si>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</si>
  <si>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</si>
  <si>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</si>
  <si>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</si>
  <si>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</si>
  <si>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</si>
  <si>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</si>
  <si>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</si>
  <si>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</si>
  <si>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</si>
  <si>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</si>
  <si>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</si>
  <si>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</si>
  <si>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</si>
  <si>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</si>
  <si>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</si>
  <si>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</si>
  <si>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</si>
  <si>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</si>
  <si>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</si>
  <si>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</si>
  <si>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</si>
  <si>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</si>
  <si>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</si>
  <si>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</si>
  <si>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</si>
  <si>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</si>
  <si>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</si>
  <si>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</si>
  <si>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</si>
  <si>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</si>
  <si>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</si>
  <si>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</si>
  <si>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</si>
  <si>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</si>
  <si>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</si>
  <si>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</si>
  <si>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</si>
  <si>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</si>
  <si>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</si>
  <si>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</si>
  <si>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</si>
  <si>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</si>
  <si>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</si>
  <si>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</si>
  <si>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</si>
  <si>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</si>
  <si>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</si>
  <si>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</si>
  <si>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</si>
  <si>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</si>
  <si>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</si>
  <si>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</si>
  <si>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</si>
  <si>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</si>
  <si>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</si>
  <si>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</si>
  <si>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</si>
  <si>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</si>
  <si>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</si>
  <si>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</si>
  <si>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</si>
  <si>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</si>
  <si>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</si>
  <si>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</si>
  <si>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</si>
  <si>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</si>
  <si>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</si>
  <si>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</si>
  <si>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</si>
  <si>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</si>
  <si>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</si>
  <si>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</si>
  <si>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</si>
  <si>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</si>
  <si>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</si>
  <si>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</si>
  <si>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</si>
  <si>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</si>
  <si>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</si>
  <si>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</si>
  <si>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</si>
  <si>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</si>
  <si>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</si>
  <si>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</si>
  <si>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</si>
  <si>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</si>
  <si>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</si>
  <si>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</si>
  <si>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</si>
  <si>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</si>
  <si>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</si>
  <si>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</si>
  <si>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</si>
  <si>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</si>
  <si>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</si>
  <si>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</si>
  <si>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</si>
  <si>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</si>
  <si>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</si>
  <si>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</si>
  <si>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</si>
  <si>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</si>
  <si>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</si>
  <si>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</si>
  <si>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</si>
  <si>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</si>
  <si>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</si>
  <si>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</si>
  <si>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</si>
  <si>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</si>
  <si>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</si>
  <si>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</si>
  <si>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</si>
  <si>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</si>
  <si>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</si>
  <si>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</si>
  <si>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</si>
  <si>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</si>
  <si>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</si>
  <si>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</si>
  <si>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</si>
  <si>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</si>
  <si>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</si>
  <si>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</si>
  <si>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</si>
  <si>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</si>
  <si>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</si>
  <si>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</si>
  <si>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</si>
  <si>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</si>
  <si>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</si>
  <si>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</si>
  <si>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</si>
  <si>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</si>
  <si>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</si>
  <si>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</si>
  <si>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</si>
  <si>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</si>
  <si>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</si>
  <si>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</si>
  <si>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</si>
  <si>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</si>
  <si>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</si>
  <si>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</si>
  <si>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</si>
  <si>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</si>
  <si>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</si>
  <si>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</si>
  <si>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</si>
  <si>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</si>
  <si>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</si>
  <si>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</si>
  <si>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</si>
  <si>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</si>
  <si>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</si>
  <si>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</si>
  <si>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</si>
  <si>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</si>
  <si>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</si>
  <si>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</si>
  <si>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</si>
  <si>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</si>
  <si>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</si>
  <si>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</si>
  <si>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</si>
  <si>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</si>
  <si>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</si>
  <si>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</si>
  <si>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</si>
  <si>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</si>
  <si>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</si>
  <si>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</si>
  <si>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</si>
  <si>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</si>
  <si>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</si>
  <si>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</si>
  <si>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</si>
  <si>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</si>
  <si>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</si>
  <si>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</si>
  <si>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</si>
  <si>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</si>
  <si>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</si>
  <si>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</si>
  <si>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</si>
  <si>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</si>
  <si>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</si>
  <si>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</si>
  <si>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</si>
  <si>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</si>
  <si>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</si>
  <si>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</si>
  <si>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</si>
  <si>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</si>
  <si>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</si>
  <si>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</si>
  <si>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</si>
  <si>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</si>
  <si>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</si>
  <si>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</si>
  <si>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</si>
  <si>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</si>
  <si>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</si>
  <si>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</si>
  <si>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</si>
  <si>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</si>
  <si>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</si>
  <si>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</si>
  <si>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</si>
  <si>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</si>
  <si>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</si>
  <si>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</si>
  <si>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</si>
  <si>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</si>
  <si>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</si>
  <si>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</si>
  <si>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</si>
  <si>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</si>
  <si>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</si>
  <si>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</si>
  <si>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</si>
  <si>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</si>
  <si>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</si>
  <si>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</si>
  <si>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</si>
  <si>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</si>
  <si>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</si>
  <si>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</si>
  <si>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</si>
  <si>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</si>
  <si>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</si>
  <si>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</si>
  <si>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</si>
  <si>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</si>
  <si>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</si>
  <si>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</si>
  <si>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</si>
  <si>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</si>
  <si>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</si>
  <si>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</si>
  <si>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</si>
  <si>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</si>
  <si>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</si>
  <si>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</si>
  <si>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</si>
  <si>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</si>
  <si>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</si>
  <si>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</si>
  <si>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</si>
  <si>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</si>
  <si>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</si>
  <si>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</si>
  <si>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</si>
  <si>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</si>
  <si>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</si>
  <si>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</si>
  <si>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</si>
  <si>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</si>
  <si>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</si>
  <si>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</si>
  <si>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</si>
  <si>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</si>
  <si>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</si>
  <si>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</si>
  <si>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</si>
  <si>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</si>
  <si>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</si>
  <si>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</si>
  <si>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</si>
  <si>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</si>
  <si>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</si>
  <si>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</si>
  <si>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</si>
  <si>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</si>
  <si>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</si>
  <si>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</si>
  <si>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</si>
  <si>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</si>
  <si>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</si>
  <si>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</si>
  <si>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</si>
  <si>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</si>
  <si>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</si>
  <si>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</si>
  <si>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</si>
  <si>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</si>
  <si>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</si>
  <si>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</si>
  <si>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</si>
  <si>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</si>
  <si>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</si>
  <si>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</si>
  <si>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</si>
  <si>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</si>
  <si>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</si>
  <si>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</si>
  <si>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</si>
  <si>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</si>
  <si>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</si>
  <si>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</si>
  <si>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</si>
  <si>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</si>
  <si>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</si>
  <si>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</si>
  <si>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</si>
  <si>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</si>
  <si>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</si>
  <si>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</si>
  <si>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</si>
  <si>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</si>
  <si>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</si>
  <si>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</si>
  <si>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</si>
  <si>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</si>
  <si>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</si>
  <si>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</si>
  <si>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</si>
  <si>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</si>
  <si>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</si>
  <si>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</si>
  <si>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</si>
  <si>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</si>
  <si>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</si>
  <si>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</si>
  <si>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</si>
  <si>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</si>
  <si>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</si>
  <si>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</si>
  <si>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</si>
  <si>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</si>
  <si>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</si>
  <si>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</si>
  <si>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</si>
  <si>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</si>
  <si>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</si>
  <si>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</si>
  <si>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</si>
  <si>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</si>
  <si>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</si>
  <si>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</si>
  <si>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</si>
  <si>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</si>
  <si>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</si>
  <si>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</si>
  <si>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</si>
  <si>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</si>
  <si>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</si>
  <si>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</si>
  <si>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</si>
  <si>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</si>
  <si>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</si>
  <si>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</si>
  <si>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</si>
  <si>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</si>
  <si>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</si>
  <si>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</si>
  <si>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</si>
  <si>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</si>
  <si>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</si>
  <si>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</si>
  <si>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</si>
  <si>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</si>
  <si>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</si>
  <si>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</si>
  <si>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</si>
  <si>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</si>
  <si>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</si>
  <si>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</si>
  <si>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</si>
  <si>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</si>
  <si>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</si>
  <si>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</si>
  <si>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</si>
  <si>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</si>
  <si>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</si>
  <si>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</si>
  <si>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</si>
  <si>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</si>
  <si>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</si>
  <si>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</si>
  <si>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</si>
  <si>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</si>
  <si>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</si>
  <si>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</si>
  <si>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</si>
  <si>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</si>
  <si>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</si>
  <si>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</si>
  <si>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</si>
  <si>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</si>
  <si>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</si>
  <si>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</si>
  <si>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</si>
  <si>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</si>
  <si>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</si>
  <si>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</si>
  <si>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</si>
  <si>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</si>
  <si>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</si>
  <si>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</si>
  <si>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</si>
  <si>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</si>
  <si>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</si>
  <si>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</si>
  <si>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</si>
  <si>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</si>
  <si>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</si>
  <si>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</si>
  <si>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</si>
  <si>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</si>
  <si>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</si>
  <si>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</si>
  <si>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</si>
  <si>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</si>
  <si>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</si>
  <si>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</si>
  <si>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</si>
  <si>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</si>
  <si>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</si>
  <si>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</si>
  <si>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</si>
  <si>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</si>
  <si>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</si>
  <si>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</si>
  <si>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</si>
  <si>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</si>
  <si>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</si>
  <si>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</si>
  <si>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</si>
  <si>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</si>
  <si>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</si>
  <si>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</si>
  <si>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</si>
  <si>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</si>
  <si>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</si>
  <si>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</si>
  <si>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</si>
  <si>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</si>
  <si>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</si>
  <si>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</si>
  <si>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</si>
  <si>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</si>
  <si>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</si>
  <si>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</si>
  <si>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</si>
  <si>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</si>
  <si>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</si>
  <si>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</si>
  <si>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</si>
  <si>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</si>
  <si>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</si>
  <si>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</si>
  <si>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</si>
  <si>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</si>
  <si>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</si>
  <si>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</si>
  <si>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</si>
  <si>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</si>
  <si>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</si>
  <si>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</si>
  <si>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</si>
  <si>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</si>
  <si>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</si>
  <si>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</si>
  <si>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</si>
  <si>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</si>
  <si>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</si>
  <si>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</si>
  <si>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</si>
  <si>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</si>
  <si>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</si>
  <si>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</si>
  <si>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</si>
  <si>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</si>
  <si>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</si>
  <si>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</si>
  <si>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</si>
  <si>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</si>
  <si>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</si>
  <si>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</si>
  <si>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</si>
  <si>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</si>
  <si>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</si>
  <si>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</si>
  <si>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</si>
  <si>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</si>
  <si>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</si>
  <si>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</si>
  <si>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</si>
  <si>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</si>
  <si>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</si>
  <si>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</si>
  <si>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</si>
  <si>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</si>
  <si>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</si>
  <si>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</si>
  <si>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</si>
  <si>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</si>
  <si>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</si>
  <si>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</si>
  <si>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</si>
  <si>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</si>
  <si>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</si>
  <si>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</si>
  <si>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</si>
  <si>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</si>
  <si>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</si>
  <si>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</si>
  <si>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</si>
  <si>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</si>
  <si>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</si>
  <si>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</si>
  <si>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</si>
  <si>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</si>
  <si>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</si>
  <si>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</si>
  <si>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</si>
  <si>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</si>
  <si>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</si>
  <si>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</si>
  <si>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</si>
  <si>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</si>
  <si>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</si>
  <si>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</si>
  <si>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</si>
  <si>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</si>
  <si>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</si>
  <si>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</si>
  <si>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</si>
  <si>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</si>
  <si>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</si>
  <si>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</si>
  <si>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</si>
  <si>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</si>
  <si>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</si>
  <si>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</si>
  <si>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</si>
  <si>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</si>
  <si>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</si>
  <si>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</si>
  <si>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</si>
  <si>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</si>
  <si>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</si>
  <si>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</si>
  <si>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</si>
  <si>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</si>
  <si>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</si>
  <si>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</si>
  <si>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</si>
  <si>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</si>
  <si>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</si>
  <si>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</si>
  <si>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</si>
  <si>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</si>
  <si>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</si>
  <si>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</si>
  <si>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</si>
  <si>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</si>
  <si>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</si>
  <si>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</si>
  <si>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</si>
  <si>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</si>
  <si>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</si>
  <si>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</si>
  <si>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</si>
  <si>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</si>
  <si>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</si>
  <si>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</si>
  <si>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</si>
  <si>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</si>
  <si>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</si>
  <si>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</si>
  <si>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</si>
  <si>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</si>
  <si>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</si>
  <si>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</si>
  <si>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</si>
  <si>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</si>
  <si>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</si>
  <si>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</si>
  <si>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</si>
  <si>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</si>
  <si>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</si>
  <si>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</si>
  <si>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</si>
  <si>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</si>
  <si>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</si>
  <si>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</si>
  <si>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</si>
  <si>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</si>
  <si>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</si>
  <si>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</si>
  <si>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</si>
  <si>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</si>
  <si>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</si>
  <si>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</si>
  <si>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</si>
  <si>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</si>
  <si>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</si>
  <si>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</si>
  <si>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</si>
  <si>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</si>
  <si>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</si>
  <si>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</si>
  <si>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</si>
  <si>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</si>
  <si>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</si>
  <si>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</si>
  <si>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</si>
  <si>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</si>
  <si>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</si>
  <si>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</si>
  <si>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</si>
  <si>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</si>
  <si>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</si>
  <si>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</si>
  <si>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</si>
  <si>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</si>
  <si>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</si>
  <si>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</si>
  <si>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</si>
  <si>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</si>
  <si>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</si>
  <si>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</si>
  <si>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</si>
  <si>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</si>
  <si>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</si>
  <si>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</si>
  <si>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</si>
  <si>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</si>
  <si>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</si>
  <si>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</si>
  <si>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</si>
  <si>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</si>
  <si>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</si>
  <si>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</si>
  <si>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</si>
  <si>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</si>
  <si>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</si>
  <si>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</si>
  <si>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</si>
  <si>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</si>
  <si>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</si>
  <si>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</si>
  <si>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</si>
  <si>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</si>
  <si>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</si>
  <si>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</si>
  <si>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</si>
  <si>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</si>
  <si>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</si>
  <si>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</si>
  <si>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</si>
  <si>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</si>
  <si>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</si>
  <si>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</si>
  <si>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</si>
  <si>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</si>
  <si>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</si>
  <si>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</si>
  <si>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</si>
  <si>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</si>
  <si>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</si>
  <si>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</si>
  <si>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</si>
  <si>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</si>
  <si>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</si>
  <si>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</si>
  <si>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</si>
  <si>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</si>
  <si>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</si>
  <si>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</si>
  <si>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</si>
  <si>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</si>
  <si>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</si>
  <si>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</si>
  <si>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</si>
  <si>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</si>
  <si>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</si>
  <si>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</si>
  <si>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</si>
  <si>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</si>
  <si>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</si>
  <si>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</si>
  <si>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</si>
  <si>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</si>
  <si>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</si>
  <si>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</si>
  <si>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</si>
  <si>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</si>
  <si>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</si>
  <si>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</si>
  <si>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</si>
  <si>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</si>
  <si>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</si>
  <si>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</si>
  <si>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</si>
  <si>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</si>
  <si>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</si>
  <si>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</si>
  <si>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</si>
  <si>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</si>
  <si>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</si>
  <si>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</si>
  <si>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</si>
  <si>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</si>
  <si>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</si>
  <si>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</si>
  <si>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</si>
  <si>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</si>
  <si>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</si>
  <si>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</si>
  <si>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</si>
  <si>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</si>
  <si>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</si>
  <si>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</si>
  <si>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</si>
  <si>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</si>
  <si>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</si>
  <si>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</si>
  <si>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</si>
  <si>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</si>
  <si>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</si>
  <si>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</si>
  <si>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</si>
  <si>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</si>
  <si>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</si>
  <si>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</si>
  <si>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</si>
  <si>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</si>
  <si>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</si>
  <si>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</si>
  <si>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</si>
  <si>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</si>
  <si>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</si>
  <si>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</si>
  <si>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</si>
  <si>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</si>
  <si>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</si>
  <si>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</si>
  <si>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</si>
  <si>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</si>
  <si>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</si>
  <si>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</si>
  <si>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</si>
  <si>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</si>
  <si>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</si>
  <si>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</si>
  <si>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</si>
  <si>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</si>
  <si>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</si>
  <si>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</si>
  <si>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</si>
  <si>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</si>
  <si>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</si>
  <si>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</si>
  <si>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</si>
  <si>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</si>
  <si>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</si>
  <si>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</si>
  <si>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</si>
  <si>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</si>
  <si>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</si>
  <si>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</si>
  <si>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</si>
  <si>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</si>
  <si>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</si>
  <si>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</si>
  <si>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</si>
  <si>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</si>
  <si>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</si>
  <si>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</si>
  <si>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</si>
  <si>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</si>
  <si>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</si>
  <si>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</si>
  <si>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</si>
  <si>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</si>
  <si>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</si>
  <si>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</si>
  <si>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</si>
  <si>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</si>
  <si>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</si>
  <si>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</si>
  <si>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</si>
  <si>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</si>
  <si>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</si>
  <si>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</si>
  <si>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</si>
  <si>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</si>
  <si>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</si>
  <si>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</si>
  <si>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</si>
  <si>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</si>
  <si>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</si>
  <si>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</si>
  <si>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</si>
  <si>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</si>
  <si>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</si>
  <si>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</si>
  <si>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</si>
  <si>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</si>
  <si>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</si>
  <si>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</si>
  <si>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</si>
  <si>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</si>
  <si>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</si>
  <si>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</si>
  <si>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</si>
  <si>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</si>
  <si>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</si>
  <si>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</si>
  <si>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</si>
  <si>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</si>
  <si>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</si>
  <si>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</si>
  <si>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</si>
  <si>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</si>
  <si>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</si>
  <si>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</si>
  <si>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</si>
  <si>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</si>
  <si>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</si>
  <si>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</si>
  <si>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</si>
  <si>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</si>
  <si>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</si>
  <si>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</si>
  <si>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</si>
  <si>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</si>
  <si>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</si>
  <si>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</si>
  <si>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</si>
  <si>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</si>
  <si>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</si>
  <si>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</si>
  <si>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</si>
  <si>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</si>
  <si>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</si>
  <si>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</si>
  <si>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</si>
  <si>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</si>
  <si>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</si>
  <si>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</si>
  <si>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</si>
  <si>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</si>
  <si>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</si>
  <si>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</si>
  <si>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</si>
  <si>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</si>
  <si>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</si>
  <si>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</si>
  <si>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</si>
  <si>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</si>
  <si>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</si>
  <si>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</si>
  <si>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</si>
  <si>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</si>
  <si>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</si>
  <si>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</si>
  <si>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</si>
  <si>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</si>
  <si>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</si>
  <si>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</si>
  <si>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</si>
  <si>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</si>
  <si>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</si>
  <si>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</si>
  <si>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</si>
  <si>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</si>
  <si>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</si>
  <si>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</si>
  <si>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</si>
  <si>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</si>
  <si>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</si>
  <si>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</si>
  <si>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</si>
  <si>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</si>
  <si>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</si>
  <si>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</si>
  <si>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</si>
  <si>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</si>
  <si>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</si>
  <si>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</si>
  <si>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</si>
  <si>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</si>
  <si>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</si>
  <si>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</si>
  <si>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</si>
  <si>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</si>
  <si>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</si>
  <si>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</si>
  <si>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</si>
  <si>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</si>
  <si>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</si>
  <si>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</si>
  <si>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</si>
  <si>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</si>
  <si>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</si>
  <si>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</si>
  <si>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</si>
  <si>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</si>
  <si>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</si>
  <si>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</si>
  <si>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</si>
  <si>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</si>
  <si>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</si>
  <si>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</si>
  <si>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</si>
  <si>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</si>
  <si>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</si>
  <si>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</si>
  <si>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</si>
  <si>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</si>
  <si>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</si>
  <si>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</si>
  <si>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</si>
  <si>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</si>
  <si>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</si>
  <si>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</si>
  <si>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</si>
  <si>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</si>
  <si>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</si>
  <si>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</si>
  <si>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</si>
  <si>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</si>
  <si>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</si>
  <si>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</si>
  <si>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</si>
  <si>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</si>
  <si>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</si>
  <si>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</si>
  <si>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</si>
  <si>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</si>
  <si>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</si>
  <si>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</si>
  <si>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</si>
  <si>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</si>
  <si>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</si>
  <si>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</si>
  <si>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</si>
  <si>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</si>
  <si>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</si>
  <si>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</si>
  <si>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</si>
  <si>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</si>
  <si>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</si>
  <si>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</si>
  <si>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</si>
  <si>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</si>
  <si>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</si>
  <si>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</si>
  <si>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</si>
  <si>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</si>
  <si>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</si>
  <si>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</si>
  <si>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</si>
  <si>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</si>
  <si>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</si>
  <si>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</si>
  <si>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</si>
  <si>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</si>
  <si>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</si>
  <si>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</si>
  <si>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</si>
  <si>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</si>
  <si>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</si>
  <si>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</si>
  <si>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</si>
  <si>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</si>
  <si>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</si>
  <si>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2023/24</t>
  </si>
  <si>
    <t>Release for 2023/24 charge setting</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</si>
  <si>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</si>
  <si>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</si>
  <si>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</si>
  <si>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</si>
  <si>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</si>
  <si>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</si>
  <si>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</si>
  <si>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WPD West Midlands</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</si>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</sst>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
    <numFmt numFmtId="183" formatCode="#,##0.000000_ ;\-#,##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7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0" fillId="47" borderId="0" xfId="0" applyFill="1" applyBorder="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applyBorder="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3" fontId="8" fillId="0" borderId="0" xfId="60" applyFill="1" applyAlignment="1">
      <alignment horizontal="right"/>
    </xf>
    <xf numFmtId="0" fontId="0" fillId="0" borderId="4" xfId="0" applyFill="1" applyBorder="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pplyAlignment="1">
      <alignment vertical="top"/>
    </xf>
    <xf numFmtId="0" fontId="7" fillId="38" borderId="0" xfId="59" applyAlignment="1" applyProtection="1">
      <alignment vertical="top"/>
      <protection locked="0"/>
    </xf>
    <xf numFmtId="0" fontId="8" fillId="2" borderId="0" xfId="51" applyAlignment="1" applyProtection="1">
      <alignment vertical="top"/>
      <protection locked="0"/>
    </xf>
    <xf numFmtId="0" fontId="8" fillId="39" borderId="0" xfId="51" applyFill="1" applyAlignment="1" applyProtection="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5" sqref="D25"/>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49" t="s">
        <v>1157</v>
      </c>
    </row>
    <row r="5" spans="2:4" ht="15" customHeight="1" x14ac:dyDescent="0.25">
      <c r="D5" s="16"/>
    </row>
    <row r="6" spans="2:4" ht="15" customHeight="1" x14ac:dyDescent="0.25">
      <c r="B6" s="17" t="str">
        <f>'Version control'!F7</f>
        <v>Model date:</v>
      </c>
      <c r="D6" s="447">
        <f>'Version control'!H7</f>
        <v>44522</v>
      </c>
    </row>
    <row r="7" spans="2:4" ht="15" customHeight="1" x14ac:dyDescent="0.25">
      <c r="D7" s="450"/>
    </row>
    <row r="8" spans="2:4" ht="15" customHeight="1" x14ac:dyDescent="0.25">
      <c r="B8" s="17" t="str">
        <f>'Version control'!F9</f>
        <v>Development stage:</v>
      </c>
      <c r="D8" s="447" t="str">
        <f>'Version control'!H9</f>
        <v>Release for charge setting</v>
      </c>
    </row>
    <row r="9" spans="2:4" ht="15" customHeight="1" x14ac:dyDescent="0.25">
      <c r="D9" s="450"/>
    </row>
    <row r="10" spans="2:4" ht="15" customHeight="1" x14ac:dyDescent="0.25">
      <c r="B10" s="17" t="str">
        <f>'Version control'!F11</f>
        <v>Model number:</v>
      </c>
      <c r="D10" s="450">
        <f>'Version control'!H11</f>
        <v>8</v>
      </c>
    </row>
    <row r="11" spans="2:4" ht="15" customHeight="1" x14ac:dyDescent="0.25">
      <c r="D11" s="450"/>
    </row>
    <row r="12" spans="2:4" ht="30" customHeight="1" x14ac:dyDescent="0.25">
      <c r="B12" s="17" t="str">
        <f>'Version control'!F13</f>
        <v>DCUSA text version:</v>
      </c>
      <c r="D12" s="448" t="str">
        <f>'Version control'!H13</f>
        <v>Attachment A_Charging Methodologies Pre-Release_01042023 (shared 15/11/2021)</v>
      </c>
    </row>
    <row r="13" spans="2:4" ht="15" customHeight="1" x14ac:dyDescent="0.25">
      <c r="D13" s="450"/>
    </row>
    <row r="14" spans="2:4" ht="15" customHeight="1" x14ac:dyDescent="0.25">
      <c r="B14" s="17" t="str">
        <f>'Version control'!F15</f>
        <v>DCUSA text schedule:</v>
      </c>
      <c r="D14" s="447"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1156</v>
      </c>
    </row>
    <row r="21" spans="2:4" ht="15" customHeight="1" x14ac:dyDescent="0.25">
      <c r="B21" s="17" t="s">
        <v>4</v>
      </c>
      <c r="D21" s="231" t="s">
        <v>1165</v>
      </c>
    </row>
    <row r="23" spans="2:4" ht="15" customHeight="1" x14ac:dyDescent="0.25">
      <c r="B23" s="17" t="s">
        <v>5</v>
      </c>
      <c r="D23" s="231" t="s">
        <v>1166</v>
      </c>
    </row>
    <row r="25" spans="2:4" ht="30" customHeight="1" x14ac:dyDescent="0.25">
      <c r="B25" s="17" t="s">
        <v>6</v>
      </c>
      <c r="D25" s="231" t="s">
        <v>7</v>
      </c>
    </row>
    <row r="26" spans="2:4" ht="15" customHeight="1" x14ac:dyDescent="0.25">
      <c r="B26" s="17"/>
    </row>
    <row r="27" spans="2:4" ht="15" customHeight="1" x14ac:dyDescent="0.25">
      <c r="B27" s="17" t="s">
        <v>8</v>
      </c>
    </row>
    <row r="28" spans="2:4" ht="15" customHeight="1" x14ac:dyDescent="0.25">
      <c r="B28" s="451" t="s">
        <v>9</v>
      </c>
      <c r="C28" s="452"/>
      <c r="D28" s="452" t="s">
        <v>10</v>
      </c>
    </row>
    <row r="29" spans="2:4" x14ac:dyDescent="0.25">
      <c r="B29" s="453"/>
      <c r="C29" s="59"/>
      <c r="D29" s="59" t="s">
        <v>11</v>
      </c>
    </row>
    <row r="30" spans="2:4" x14ac:dyDescent="0.25">
      <c r="B30" s="454" t="s">
        <v>12</v>
      </c>
      <c r="D30" s="3" t="s">
        <v>13</v>
      </c>
    </row>
    <row r="31" spans="2:4" x14ac:dyDescent="0.25">
      <c r="B31" s="455" t="s">
        <v>12</v>
      </c>
      <c r="D31" s="3" t="s">
        <v>14</v>
      </c>
    </row>
    <row r="32" spans="2:4" x14ac:dyDescent="0.25">
      <c r="B32" s="456" t="s">
        <v>12</v>
      </c>
      <c r="D32" s="3" t="s">
        <v>15</v>
      </c>
    </row>
    <row r="33" spans="2:4" x14ac:dyDescent="0.25">
      <c r="B33" s="457" t="s">
        <v>12</v>
      </c>
      <c r="D33" s="3" t="s">
        <v>16</v>
      </c>
    </row>
    <row r="34" spans="2:4" x14ac:dyDescent="0.25">
      <c r="B34" s="458" t="s">
        <v>12</v>
      </c>
      <c r="D34" s="3" t="s">
        <v>17</v>
      </c>
    </row>
    <row r="35" spans="2:4" x14ac:dyDescent="0.25">
      <c r="B35" s="459" t="s">
        <v>12</v>
      </c>
      <c r="D35" s="3" t="s">
        <v>18</v>
      </c>
    </row>
    <row r="36" spans="2:4" x14ac:dyDescent="0.25">
      <c r="B36" s="460" t="s">
        <v>12</v>
      </c>
      <c r="D36" s="3" t="s">
        <v>19</v>
      </c>
    </row>
    <row r="37" spans="2:4" x14ac:dyDescent="0.25">
      <c r="B37" s="461" t="s">
        <v>20</v>
      </c>
      <c r="D37" s="3" t="s">
        <v>21</v>
      </c>
    </row>
    <row r="38" spans="2:4" ht="15" customHeight="1" x14ac:dyDescent="0.25">
      <c r="B38" s="369" t="s">
        <v>20</v>
      </c>
      <c r="D38" s="3" t="s">
        <v>22</v>
      </c>
    </row>
    <row r="39" spans="2:4" ht="15" customHeight="1" x14ac:dyDescent="0.25">
      <c r="B39" s="452" t="s">
        <v>20</v>
      </c>
      <c r="D39" s="3" t="s">
        <v>23</v>
      </c>
    </row>
    <row r="40" spans="2:4" ht="15" customHeight="1" x14ac:dyDescent="0.25">
      <c r="B40" s="462" t="s">
        <v>20</v>
      </c>
      <c r="D40" s="3" t="s">
        <v>24</v>
      </c>
    </row>
    <row r="41" spans="2:4" ht="15" customHeight="1" x14ac:dyDescent="0.25">
      <c r="B41" s="165" t="s">
        <v>20</v>
      </c>
      <c r="D41" s="3" t="s">
        <v>25</v>
      </c>
    </row>
    <row r="42" spans="2:4" ht="15" customHeight="1" x14ac:dyDescent="0.25">
      <c r="B42" s="463" t="s">
        <v>20</v>
      </c>
      <c r="D42" s="3" t="s">
        <v>26</v>
      </c>
    </row>
    <row r="43" spans="2:4" ht="15" customHeight="1" x14ac:dyDescent="0.25">
      <c r="B43" s="464" t="s">
        <v>27</v>
      </c>
      <c r="D43" s="3" t="s">
        <v>28</v>
      </c>
    </row>
    <row r="44" spans="2:4" ht="15" customHeight="1" x14ac:dyDescent="0.25">
      <c r="B44" s="465" t="s">
        <v>27</v>
      </c>
      <c r="D44" s="3" t="s">
        <v>29</v>
      </c>
    </row>
    <row r="45" spans="2:4" ht="15" customHeight="1" x14ac:dyDescent="0.25">
      <c r="B45" s="466" t="s">
        <v>27</v>
      </c>
      <c r="D45" s="3" t="s">
        <v>30</v>
      </c>
    </row>
    <row r="46" spans="2:4" ht="15" customHeight="1" x14ac:dyDescent="0.25">
      <c r="B46" s="467" t="s">
        <v>27</v>
      </c>
      <c r="C46" s="66"/>
      <c r="D46" s="66" t="s">
        <v>31</v>
      </c>
    </row>
    <row r="47" spans="2:4" ht="15" customHeight="1" x14ac:dyDescent="0.25">
      <c r="D47" s="468"/>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control'!$H$36:$H$59,MATCH($A$1,'Version control'!$F$36:$F$59,0),1)&amp;"-A: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154</v>
      </c>
      <c r="AA23" t="s">
        <v>203</v>
      </c>
    </row>
    <row r="24" spans="2:27" x14ac:dyDescent="0.25">
      <c r="D24"/>
      <c r="E24" s="24" t="s">
        <v>374</v>
      </c>
    </row>
    <row r="25" spans="2:27" x14ac:dyDescent="0.2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167</v>
      </c>
      <c r="J35" s="56"/>
      <c r="K35" s="56"/>
      <c r="L35" s="56"/>
      <c r="M35" s="56"/>
      <c r="N35" s="56"/>
      <c r="O35" s="56"/>
      <c r="P35" s="56"/>
      <c r="Q35" s="56"/>
      <c r="R35" s="56"/>
      <c r="S35" s="56"/>
      <c r="T35" s="56"/>
      <c r="U35" s="56"/>
      <c r="V35" s="56"/>
      <c r="W35" s="56"/>
      <c r="X35" s="56"/>
      <c r="Y35" s="56"/>
    </row>
    <row r="36" spans="4:27" x14ac:dyDescent="0.2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281</v>
      </c>
      <c r="F38" s="2"/>
    </row>
    <row r="39" spans="4:27" x14ac:dyDescent="0.25">
      <c r="D39" s="78"/>
      <c r="E39"/>
      <c r="F39" s="23" t="s">
        <v>281</v>
      </c>
      <c r="G39" s="23" t="s">
        <v>167</v>
      </c>
      <c r="H39" s="21">
        <f>'Inputs by network level'!P17</f>
        <v>0.69256562916818787</v>
      </c>
    </row>
    <row r="40" spans="4:27" x14ac:dyDescent="0.25">
      <c r="D40" s="78"/>
      <c r="F40" s="2"/>
    </row>
    <row r="41" spans="4:27" x14ac:dyDescent="0.25">
      <c r="D41"/>
      <c r="E41" s="27" t="s">
        <v>377</v>
      </c>
      <c r="F41" s="27"/>
    </row>
    <row r="42" spans="4:27" x14ac:dyDescent="0.25">
      <c r="D42"/>
      <c r="E42" s="24" t="s">
        <v>378</v>
      </c>
    </row>
    <row r="43" spans="4:27" x14ac:dyDescent="0.2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25">
      <c r="D44" s="78"/>
      <c r="F44" t="s">
        <v>191</v>
      </c>
      <c r="G44" t="s">
        <v>167</v>
      </c>
      <c r="J44" s="56"/>
      <c r="K44" s="56"/>
      <c r="L44" s="56"/>
      <c r="M44" s="56"/>
      <c r="N44" s="56"/>
      <c r="O44" s="56"/>
      <c r="P44" s="56"/>
      <c r="Q44" s="56"/>
      <c r="R44" s="56"/>
      <c r="S44" s="56"/>
      <c r="T44" s="56"/>
      <c r="U44" s="56"/>
      <c r="V44" s="56"/>
      <c r="W44" s="56"/>
      <c r="X44" s="56"/>
      <c r="Y44" s="56"/>
    </row>
    <row r="45" spans="4:27" x14ac:dyDescent="0.2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0.13851312583363759</v>
      </c>
      <c r="Q45" s="99">
        <f t="shared" si="0"/>
        <v>0</v>
      </c>
      <c r="R45" s="100"/>
      <c r="S45" s="100"/>
      <c r="T45" s="100"/>
      <c r="U45" s="100"/>
      <c r="V45" s="100"/>
      <c r="W45" s="100"/>
      <c r="X45" s="100"/>
      <c r="Y45" s="100"/>
      <c r="AA45" t="s">
        <v>379</v>
      </c>
    </row>
    <row r="46" spans="4:27" x14ac:dyDescent="0.2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167</v>
      </c>
      <c r="J53" s="56"/>
      <c r="K53" s="56"/>
      <c r="L53" s="56"/>
      <c r="M53" s="56"/>
      <c r="N53" s="56"/>
      <c r="O53" s="56"/>
      <c r="P53" s="56"/>
      <c r="Q53" s="56"/>
      <c r="R53" s="56"/>
      <c r="S53" s="56"/>
      <c r="T53" s="56"/>
      <c r="U53" s="56"/>
      <c r="V53" s="56"/>
      <c r="W53" s="56"/>
      <c r="X53" s="56"/>
      <c r="Y53" s="56"/>
    </row>
    <row r="54" spans="2:27" x14ac:dyDescent="0.2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232</v>
      </c>
      <c r="G58" s="6" t="s">
        <v>55</v>
      </c>
      <c r="H58" s="93">
        <f t="array" ref="H58">SUM(IF(ISERROR(H25:Y54), 1))</f>
        <v>0</v>
      </c>
    </row>
    <row r="59" spans="2:27" x14ac:dyDescent="0.25">
      <c r="D59"/>
      <c r="E59"/>
    </row>
    <row r="60" spans="2:27" x14ac:dyDescent="0.2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WPD West Midlands - Final</v>
      </c>
    </row>
    <row r="3" spans="1:23" s="5" customFormat="1" x14ac:dyDescent="0.25">
      <c r="A3" s="5" t="str">
        <f>Cover!D2&amp;" - "&amp;Cover!D8&amp;" v"&amp;Cover!D10&amp;" - "&amp;Cover!D19</f>
        <v>CDCM charging model - Release for charge setting v8 - 2023/24</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24"/>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control'!$H$36:$H$59,MATCH($A$1,'Version control'!$F$36:$F$59,0),1)&amp;"-A: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167</v>
      </c>
      <c r="H19" s="3"/>
      <c r="I19" s="3"/>
      <c r="J19" s="84"/>
      <c r="K19" s="106">
        <f>'Inputs by network level'!K15</f>
        <v>5.649040831841079E-2</v>
      </c>
      <c r="L19" s="106">
        <f>'Inputs by network level'!L15</f>
        <v>2.5568682496299511E-2</v>
      </c>
      <c r="M19" s="84"/>
      <c r="N19" s="106">
        <f>'Inputs by network level'!N15</f>
        <v>2.6631596666738533E-2</v>
      </c>
      <c r="O19" s="84"/>
      <c r="P19" s="84"/>
      <c r="Q19" s="106">
        <f>'Inputs by network level'!Q15</f>
        <v>0.34000000000000008</v>
      </c>
      <c r="R19" s="84"/>
      <c r="S19" s="84"/>
      <c r="T19" s="56"/>
      <c r="U19" s="56"/>
    </row>
    <row r="20" spans="2:23" x14ac:dyDescent="0.25">
      <c r="E20" t="s">
        <v>243</v>
      </c>
      <c r="F20" s="105"/>
      <c r="G20" s="12" t="s">
        <v>167</v>
      </c>
      <c r="H20" s="3"/>
      <c r="I20" s="3"/>
      <c r="J20" s="107">
        <f t="shared" ref="J20" si="0">IF(I20 = "", 1, I20 / (1 + J19))</f>
        <v>1</v>
      </c>
      <c r="K20" s="107">
        <f>IF(J20 = "", 1, J20 / (1 + K19))</f>
        <v>0.946530126659337</v>
      </c>
      <c r="L20" s="107">
        <f t="shared" ref="L20:S20" si="1">IF(K20 = "", 1, K20 / (1 + L19))</f>
        <v>0.92293197209905276</v>
      </c>
      <c r="M20" s="107">
        <f t="shared" si="1"/>
        <v>0.92293197209905276</v>
      </c>
      <c r="N20" s="107">
        <f t="shared" si="1"/>
        <v>0.89899042177897392</v>
      </c>
      <c r="O20" s="107">
        <f t="shared" si="1"/>
        <v>0.89899042177897392</v>
      </c>
      <c r="P20" s="107">
        <f t="shared" si="1"/>
        <v>0.89899042177897392</v>
      </c>
      <c r="Q20" s="107">
        <f t="shared" si="1"/>
        <v>0.67088837446192084</v>
      </c>
      <c r="R20" s="107">
        <f t="shared" si="1"/>
        <v>0.67088837446192084</v>
      </c>
      <c r="S20" s="107">
        <f t="shared" si="1"/>
        <v>0.67088837446192084</v>
      </c>
      <c r="T20" s="56"/>
      <c r="U20" s="56"/>
    </row>
    <row r="21" spans="2:23" x14ac:dyDescent="0.25">
      <c r="E21" t="s">
        <v>387</v>
      </c>
      <c r="F21" s="105"/>
      <c r="G21" s="12" t="s">
        <v>167</v>
      </c>
      <c r="H21" s="3"/>
      <c r="I21" s="3"/>
      <c r="J21" s="107">
        <f>1 / J20 - 1</f>
        <v>0</v>
      </c>
      <c r="K21" s="107">
        <f t="shared" ref="K21:S21" si="2">1 / K20 - 1</f>
        <v>5.649040831841079E-2</v>
      </c>
      <c r="L21" s="107">
        <f t="shared" si="2"/>
        <v>8.3503476129090037E-2</v>
      </c>
      <c r="M21" s="107">
        <f t="shared" si="2"/>
        <v>8.3503476129090037E-2</v>
      </c>
      <c r="N21" s="107">
        <f t="shared" si="2"/>
        <v>0.11235890369236912</v>
      </c>
      <c r="O21" s="107">
        <f t="shared" si="2"/>
        <v>0.11235890369236912</v>
      </c>
      <c r="P21" s="107">
        <f t="shared" si="2"/>
        <v>0.11235890369236912</v>
      </c>
      <c r="Q21" s="107">
        <f t="shared" si="2"/>
        <v>0.49056093094777475</v>
      </c>
      <c r="R21" s="107">
        <f t="shared" si="2"/>
        <v>0.49056093094777475</v>
      </c>
      <c r="S21" s="107">
        <f t="shared" si="2"/>
        <v>0.49056093094777475</v>
      </c>
      <c r="T21" s="56"/>
      <c r="U21" s="56"/>
    </row>
    <row r="22" spans="2:23" x14ac:dyDescent="0.25">
      <c r="E22" t="s">
        <v>388</v>
      </c>
      <c r="F22" s="105"/>
      <c r="G22" s="12" t="s">
        <v>167</v>
      </c>
      <c r="H22" s="3"/>
      <c r="I22" s="3"/>
      <c r="J22" s="84"/>
      <c r="K22" s="84"/>
      <c r="L22" s="84"/>
      <c r="M22" s="84"/>
      <c r="N22" s="84"/>
      <c r="O22" s="84"/>
      <c r="P22" s="107">
        <f>M21</f>
        <v>8.3503476129090037E-2</v>
      </c>
      <c r="Q22" s="84"/>
      <c r="R22" s="84"/>
      <c r="S22" s="84"/>
      <c r="T22" s="56"/>
      <c r="U22" s="56"/>
    </row>
    <row r="23" spans="2:23" x14ac:dyDescent="0.25">
      <c r="E23" t="s">
        <v>389</v>
      </c>
      <c r="F23" s="105"/>
      <c r="G23" s="12" t="s">
        <v>167</v>
      </c>
      <c r="H23" s="3"/>
      <c r="I23" s="3" t="s">
        <v>154</v>
      </c>
      <c r="J23" s="108">
        <f t="shared" ref="J23:S23" si="3">IF(J22 = "", J21, J22)</f>
        <v>0</v>
      </c>
      <c r="K23" s="108">
        <f t="shared" si="3"/>
        <v>5.649040831841079E-2</v>
      </c>
      <c r="L23" s="108">
        <f t="shared" si="3"/>
        <v>8.3503476129090037E-2</v>
      </c>
      <c r="M23" s="108">
        <f t="shared" si="3"/>
        <v>8.3503476129090037E-2</v>
      </c>
      <c r="N23" s="108">
        <f t="shared" si="3"/>
        <v>0.11235890369236912</v>
      </c>
      <c r="O23" s="108">
        <f t="shared" si="3"/>
        <v>0.11235890369236912</v>
      </c>
      <c r="P23" s="108">
        <f t="shared" si="3"/>
        <v>8.3503476129090037E-2</v>
      </c>
      <c r="Q23" s="108">
        <f t="shared" si="3"/>
        <v>0.49056093094777475</v>
      </c>
      <c r="R23" s="108">
        <f t="shared" si="3"/>
        <v>0.49056093094777475</v>
      </c>
      <c r="S23" s="108">
        <f t="shared" si="3"/>
        <v>0.49056093094777475</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control'!$H$36:$H$59,MATCH($A$1,'Version control'!$F$36:$F$59,0),1)&amp;"-B: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283</v>
      </c>
      <c r="H27" s="3"/>
      <c r="I27" s="3"/>
      <c r="J27" s="69"/>
      <c r="K27" s="110">
        <f>'Inputs by network level'!K19</f>
        <v>1</v>
      </c>
      <c r="L27" s="110">
        <f>'Inputs by network level'!L19</f>
        <v>1.0069999999999999</v>
      </c>
      <c r="M27" s="110">
        <f>'Inputs by network level'!M19</f>
        <v>1.0109999999999999</v>
      </c>
      <c r="N27" s="110">
        <f>'Inputs by network level'!N19</f>
        <v>1.034</v>
      </c>
      <c r="O27" s="110">
        <f>'Inputs by network level'!O19</f>
        <v>1.0409999999999999</v>
      </c>
      <c r="P27" s="69"/>
      <c r="Q27" s="110">
        <f>'Inputs by network level'!Q19</f>
        <v>1.054</v>
      </c>
      <c r="R27" s="110">
        <f>'Inputs by network level'!R19</f>
        <v>1.071</v>
      </c>
      <c r="S27" s="110">
        <f>'Inputs by network level'!S19</f>
        <v>1.093</v>
      </c>
      <c r="T27" s="69"/>
      <c r="U27" s="69"/>
    </row>
    <row r="28" spans="2:23" x14ac:dyDescent="0.25">
      <c r="E28" t="s">
        <v>392</v>
      </c>
      <c r="F28" s="109"/>
      <c r="G28" s="62" t="s">
        <v>283</v>
      </c>
      <c r="H28" s="3"/>
      <c r="I28" s="3"/>
      <c r="J28" s="88">
        <f>K27</f>
        <v>1</v>
      </c>
      <c r="K28" s="69"/>
      <c r="L28" s="69"/>
      <c r="M28" s="69"/>
      <c r="N28" s="69"/>
      <c r="O28" s="69"/>
      <c r="P28" s="88">
        <f>O27</f>
        <v>1.0409999999999999</v>
      </c>
      <c r="Q28" s="69"/>
      <c r="R28" s="69"/>
      <c r="S28" s="69"/>
      <c r="T28" s="69"/>
      <c r="U28" s="69"/>
    </row>
    <row r="29" spans="2:23" x14ac:dyDescent="0.25">
      <c r="E29" t="s">
        <v>393</v>
      </c>
      <c r="F29" s="109"/>
      <c r="G29" s="62" t="s">
        <v>283</v>
      </c>
      <c r="H29" s="3"/>
      <c r="I29" s="3" t="s">
        <v>154</v>
      </c>
      <c r="J29" s="111">
        <f t="shared" ref="J29:S29" si="4">J27 + J28</f>
        <v>1</v>
      </c>
      <c r="K29" s="111">
        <f t="shared" si="4"/>
        <v>1</v>
      </c>
      <c r="L29" s="111">
        <f t="shared" si="4"/>
        <v>1.0069999999999999</v>
      </c>
      <c r="M29" s="111">
        <f t="shared" si="4"/>
        <v>1.0109999999999999</v>
      </c>
      <c r="N29" s="111">
        <f t="shared" si="4"/>
        <v>1.034</v>
      </c>
      <c r="O29" s="111">
        <f t="shared" si="4"/>
        <v>1.0409999999999999</v>
      </c>
      <c r="P29" s="111">
        <f t="shared" si="4"/>
        <v>1.0409999999999999</v>
      </c>
      <c r="Q29" s="111">
        <f t="shared" si="4"/>
        <v>1.054</v>
      </c>
      <c r="R29" s="111">
        <f t="shared" si="4"/>
        <v>1.071</v>
      </c>
      <c r="S29" s="111">
        <f t="shared" si="4"/>
        <v>1.093</v>
      </c>
      <c r="T29" s="69"/>
      <c r="U29" s="69"/>
      <c r="W29" s="53" t="s">
        <v>284</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control'!$H$36:$H$59,MATCH($A$1,'Version control'!$F$36:$F$59,0),1)&amp;"-C: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196</v>
      </c>
      <c r="F37" s="23"/>
      <c r="G37" s="62" t="s">
        <v>167</v>
      </c>
      <c r="H37" s="106">
        <f>'Inputs by network level'!P17</f>
        <v>0.69256562916818787</v>
      </c>
      <c r="I37" s="3"/>
    </row>
    <row r="38" spans="3:23" x14ac:dyDescent="0.25">
      <c r="E38" t="s">
        <v>396</v>
      </c>
      <c r="F38" s="105"/>
      <c r="G38" s="12" t="s">
        <v>167</v>
      </c>
      <c r="H38" s="3"/>
      <c r="I38" s="3"/>
      <c r="J38" s="56"/>
      <c r="K38" s="56"/>
      <c r="L38" s="56"/>
      <c r="M38" s="112">
        <f>1 - $H$37</f>
        <v>0.30743437083181213</v>
      </c>
      <c r="N38" s="112">
        <f>1 - $H$37</f>
        <v>0.30743437083181213</v>
      </c>
      <c r="O38" s="112">
        <f>1 - $H$37</f>
        <v>0.30743437083181213</v>
      </c>
      <c r="P38" s="113">
        <f>H37</f>
        <v>0.69256562916818787</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control'!$H$36:$H$59,MATCH($A$1,'Version control'!$F$36:$F$59,0),1)&amp;"-D: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187</v>
      </c>
      <c r="G44" s="12"/>
    </row>
    <row r="45" spans="3:23" x14ac:dyDescent="0.25">
      <c r="E45" s="24" t="s">
        <v>398</v>
      </c>
      <c r="G45" s="12"/>
    </row>
    <row r="46" spans="3:23" x14ac:dyDescent="0.2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190</v>
      </c>
      <c r="H65" s="19"/>
      <c r="I65" s="19"/>
      <c r="J65" s="116">
        <f t="shared" ref="J65:S65" si="5">IF(J$38 = "", J46, J46 * J$38)</f>
        <v>1</v>
      </c>
      <c r="K65" s="116">
        <f t="shared" si="5"/>
        <v>1</v>
      </c>
      <c r="L65" s="116">
        <f t="shared" si="5"/>
        <v>1</v>
      </c>
      <c r="M65" s="116">
        <f t="shared" si="5"/>
        <v>0.30743437083181213</v>
      </c>
      <c r="N65" s="116">
        <f t="shared" si="5"/>
        <v>0.30743437083181213</v>
      </c>
      <c r="O65" s="116">
        <f t="shared" si="5"/>
        <v>0.30743437083181213</v>
      </c>
      <c r="P65" s="116">
        <f t="shared" si="5"/>
        <v>0.69256562916818787</v>
      </c>
      <c r="Q65" s="116">
        <f t="shared" si="5"/>
        <v>1</v>
      </c>
      <c r="R65" s="116">
        <f t="shared" si="5"/>
        <v>1</v>
      </c>
      <c r="S65" s="116">
        <f t="shared" si="5"/>
        <v>1</v>
      </c>
      <c r="T65" s="73"/>
      <c r="U65" s="73"/>
      <c r="W65" s="3"/>
    </row>
    <row r="66" spans="6:23" x14ac:dyDescent="0.25">
      <c r="F66" t="s">
        <v>829</v>
      </c>
      <c r="G66" s="62" t="s">
        <v>190</v>
      </c>
      <c r="J66" s="88">
        <f t="shared" ref="J66:S66" si="6">IF(J$38 = "", J47, J47 * J$38)</f>
        <v>1</v>
      </c>
      <c r="K66" s="88">
        <f t="shared" si="6"/>
        <v>1</v>
      </c>
      <c r="L66" s="88">
        <f t="shared" si="6"/>
        <v>1</v>
      </c>
      <c r="M66" s="88">
        <f t="shared" si="6"/>
        <v>0.30743437083181213</v>
      </c>
      <c r="N66" s="88">
        <f t="shared" si="6"/>
        <v>0.30743437083181213</v>
      </c>
      <c r="O66" s="88">
        <f t="shared" si="6"/>
        <v>0.30743437083181213</v>
      </c>
      <c r="P66" s="88">
        <f t="shared" si="6"/>
        <v>0.69256562916818787</v>
      </c>
      <c r="Q66" s="88">
        <f t="shared" si="6"/>
        <v>1</v>
      </c>
      <c r="R66" s="88">
        <f t="shared" si="6"/>
        <v>1</v>
      </c>
      <c r="S66" s="88">
        <f t="shared" si="6"/>
        <v>1</v>
      </c>
      <c r="T66" s="69"/>
      <c r="U66" s="69"/>
    </row>
    <row r="67" spans="6:23" x14ac:dyDescent="0.25">
      <c r="F67" t="s">
        <v>828</v>
      </c>
      <c r="G67" s="62" t="s">
        <v>190</v>
      </c>
      <c r="J67" s="88">
        <f t="shared" ref="J67:S67" si="7">IF(J$38 = "", J48, J48 * J$38)</f>
        <v>1</v>
      </c>
      <c r="K67" s="88">
        <f t="shared" si="7"/>
        <v>1</v>
      </c>
      <c r="L67" s="88">
        <f t="shared" si="7"/>
        <v>1</v>
      </c>
      <c r="M67" s="88">
        <f t="shared" si="7"/>
        <v>0.30743437083181213</v>
      </c>
      <c r="N67" s="88">
        <f t="shared" si="7"/>
        <v>0.30743437083181213</v>
      </c>
      <c r="O67" s="88">
        <f t="shared" si="7"/>
        <v>0.30743437083181213</v>
      </c>
      <c r="P67" s="88">
        <f t="shared" si="7"/>
        <v>0.69256562916818787</v>
      </c>
      <c r="Q67" s="88">
        <f t="shared" si="7"/>
        <v>1</v>
      </c>
      <c r="R67" s="88">
        <f t="shared" si="7"/>
        <v>1</v>
      </c>
      <c r="S67" s="88">
        <f t="shared" si="7"/>
        <v>1</v>
      </c>
      <c r="T67" s="69"/>
      <c r="U67" s="69"/>
    </row>
    <row r="68" spans="6:23" x14ac:dyDescent="0.25">
      <c r="F68" t="s">
        <v>830</v>
      </c>
      <c r="G68" s="62" t="s">
        <v>190</v>
      </c>
      <c r="J68" s="88">
        <f t="shared" ref="J68:S68" si="8">IF(J$38 = "", J49, J49 * J$38)</f>
        <v>1</v>
      </c>
      <c r="K68" s="88">
        <f t="shared" si="8"/>
        <v>1</v>
      </c>
      <c r="L68" s="88">
        <f t="shared" si="8"/>
        <v>1</v>
      </c>
      <c r="M68" s="88">
        <f t="shared" si="8"/>
        <v>0.30743437083181213</v>
      </c>
      <c r="N68" s="88">
        <f t="shared" si="8"/>
        <v>0.30743437083181213</v>
      </c>
      <c r="O68" s="88">
        <f t="shared" si="8"/>
        <v>0.30743437083181213</v>
      </c>
      <c r="P68" s="88">
        <f t="shared" si="8"/>
        <v>0.69256562916818787</v>
      </c>
      <c r="Q68" s="88">
        <f t="shared" si="8"/>
        <v>1</v>
      </c>
      <c r="R68" s="88">
        <f t="shared" si="8"/>
        <v>1</v>
      </c>
      <c r="S68" s="88">
        <f t="shared" si="8"/>
        <v>1</v>
      </c>
      <c r="T68" s="69"/>
      <c r="U68" s="69"/>
    </row>
    <row r="69" spans="6:23" x14ac:dyDescent="0.25">
      <c r="F69" t="s">
        <v>836</v>
      </c>
      <c r="G69" s="62" t="s">
        <v>190</v>
      </c>
      <c r="J69" s="88">
        <f t="shared" ref="J69:S69" si="9">IF(J$38 = "", J50, J50 * J$38)</f>
        <v>1</v>
      </c>
      <c r="K69" s="88">
        <f t="shared" si="9"/>
        <v>1</v>
      </c>
      <c r="L69" s="88">
        <f t="shared" si="9"/>
        <v>1</v>
      </c>
      <c r="M69" s="88">
        <f t="shared" si="9"/>
        <v>0.30743437083181213</v>
      </c>
      <c r="N69" s="88">
        <f t="shared" si="9"/>
        <v>0.30743437083181213</v>
      </c>
      <c r="O69" s="88">
        <f t="shared" si="9"/>
        <v>0.30743437083181213</v>
      </c>
      <c r="P69" s="88">
        <f t="shared" si="9"/>
        <v>0.69256562916818787</v>
      </c>
      <c r="Q69" s="88">
        <f t="shared" si="9"/>
        <v>1</v>
      </c>
      <c r="R69" s="88">
        <f t="shared" si="9"/>
        <v>1</v>
      </c>
      <c r="S69" s="88">
        <f t="shared" si="9"/>
        <v>1</v>
      </c>
      <c r="T69" s="69"/>
      <c r="U69" s="69"/>
    </row>
    <row r="70" spans="6:23" x14ac:dyDescent="0.25">
      <c r="F70" t="s">
        <v>837</v>
      </c>
      <c r="G70" s="62" t="s">
        <v>190</v>
      </c>
      <c r="J70" s="88">
        <f t="shared" ref="J70:S70" si="10">IF(J$38 = "", J51, J51 * J$38)</f>
        <v>1</v>
      </c>
      <c r="K70" s="88">
        <f t="shared" si="10"/>
        <v>1</v>
      </c>
      <c r="L70" s="88">
        <f t="shared" si="10"/>
        <v>1</v>
      </c>
      <c r="M70" s="88">
        <f t="shared" si="10"/>
        <v>0.30743437083181213</v>
      </c>
      <c r="N70" s="88">
        <f t="shared" si="10"/>
        <v>0.30743437083181213</v>
      </c>
      <c r="O70" s="88">
        <f t="shared" si="10"/>
        <v>0.30743437083181213</v>
      </c>
      <c r="P70" s="88">
        <f t="shared" si="10"/>
        <v>0.69256562916818787</v>
      </c>
      <c r="Q70" s="88">
        <f t="shared" si="10"/>
        <v>1</v>
      </c>
      <c r="R70" s="88">
        <f t="shared" si="10"/>
        <v>1</v>
      </c>
      <c r="S70" s="88">
        <f t="shared" si="10"/>
        <v>0</v>
      </c>
      <c r="T70" s="69"/>
      <c r="U70" s="69"/>
    </row>
    <row r="71" spans="6:23" x14ac:dyDescent="0.25">
      <c r="F71" t="s">
        <v>838</v>
      </c>
      <c r="G71" s="62" t="s">
        <v>190</v>
      </c>
      <c r="J71" s="88">
        <f t="shared" ref="J71:S71" si="11">IF(J$38 = "", J52, J52 * J$38)</f>
        <v>1</v>
      </c>
      <c r="K71" s="88">
        <f t="shared" si="11"/>
        <v>1</v>
      </c>
      <c r="L71" s="88">
        <f t="shared" si="11"/>
        <v>1</v>
      </c>
      <c r="M71" s="88">
        <f t="shared" si="11"/>
        <v>0.30743437083181213</v>
      </c>
      <c r="N71" s="88">
        <f t="shared" si="11"/>
        <v>0.30743437083181213</v>
      </c>
      <c r="O71" s="88">
        <f t="shared" si="11"/>
        <v>0.30743437083181213</v>
      </c>
      <c r="P71" s="88">
        <f t="shared" si="11"/>
        <v>0.69256562916818787</v>
      </c>
      <c r="Q71" s="88">
        <f t="shared" si="11"/>
        <v>1</v>
      </c>
      <c r="R71" s="88">
        <f t="shared" si="11"/>
        <v>0</v>
      </c>
      <c r="S71" s="88">
        <f t="shared" si="11"/>
        <v>0</v>
      </c>
      <c r="T71" s="69"/>
      <c r="U71" s="69"/>
    </row>
    <row r="72" spans="6:23" x14ac:dyDescent="0.25">
      <c r="F72" t="s">
        <v>839</v>
      </c>
      <c r="G72" s="62" t="s">
        <v>190</v>
      </c>
      <c r="J72" s="88">
        <f t="shared" ref="J72:S72" si="12">IF(J$38 = "", J53, J53 * J$38)</f>
        <v>1</v>
      </c>
      <c r="K72" s="88">
        <f t="shared" si="12"/>
        <v>1</v>
      </c>
      <c r="L72" s="88">
        <f t="shared" si="12"/>
        <v>1</v>
      </c>
      <c r="M72" s="88">
        <f t="shared" si="12"/>
        <v>0.30743437083181213</v>
      </c>
      <c r="N72" s="88">
        <f t="shared" si="12"/>
        <v>0.30743437083181213</v>
      </c>
      <c r="O72" s="88">
        <f t="shared" si="12"/>
        <v>0.30743437083181213</v>
      </c>
      <c r="P72" s="88">
        <f t="shared" si="12"/>
        <v>0.69256562916818787</v>
      </c>
      <c r="Q72" s="88">
        <f t="shared" si="12"/>
        <v>1</v>
      </c>
      <c r="R72" s="88">
        <f t="shared" si="12"/>
        <v>1</v>
      </c>
      <c r="S72" s="88">
        <f t="shared" si="12"/>
        <v>1</v>
      </c>
      <c r="T72" s="69"/>
      <c r="U72" s="69"/>
    </row>
    <row r="73" spans="6:23" x14ac:dyDescent="0.25">
      <c r="F73" t="s">
        <v>831</v>
      </c>
      <c r="G73" s="62" t="s">
        <v>190</v>
      </c>
      <c r="J73" s="88">
        <f t="shared" ref="J73:S73" si="13">IF(J$38 = "", J54, J54 * J$38)</f>
        <v>-1</v>
      </c>
      <c r="K73" s="88">
        <f t="shared" si="13"/>
        <v>-1</v>
      </c>
      <c r="L73" s="88">
        <f t="shared" si="13"/>
        <v>-1</v>
      </c>
      <c r="M73" s="88">
        <f t="shared" si="13"/>
        <v>-0.30743437083181213</v>
      </c>
      <c r="N73" s="88">
        <f t="shared" si="13"/>
        <v>-0.30743437083181213</v>
      </c>
      <c r="O73" s="88">
        <f t="shared" si="13"/>
        <v>-0.30743437083181213</v>
      </c>
      <c r="P73" s="88">
        <f t="shared" si="13"/>
        <v>-0.69256562916818787</v>
      </c>
      <c r="Q73" s="88">
        <f t="shared" si="13"/>
        <v>-1</v>
      </c>
      <c r="R73" s="88">
        <f t="shared" si="13"/>
        <v>-1</v>
      </c>
      <c r="S73" s="88">
        <f t="shared" si="13"/>
        <v>-1</v>
      </c>
      <c r="T73" s="69"/>
      <c r="U73" s="69"/>
    </row>
    <row r="74" spans="6:23" x14ac:dyDescent="0.25">
      <c r="F74" t="s">
        <v>832</v>
      </c>
      <c r="G74" s="62" t="s">
        <v>190</v>
      </c>
      <c r="J74" s="88">
        <f t="shared" ref="J74:S74" si="14">IF(J$38 = "", J55, J55 * J$38)</f>
        <v>-1</v>
      </c>
      <c r="K74" s="88">
        <f t="shared" si="14"/>
        <v>-1</v>
      </c>
      <c r="L74" s="88">
        <f t="shared" si="14"/>
        <v>-1</v>
      </c>
      <c r="M74" s="88">
        <f t="shared" si="14"/>
        <v>-0.30743437083181213</v>
      </c>
      <c r="N74" s="88">
        <f t="shared" si="14"/>
        <v>-0.30743437083181213</v>
      </c>
      <c r="O74" s="88">
        <f t="shared" si="14"/>
        <v>-0.30743437083181213</v>
      </c>
      <c r="P74" s="88">
        <f t="shared" si="14"/>
        <v>-0.69256562916818787</v>
      </c>
      <c r="Q74" s="88">
        <f t="shared" si="14"/>
        <v>-1</v>
      </c>
      <c r="R74" s="88">
        <f t="shared" si="14"/>
        <v>-1</v>
      </c>
      <c r="S74" s="88">
        <f t="shared" si="14"/>
        <v>0</v>
      </c>
      <c r="T74" s="69"/>
      <c r="U74" s="69"/>
    </row>
    <row r="75" spans="6:23" x14ac:dyDescent="0.25">
      <c r="F75" t="s">
        <v>833</v>
      </c>
      <c r="G75" s="62" t="s">
        <v>190</v>
      </c>
      <c r="J75" s="88">
        <f t="shared" ref="J75:S75" si="15">IF(J$38 = "", J56, J56 * J$38)</f>
        <v>-1</v>
      </c>
      <c r="K75" s="88">
        <f t="shared" si="15"/>
        <v>-1</v>
      </c>
      <c r="L75" s="88">
        <f t="shared" si="15"/>
        <v>-1</v>
      </c>
      <c r="M75" s="88">
        <f t="shared" si="15"/>
        <v>-0.30743437083181213</v>
      </c>
      <c r="N75" s="88">
        <f t="shared" si="15"/>
        <v>-0.30743437083181213</v>
      </c>
      <c r="O75" s="88">
        <f t="shared" si="15"/>
        <v>-0.30743437083181213</v>
      </c>
      <c r="P75" s="88">
        <f t="shared" si="15"/>
        <v>-0.69256562916818787</v>
      </c>
      <c r="Q75" s="88">
        <f t="shared" si="15"/>
        <v>-1</v>
      </c>
      <c r="R75" s="88">
        <f t="shared" si="15"/>
        <v>-1</v>
      </c>
      <c r="S75" s="88">
        <f t="shared" si="15"/>
        <v>-1</v>
      </c>
      <c r="T75" s="69"/>
      <c r="U75" s="69"/>
    </row>
    <row r="76" spans="6:23" x14ac:dyDescent="0.25">
      <c r="F76" t="s">
        <v>842</v>
      </c>
      <c r="G76" s="62" t="s">
        <v>190</v>
      </c>
      <c r="J76" s="88">
        <f t="shared" ref="J76:S76" si="16">IF(J$38 = "", J57, J57 * J$38)</f>
        <v>-1</v>
      </c>
      <c r="K76" s="88">
        <f t="shared" si="16"/>
        <v>-1</v>
      </c>
      <c r="L76" s="88">
        <f t="shared" si="16"/>
        <v>-1</v>
      </c>
      <c r="M76" s="88">
        <f t="shared" si="16"/>
        <v>-0.30743437083181213</v>
      </c>
      <c r="N76" s="88">
        <f t="shared" si="16"/>
        <v>-0.30743437083181213</v>
      </c>
      <c r="O76" s="88">
        <f t="shared" si="16"/>
        <v>-0.30743437083181213</v>
      </c>
      <c r="P76" s="88">
        <f t="shared" si="16"/>
        <v>-0.69256562916818787</v>
      </c>
      <c r="Q76" s="88">
        <f t="shared" si="16"/>
        <v>-1</v>
      </c>
      <c r="R76" s="88">
        <f t="shared" si="16"/>
        <v>-1</v>
      </c>
      <c r="S76" s="88">
        <f t="shared" si="16"/>
        <v>-1</v>
      </c>
      <c r="T76" s="69"/>
      <c r="U76" s="69"/>
    </row>
    <row r="77" spans="6:23" x14ac:dyDescent="0.25">
      <c r="F77" t="s">
        <v>834</v>
      </c>
      <c r="G77" s="62" t="s">
        <v>190</v>
      </c>
      <c r="J77" s="88">
        <f t="shared" ref="J77:S77" si="17">IF(J$38 = "", J58, J58 * J$38)</f>
        <v>-1</v>
      </c>
      <c r="K77" s="88">
        <f t="shared" si="17"/>
        <v>-1</v>
      </c>
      <c r="L77" s="88">
        <f t="shared" si="17"/>
        <v>-1</v>
      </c>
      <c r="M77" s="88">
        <f t="shared" si="17"/>
        <v>-0.30743437083181213</v>
      </c>
      <c r="N77" s="88">
        <f t="shared" si="17"/>
        <v>-0.30743437083181213</v>
      </c>
      <c r="O77" s="88">
        <f t="shared" si="17"/>
        <v>-0.30743437083181213</v>
      </c>
      <c r="P77" s="88">
        <f t="shared" si="17"/>
        <v>-0.69256562916818787</v>
      </c>
      <c r="Q77" s="88">
        <f t="shared" si="17"/>
        <v>-1</v>
      </c>
      <c r="R77" s="88">
        <f t="shared" si="17"/>
        <v>-1</v>
      </c>
      <c r="S77" s="88">
        <f t="shared" si="17"/>
        <v>0</v>
      </c>
      <c r="T77" s="69"/>
      <c r="U77" s="69"/>
    </row>
    <row r="78" spans="6:23" x14ac:dyDescent="0.25">
      <c r="F78" t="s">
        <v>841</v>
      </c>
      <c r="G78" s="62" t="s">
        <v>190</v>
      </c>
      <c r="J78" s="88">
        <f t="shared" ref="J78:S78" si="18">IF(J$38 = "", J59, J59 * J$38)</f>
        <v>-1</v>
      </c>
      <c r="K78" s="88">
        <f t="shared" si="18"/>
        <v>-1</v>
      </c>
      <c r="L78" s="88">
        <f t="shared" si="18"/>
        <v>-1</v>
      </c>
      <c r="M78" s="88">
        <f t="shared" si="18"/>
        <v>-0.30743437083181213</v>
      </c>
      <c r="N78" s="88">
        <f t="shared" si="18"/>
        <v>-0.30743437083181213</v>
      </c>
      <c r="O78" s="88">
        <f t="shared" si="18"/>
        <v>-0.30743437083181213</v>
      </c>
      <c r="P78" s="88">
        <f t="shared" si="18"/>
        <v>-0.69256562916818787</v>
      </c>
      <c r="Q78" s="88">
        <f t="shared" si="18"/>
        <v>-1</v>
      </c>
      <c r="R78" s="88">
        <f t="shared" si="18"/>
        <v>-1</v>
      </c>
      <c r="S78" s="88">
        <f t="shared" si="18"/>
        <v>0</v>
      </c>
      <c r="T78" s="69"/>
      <c r="U78" s="69"/>
    </row>
    <row r="79" spans="6:23" x14ac:dyDescent="0.25">
      <c r="F79" t="s">
        <v>835</v>
      </c>
      <c r="G79" s="62" t="s">
        <v>190</v>
      </c>
      <c r="J79" s="88">
        <f t="shared" ref="J79:S79" si="19">IF(J$38 = "", J60, J60 * J$38)</f>
        <v>-1</v>
      </c>
      <c r="K79" s="88">
        <f t="shared" si="19"/>
        <v>-1</v>
      </c>
      <c r="L79" s="88">
        <f t="shared" si="19"/>
        <v>-1</v>
      </c>
      <c r="M79" s="88">
        <f t="shared" si="19"/>
        <v>-0.30743437083181213</v>
      </c>
      <c r="N79" s="88">
        <f t="shared" si="19"/>
        <v>-0.30743437083181213</v>
      </c>
      <c r="O79" s="88">
        <f t="shared" si="19"/>
        <v>-0.30743437083181213</v>
      </c>
      <c r="P79" s="88">
        <f t="shared" si="19"/>
        <v>-0.69256562916818787</v>
      </c>
      <c r="Q79" s="88">
        <f t="shared" si="19"/>
        <v>-1</v>
      </c>
      <c r="R79" s="88">
        <f t="shared" si="19"/>
        <v>0</v>
      </c>
      <c r="S79" s="88">
        <f t="shared" si="19"/>
        <v>0</v>
      </c>
      <c r="T79" s="69"/>
      <c r="U79" s="69"/>
    </row>
    <row r="80" spans="6:23" x14ac:dyDescent="0.25">
      <c r="F80" s="28" t="s">
        <v>840</v>
      </c>
      <c r="G80" s="70" t="s">
        <v>190</v>
      </c>
      <c r="H80" s="28"/>
      <c r="I80" s="28"/>
      <c r="J80" s="90">
        <f t="shared" ref="J80:S80" si="20">IF(J$38 = "", J61, J61 * J$38)</f>
        <v>-1</v>
      </c>
      <c r="K80" s="90">
        <f t="shared" si="20"/>
        <v>-1</v>
      </c>
      <c r="L80" s="90">
        <f t="shared" si="20"/>
        <v>-1</v>
      </c>
      <c r="M80" s="90">
        <f t="shared" si="20"/>
        <v>-0.30743437083181213</v>
      </c>
      <c r="N80" s="90">
        <f t="shared" si="20"/>
        <v>-0.30743437083181213</v>
      </c>
      <c r="O80" s="90">
        <f t="shared" si="20"/>
        <v>-0.30743437083181213</v>
      </c>
      <c r="P80" s="90">
        <f t="shared" si="20"/>
        <v>-0.69256562916818787</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200</v>
      </c>
      <c r="G82" s="12"/>
      <c r="I82" t="s">
        <v>154</v>
      </c>
      <c r="J82" s="79"/>
      <c r="K82" s="79"/>
      <c r="L82" s="79"/>
      <c r="M82" s="79"/>
      <c r="N82" s="79"/>
      <c r="O82" s="79"/>
      <c r="P82" s="79"/>
      <c r="Q82" s="79"/>
      <c r="R82" s="79"/>
      <c r="S82" s="79"/>
      <c r="T82" s="79"/>
      <c r="U82" s="79"/>
      <c r="W82" s="3" t="s">
        <v>401</v>
      </c>
    </row>
    <row r="83" spans="5:23" x14ac:dyDescent="0.25">
      <c r="E83" s="24" t="s">
        <v>202</v>
      </c>
      <c r="G83" s="12"/>
      <c r="J83" s="79"/>
      <c r="K83" s="79"/>
      <c r="L83" s="79"/>
      <c r="M83" s="79"/>
      <c r="N83" s="79"/>
      <c r="O83" s="79"/>
      <c r="P83" s="79"/>
      <c r="Q83" s="79"/>
      <c r="R83" s="79"/>
      <c r="S83" s="79"/>
      <c r="T83" s="79"/>
      <c r="U83" s="79"/>
    </row>
    <row r="84" spans="5:23" x14ac:dyDescent="0.2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154</v>
      </c>
      <c r="J101" s="79"/>
      <c r="K101" s="79"/>
      <c r="L101" s="79"/>
      <c r="M101" s="79"/>
      <c r="N101" s="79"/>
      <c r="O101" s="79"/>
      <c r="P101" s="79"/>
      <c r="Q101" s="79"/>
      <c r="R101" s="79"/>
      <c r="S101" s="79"/>
      <c r="T101" s="79"/>
      <c r="U101" s="79"/>
      <c r="W101" s="3" t="s">
        <v>401</v>
      </c>
    </row>
    <row r="102" spans="5:23" x14ac:dyDescent="0.25">
      <c r="E102" s="24" t="s">
        <v>202</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176</v>
      </c>
      <c r="H104" s="19"/>
      <c r="I104" s="19"/>
      <c r="J104" s="116">
        <f t="shared" ref="J104:S104" si="21">IF(J$38 = "", J84, J84 * J$38)</f>
        <v>1</v>
      </c>
      <c r="K104" s="116">
        <f t="shared" si="21"/>
        <v>1</v>
      </c>
      <c r="L104" s="116">
        <f t="shared" si="21"/>
        <v>1</v>
      </c>
      <c r="M104" s="116">
        <f t="shared" si="21"/>
        <v>0.30743437083181213</v>
      </c>
      <c r="N104" s="116">
        <f t="shared" si="21"/>
        <v>0.30743437083181213</v>
      </c>
      <c r="O104" s="116">
        <f t="shared" si="21"/>
        <v>0.30743437083181213</v>
      </c>
      <c r="P104" s="116">
        <f t="shared" si="21"/>
        <v>0.69256562916818787</v>
      </c>
      <c r="Q104" s="116">
        <f t="shared" si="21"/>
        <v>1</v>
      </c>
      <c r="R104" s="116">
        <f t="shared" si="21"/>
        <v>1</v>
      </c>
      <c r="S104" s="116">
        <f t="shared" si="21"/>
        <v>1</v>
      </c>
      <c r="T104" s="73"/>
      <c r="U104" s="73"/>
    </row>
    <row r="105" spans="5:23" x14ac:dyDescent="0.25">
      <c r="F105" t="s">
        <v>829</v>
      </c>
      <c r="G105" s="62" t="s">
        <v>176</v>
      </c>
      <c r="J105" s="88">
        <f t="shared" ref="J105:S105" si="22">IF(J$38 = "", J85, J85 * J$38)</f>
        <v>1</v>
      </c>
      <c r="K105" s="88">
        <f t="shared" si="22"/>
        <v>1</v>
      </c>
      <c r="L105" s="88">
        <f t="shared" si="22"/>
        <v>1</v>
      </c>
      <c r="M105" s="88">
        <f t="shared" si="22"/>
        <v>0.30743437083181213</v>
      </c>
      <c r="N105" s="88">
        <f t="shared" si="22"/>
        <v>0.30743437083181213</v>
      </c>
      <c r="O105" s="88">
        <f t="shared" si="22"/>
        <v>0.30743437083181213</v>
      </c>
      <c r="P105" s="88">
        <f t="shared" si="22"/>
        <v>0.69256562916818787</v>
      </c>
      <c r="Q105" s="88">
        <f t="shared" si="22"/>
        <v>1</v>
      </c>
      <c r="R105" s="88">
        <f t="shared" si="22"/>
        <v>1</v>
      </c>
      <c r="S105" s="88">
        <f t="shared" si="22"/>
        <v>1</v>
      </c>
      <c r="T105" s="69"/>
      <c r="U105" s="69"/>
    </row>
    <row r="106" spans="5:23" x14ac:dyDescent="0.25">
      <c r="F106" t="s">
        <v>828</v>
      </c>
      <c r="G106" s="62" t="s">
        <v>176</v>
      </c>
      <c r="J106" s="88">
        <f t="shared" ref="J106:S106" si="23">IF(J$38 = "", J86, J86 * J$38)</f>
        <v>1</v>
      </c>
      <c r="K106" s="88">
        <f t="shared" si="23"/>
        <v>1</v>
      </c>
      <c r="L106" s="88">
        <f t="shared" si="23"/>
        <v>1</v>
      </c>
      <c r="M106" s="88">
        <f t="shared" si="23"/>
        <v>0.30743437083181213</v>
      </c>
      <c r="N106" s="88">
        <f t="shared" si="23"/>
        <v>0.30743437083181213</v>
      </c>
      <c r="O106" s="88">
        <f t="shared" si="23"/>
        <v>0.30743437083181213</v>
      </c>
      <c r="P106" s="88">
        <f t="shared" si="23"/>
        <v>0.69256562916818787</v>
      </c>
      <c r="Q106" s="88">
        <f t="shared" si="23"/>
        <v>1</v>
      </c>
      <c r="R106" s="88">
        <f t="shared" si="23"/>
        <v>1</v>
      </c>
      <c r="S106" s="88">
        <f t="shared" si="23"/>
        <v>1</v>
      </c>
      <c r="T106" s="69"/>
      <c r="U106" s="69"/>
    </row>
    <row r="107" spans="5:23" x14ac:dyDescent="0.25">
      <c r="F107" t="s">
        <v>830</v>
      </c>
      <c r="G107" s="62" t="s">
        <v>176</v>
      </c>
      <c r="J107" s="88">
        <f t="shared" ref="J107:S107" si="24">IF(J$38 = "", J87, J87 * J$38)</f>
        <v>1</v>
      </c>
      <c r="K107" s="88">
        <f t="shared" si="24"/>
        <v>1</v>
      </c>
      <c r="L107" s="88">
        <f t="shared" si="24"/>
        <v>1</v>
      </c>
      <c r="M107" s="88">
        <f t="shared" si="24"/>
        <v>0.30743437083181213</v>
      </c>
      <c r="N107" s="88">
        <f t="shared" si="24"/>
        <v>0.30743437083181213</v>
      </c>
      <c r="O107" s="88">
        <f t="shared" si="24"/>
        <v>0.30743437083181213</v>
      </c>
      <c r="P107" s="88">
        <f t="shared" si="24"/>
        <v>0.69256562916818787</v>
      </c>
      <c r="Q107" s="88">
        <f t="shared" si="24"/>
        <v>1</v>
      </c>
      <c r="R107" s="88">
        <f t="shared" si="24"/>
        <v>1</v>
      </c>
      <c r="S107" s="88">
        <f t="shared" si="24"/>
        <v>1</v>
      </c>
      <c r="T107" s="69"/>
      <c r="U107" s="69"/>
    </row>
    <row r="108" spans="5:23" x14ac:dyDescent="0.25">
      <c r="F108" t="s">
        <v>836</v>
      </c>
      <c r="G108" s="62" t="s">
        <v>176</v>
      </c>
      <c r="J108" s="88">
        <f t="shared" ref="J108:S108" si="25">IF(J$38 = "", J88, J88 * J$38)</f>
        <v>1</v>
      </c>
      <c r="K108" s="88">
        <f t="shared" si="25"/>
        <v>1</v>
      </c>
      <c r="L108" s="88">
        <f t="shared" si="25"/>
        <v>1</v>
      </c>
      <c r="M108" s="88">
        <f t="shared" si="25"/>
        <v>0.30743437083181213</v>
      </c>
      <c r="N108" s="88">
        <f t="shared" si="25"/>
        <v>0.30743437083181213</v>
      </c>
      <c r="O108" s="88">
        <f t="shared" si="25"/>
        <v>0.30743437083181213</v>
      </c>
      <c r="P108" s="88">
        <f t="shared" si="25"/>
        <v>0.69256562916818787</v>
      </c>
      <c r="Q108" s="88">
        <f t="shared" si="25"/>
        <v>1</v>
      </c>
      <c r="R108" s="88">
        <f t="shared" si="25"/>
        <v>1</v>
      </c>
      <c r="S108" s="88">
        <f t="shared" si="25"/>
        <v>1</v>
      </c>
      <c r="T108" s="69"/>
      <c r="U108" s="69"/>
    </row>
    <row r="109" spans="5:23" x14ac:dyDescent="0.25">
      <c r="F109" t="s">
        <v>837</v>
      </c>
      <c r="G109" s="62" t="s">
        <v>176</v>
      </c>
      <c r="J109" s="88">
        <f t="shared" ref="J109:S109" si="26">IF(J$38 = "", J89, J89 * J$38)</f>
        <v>1</v>
      </c>
      <c r="K109" s="88">
        <f t="shared" si="26"/>
        <v>1</v>
      </c>
      <c r="L109" s="88">
        <f t="shared" si="26"/>
        <v>1</v>
      </c>
      <c r="M109" s="88">
        <f t="shared" si="26"/>
        <v>0.30743437083181213</v>
      </c>
      <c r="N109" s="88">
        <f t="shared" si="26"/>
        <v>0.30743437083181213</v>
      </c>
      <c r="O109" s="88">
        <f t="shared" si="26"/>
        <v>0.30743437083181213</v>
      </c>
      <c r="P109" s="88">
        <f t="shared" si="26"/>
        <v>0.69256562916818787</v>
      </c>
      <c r="Q109" s="88">
        <f t="shared" si="26"/>
        <v>1</v>
      </c>
      <c r="R109" s="88">
        <f t="shared" si="26"/>
        <v>1</v>
      </c>
      <c r="S109" s="88">
        <f t="shared" si="26"/>
        <v>0</v>
      </c>
      <c r="T109" s="69"/>
      <c r="U109" s="69"/>
    </row>
    <row r="110" spans="5:23" x14ac:dyDescent="0.25">
      <c r="F110" t="s">
        <v>838</v>
      </c>
      <c r="G110" s="62" t="s">
        <v>176</v>
      </c>
      <c r="J110" s="88">
        <f t="shared" ref="J110:S110" si="27">IF(J$38 = "", J90, J90 * J$38)</f>
        <v>1</v>
      </c>
      <c r="K110" s="88">
        <f t="shared" si="27"/>
        <v>1</v>
      </c>
      <c r="L110" s="88">
        <f t="shared" si="27"/>
        <v>1</v>
      </c>
      <c r="M110" s="88">
        <f t="shared" si="27"/>
        <v>0.30743437083181213</v>
      </c>
      <c r="N110" s="88">
        <f t="shared" si="27"/>
        <v>0.30743437083181213</v>
      </c>
      <c r="O110" s="88">
        <f t="shared" si="27"/>
        <v>0.30743437083181213</v>
      </c>
      <c r="P110" s="88">
        <f t="shared" si="27"/>
        <v>0.69256562916818787</v>
      </c>
      <c r="Q110" s="88">
        <f t="shared" si="27"/>
        <v>1</v>
      </c>
      <c r="R110" s="88">
        <f t="shared" si="27"/>
        <v>0</v>
      </c>
      <c r="S110" s="88">
        <f t="shared" si="27"/>
        <v>0</v>
      </c>
      <c r="T110" s="69"/>
      <c r="U110" s="69"/>
    </row>
    <row r="111" spans="5:23" x14ac:dyDescent="0.25">
      <c r="F111" t="s">
        <v>839</v>
      </c>
      <c r="G111" s="62" t="s">
        <v>176</v>
      </c>
      <c r="J111" s="88">
        <f t="shared" ref="J111:S111" si="28">IF(J$38 = "", J91, J91 * J$38)</f>
        <v>1</v>
      </c>
      <c r="K111" s="88">
        <f t="shared" si="28"/>
        <v>1</v>
      </c>
      <c r="L111" s="88">
        <f t="shared" si="28"/>
        <v>1</v>
      </c>
      <c r="M111" s="88">
        <f t="shared" si="28"/>
        <v>0.30743437083181213</v>
      </c>
      <c r="N111" s="88">
        <f t="shared" si="28"/>
        <v>0.30743437083181213</v>
      </c>
      <c r="O111" s="88">
        <f t="shared" si="28"/>
        <v>0.30743437083181213</v>
      </c>
      <c r="P111" s="88">
        <f t="shared" si="28"/>
        <v>0.69256562916818787</v>
      </c>
      <c r="Q111" s="88">
        <f t="shared" si="28"/>
        <v>1</v>
      </c>
      <c r="R111" s="88">
        <f t="shared" si="28"/>
        <v>1</v>
      </c>
      <c r="S111" s="88">
        <f t="shared" si="28"/>
        <v>1</v>
      </c>
      <c r="T111" s="69"/>
      <c r="U111" s="69"/>
    </row>
    <row r="112" spans="5:23" x14ac:dyDescent="0.25">
      <c r="F112" t="s">
        <v>831</v>
      </c>
      <c r="G112" s="62" t="s">
        <v>176</v>
      </c>
      <c r="J112" s="88">
        <f t="shared" ref="J112:S112" si="29">IF(J$38 = "", J92, J92 * J$38)</f>
        <v>-1</v>
      </c>
      <c r="K112" s="88">
        <f t="shared" si="29"/>
        <v>-1</v>
      </c>
      <c r="L112" s="88">
        <f t="shared" si="29"/>
        <v>-1</v>
      </c>
      <c r="M112" s="88">
        <f t="shared" si="29"/>
        <v>-0.30743437083181213</v>
      </c>
      <c r="N112" s="88">
        <f t="shared" si="29"/>
        <v>-0.30743437083181213</v>
      </c>
      <c r="O112" s="88">
        <f t="shared" si="29"/>
        <v>-0.30743437083181213</v>
      </c>
      <c r="P112" s="88">
        <f t="shared" si="29"/>
        <v>-0.69256562916818787</v>
      </c>
      <c r="Q112" s="88">
        <f t="shared" si="29"/>
        <v>-1</v>
      </c>
      <c r="R112" s="88">
        <f t="shared" si="29"/>
        <v>-1</v>
      </c>
      <c r="S112" s="88">
        <f t="shared" si="29"/>
        <v>0</v>
      </c>
      <c r="T112" s="69"/>
      <c r="U112" s="69"/>
    </row>
    <row r="113" spans="3:23" x14ac:dyDescent="0.25">
      <c r="F113" t="s">
        <v>832</v>
      </c>
      <c r="G113" s="62" t="s">
        <v>176</v>
      </c>
      <c r="J113" s="88">
        <f t="shared" ref="J113:S113" si="30">IF(J$38 = "", J93, J93 * J$38)</f>
        <v>-1</v>
      </c>
      <c r="K113" s="88">
        <f t="shared" si="30"/>
        <v>-1</v>
      </c>
      <c r="L113" s="88">
        <f t="shared" si="30"/>
        <v>-1</v>
      </c>
      <c r="M113" s="88">
        <f t="shared" si="30"/>
        <v>-0.30743437083181213</v>
      </c>
      <c r="N113" s="88">
        <f t="shared" si="30"/>
        <v>-0.30743437083181213</v>
      </c>
      <c r="O113" s="88">
        <f t="shared" si="30"/>
        <v>-0.30743437083181213</v>
      </c>
      <c r="P113" s="88">
        <f t="shared" si="30"/>
        <v>-0.69256562916818787</v>
      </c>
      <c r="Q113" s="88">
        <f t="shared" si="30"/>
        <v>-1</v>
      </c>
      <c r="R113" s="88">
        <f t="shared" si="30"/>
        <v>0</v>
      </c>
      <c r="S113" s="88">
        <f t="shared" si="30"/>
        <v>0</v>
      </c>
      <c r="T113" s="69"/>
      <c r="U113" s="69"/>
    </row>
    <row r="114" spans="3:23" x14ac:dyDescent="0.25">
      <c r="F114" t="s">
        <v>833</v>
      </c>
      <c r="G114" s="62" t="s">
        <v>176</v>
      </c>
      <c r="J114" s="88">
        <f t="shared" ref="J114:S114" si="31">IF(J$38 = "", J94, J94 * J$38)</f>
        <v>-1</v>
      </c>
      <c r="K114" s="88">
        <f t="shared" si="31"/>
        <v>-1</v>
      </c>
      <c r="L114" s="88">
        <f t="shared" si="31"/>
        <v>-1</v>
      </c>
      <c r="M114" s="88">
        <f t="shared" si="31"/>
        <v>-0.30743437083181213</v>
      </c>
      <c r="N114" s="88">
        <f t="shared" si="31"/>
        <v>-0.30743437083181213</v>
      </c>
      <c r="O114" s="88">
        <f t="shared" si="31"/>
        <v>-0.30743437083181213</v>
      </c>
      <c r="P114" s="88">
        <f t="shared" si="31"/>
        <v>-0.69256562916818787</v>
      </c>
      <c r="Q114" s="88">
        <f t="shared" si="31"/>
        <v>-1</v>
      </c>
      <c r="R114" s="88">
        <f t="shared" si="31"/>
        <v>-1</v>
      </c>
      <c r="S114" s="88">
        <f t="shared" si="31"/>
        <v>0</v>
      </c>
      <c r="T114" s="69"/>
      <c r="U114" s="69"/>
    </row>
    <row r="115" spans="3:23" x14ac:dyDescent="0.25">
      <c r="F115" t="s">
        <v>842</v>
      </c>
      <c r="G115" s="62" t="s">
        <v>176</v>
      </c>
      <c r="J115" s="88">
        <f t="shared" ref="J115:S115" si="32">IF(J$38 = "", J95, J95 * J$38)</f>
        <v>-1</v>
      </c>
      <c r="K115" s="88">
        <f t="shared" si="32"/>
        <v>-1</v>
      </c>
      <c r="L115" s="88">
        <f t="shared" si="32"/>
        <v>-1</v>
      </c>
      <c r="M115" s="88">
        <f t="shared" si="32"/>
        <v>-0.30743437083181213</v>
      </c>
      <c r="N115" s="88">
        <f t="shared" si="32"/>
        <v>-0.30743437083181213</v>
      </c>
      <c r="O115" s="88">
        <f t="shared" si="32"/>
        <v>-0.30743437083181213</v>
      </c>
      <c r="P115" s="88">
        <f t="shared" si="32"/>
        <v>-0.69256562916818787</v>
      </c>
      <c r="Q115" s="88">
        <f t="shared" si="32"/>
        <v>-1</v>
      </c>
      <c r="R115" s="88">
        <f t="shared" si="32"/>
        <v>-1</v>
      </c>
      <c r="S115" s="88">
        <f t="shared" si="32"/>
        <v>0</v>
      </c>
      <c r="T115" s="69"/>
      <c r="U115" s="69"/>
    </row>
    <row r="116" spans="3:23" x14ac:dyDescent="0.25">
      <c r="F116" t="s">
        <v>834</v>
      </c>
      <c r="G116" s="62" t="s">
        <v>176</v>
      </c>
      <c r="J116" s="88">
        <f t="shared" ref="J116:S116" si="33">IF(J$38 = "", J96, J96 * J$38)</f>
        <v>-1</v>
      </c>
      <c r="K116" s="88">
        <f t="shared" si="33"/>
        <v>-1</v>
      </c>
      <c r="L116" s="88">
        <f t="shared" si="33"/>
        <v>-1</v>
      </c>
      <c r="M116" s="88">
        <f t="shared" si="33"/>
        <v>-0.30743437083181213</v>
      </c>
      <c r="N116" s="88">
        <f t="shared" si="33"/>
        <v>-0.30743437083181213</v>
      </c>
      <c r="O116" s="88">
        <f t="shared" si="33"/>
        <v>-0.30743437083181213</v>
      </c>
      <c r="P116" s="88">
        <f t="shared" si="33"/>
        <v>-0.69256562916818787</v>
      </c>
      <c r="Q116" s="88">
        <f t="shared" si="33"/>
        <v>-1</v>
      </c>
      <c r="R116" s="88">
        <f t="shared" si="33"/>
        <v>0</v>
      </c>
      <c r="S116" s="88">
        <f t="shared" si="33"/>
        <v>0</v>
      </c>
      <c r="T116" s="69"/>
      <c r="U116" s="69"/>
    </row>
    <row r="117" spans="3:23" x14ac:dyDescent="0.25">
      <c r="F117" t="s">
        <v>841</v>
      </c>
      <c r="G117" s="62" t="s">
        <v>176</v>
      </c>
      <c r="J117" s="88">
        <f t="shared" ref="J117:S117" si="34">IF(J$38 = "", J97, J97 * J$38)</f>
        <v>-1</v>
      </c>
      <c r="K117" s="88">
        <f t="shared" si="34"/>
        <v>-1</v>
      </c>
      <c r="L117" s="88">
        <f t="shared" si="34"/>
        <v>-1</v>
      </c>
      <c r="M117" s="88">
        <f t="shared" si="34"/>
        <v>-0.30743437083181213</v>
      </c>
      <c r="N117" s="88">
        <f t="shared" si="34"/>
        <v>-0.30743437083181213</v>
      </c>
      <c r="O117" s="88">
        <f t="shared" si="34"/>
        <v>-0.30743437083181213</v>
      </c>
      <c r="P117" s="88">
        <f t="shared" si="34"/>
        <v>-0.69256562916818787</v>
      </c>
      <c r="Q117" s="88">
        <f t="shared" si="34"/>
        <v>-1</v>
      </c>
      <c r="R117" s="88">
        <f t="shared" si="34"/>
        <v>0</v>
      </c>
      <c r="S117" s="88">
        <f t="shared" si="34"/>
        <v>0</v>
      </c>
      <c r="T117" s="69"/>
      <c r="U117" s="69"/>
    </row>
    <row r="118" spans="3:23" x14ac:dyDescent="0.25">
      <c r="F118" t="s">
        <v>835</v>
      </c>
      <c r="G118" s="62" t="s">
        <v>176</v>
      </c>
      <c r="J118" s="88">
        <f t="shared" ref="J118:S118" si="35">IF(J$38 = "", J98, J98 * J$38)</f>
        <v>-1</v>
      </c>
      <c r="K118" s="88">
        <f t="shared" si="35"/>
        <v>-1</v>
      </c>
      <c r="L118" s="88">
        <f t="shared" si="35"/>
        <v>-1</v>
      </c>
      <c r="M118" s="88">
        <f t="shared" si="35"/>
        <v>-0.30743437083181213</v>
      </c>
      <c r="N118" s="88">
        <f t="shared" si="35"/>
        <v>-0.30743437083181213</v>
      </c>
      <c r="O118" s="88">
        <f t="shared" si="35"/>
        <v>-0.30743437083181213</v>
      </c>
      <c r="P118" s="88">
        <f t="shared" si="35"/>
        <v>-0.69256562916818787</v>
      </c>
      <c r="Q118" s="88">
        <f t="shared" si="35"/>
        <v>0</v>
      </c>
      <c r="R118" s="88">
        <f t="shared" si="35"/>
        <v>0</v>
      </c>
      <c r="S118" s="88">
        <f t="shared" si="35"/>
        <v>0</v>
      </c>
      <c r="T118" s="69"/>
      <c r="U118" s="69"/>
    </row>
    <row r="119" spans="3:23" x14ac:dyDescent="0.25">
      <c r="F119" s="28" t="s">
        <v>840</v>
      </c>
      <c r="G119" s="70" t="s">
        <v>176</v>
      </c>
      <c r="H119" s="28"/>
      <c r="I119" s="28"/>
      <c r="J119" s="90">
        <f t="shared" ref="J119:S119" si="36">IF(J$38 = "", J99, J99 * J$38)</f>
        <v>-1</v>
      </c>
      <c r="K119" s="90">
        <f t="shared" si="36"/>
        <v>-1</v>
      </c>
      <c r="L119" s="90">
        <f t="shared" si="36"/>
        <v>-1</v>
      </c>
      <c r="M119" s="90">
        <f t="shared" si="36"/>
        <v>-0.30743437083181213</v>
      </c>
      <c r="N119" s="90">
        <f t="shared" si="36"/>
        <v>-0.30743437083181213</v>
      </c>
      <c r="O119" s="90">
        <f t="shared" si="36"/>
        <v>-0.30743437083181213</v>
      </c>
      <c r="P119" s="90">
        <f t="shared" si="36"/>
        <v>-0.69256562916818787</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control'!$H$36:$H$59,MATCH($A$1,'Version control'!$F$36:$F$59,0),1)&amp;"-E: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283</v>
      </c>
      <c r="H126" s="116">
        <f t="shared" ref="H126:H141" si="37">MAX(J126:S126)</f>
        <v>1.093</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1.093</v>
      </c>
      <c r="T126" s="73"/>
      <c r="U126" s="73"/>
      <c r="W126" s="3"/>
    </row>
    <row r="127" spans="3:23" x14ac:dyDescent="0.25">
      <c r="F127" t="s">
        <v>829</v>
      </c>
      <c r="G127" s="62" t="s">
        <v>283</v>
      </c>
      <c r="H127" s="88">
        <f t="shared" si="37"/>
        <v>1.093</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1.093</v>
      </c>
      <c r="T127" s="69"/>
      <c r="U127" s="69"/>
      <c r="W127" s="3"/>
    </row>
    <row r="128" spans="3:23" x14ac:dyDescent="0.25">
      <c r="F128" t="s">
        <v>828</v>
      </c>
      <c r="G128" s="62" t="s">
        <v>283</v>
      </c>
      <c r="H128" s="88">
        <f t="shared" si="37"/>
        <v>1.093</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1.093</v>
      </c>
      <c r="T128" s="69"/>
      <c r="U128" s="69"/>
      <c r="W128" s="3"/>
    </row>
    <row r="129" spans="5:23" x14ac:dyDescent="0.25">
      <c r="F129" t="s">
        <v>830</v>
      </c>
      <c r="G129" s="62" t="s">
        <v>283</v>
      </c>
      <c r="H129" s="88">
        <f t="shared" si="37"/>
        <v>1.093</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1.093</v>
      </c>
      <c r="T129" s="69"/>
      <c r="U129" s="69"/>
    </row>
    <row r="130" spans="5:23" x14ac:dyDescent="0.25">
      <c r="F130" t="s">
        <v>836</v>
      </c>
      <c r="G130" s="62" t="s">
        <v>283</v>
      </c>
      <c r="H130" s="88">
        <f t="shared" si="37"/>
        <v>1.093</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1.093</v>
      </c>
      <c r="T130" s="69"/>
      <c r="U130" s="69"/>
    </row>
    <row r="131" spans="5:23" x14ac:dyDescent="0.25">
      <c r="F131" t="s">
        <v>837</v>
      </c>
      <c r="G131" s="62" t="s">
        <v>283</v>
      </c>
      <c r="H131" s="88">
        <f t="shared" si="37"/>
        <v>1.071</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1.071</v>
      </c>
      <c r="S131" s="88">
        <f>OR(SUM(S70:$S70) = 1, SUM(S70:$S70) = -1) * S$29</f>
        <v>0</v>
      </c>
      <c r="T131" s="69"/>
      <c r="U131" s="69"/>
    </row>
    <row r="132" spans="5:23" x14ac:dyDescent="0.25">
      <c r="F132" t="s">
        <v>838</v>
      </c>
      <c r="G132" s="62" t="s">
        <v>283</v>
      </c>
      <c r="H132" s="88">
        <f t="shared" si="37"/>
        <v>1.054</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0</v>
      </c>
      <c r="Q132" s="88">
        <f>OR(SUM(Q71:$S71) = 1, SUM(Q71:$S71) = -1) * Q$29</f>
        <v>1.054</v>
      </c>
      <c r="R132" s="88">
        <f>OR(SUM(R71:$S71) = 1, SUM(R71:$S71) = -1) * R$29</f>
        <v>0</v>
      </c>
      <c r="S132" s="88">
        <f>OR(SUM(S71:$S71) = 1, SUM(S71:$S71) = -1) * S$29</f>
        <v>0</v>
      </c>
      <c r="T132" s="69"/>
      <c r="U132" s="69"/>
    </row>
    <row r="133" spans="5:23" x14ac:dyDescent="0.25">
      <c r="F133" t="s">
        <v>839</v>
      </c>
      <c r="G133" s="62" t="s">
        <v>283</v>
      </c>
      <c r="H133" s="88">
        <f t="shared" si="37"/>
        <v>1.093</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1.093</v>
      </c>
      <c r="T133" s="69"/>
      <c r="U133" s="69"/>
    </row>
    <row r="134" spans="5:23" x14ac:dyDescent="0.25">
      <c r="F134" t="s">
        <v>831</v>
      </c>
      <c r="G134" s="62" t="s">
        <v>283</v>
      </c>
      <c r="H134" s="88">
        <f t="shared" si="37"/>
        <v>1.093</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1.093</v>
      </c>
      <c r="T134" s="69"/>
      <c r="U134" s="69"/>
    </row>
    <row r="135" spans="5:23" x14ac:dyDescent="0.25">
      <c r="F135" t="s">
        <v>832</v>
      </c>
      <c r="G135" s="62" t="s">
        <v>283</v>
      </c>
      <c r="H135" s="88">
        <f t="shared" si="37"/>
        <v>1.071</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1.071</v>
      </c>
      <c r="S135" s="88">
        <f>OR(SUM(S74:$S74) = 1, SUM(S74:$S74) = -1) * S$29</f>
        <v>0</v>
      </c>
      <c r="T135" s="69"/>
      <c r="U135" s="69"/>
    </row>
    <row r="136" spans="5:23" x14ac:dyDescent="0.25">
      <c r="F136" t="s">
        <v>833</v>
      </c>
      <c r="G136" s="62" t="s">
        <v>283</v>
      </c>
      <c r="H136" s="88">
        <f t="shared" si="37"/>
        <v>1.093</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1.093</v>
      </c>
      <c r="T136" s="69"/>
      <c r="U136" s="69"/>
    </row>
    <row r="137" spans="5:23" x14ac:dyDescent="0.25">
      <c r="F137" t="s">
        <v>842</v>
      </c>
      <c r="G137" s="62" t="s">
        <v>283</v>
      </c>
      <c r="H137" s="88">
        <f t="shared" si="37"/>
        <v>1.093</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1.093</v>
      </c>
      <c r="T137" s="69"/>
      <c r="U137" s="69"/>
    </row>
    <row r="138" spans="5:23" x14ac:dyDescent="0.25">
      <c r="F138" t="s">
        <v>834</v>
      </c>
      <c r="G138" s="62" t="s">
        <v>283</v>
      </c>
      <c r="H138" s="88">
        <f t="shared" si="37"/>
        <v>1.071</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1.071</v>
      </c>
      <c r="S138" s="88">
        <f>OR(SUM(S77:$S77) = 1, SUM(S77:$S77) = -1) * S$29</f>
        <v>0</v>
      </c>
      <c r="T138" s="69"/>
      <c r="U138" s="69"/>
    </row>
    <row r="139" spans="5:23" x14ac:dyDescent="0.25">
      <c r="F139" t="s">
        <v>841</v>
      </c>
      <c r="G139" s="62" t="s">
        <v>283</v>
      </c>
      <c r="H139" s="88">
        <f t="shared" si="37"/>
        <v>1.071</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1.071</v>
      </c>
      <c r="S139" s="88">
        <f>OR(SUM(S78:$S78) = 1, SUM(S78:$S78) = -1) * S$29</f>
        <v>0</v>
      </c>
      <c r="T139" s="69"/>
      <c r="U139" s="69"/>
    </row>
    <row r="140" spans="5:23" x14ac:dyDescent="0.25">
      <c r="F140" t="s">
        <v>835</v>
      </c>
      <c r="G140" s="62" t="s">
        <v>283</v>
      </c>
      <c r="H140" s="88">
        <f t="shared" si="37"/>
        <v>1.054</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0</v>
      </c>
      <c r="Q140" s="88">
        <f>OR(SUM(Q79:$S79) = 1, SUM(Q79:$S79) = -1) * Q$29</f>
        <v>1.054</v>
      </c>
      <c r="R140" s="88">
        <f>OR(SUM(R79:$S79) = 1, SUM(R79:$S79) = -1) * R$29</f>
        <v>0</v>
      </c>
      <c r="S140" s="88">
        <f>OR(SUM(S79:$S79) = 1, SUM(S79:$S79) = -1) * S$29</f>
        <v>0</v>
      </c>
      <c r="T140" s="69"/>
      <c r="U140" s="69"/>
    </row>
    <row r="141" spans="5:23" x14ac:dyDescent="0.25">
      <c r="F141" s="28" t="s">
        <v>840</v>
      </c>
      <c r="G141" s="70" t="s">
        <v>283</v>
      </c>
      <c r="H141" s="90">
        <f t="shared" si="37"/>
        <v>1.054</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0</v>
      </c>
      <c r="Q141" s="90">
        <f>OR(SUM(Q80:$S80) = 1, SUM(Q80:$S80) = -1) * Q$29</f>
        <v>1.054</v>
      </c>
      <c r="R141" s="90">
        <f>OR(SUM(R80:$S80) = 1, SUM(R80:$S80) = -1) * R$29</f>
        <v>0</v>
      </c>
      <c r="S141" s="90">
        <f>OR(SUM(S80:$S80) = 1, SUM(S80:$S80) = -1) * S$29</f>
        <v>0</v>
      </c>
      <c r="T141" s="71"/>
      <c r="U141" s="71"/>
    </row>
    <row r="142" spans="5:23" x14ac:dyDescent="0.25">
      <c r="G142" s="12"/>
    </row>
    <row r="143" spans="5:23" x14ac:dyDescent="0.25">
      <c r="E143" s="27" t="s">
        <v>407</v>
      </c>
      <c r="G143" s="12"/>
      <c r="I143" t="s">
        <v>154</v>
      </c>
      <c r="W143" s="3" t="s">
        <v>408</v>
      </c>
    </row>
    <row r="144" spans="5:23" x14ac:dyDescent="0.25">
      <c r="E144" s="24" t="s">
        <v>400</v>
      </c>
      <c r="G144" s="12"/>
    </row>
    <row r="145" spans="6:23" x14ac:dyDescent="0.25">
      <c r="F145" s="19" t="s">
        <v>827</v>
      </c>
      <c r="G145" s="68" t="s">
        <v>283</v>
      </c>
      <c r="H145" s="119"/>
      <c r="I145" s="19"/>
      <c r="J145" s="91">
        <f t="shared" ref="J145:S145" si="38">$H126 * J104</f>
        <v>1.093</v>
      </c>
      <c r="K145" s="91">
        <f t="shared" si="38"/>
        <v>1.093</v>
      </c>
      <c r="L145" s="91">
        <f t="shared" si="38"/>
        <v>1.093</v>
      </c>
      <c r="M145" s="91">
        <f t="shared" si="38"/>
        <v>0.33602576731917067</v>
      </c>
      <c r="N145" s="91">
        <f t="shared" si="38"/>
        <v>0.33602576731917067</v>
      </c>
      <c r="O145" s="91">
        <f t="shared" si="38"/>
        <v>0.33602576731917067</v>
      </c>
      <c r="P145" s="91">
        <f t="shared" si="38"/>
        <v>0.75697423268082931</v>
      </c>
      <c r="Q145" s="91">
        <f t="shared" si="38"/>
        <v>1.093</v>
      </c>
      <c r="R145" s="91">
        <f t="shared" si="38"/>
        <v>1.093</v>
      </c>
      <c r="S145" s="91">
        <f t="shared" si="38"/>
        <v>1.093</v>
      </c>
      <c r="T145" s="73"/>
      <c r="U145" s="73"/>
    </row>
    <row r="146" spans="6:23" x14ac:dyDescent="0.25">
      <c r="F146" t="s">
        <v>829</v>
      </c>
      <c r="G146" s="62" t="s">
        <v>283</v>
      </c>
      <c r="H146" s="53"/>
      <c r="J146" s="111">
        <f t="shared" ref="J146:S146" si="39">$H127 * J105</f>
        <v>1.093</v>
      </c>
      <c r="K146" s="111">
        <f t="shared" si="39"/>
        <v>1.093</v>
      </c>
      <c r="L146" s="111">
        <f t="shared" si="39"/>
        <v>1.093</v>
      </c>
      <c r="M146" s="111">
        <f t="shared" si="39"/>
        <v>0.33602576731917067</v>
      </c>
      <c r="N146" s="111">
        <f t="shared" si="39"/>
        <v>0.33602576731917067</v>
      </c>
      <c r="O146" s="111">
        <f t="shared" si="39"/>
        <v>0.33602576731917067</v>
      </c>
      <c r="P146" s="111">
        <f t="shared" si="39"/>
        <v>0.75697423268082931</v>
      </c>
      <c r="Q146" s="111">
        <f t="shared" si="39"/>
        <v>1.093</v>
      </c>
      <c r="R146" s="111">
        <f t="shared" si="39"/>
        <v>1.093</v>
      </c>
      <c r="S146" s="111">
        <f t="shared" si="39"/>
        <v>1.093</v>
      </c>
      <c r="T146" s="69"/>
      <c r="U146" s="69"/>
      <c r="W146" s="3"/>
    </row>
    <row r="147" spans="6:23" x14ac:dyDescent="0.25">
      <c r="F147" t="s">
        <v>828</v>
      </c>
      <c r="G147" s="62" t="s">
        <v>283</v>
      </c>
      <c r="H147" s="53"/>
      <c r="J147" s="111">
        <f t="shared" ref="J147:S147" si="40">$H128 * J106</f>
        <v>1.093</v>
      </c>
      <c r="K147" s="111">
        <f t="shared" si="40"/>
        <v>1.093</v>
      </c>
      <c r="L147" s="111">
        <f t="shared" si="40"/>
        <v>1.093</v>
      </c>
      <c r="M147" s="111">
        <f t="shared" si="40"/>
        <v>0.33602576731917067</v>
      </c>
      <c r="N147" s="111">
        <f t="shared" si="40"/>
        <v>0.33602576731917067</v>
      </c>
      <c r="O147" s="111">
        <f t="shared" si="40"/>
        <v>0.33602576731917067</v>
      </c>
      <c r="P147" s="111">
        <f t="shared" si="40"/>
        <v>0.75697423268082931</v>
      </c>
      <c r="Q147" s="111">
        <f t="shared" si="40"/>
        <v>1.093</v>
      </c>
      <c r="R147" s="111">
        <f t="shared" si="40"/>
        <v>1.093</v>
      </c>
      <c r="S147" s="111">
        <f t="shared" si="40"/>
        <v>1.093</v>
      </c>
      <c r="T147" s="69"/>
      <c r="U147" s="69"/>
      <c r="W147" s="3"/>
    </row>
    <row r="148" spans="6:23" x14ac:dyDescent="0.25">
      <c r="F148" t="s">
        <v>830</v>
      </c>
      <c r="G148" s="62" t="s">
        <v>283</v>
      </c>
      <c r="H148" s="53"/>
      <c r="J148" s="111">
        <f t="shared" ref="J148:S148" si="41">$H129 * J107</f>
        <v>1.093</v>
      </c>
      <c r="K148" s="111">
        <f t="shared" si="41"/>
        <v>1.093</v>
      </c>
      <c r="L148" s="111">
        <f t="shared" si="41"/>
        <v>1.093</v>
      </c>
      <c r="M148" s="111">
        <f t="shared" si="41"/>
        <v>0.33602576731917067</v>
      </c>
      <c r="N148" s="111">
        <f t="shared" si="41"/>
        <v>0.33602576731917067</v>
      </c>
      <c r="O148" s="111">
        <f t="shared" si="41"/>
        <v>0.33602576731917067</v>
      </c>
      <c r="P148" s="111">
        <f t="shared" si="41"/>
        <v>0.75697423268082931</v>
      </c>
      <c r="Q148" s="111">
        <f t="shared" si="41"/>
        <v>1.093</v>
      </c>
      <c r="R148" s="111">
        <f t="shared" si="41"/>
        <v>1.093</v>
      </c>
      <c r="S148" s="111">
        <f t="shared" si="41"/>
        <v>1.093</v>
      </c>
      <c r="T148" s="69"/>
      <c r="U148" s="69"/>
    </row>
    <row r="149" spans="6:23" x14ac:dyDescent="0.25">
      <c r="F149" t="s">
        <v>836</v>
      </c>
      <c r="G149" s="62" t="s">
        <v>283</v>
      </c>
      <c r="H149" s="53"/>
      <c r="J149" s="111">
        <f t="shared" ref="J149:S149" si="42">$H130 * J108</f>
        <v>1.093</v>
      </c>
      <c r="K149" s="111">
        <f t="shared" si="42"/>
        <v>1.093</v>
      </c>
      <c r="L149" s="111">
        <f t="shared" si="42"/>
        <v>1.093</v>
      </c>
      <c r="M149" s="111">
        <f t="shared" si="42"/>
        <v>0.33602576731917067</v>
      </c>
      <c r="N149" s="111">
        <f t="shared" si="42"/>
        <v>0.33602576731917067</v>
      </c>
      <c r="O149" s="111">
        <f t="shared" si="42"/>
        <v>0.33602576731917067</v>
      </c>
      <c r="P149" s="111">
        <f t="shared" si="42"/>
        <v>0.75697423268082931</v>
      </c>
      <c r="Q149" s="111">
        <f t="shared" si="42"/>
        <v>1.093</v>
      </c>
      <c r="R149" s="111">
        <f t="shared" si="42"/>
        <v>1.093</v>
      </c>
      <c r="S149" s="111">
        <f t="shared" si="42"/>
        <v>1.093</v>
      </c>
      <c r="T149" s="69"/>
      <c r="U149" s="69"/>
    </row>
    <row r="150" spans="6:23" x14ac:dyDescent="0.25">
      <c r="F150" t="s">
        <v>837</v>
      </c>
      <c r="G150" s="62" t="s">
        <v>283</v>
      </c>
      <c r="H150" s="53"/>
      <c r="J150" s="111">
        <f t="shared" ref="J150:S150" si="43">$H131 * J109</f>
        <v>1.071</v>
      </c>
      <c r="K150" s="111">
        <f t="shared" si="43"/>
        <v>1.071</v>
      </c>
      <c r="L150" s="111">
        <f t="shared" si="43"/>
        <v>1.071</v>
      </c>
      <c r="M150" s="111">
        <f t="shared" si="43"/>
        <v>0.32926221116087079</v>
      </c>
      <c r="N150" s="111">
        <f t="shared" si="43"/>
        <v>0.32926221116087079</v>
      </c>
      <c r="O150" s="111">
        <f t="shared" si="43"/>
        <v>0.32926221116087079</v>
      </c>
      <c r="P150" s="111">
        <f t="shared" si="43"/>
        <v>0.74173778883912922</v>
      </c>
      <c r="Q150" s="111">
        <f t="shared" si="43"/>
        <v>1.071</v>
      </c>
      <c r="R150" s="111">
        <f t="shared" si="43"/>
        <v>1.071</v>
      </c>
      <c r="S150" s="111">
        <f t="shared" si="43"/>
        <v>0</v>
      </c>
      <c r="T150" s="69"/>
      <c r="U150" s="69"/>
    </row>
    <row r="151" spans="6:23" x14ac:dyDescent="0.25">
      <c r="F151" t="s">
        <v>838</v>
      </c>
      <c r="G151" s="62" t="s">
        <v>283</v>
      </c>
      <c r="H151" s="53"/>
      <c r="J151" s="111">
        <f t="shared" ref="J151:S151" si="44">$H132 * J110</f>
        <v>1.054</v>
      </c>
      <c r="K151" s="111">
        <f t="shared" si="44"/>
        <v>1.054</v>
      </c>
      <c r="L151" s="111">
        <f t="shared" si="44"/>
        <v>1.054</v>
      </c>
      <c r="M151" s="111">
        <f t="shared" si="44"/>
        <v>0.32403582685672999</v>
      </c>
      <c r="N151" s="111">
        <f t="shared" si="44"/>
        <v>0.32403582685672999</v>
      </c>
      <c r="O151" s="111">
        <f t="shared" si="44"/>
        <v>0.32403582685672999</v>
      </c>
      <c r="P151" s="111">
        <f t="shared" si="44"/>
        <v>0.72996417314327</v>
      </c>
      <c r="Q151" s="111">
        <f t="shared" si="44"/>
        <v>1.054</v>
      </c>
      <c r="R151" s="111">
        <f t="shared" si="44"/>
        <v>0</v>
      </c>
      <c r="S151" s="111">
        <f t="shared" si="44"/>
        <v>0</v>
      </c>
      <c r="T151" s="69"/>
      <c r="U151" s="69"/>
    </row>
    <row r="152" spans="6:23" x14ac:dyDescent="0.25">
      <c r="F152" t="s">
        <v>839</v>
      </c>
      <c r="G152" s="62" t="s">
        <v>283</v>
      </c>
      <c r="H152" s="53"/>
      <c r="J152" s="111">
        <f t="shared" ref="J152:S152" si="45">$H133 * J111</f>
        <v>1.093</v>
      </c>
      <c r="K152" s="111">
        <f t="shared" si="45"/>
        <v>1.093</v>
      </c>
      <c r="L152" s="111">
        <f t="shared" si="45"/>
        <v>1.093</v>
      </c>
      <c r="M152" s="111">
        <f t="shared" si="45"/>
        <v>0.33602576731917067</v>
      </c>
      <c r="N152" s="111">
        <f t="shared" si="45"/>
        <v>0.33602576731917067</v>
      </c>
      <c r="O152" s="111">
        <f t="shared" si="45"/>
        <v>0.33602576731917067</v>
      </c>
      <c r="P152" s="111">
        <f t="shared" si="45"/>
        <v>0.75697423268082931</v>
      </c>
      <c r="Q152" s="111">
        <f t="shared" si="45"/>
        <v>1.093</v>
      </c>
      <c r="R152" s="111">
        <f t="shared" si="45"/>
        <v>1.093</v>
      </c>
      <c r="S152" s="111">
        <f t="shared" si="45"/>
        <v>1.093</v>
      </c>
      <c r="T152" s="69"/>
      <c r="U152" s="69"/>
    </row>
    <row r="153" spans="6:23" x14ac:dyDescent="0.25">
      <c r="F153" t="s">
        <v>831</v>
      </c>
      <c r="G153" s="62" t="s">
        <v>283</v>
      </c>
      <c r="H153" s="53"/>
      <c r="J153" s="111">
        <f t="shared" ref="J153:S153" si="46">$H134 * J112</f>
        <v>-1.093</v>
      </c>
      <c r="K153" s="111">
        <f t="shared" si="46"/>
        <v>-1.093</v>
      </c>
      <c r="L153" s="111">
        <f t="shared" si="46"/>
        <v>-1.093</v>
      </c>
      <c r="M153" s="111">
        <f t="shared" si="46"/>
        <v>-0.33602576731917067</v>
      </c>
      <c r="N153" s="111">
        <f t="shared" si="46"/>
        <v>-0.33602576731917067</v>
      </c>
      <c r="O153" s="111">
        <f t="shared" si="46"/>
        <v>-0.33602576731917067</v>
      </c>
      <c r="P153" s="111">
        <f t="shared" si="46"/>
        <v>-0.75697423268082931</v>
      </c>
      <c r="Q153" s="111">
        <f t="shared" si="46"/>
        <v>-1.093</v>
      </c>
      <c r="R153" s="111">
        <f t="shared" si="46"/>
        <v>-1.093</v>
      </c>
      <c r="S153" s="111">
        <f t="shared" si="46"/>
        <v>0</v>
      </c>
      <c r="T153" s="69"/>
      <c r="U153" s="69"/>
    </row>
    <row r="154" spans="6:23" x14ac:dyDescent="0.25">
      <c r="F154" t="s">
        <v>832</v>
      </c>
      <c r="G154" s="62" t="s">
        <v>283</v>
      </c>
      <c r="H154" s="53"/>
      <c r="J154" s="111">
        <f t="shared" ref="J154:S154" si="47">$H135 * J113</f>
        <v>-1.071</v>
      </c>
      <c r="K154" s="111">
        <f t="shared" si="47"/>
        <v>-1.071</v>
      </c>
      <c r="L154" s="111">
        <f t="shared" si="47"/>
        <v>-1.071</v>
      </c>
      <c r="M154" s="111">
        <f t="shared" si="47"/>
        <v>-0.32926221116087079</v>
      </c>
      <c r="N154" s="111">
        <f t="shared" si="47"/>
        <v>-0.32926221116087079</v>
      </c>
      <c r="O154" s="111">
        <f t="shared" si="47"/>
        <v>-0.32926221116087079</v>
      </c>
      <c r="P154" s="111">
        <f t="shared" si="47"/>
        <v>-0.74173778883912922</v>
      </c>
      <c r="Q154" s="111">
        <f t="shared" si="47"/>
        <v>-1.071</v>
      </c>
      <c r="R154" s="111">
        <f t="shared" si="47"/>
        <v>0</v>
      </c>
      <c r="S154" s="111">
        <f t="shared" si="47"/>
        <v>0</v>
      </c>
      <c r="T154" s="69"/>
      <c r="U154" s="69"/>
    </row>
    <row r="155" spans="6:23" x14ac:dyDescent="0.25">
      <c r="F155" t="s">
        <v>833</v>
      </c>
      <c r="G155" s="62" t="s">
        <v>283</v>
      </c>
      <c r="H155" s="53"/>
      <c r="J155" s="111">
        <f t="shared" ref="J155:S155" si="48">$H136 * J114</f>
        <v>-1.093</v>
      </c>
      <c r="K155" s="111">
        <f t="shared" si="48"/>
        <v>-1.093</v>
      </c>
      <c r="L155" s="111">
        <f t="shared" si="48"/>
        <v>-1.093</v>
      </c>
      <c r="M155" s="111">
        <f t="shared" si="48"/>
        <v>-0.33602576731917067</v>
      </c>
      <c r="N155" s="111">
        <f t="shared" si="48"/>
        <v>-0.33602576731917067</v>
      </c>
      <c r="O155" s="111">
        <f t="shared" si="48"/>
        <v>-0.33602576731917067</v>
      </c>
      <c r="P155" s="111">
        <f t="shared" si="48"/>
        <v>-0.75697423268082931</v>
      </c>
      <c r="Q155" s="111">
        <f t="shared" si="48"/>
        <v>-1.093</v>
      </c>
      <c r="R155" s="111">
        <f t="shared" si="48"/>
        <v>-1.093</v>
      </c>
      <c r="S155" s="111">
        <f t="shared" si="48"/>
        <v>0</v>
      </c>
      <c r="T155" s="69"/>
      <c r="U155" s="69"/>
    </row>
    <row r="156" spans="6:23" x14ac:dyDescent="0.25">
      <c r="F156" t="s">
        <v>842</v>
      </c>
      <c r="G156" s="62" t="s">
        <v>283</v>
      </c>
      <c r="H156" s="53"/>
      <c r="J156" s="111">
        <f t="shared" ref="J156:S156" si="49">$H137 * J115</f>
        <v>-1.093</v>
      </c>
      <c r="K156" s="111">
        <f t="shared" si="49"/>
        <v>-1.093</v>
      </c>
      <c r="L156" s="111">
        <f t="shared" si="49"/>
        <v>-1.093</v>
      </c>
      <c r="M156" s="111">
        <f t="shared" si="49"/>
        <v>-0.33602576731917067</v>
      </c>
      <c r="N156" s="111">
        <f t="shared" si="49"/>
        <v>-0.33602576731917067</v>
      </c>
      <c r="O156" s="111">
        <f t="shared" si="49"/>
        <v>-0.33602576731917067</v>
      </c>
      <c r="P156" s="111">
        <f t="shared" si="49"/>
        <v>-0.75697423268082931</v>
      </c>
      <c r="Q156" s="111">
        <f t="shared" si="49"/>
        <v>-1.093</v>
      </c>
      <c r="R156" s="111">
        <f t="shared" si="49"/>
        <v>-1.093</v>
      </c>
      <c r="S156" s="111">
        <f t="shared" si="49"/>
        <v>0</v>
      </c>
      <c r="T156" s="69"/>
      <c r="U156" s="69"/>
    </row>
    <row r="157" spans="6:23" x14ac:dyDescent="0.25">
      <c r="F157" t="s">
        <v>834</v>
      </c>
      <c r="G157" s="62" t="s">
        <v>283</v>
      </c>
      <c r="H157" s="53"/>
      <c r="J157" s="111">
        <f t="shared" ref="J157:S157" si="50">$H138 * J116</f>
        <v>-1.071</v>
      </c>
      <c r="K157" s="111">
        <f t="shared" si="50"/>
        <v>-1.071</v>
      </c>
      <c r="L157" s="111">
        <f t="shared" si="50"/>
        <v>-1.071</v>
      </c>
      <c r="M157" s="111">
        <f t="shared" si="50"/>
        <v>-0.32926221116087079</v>
      </c>
      <c r="N157" s="111">
        <f t="shared" si="50"/>
        <v>-0.32926221116087079</v>
      </c>
      <c r="O157" s="111">
        <f t="shared" si="50"/>
        <v>-0.32926221116087079</v>
      </c>
      <c r="P157" s="111">
        <f t="shared" si="50"/>
        <v>-0.74173778883912922</v>
      </c>
      <c r="Q157" s="111">
        <f t="shared" si="50"/>
        <v>-1.071</v>
      </c>
      <c r="R157" s="111">
        <f t="shared" si="50"/>
        <v>0</v>
      </c>
      <c r="S157" s="111">
        <f t="shared" si="50"/>
        <v>0</v>
      </c>
      <c r="T157" s="69"/>
      <c r="U157" s="69"/>
    </row>
    <row r="158" spans="6:23" x14ac:dyDescent="0.25">
      <c r="F158" t="s">
        <v>841</v>
      </c>
      <c r="G158" s="62" t="s">
        <v>283</v>
      </c>
      <c r="H158" s="53"/>
      <c r="J158" s="111">
        <f t="shared" ref="J158:S158" si="51">$H139 * J117</f>
        <v>-1.071</v>
      </c>
      <c r="K158" s="111">
        <f t="shared" si="51"/>
        <v>-1.071</v>
      </c>
      <c r="L158" s="111">
        <f t="shared" si="51"/>
        <v>-1.071</v>
      </c>
      <c r="M158" s="111">
        <f t="shared" si="51"/>
        <v>-0.32926221116087079</v>
      </c>
      <c r="N158" s="111">
        <f t="shared" si="51"/>
        <v>-0.32926221116087079</v>
      </c>
      <c r="O158" s="111">
        <f t="shared" si="51"/>
        <v>-0.32926221116087079</v>
      </c>
      <c r="P158" s="111">
        <f t="shared" si="51"/>
        <v>-0.74173778883912922</v>
      </c>
      <c r="Q158" s="111">
        <f t="shared" si="51"/>
        <v>-1.071</v>
      </c>
      <c r="R158" s="111">
        <f t="shared" si="51"/>
        <v>0</v>
      </c>
      <c r="S158" s="111">
        <f t="shared" si="51"/>
        <v>0</v>
      </c>
      <c r="T158" s="69"/>
      <c r="U158" s="69"/>
    </row>
    <row r="159" spans="6:23" x14ac:dyDescent="0.25">
      <c r="F159" t="s">
        <v>835</v>
      </c>
      <c r="G159" s="62" t="s">
        <v>283</v>
      </c>
      <c r="H159" s="53"/>
      <c r="J159" s="111">
        <f t="shared" ref="J159:S159" si="52">$H140 * J118</f>
        <v>-1.054</v>
      </c>
      <c r="K159" s="111">
        <f t="shared" si="52"/>
        <v>-1.054</v>
      </c>
      <c r="L159" s="111">
        <f t="shared" si="52"/>
        <v>-1.054</v>
      </c>
      <c r="M159" s="111">
        <f t="shared" si="52"/>
        <v>-0.32403582685672999</v>
      </c>
      <c r="N159" s="111">
        <f t="shared" si="52"/>
        <v>-0.32403582685672999</v>
      </c>
      <c r="O159" s="111">
        <f t="shared" si="52"/>
        <v>-0.32403582685672999</v>
      </c>
      <c r="P159" s="111">
        <f t="shared" si="52"/>
        <v>-0.72996417314327</v>
      </c>
      <c r="Q159" s="111">
        <f t="shared" si="52"/>
        <v>0</v>
      </c>
      <c r="R159" s="111">
        <f t="shared" si="52"/>
        <v>0</v>
      </c>
      <c r="S159" s="111">
        <f t="shared" si="52"/>
        <v>0</v>
      </c>
      <c r="T159" s="69"/>
      <c r="U159" s="69"/>
    </row>
    <row r="160" spans="6:23" x14ac:dyDescent="0.25">
      <c r="F160" s="28" t="s">
        <v>840</v>
      </c>
      <c r="G160" s="70" t="s">
        <v>283</v>
      </c>
      <c r="H160" s="120"/>
      <c r="I160" s="28"/>
      <c r="J160" s="121">
        <f t="shared" ref="J160:S160" si="53">$H141 * J119</f>
        <v>-1.054</v>
      </c>
      <c r="K160" s="121">
        <f t="shared" si="53"/>
        <v>-1.054</v>
      </c>
      <c r="L160" s="121">
        <f t="shared" si="53"/>
        <v>-1.054</v>
      </c>
      <c r="M160" s="121">
        <f t="shared" si="53"/>
        <v>-0.32403582685672999</v>
      </c>
      <c r="N160" s="121">
        <f t="shared" si="53"/>
        <v>-0.32403582685672999</v>
      </c>
      <c r="O160" s="121">
        <f t="shared" si="53"/>
        <v>-0.32403582685672999</v>
      </c>
      <c r="P160" s="121">
        <f t="shared" si="53"/>
        <v>-0.72996417314327</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154</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283</v>
      </c>
      <c r="H164" s="119"/>
      <c r="I164" s="19"/>
      <c r="J164" s="73"/>
      <c r="K164" s="73"/>
      <c r="L164" s="73"/>
      <c r="M164" s="73"/>
      <c r="N164" s="73"/>
      <c r="O164" s="73"/>
      <c r="P164" s="73"/>
      <c r="Q164" s="73"/>
      <c r="R164" s="73"/>
      <c r="S164" s="73"/>
      <c r="T164" s="73"/>
      <c r="U164" s="73"/>
    </row>
    <row r="165" spans="5:23" x14ac:dyDescent="0.25">
      <c r="F165" t="s">
        <v>829</v>
      </c>
      <c r="G165" s="62" t="s">
        <v>283</v>
      </c>
      <c r="H165" s="53"/>
      <c r="J165" s="69"/>
      <c r="K165" s="69"/>
      <c r="L165" s="69"/>
      <c r="M165" s="69"/>
      <c r="N165" s="69"/>
      <c r="O165" s="69"/>
      <c r="P165" s="69"/>
      <c r="Q165" s="69"/>
      <c r="R165" s="69"/>
      <c r="S165" s="69"/>
      <c r="T165" s="69"/>
      <c r="U165" s="69"/>
      <c r="W165" s="3"/>
    </row>
    <row r="166" spans="5:23" x14ac:dyDescent="0.25">
      <c r="F166" t="s">
        <v>828</v>
      </c>
      <c r="G166" s="62" t="s">
        <v>283</v>
      </c>
      <c r="H166" s="53"/>
      <c r="J166" s="69"/>
      <c r="K166" s="69"/>
      <c r="L166" s="69"/>
      <c r="M166" s="69"/>
      <c r="N166" s="69"/>
      <c r="O166" s="69"/>
      <c r="P166" s="69"/>
      <c r="Q166" s="69"/>
      <c r="R166" s="69"/>
      <c r="S166" s="69"/>
      <c r="T166" s="69"/>
      <c r="U166" s="69"/>
      <c r="W166" s="3"/>
    </row>
    <row r="167" spans="5:23" x14ac:dyDescent="0.25">
      <c r="F167" t="s">
        <v>830</v>
      </c>
      <c r="G167" s="62" t="s">
        <v>283</v>
      </c>
      <c r="H167" s="53"/>
      <c r="J167" s="69"/>
      <c r="K167" s="69"/>
      <c r="L167" s="69"/>
      <c r="M167" s="69"/>
      <c r="N167" s="69"/>
      <c r="O167" s="69"/>
      <c r="P167" s="69"/>
      <c r="Q167" s="69"/>
      <c r="R167" s="69"/>
      <c r="S167" s="69"/>
      <c r="T167" s="69"/>
      <c r="U167" s="69"/>
    </row>
    <row r="168" spans="5:23" x14ac:dyDescent="0.25">
      <c r="F168" t="s">
        <v>836</v>
      </c>
      <c r="G168" s="62" t="s">
        <v>283</v>
      </c>
      <c r="H168" s="53"/>
      <c r="J168" s="69"/>
      <c r="K168" s="69"/>
      <c r="L168" s="69"/>
      <c r="M168" s="69"/>
      <c r="N168" s="69"/>
      <c r="O168" s="69"/>
      <c r="P168" s="69"/>
      <c r="Q168" s="69"/>
      <c r="R168" s="69"/>
      <c r="S168" s="69"/>
      <c r="T168" s="69"/>
      <c r="U168" s="69"/>
    </row>
    <row r="169" spans="5:23" x14ac:dyDescent="0.25">
      <c r="F169" t="s">
        <v>837</v>
      </c>
      <c r="G169" s="62" t="s">
        <v>283</v>
      </c>
      <c r="H169" s="53"/>
      <c r="J169" s="69"/>
      <c r="K169" s="69"/>
      <c r="L169" s="69"/>
      <c r="M169" s="69"/>
      <c r="N169" s="69"/>
      <c r="O169" s="69"/>
      <c r="P169" s="69"/>
      <c r="Q169" s="69"/>
      <c r="R169" s="69"/>
      <c r="S169" s="69"/>
      <c r="T169" s="69"/>
      <c r="U169" s="69"/>
    </row>
    <row r="170" spans="5:23" x14ac:dyDescent="0.25">
      <c r="F170" t="s">
        <v>838</v>
      </c>
      <c r="G170" s="62" t="s">
        <v>283</v>
      </c>
      <c r="H170" s="53"/>
      <c r="J170" s="69"/>
      <c r="K170" s="69"/>
      <c r="L170" s="69"/>
      <c r="M170" s="69"/>
      <c r="N170" s="69"/>
      <c r="O170" s="69"/>
      <c r="P170" s="69"/>
      <c r="Q170" s="69"/>
      <c r="R170" s="69"/>
      <c r="S170" s="69"/>
      <c r="T170" s="69"/>
      <c r="U170" s="69"/>
    </row>
    <row r="171" spans="5:23" x14ac:dyDescent="0.25">
      <c r="F171" t="s">
        <v>839</v>
      </c>
      <c r="G171" s="62" t="s">
        <v>283</v>
      </c>
      <c r="H171" s="53"/>
      <c r="J171" s="69"/>
      <c r="K171" s="69"/>
      <c r="L171" s="69"/>
      <c r="M171" s="69"/>
      <c r="N171" s="69"/>
      <c r="O171" s="69"/>
      <c r="P171" s="69"/>
      <c r="Q171" s="69"/>
      <c r="R171" s="69"/>
      <c r="S171" s="69"/>
      <c r="T171" s="69"/>
      <c r="U171" s="69"/>
    </row>
    <row r="172" spans="5:23" x14ac:dyDescent="0.25">
      <c r="F172" t="s">
        <v>831</v>
      </c>
      <c r="G172" s="62" t="s">
        <v>283</v>
      </c>
      <c r="H172" s="53"/>
      <c r="J172" s="111">
        <f t="shared" ref="J172:S172" si="54">$H134 * J73</f>
        <v>-1.093</v>
      </c>
      <c r="K172" s="111">
        <f t="shared" si="54"/>
        <v>-1.093</v>
      </c>
      <c r="L172" s="111">
        <f t="shared" si="54"/>
        <v>-1.093</v>
      </c>
      <c r="M172" s="111">
        <f t="shared" si="54"/>
        <v>-0.33602576731917067</v>
      </c>
      <c r="N172" s="111">
        <f t="shared" si="54"/>
        <v>-0.33602576731917067</v>
      </c>
      <c r="O172" s="111">
        <f t="shared" si="54"/>
        <v>-0.33602576731917067</v>
      </c>
      <c r="P172" s="111">
        <f t="shared" si="54"/>
        <v>-0.75697423268082931</v>
      </c>
      <c r="Q172" s="111">
        <f t="shared" si="54"/>
        <v>-1.093</v>
      </c>
      <c r="R172" s="111">
        <f t="shared" si="54"/>
        <v>-1.093</v>
      </c>
      <c r="S172" s="111">
        <f t="shared" si="54"/>
        <v>-1.093</v>
      </c>
      <c r="T172" s="69"/>
      <c r="U172" s="69"/>
    </row>
    <row r="173" spans="5:23" x14ac:dyDescent="0.25">
      <c r="F173" t="s">
        <v>832</v>
      </c>
      <c r="G173" s="62" t="s">
        <v>283</v>
      </c>
      <c r="H173" s="53"/>
      <c r="J173" s="111">
        <f t="shared" ref="J173:S173" si="55">$H135 * J74</f>
        <v>-1.071</v>
      </c>
      <c r="K173" s="111">
        <f t="shared" si="55"/>
        <v>-1.071</v>
      </c>
      <c r="L173" s="111">
        <f t="shared" si="55"/>
        <v>-1.071</v>
      </c>
      <c r="M173" s="111">
        <f t="shared" si="55"/>
        <v>-0.32926221116087079</v>
      </c>
      <c r="N173" s="111">
        <f t="shared" si="55"/>
        <v>-0.32926221116087079</v>
      </c>
      <c r="O173" s="111">
        <f t="shared" si="55"/>
        <v>-0.32926221116087079</v>
      </c>
      <c r="P173" s="111">
        <f t="shared" si="55"/>
        <v>-0.74173778883912922</v>
      </c>
      <c r="Q173" s="111">
        <f t="shared" si="55"/>
        <v>-1.071</v>
      </c>
      <c r="R173" s="111">
        <f t="shared" si="55"/>
        <v>-1.071</v>
      </c>
      <c r="S173" s="111">
        <f t="shared" si="55"/>
        <v>0</v>
      </c>
      <c r="T173" s="69"/>
      <c r="U173" s="69"/>
    </row>
    <row r="174" spans="5:23" x14ac:dyDescent="0.25">
      <c r="F174" t="s">
        <v>833</v>
      </c>
      <c r="G174" s="62" t="s">
        <v>283</v>
      </c>
      <c r="H174" s="53"/>
      <c r="J174" s="111">
        <f t="shared" ref="J174:S174" si="56">$H136 * J75</f>
        <v>-1.093</v>
      </c>
      <c r="K174" s="111">
        <f t="shared" si="56"/>
        <v>-1.093</v>
      </c>
      <c r="L174" s="111">
        <f t="shared" si="56"/>
        <v>-1.093</v>
      </c>
      <c r="M174" s="111">
        <f t="shared" si="56"/>
        <v>-0.33602576731917067</v>
      </c>
      <c r="N174" s="111">
        <f t="shared" si="56"/>
        <v>-0.33602576731917067</v>
      </c>
      <c r="O174" s="111">
        <f t="shared" si="56"/>
        <v>-0.33602576731917067</v>
      </c>
      <c r="P174" s="111">
        <f t="shared" si="56"/>
        <v>-0.75697423268082931</v>
      </c>
      <c r="Q174" s="111">
        <f t="shared" si="56"/>
        <v>-1.093</v>
      </c>
      <c r="R174" s="111">
        <f t="shared" si="56"/>
        <v>-1.093</v>
      </c>
      <c r="S174" s="111">
        <f t="shared" si="56"/>
        <v>-1.093</v>
      </c>
      <c r="T174" s="69"/>
      <c r="U174" s="69"/>
    </row>
    <row r="175" spans="5:23" x14ac:dyDescent="0.25">
      <c r="F175" t="s">
        <v>842</v>
      </c>
      <c r="G175" s="62" t="s">
        <v>283</v>
      </c>
      <c r="H175" s="53"/>
      <c r="J175" s="111">
        <f t="shared" ref="J175:S175" si="57">$H137 * J76</f>
        <v>-1.093</v>
      </c>
      <c r="K175" s="111">
        <f t="shared" si="57"/>
        <v>-1.093</v>
      </c>
      <c r="L175" s="111">
        <f t="shared" si="57"/>
        <v>-1.093</v>
      </c>
      <c r="M175" s="111">
        <f t="shared" si="57"/>
        <v>-0.33602576731917067</v>
      </c>
      <c r="N175" s="111">
        <f t="shared" si="57"/>
        <v>-0.33602576731917067</v>
      </c>
      <c r="O175" s="111">
        <f t="shared" si="57"/>
        <v>-0.33602576731917067</v>
      </c>
      <c r="P175" s="111">
        <f t="shared" si="57"/>
        <v>-0.75697423268082931</v>
      </c>
      <c r="Q175" s="111">
        <f t="shared" si="57"/>
        <v>-1.093</v>
      </c>
      <c r="R175" s="111">
        <f t="shared" si="57"/>
        <v>-1.093</v>
      </c>
      <c r="S175" s="111">
        <f t="shared" si="57"/>
        <v>-1.093</v>
      </c>
      <c r="T175" s="69"/>
      <c r="U175" s="69"/>
    </row>
    <row r="176" spans="5:23" x14ac:dyDescent="0.25">
      <c r="F176" t="s">
        <v>834</v>
      </c>
      <c r="G176" s="62" t="s">
        <v>283</v>
      </c>
      <c r="H176" s="53"/>
      <c r="J176" s="111">
        <f t="shared" ref="J176:S176" si="58">$H138 * J77</f>
        <v>-1.071</v>
      </c>
      <c r="K176" s="111">
        <f t="shared" si="58"/>
        <v>-1.071</v>
      </c>
      <c r="L176" s="111">
        <f t="shared" si="58"/>
        <v>-1.071</v>
      </c>
      <c r="M176" s="111">
        <f t="shared" si="58"/>
        <v>-0.32926221116087079</v>
      </c>
      <c r="N176" s="111">
        <f t="shared" si="58"/>
        <v>-0.32926221116087079</v>
      </c>
      <c r="O176" s="111">
        <f t="shared" si="58"/>
        <v>-0.32926221116087079</v>
      </c>
      <c r="P176" s="111">
        <f t="shared" si="58"/>
        <v>-0.74173778883912922</v>
      </c>
      <c r="Q176" s="111">
        <f t="shared" si="58"/>
        <v>-1.071</v>
      </c>
      <c r="R176" s="111">
        <f t="shared" si="58"/>
        <v>-1.071</v>
      </c>
      <c r="S176" s="111">
        <f t="shared" si="58"/>
        <v>0</v>
      </c>
      <c r="T176" s="69"/>
      <c r="U176" s="69"/>
    </row>
    <row r="177" spans="2:23" x14ac:dyDescent="0.25">
      <c r="F177" t="s">
        <v>841</v>
      </c>
      <c r="G177" s="62" t="s">
        <v>283</v>
      </c>
      <c r="H177" s="53"/>
      <c r="J177" s="111">
        <f t="shared" ref="J177:S177" si="59">$H139 * J78</f>
        <v>-1.071</v>
      </c>
      <c r="K177" s="111">
        <f t="shared" si="59"/>
        <v>-1.071</v>
      </c>
      <c r="L177" s="111">
        <f t="shared" si="59"/>
        <v>-1.071</v>
      </c>
      <c r="M177" s="111">
        <f t="shared" si="59"/>
        <v>-0.32926221116087079</v>
      </c>
      <c r="N177" s="111">
        <f t="shared" si="59"/>
        <v>-0.32926221116087079</v>
      </c>
      <c r="O177" s="111">
        <f t="shared" si="59"/>
        <v>-0.32926221116087079</v>
      </c>
      <c r="P177" s="111">
        <f t="shared" si="59"/>
        <v>-0.74173778883912922</v>
      </c>
      <c r="Q177" s="111">
        <f t="shared" si="59"/>
        <v>-1.071</v>
      </c>
      <c r="R177" s="111">
        <f t="shared" si="59"/>
        <v>-1.071</v>
      </c>
      <c r="S177" s="111">
        <f t="shared" si="59"/>
        <v>0</v>
      </c>
      <c r="T177" s="69"/>
      <c r="U177" s="69"/>
    </row>
    <row r="178" spans="2:23" x14ac:dyDescent="0.25">
      <c r="F178" t="s">
        <v>835</v>
      </c>
      <c r="G178" s="62" t="s">
        <v>283</v>
      </c>
      <c r="H178" s="53"/>
      <c r="J178" s="111">
        <f t="shared" ref="J178:S178" si="60">$H140 * J79</f>
        <v>-1.054</v>
      </c>
      <c r="K178" s="111">
        <f t="shared" si="60"/>
        <v>-1.054</v>
      </c>
      <c r="L178" s="111">
        <f t="shared" si="60"/>
        <v>-1.054</v>
      </c>
      <c r="M178" s="111">
        <f t="shared" si="60"/>
        <v>-0.32403582685672999</v>
      </c>
      <c r="N178" s="111">
        <f t="shared" si="60"/>
        <v>-0.32403582685672999</v>
      </c>
      <c r="O178" s="111">
        <f t="shared" si="60"/>
        <v>-0.32403582685672999</v>
      </c>
      <c r="P178" s="111">
        <f t="shared" si="60"/>
        <v>-0.72996417314327</v>
      </c>
      <c r="Q178" s="111">
        <f t="shared" si="60"/>
        <v>-1.054</v>
      </c>
      <c r="R178" s="111">
        <f t="shared" si="60"/>
        <v>0</v>
      </c>
      <c r="S178" s="111">
        <f t="shared" si="60"/>
        <v>0</v>
      </c>
      <c r="T178" s="69"/>
      <c r="U178" s="69"/>
    </row>
    <row r="179" spans="2:23" x14ac:dyDescent="0.25">
      <c r="F179" s="28" t="s">
        <v>840</v>
      </c>
      <c r="G179" s="70" t="s">
        <v>283</v>
      </c>
      <c r="H179" s="120"/>
      <c r="I179" s="28"/>
      <c r="J179" s="121">
        <f t="shared" ref="J179:S179" si="61">$H141 * J80</f>
        <v>-1.054</v>
      </c>
      <c r="K179" s="121">
        <f t="shared" si="61"/>
        <v>-1.054</v>
      </c>
      <c r="L179" s="121">
        <f t="shared" si="61"/>
        <v>-1.054</v>
      </c>
      <c r="M179" s="121">
        <f t="shared" si="61"/>
        <v>-0.32403582685672999</v>
      </c>
      <c r="N179" s="121">
        <f t="shared" si="61"/>
        <v>-0.32403582685672999</v>
      </c>
      <c r="O179" s="121">
        <f t="shared" si="61"/>
        <v>-0.32403582685672999</v>
      </c>
      <c r="P179" s="121">
        <f t="shared" si="61"/>
        <v>-0.72996417314327</v>
      </c>
      <c r="Q179" s="121">
        <f t="shared" si="61"/>
        <v>-1.054</v>
      </c>
      <c r="R179" s="121">
        <f t="shared" si="61"/>
        <v>0</v>
      </c>
      <c r="S179" s="121">
        <f t="shared" si="61"/>
        <v>0</v>
      </c>
      <c r="T179" s="71"/>
      <c r="U179" s="71"/>
    </row>
    <row r="180" spans="2:23" x14ac:dyDescent="0.25">
      <c r="G180" s="12"/>
    </row>
    <row r="181" spans="2:23" x14ac:dyDescent="0.2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232</v>
      </c>
      <c r="G183" s="6" t="s">
        <v>55</v>
      </c>
      <c r="H183" s="93">
        <f t="array" ref="H183">SUM(IF(ISERROR(H19:W181), 1))</f>
        <v>0</v>
      </c>
    </row>
    <row r="185" spans="2:23" x14ac:dyDescent="0.2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WPD West Midlands - Final</v>
      </c>
    </row>
    <row r="3" spans="1:23" s="5" customFormat="1" x14ac:dyDescent="0.25">
      <c r="A3" s="5" t="str">
        <f>Cover!D2&amp;" - "&amp;Cover!D8&amp;" v"&amp;Cover!D10&amp;" - "&amp;Cover!D19</f>
        <v>CDCM charging model - Release for charge setting v8 - 2023/24</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W5" s="51" t="s">
        <v>145</v>
      </c>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control'!$H$36:$H$59,MATCH($A$1,'Version control'!$F$36:$F$59,0),1)&amp;"-A: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180</v>
      </c>
      <c r="H18" s="3"/>
      <c r="I18" s="3" t="s">
        <v>154</v>
      </c>
      <c r="J18" s="3"/>
      <c r="K18" s="3"/>
      <c r="L18" s="3"/>
      <c r="M18" s="3"/>
      <c r="N18" s="3"/>
      <c r="O18" s="3"/>
      <c r="P18" s="3"/>
      <c r="Q18" s="3"/>
      <c r="R18" s="3"/>
      <c r="S18" s="3"/>
      <c r="T18" s="3"/>
      <c r="U18" s="3"/>
      <c r="W18" s="3" t="s">
        <v>181</v>
      </c>
    </row>
    <row r="19" spans="5:23" x14ac:dyDescent="0.25">
      <c r="E19" s="24" t="s">
        <v>182</v>
      </c>
      <c r="H19" s="3"/>
      <c r="I19" s="3"/>
      <c r="J19" s="3"/>
      <c r="K19" s="3"/>
      <c r="L19" s="3"/>
      <c r="M19" s="3"/>
      <c r="N19" s="3"/>
      <c r="O19" s="3"/>
      <c r="P19" s="3"/>
      <c r="Q19" s="3"/>
      <c r="R19" s="3"/>
      <c r="S19" s="3"/>
      <c r="T19" s="3"/>
      <c r="U19" s="3"/>
      <c r="W19" s="3"/>
    </row>
    <row r="20" spans="5:23" x14ac:dyDescent="0.25">
      <c r="F20" s="124"/>
      <c r="G20" s="124"/>
      <c r="H20" s="125"/>
      <c r="I20" s="125"/>
      <c r="J20" s="126" t="s">
        <v>183</v>
      </c>
      <c r="K20" s="126" t="s">
        <v>184</v>
      </c>
      <c r="L20" s="126" t="s">
        <v>185</v>
      </c>
      <c r="M20" s="126" t="s">
        <v>186</v>
      </c>
      <c r="O20" s="3"/>
      <c r="P20" s="3"/>
      <c r="Q20" s="3"/>
      <c r="R20" s="3"/>
      <c r="S20" s="3"/>
      <c r="T20" s="3"/>
      <c r="U20" s="3"/>
    </row>
    <row r="21" spans="5:23" x14ac:dyDescent="0.25">
      <c r="F21" s="23" t="s">
        <v>827</v>
      </c>
      <c r="G21" s="12" t="s">
        <v>176</v>
      </c>
      <c r="H21" s="3"/>
      <c r="I21" s="3"/>
      <c r="J21" s="127">
        <f t="array" ref="J21:M36">TRANSPOSE('Fixed inputs'!J53:Y56)</f>
        <v>0</v>
      </c>
      <c r="K21" s="127">
        <v>0</v>
      </c>
      <c r="L21" s="127">
        <v>0</v>
      </c>
      <c r="M21" s="127">
        <v>1</v>
      </c>
      <c r="S21" s="3"/>
      <c r="T21" s="3"/>
      <c r="U21" s="3"/>
      <c r="W21" s="3"/>
    </row>
    <row r="22" spans="5:23" x14ac:dyDescent="0.25">
      <c r="F22" s="23" t="s">
        <v>829</v>
      </c>
      <c r="G22" s="12" t="s">
        <v>176</v>
      </c>
      <c r="H22" s="3"/>
      <c r="I22" s="3"/>
      <c r="J22" s="127">
        <v>0</v>
      </c>
      <c r="K22" s="127">
        <v>0</v>
      </c>
      <c r="L22" s="127">
        <v>0</v>
      </c>
      <c r="M22" s="127">
        <v>1</v>
      </c>
      <c r="S22" s="3"/>
      <c r="T22" s="3"/>
      <c r="U22" s="3"/>
      <c r="W22" s="3"/>
    </row>
    <row r="23" spans="5:23" x14ac:dyDescent="0.25">
      <c r="F23" s="23" t="s">
        <v>828</v>
      </c>
      <c r="G23" s="12" t="s">
        <v>176</v>
      </c>
      <c r="H23" s="3"/>
      <c r="I23" s="3"/>
      <c r="J23" s="127">
        <v>0</v>
      </c>
      <c r="K23" s="127">
        <v>0</v>
      </c>
      <c r="L23" s="127">
        <v>0</v>
      </c>
      <c r="M23" s="127">
        <v>1</v>
      </c>
      <c r="S23" s="3"/>
      <c r="T23" s="3"/>
      <c r="U23" s="3"/>
      <c r="W23" s="3"/>
    </row>
    <row r="24" spans="5:23" x14ac:dyDescent="0.25">
      <c r="F24" s="23" t="s">
        <v>830</v>
      </c>
      <c r="G24" s="12" t="s">
        <v>176</v>
      </c>
      <c r="H24" s="3"/>
      <c r="I24" s="3"/>
      <c r="J24" s="127">
        <v>0</v>
      </c>
      <c r="K24" s="127">
        <v>0</v>
      </c>
      <c r="L24" s="127">
        <v>0</v>
      </c>
      <c r="M24" s="127">
        <v>1</v>
      </c>
      <c r="S24" s="3"/>
      <c r="T24" s="3"/>
      <c r="U24" s="3"/>
      <c r="W24" s="3"/>
    </row>
    <row r="25" spans="5:23" x14ac:dyDescent="0.25">
      <c r="F25" s="23" t="s">
        <v>836</v>
      </c>
      <c r="G25" s="12" t="s">
        <v>176</v>
      </c>
      <c r="H25" s="3"/>
      <c r="I25" s="3"/>
      <c r="J25" s="127">
        <v>0</v>
      </c>
      <c r="K25" s="127">
        <v>0</v>
      </c>
      <c r="L25" s="127">
        <v>0</v>
      </c>
      <c r="M25" s="127">
        <v>1</v>
      </c>
      <c r="S25" s="3"/>
      <c r="T25" s="3"/>
      <c r="U25" s="3"/>
      <c r="W25" s="3"/>
    </row>
    <row r="26" spans="5:23" x14ac:dyDescent="0.25">
      <c r="F26" s="23" t="s">
        <v>837</v>
      </c>
      <c r="G26" s="12" t="s">
        <v>176</v>
      </c>
      <c r="H26" s="3"/>
      <c r="I26" s="3"/>
      <c r="J26" s="127">
        <v>0</v>
      </c>
      <c r="K26" s="127">
        <v>0</v>
      </c>
      <c r="L26" s="127">
        <v>1</v>
      </c>
      <c r="M26" s="127">
        <v>0</v>
      </c>
      <c r="S26" s="3"/>
      <c r="T26" s="3"/>
      <c r="U26" s="3"/>
      <c r="W26" s="3"/>
    </row>
    <row r="27" spans="5:23" x14ac:dyDescent="0.25">
      <c r="F27" s="23" t="s">
        <v>838</v>
      </c>
      <c r="G27" s="12" t="s">
        <v>176</v>
      </c>
      <c r="H27" s="3"/>
      <c r="I27" s="3"/>
      <c r="J27" s="127">
        <v>0</v>
      </c>
      <c r="K27" s="127">
        <v>1</v>
      </c>
      <c r="L27" s="127">
        <v>0</v>
      </c>
      <c r="M27" s="127">
        <v>0</v>
      </c>
      <c r="S27" s="3"/>
      <c r="T27" s="3"/>
      <c r="U27" s="3"/>
      <c r="W27" s="3"/>
    </row>
    <row r="28" spans="5:23" x14ac:dyDescent="0.25">
      <c r="F28" s="23" t="s">
        <v>839</v>
      </c>
      <c r="G28" s="12" t="s">
        <v>176</v>
      </c>
      <c r="H28" s="3"/>
      <c r="I28" s="3"/>
      <c r="J28" s="127">
        <v>0</v>
      </c>
      <c r="K28" s="127">
        <v>0</v>
      </c>
      <c r="L28" s="127">
        <v>0</v>
      </c>
      <c r="M28" s="127">
        <v>1</v>
      </c>
      <c r="S28" s="3"/>
      <c r="T28" s="3"/>
      <c r="U28" s="3"/>
      <c r="W28" s="3"/>
    </row>
    <row r="29" spans="5:23" x14ac:dyDescent="0.25">
      <c r="F29" s="23" t="s">
        <v>831</v>
      </c>
      <c r="G29" s="12" t="s">
        <v>176</v>
      </c>
      <c r="H29" s="3"/>
      <c r="I29" s="3"/>
      <c r="J29" s="127">
        <v>0</v>
      </c>
      <c r="K29" s="127">
        <v>0</v>
      </c>
      <c r="L29" s="127">
        <v>0</v>
      </c>
      <c r="M29" s="127">
        <v>1</v>
      </c>
      <c r="S29" s="3"/>
      <c r="T29" s="3"/>
      <c r="U29" s="3"/>
      <c r="W29" s="3"/>
    </row>
    <row r="30" spans="5:23" x14ac:dyDescent="0.25">
      <c r="F30" s="23" t="s">
        <v>832</v>
      </c>
      <c r="G30" s="12" t="s">
        <v>176</v>
      </c>
      <c r="H30" s="3"/>
      <c r="I30" s="3"/>
      <c r="J30" s="127">
        <v>0</v>
      </c>
      <c r="K30" s="127">
        <v>0</v>
      </c>
      <c r="L30" s="127">
        <v>1</v>
      </c>
      <c r="M30" s="127">
        <v>0</v>
      </c>
      <c r="S30" s="3"/>
      <c r="T30" s="3"/>
      <c r="U30" s="3"/>
      <c r="W30" s="3"/>
    </row>
    <row r="31" spans="5:23" x14ac:dyDescent="0.25">
      <c r="F31" s="23" t="s">
        <v>833</v>
      </c>
      <c r="G31" s="12" t="s">
        <v>176</v>
      </c>
      <c r="H31" s="3"/>
      <c r="I31" s="3"/>
      <c r="J31" s="127">
        <v>0</v>
      </c>
      <c r="K31" s="127">
        <v>0</v>
      </c>
      <c r="L31" s="127">
        <v>0</v>
      </c>
      <c r="M31" s="127">
        <v>1</v>
      </c>
      <c r="S31" s="3"/>
      <c r="T31" s="3"/>
      <c r="U31" s="3"/>
      <c r="W31" s="3"/>
    </row>
    <row r="32" spans="5:23" x14ac:dyDescent="0.25">
      <c r="F32" s="23" t="s">
        <v>842</v>
      </c>
      <c r="G32" s="12" t="s">
        <v>176</v>
      </c>
      <c r="H32" s="3"/>
      <c r="I32" s="3"/>
      <c r="J32" s="127">
        <v>0</v>
      </c>
      <c r="K32" s="127">
        <v>0</v>
      </c>
      <c r="L32" s="127">
        <v>0</v>
      </c>
      <c r="M32" s="127">
        <v>1</v>
      </c>
      <c r="S32" s="3"/>
      <c r="T32" s="3"/>
      <c r="U32" s="3"/>
      <c r="W32" s="3"/>
    </row>
    <row r="33" spans="3:23" x14ac:dyDescent="0.25">
      <c r="F33" s="23" t="s">
        <v>834</v>
      </c>
      <c r="G33" s="12" t="s">
        <v>176</v>
      </c>
      <c r="H33" s="3"/>
      <c r="I33" s="3"/>
      <c r="J33" s="127">
        <v>0</v>
      </c>
      <c r="K33" s="127">
        <v>0</v>
      </c>
      <c r="L33" s="127">
        <v>1</v>
      </c>
      <c r="M33" s="127">
        <v>0</v>
      </c>
      <c r="S33" s="3"/>
      <c r="T33" s="3"/>
      <c r="U33" s="3"/>
      <c r="W33" s="3"/>
    </row>
    <row r="34" spans="3:23" x14ac:dyDescent="0.25">
      <c r="F34" s="23" t="s">
        <v>841</v>
      </c>
      <c r="G34" s="12" t="s">
        <v>176</v>
      </c>
      <c r="H34" s="3"/>
      <c r="I34" s="3"/>
      <c r="J34" s="127">
        <v>0</v>
      </c>
      <c r="K34" s="127">
        <v>0</v>
      </c>
      <c r="L34" s="127">
        <v>1</v>
      </c>
      <c r="M34" s="127">
        <v>0</v>
      </c>
      <c r="S34" s="3"/>
      <c r="T34" s="3"/>
      <c r="U34" s="3"/>
      <c r="W34" s="3"/>
    </row>
    <row r="35" spans="3:23" x14ac:dyDescent="0.25">
      <c r="F35" s="23" t="s">
        <v>835</v>
      </c>
      <c r="G35" s="12" t="s">
        <v>176</v>
      </c>
      <c r="H35" s="3"/>
      <c r="I35" s="3"/>
      <c r="J35" s="127">
        <v>0</v>
      </c>
      <c r="K35" s="127">
        <v>1</v>
      </c>
      <c r="L35" s="127">
        <v>0</v>
      </c>
      <c r="M35" s="127">
        <v>0</v>
      </c>
      <c r="S35" s="3"/>
      <c r="T35" s="3"/>
      <c r="U35" s="3"/>
      <c r="W35" s="3"/>
    </row>
    <row r="36" spans="3:23" x14ac:dyDescent="0.25">
      <c r="F36" s="57" t="s">
        <v>840</v>
      </c>
      <c r="G36" s="76" t="s">
        <v>176</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control'!$H$36:$H$59,MATCH($A$1,'Version control'!$F$36:$F$59,0),1)&amp;"-B: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154</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25">
      <c r="F43" s="23" t="s">
        <v>186</v>
      </c>
      <c r="G43" s="62" t="s">
        <v>167</v>
      </c>
      <c r="H43" s="3"/>
      <c r="I43" s="3"/>
      <c r="J43" s="56"/>
      <c r="K43" s="56"/>
      <c r="L43" s="21">
        <f>'Inputs by network level'!L26</f>
        <v>0</v>
      </c>
      <c r="M43" s="21">
        <f>'Inputs by network level'!M26</f>
        <v>0</v>
      </c>
      <c r="N43" s="21">
        <f>'Inputs by network level'!N26</f>
        <v>0</v>
      </c>
      <c r="O43" s="21">
        <f>'Inputs by network level'!O26</f>
        <v>0</v>
      </c>
      <c r="P43" s="21">
        <f>'Inputs by network level'!P26</f>
        <v>0</v>
      </c>
      <c r="Q43" s="21">
        <f>'Inputs by network level'!Q26</f>
        <v>0.38684969697494365</v>
      </c>
      <c r="R43" s="21">
        <f>'Inputs by network level'!R26</f>
        <v>0.64124825573068889</v>
      </c>
      <c r="S43" s="21">
        <f>'Inputs by network level'!S26</f>
        <v>0.89564681448643413</v>
      </c>
      <c r="T43" s="56"/>
      <c r="U43" s="56"/>
      <c r="W43" s="3"/>
    </row>
    <row r="44" spans="3:23" x14ac:dyDescent="0.25">
      <c r="F44" s="23" t="s">
        <v>185</v>
      </c>
      <c r="G44" s="62" t="s">
        <v>167</v>
      </c>
      <c r="H44" s="3"/>
      <c r="I44" s="3"/>
      <c r="J44" s="56"/>
      <c r="K44" s="56"/>
      <c r="L44" s="21">
        <f>'Inputs by network level'!L27</f>
        <v>0</v>
      </c>
      <c r="M44" s="21">
        <f>'Inputs by network level'!M27</f>
        <v>0</v>
      </c>
      <c r="N44" s="21">
        <f>'Inputs by network level'!N27</f>
        <v>0</v>
      </c>
      <c r="O44" s="21">
        <f>'Inputs by network level'!O27</f>
        <v>0</v>
      </c>
      <c r="P44" s="21">
        <f>'Inputs by network level'!P27</f>
        <v>0</v>
      </c>
      <c r="Q44" s="21">
        <f>'Inputs by network level'!Q27</f>
        <v>0.38684969697494365</v>
      </c>
      <c r="R44" s="21">
        <f>'Inputs by network level'!R27</f>
        <v>0.64124825573068889</v>
      </c>
      <c r="S44" s="21">
        <f>'Inputs by network level'!S27</f>
        <v>0</v>
      </c>
      <c r="T44" s="56"/>
      <c r="U44" s="56"/>
      <c r="W44" s="3"/>
    </row>
    <row r="45" spans="3:23" x14ac:dyDescent="0.25">
      <c r="F45" s="23" t="s">
        <v>184</v>
      </c>
      <c r="G45" s="62" t="s">
        <v>167</v>
      </c>
      <c r="H45" s="3"/>
      <c r="I45" s="3"/>
      <c r="J45" s="56"/>
      <c r="K45" s="56"/>
      <c r="L45" s="21">
        <f>'Inputs by network level'!L28</f>
        <v>0</v>
      </c>
      <c r="M45" s="21">
        <f>'Inputs by network level'!M28</f>
        <v>0</v>
      </c>
      <c r="N45" s="21">
        <f>'Inputs by network level'!N28</f>
        <v>0</v>
      </c>
      <c r="O45" s="21">
        <f>'Inputs by network level'!O28</f>
        <v>0.25764106948138837</v>
      </c>
      <c r="P45" s="21">
        <f>'Inputs by network level'!P28</f>
        <v>0.25764106948138837</v>
      </c>
      <c r="Q45" s="21">
        <f>'Inputs by network level'!Q28</f>
        <v>0.51528213896277675</v>
      </c>
      <c r="R45" s="21">
        <f>'Inputs by network level'!R28</f>
        <v>0</v>
      </c>
      <c r="S45" s="21">
        <f>'Inputs by network level'!S28</f>
        <v>0</v>
      </c>
      <c r="T45" s="56"/>
      <c r="U45" s="56"/>
      <c r="W45" s="3"/>
    </row>
    <row r="46" spans="3:23" x14ac:dyDescent="0.25">
      <c r="F46" s="57" t="s">
        <v>183</v>
      </c>
      <c r="G46" s="70" t="s">
        <v>167</v>
      </c>
      <c r="H46" s="66"/>
      <c r="I46" s="66"/>
      <c r="J46" s="58"/>
      <c r="K46" s="58"/>
      <c r="L46" s="131">
        <f>'Inputs by network level'!L29</f>
        <v>0</v>
      </c>
      <c r="M46" s="131">
        <f>'Inputs by network level'!M29</f>
        <v>0</v>
      </c>
      <c r="N46" s="131">
        <f>'Inputs by network level'!N29</f>
        <v>0</v>
      </c>
      <c r="O46" s="131">
        <f>'Inputs by network level'!O29</f>
        <v>0.25764106948138837</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25">
      <c r="F51" s="23" t="s">
        <v>827</v>
      </c>
      <c r="G51" s="23"/>
      <c r="H51" s="62" t="s">
        <v>167</v>
      </c>
      <c r="J51" s="60"/>
      <c r="K51" s="60"/>
      <c r="L51" s="101">
        <f t="shared" ref="L51:S60" si="0">$M21 * L$43 + $L21 * L$44 + $K21 * L$45 + $J21 * L$46</f>
        <v>0</v>
      </c>
      <c r="M51" s="101">
        <f t="shared" si="0"/>
        <v>0</v>
      </c>
      <c r="N51" s="101">
        <f t="shared" si="0"/>
        <v>0</v>
      </c>
      <c r="O51" s="101">
        <f t="shared" si="0"/>
        <v>0</v>
      </c>
      <c r="P51" s="101">
        <f t="shared" si="0"/>
        <v>0</v>
      </c>
      <c r="Q51" s="101">
        <f t="shared" si="0"/>
        <v>0.38684969697494365</v>
      </c>
      <c r="R51" s="101">
        <f t="shared" si="0"/>
        <v>0.64124825573068889</v>
      </c>
      <c r="S51" s="101">
        <f t="shared" si="0"/>
        <v>0.89564681448643413</v>
      </c>
      <c r="T51" s="60"/>
      <c r="U51" s="60"/>
    </row>
    <row r="52" spans="5:23" x14ac:dyDescent="0.25">
      <c r="F52" s="23" t="s">
        <v>829</v>
      </c>
      <c r="G52" s="23"/>
      <c r="H52" s="62" t="s">
        <v>167</v>
      </c>
      <c r="J52" s="60"/>
      <c r="K52" s="60"/>
      <c r="L52" s="101">
        <f t="shared" si="0"/>
        <v>0</v>
      </c>
      <c r="M52" s="101">
        <f t="shared" si="0"/>
        <v>0</v>
      </c>
      <c r="N52" s="101">
        <f t="shared" si="0"/>
        <v>0</v>
      </c>
      <c r="O52" s="101">
        <f t="shared" si="0"/>
        <v>0</v>
      </c>
      <c r="P52" s="101">
        <f t="shared" si="0"/>
        <v>0</v>
      </c>
      <c r="Q52" s="101">
        <f t="shared" si="0"/>
        <v>0.38684969697494365</v>
      </c>
      <c r="R52" s="101">
        <f t="shared" si="0"/>
        <v>0.64124825573068889</v>
      </c>
      <c r="S52" s="101">
        <f t="shared" si="0"/>
        <v>0.89564681448643413</v>
      </c>
      <c r="T52" s="60"/>
      <c r="U52" s="60"/>
    </row>
    <row r="53" spans="5:23" x14ac:dyDescent="0.25">
      <c r="F53" s="23" t="s">
        <v>828</v>
      </c>
      <c r="G53" s="23"/>
      <c r="H53" s="62" t="s">
        <v>167</v>
      </c>
      <c r="J53" s="60"/>
      <c r="K53" s="60"/>
      <c r="L53" s="101">
        <f t="shared" si="0"/>
        <v>0</v>
      </c>
      <c r="M53" s="101">
        <f t="shared" si="0"/>
        <v>0</v>
      </c>
      <c r="N53" s="101">
        <f t="shared" si="0"/>
        <v>0</v>
      </c>
      <c r="O53" s="101">
        <f t="shared" si="0"/>
        <v>0</v>
      </c>
      <c r="P53" s="101">
        <f t="shared" si="0"/>
        <v>0</v>
      </c>
      <c r="Q53" s="101">
        <f t="shared" si="0"/>
        <v>0.38684969697494365</v>
      </c>
      <c r="R53" s="101">
        <f t="shared" si="0"/>
        <v>0.64124825573068889</v>
      </c>
      <c r="S53" s="101">
        <f t="shared" si="0"/>
        <v>0.89564681448643413</v>
      </c>
      <c r="T53" s="60"/>
      <c r="U53" s="60"/>
    </row>
    <row r="54" spans="5:23" x14ac:dyDescent="0.25">
      <c r="F54" s="23" t="s">
        <v>830</v>
      </c>
      <c r="G54" s="23"/>
      <c r="H54" s="62" t="s">
        <v>167</v>
      </c>
      <c r="J54" s="60"/>
      <c r="K54" s="60"/>
      <c r="L54" s="101">
        <f t="shared" si="0"/>
        <v>0</v>
      </c>
      <c r="M54" s="101">
        <f t="shared" si="0"/>
        <v>0</v>
      </c>
      <c r="N54" s="101">
        <f t="shared" si="0"/>
        <v>0</v>
      </c>
      <c r="O54" s="101">
        <f t="shared" si="0"/>
        <v>0</v>
      </c>
      <c r="P54" s="101">
        <f t="shared" si="0"/>
        <v>0</v>
      </c>
      <c r="Q54" s="101">
        <f t="shared" si="0"/>
        <v>0.38684969697494365</v>
      </c>
      <c r="R54" s="101">
        <f t="shared" si="0"/>
        <v>0.64124825573068889</v>
      </c>
      <c r="S54" s="101">
        <f t="shared" si="0"/>
        <v>0.89564681448643413</v>
      </c>
      <c r="T54" s="60"/>
      <c r="U54" s="60"/>
    </row>
    <row r="55" spans="5:23" x14ac:dyDescent="0.25">
      <c r="F55" s="23" t="s">
        <v>836</v>
      </c>
      <c r="G55" s="23"/>
      <c r="H55" s="62" t="s">
        <v>167</v>
      </c>
      <c r="J55" s="60"/>
      <c r="K55" s="60"/>
      <c r="L55" s="101">
        <f t="shared" si="0"/>
        <v>0</v>
      </c>
      <c r="M55" s="101">
        <f t="shared" si="0"/>
        <v>0</v>
      </c>
      <c r="N55" s="101">
        <f t="shared" si="0"/>
        <v>0</v>
      </c>
      <c r="O55" s="101">
        <f t="shared" si="0"/>
        <v>0</v>
      </c>
      <c r="P55" s="101">
        <f t="shared" si="0"/>
        <v>0</v>
      </c>
      <c r="Q55" s="101">
        <f t="shared" si="0"/>
        <v>0.38684969697494365</v>
      </c>
      <c r="R55" s="101">
        <f t="shared" si="0"/>
        <v>0.64124825573068889</v>
      </c>
      <c r="S55" s="101">
        <f t="shared" si="0"/>
        <v>0.89564681448643413</v>
      </c>
      <c r="T55" s="60"/>
      <c r="U55" s="60"/>
    </row>
    <row r="56" spans="5:23" x14ac:dyDescent="0.25">
      <c r="F56" s="23" t="s">
        <v>837</v>
      </c>
      <c r="G56" s="23"/>
      <c r="H56" s="62" t="s">
        <v>167</v>
      </c>
      <c r="J56" s="60"/>
      <c r="K56" s="60"/>
      <c r="L56" s="101">
        <f t="shared" si="0"/>
        <v>0</v>
      </c>
      <c r="M56" s="101">
        <f t="shared" si="0"/>
        <v>0</v>
      </c>
      <c r="N56" s="101">
        <f t="shared" si="0"/>
        <v>0</v>
      </c>
      <c r="O56" s="101">
        <f t="shared" si="0"/>
        <v>0</v>
      </c>
      <c r="P56" s="101">
        <f t="shared" si="0"/>
        <v>0</v>
      </c>
      <c r="Q56" s="101">
        <f t="shared" si="0"/>
        <v>0.38684969697494365</v>
      </c>
      <c r="R56" s="101">
        <f t="shared" si="0"/>
        <v>0.64124825573068889</v>
      </c>
      <c r="S56" s="101">
        <f t="shared" si="0"/>
        <v>0</v>
      </c>
      <c r="T56" s="60"/>
      <c r="U56" s="60"/>
    </row>
    <row r="57" spans="5:23" x14ac:dyDescent="0.25">
      <c r="F57" s="23" t="s">
        <v>838</v>
      </c>
      <c r="G57" s="23"/>
      <c r="H57" s="62" t="s">
        <v>167</v>
      </c>
      <c r="J57" s="60"/>
      <c r="K57" s="60"/>
      <c r="L57" s="101">
        <f t="shared" si="0"/>
        <v>0</v>
      </c>
      <c r="M57" s="101">
        <f t="shared" si="0"/>
        <v>0</v>
      </c>
      <c r="N57" s="101">
        <f t="shared" si="0"/>
        <v>0</v>
      </c>
      <c r="O57" s="101">
        <f t="shared" si="0"/>
        <v>0.25764106948138837</v>
      </c>
      <c r="P57" s="101">
        <f t="shared" si="0"/>
        <v>0.25764106948138837</v>
      </c>
      <c r="Q57" s="101">
        <f t="shared" si="0"/>
        <v>0.51528213896277675</v>
      </c>
      <c r="R57" s="101">
        <f t="shared" si="0"/>
        <v>0</v>
      </c>
      <c r="S57" s="101">
        <f t="shared" si="0"/>
        <v>0</v>
      </c>
      <c r="T57" s="60"/>
      <c r="U57" s="60"/>
    </row>
    <row r="58" spans="5:23" x14ac:dyDescent="0.25">
      <c r="F58" s="23" t="s">
        <v>839</v>
      </c>
      <c r="G58" s="23"/>
      <c r="H58" s="62" t="s">
        <v>167</v>
      </c>
      <c r="J58" s="60"/>
      <c r="K58" s="60"/>
      <c r="L58" s="101">
        <f t="shared" si="0"/>
        <v>0</v>
      </c>
      <c r="M58" s="101">
        <f t="shared" si="0"/>
        <v>0</v>
      </c>
      <c r="N58" s="101">
        <f t="shared" si="0"/>
        <v>0</v>
      </c>
      <c r="O58" s="101">
        <f t="shared" si="0"/>
        <v>0</v>
      </c>
      <c r="P58" s="101">
        <f t="shared" si="0"/>
        <v>0</v>
      </c>
      <c r="Q58" s="101">
        <f t="shared" si="0"/>
        <v>0.38684969697494365</v>
      </c>
      <c r="R58" s="101">
        <f t="shared" si="0"/>
        <v>0.64124825573068889</v>
      </c>
      <c r="S58" s="101">
        <f t="shared" si="0"/>
        <v>0.89564681448643413</v>
      </c>
      <c r="T58" s="60"/>
      <c r="U58" s="60"/>
    </row>
    <row r="59" spans="5:23" x14ac:dyDescent="0.25">
      <c r="F59" s="23" t="s">
        <v>831</v>
      </c>
      <c r="G59" s="23"/>
      <c r="H59" s="62" t="s">
        <v>167</v>
      </c>
      <c r="J59" s="60"/>
      <c r="K59" s="60"/>
      <c r="L59" s="101">
        <f t="shared" si="0"/>
        <v>0</v>
      </c>
      <c r="M59" s="101">
        <f t="shared" si="0"/>
        <v>0</v>
      </c>
      <c r="N59" s="101">
        <f t="shared" si="0"/>
        <v>0</v>
      </c>
      <c r="O59" s="101">
        <f t="shared" si="0"/>
        <v>0</v>
      </c>
      <c r="P59" s="101">
        <f t="shared" si="0"/>
        <v>0</v>
      </c>
      <c r="Q59" s="101">
        <f t="shared" si="0"/>
        <v>0.38684969697494365</v>
      </c>
      <c r="R59" s="101">
        <f t="shared" si="0"/>
        <v>0.64124825573068889</v>
      </c>
      <c r="S59" s="101">
        <f t="shared" si="0"/>
        <v>0.89564681448643413</v>
      </c>
      <c r="T59" s="60"/>
      <c r="U59" s="60"/>
    </row>
    <row r="60" spans="5:23" x14ac:dyDescent="0.25">
      <c r="F60" s="23" t="s">
        <v>832</v>
      </c>
      <c r="G60" s="23"/>
      <c r="H60" s="62" t="s">
        <v>167</v>
      </c>
      <c r="J60" s="60"/>
      <c r="K60" s="60"/>
      <c r="L60" s="101">
        <f t="shared" si="0"/>
        <v>0</v>
      </c>
      <c r="M60" s="101">
        <f t="shared" si="0"/>
        <v>0</v>
      </c>
      <c r="N60" s="101">
        <f t="shared" si="0"/>
        <v>0</v>
      </c>
      <c r="O60" s="101">
        <f t="shared" si="0"/>
        <v>0</v>
      </c>
      <c r="P60" s="101">
        <f t="shared" si="0"/>
        <v>0</v>
      </c>
      <c r="Q60" s="101">
        <f t="shared" si="0"/>
        <v>0.38684969697494365</v>
      </c>
      <c r="R60" s="101">
        <f t="shared" si="0"/>
        <v>0.64124825573068889</v>
      </c>
      <c r="S60" s="101">
        <f t="shared" si="0"/>
        <v>0</v>
      </c>
      <c r="T60" s="60"/>
      <c r="U60" s="60"/>
    </row>
    <row r="61" spans="5:23" x14ac:dyDescent="0.25">
      <c r="F61" s="23" t="s">
        <v>833</v>
      </c>
      <c r="G61" s="23"/>
      <c r="H61" s="62" t="s">
        <v>167</v>
      </c>
      <c r="J61" s="60"/>
      <c r="K61" s="60"/>
      <c r="L61" s="101">
        <f t="shared" ref="L61:S66" si="1">$M31 * L$43 + $L31 * L$44 + $K31 * L$45 + $J31 * L$46</f>
        <v>0</v>
      </c>
      <c r="M61" s="101">
        <f t="shared" si="1"/>
        <v>0</v>
      </c>
      <c r="N61" s="101">
        <f t="shared" si="1"/>
        <v>0</v>
      </c>
      <c r="O61" s="101">
        <f t="shared" si="1"/>
        <v>0</v>
      </c>
      <c r="P61" s="101">
        <f t="shared" si="1"/>
        <v>0</v>
      </c>
      <c r="Q61" s="101">
        <f t="shared" si="1"/>
        <v>0.38684969697494365</v>
      </c>
      <c r="R61" s="101">
        <f t="shared" si="1"/>
        <v>0.64124825573068889</v>
      </c>
      <c r="S61" s="101">
        <f t="shared" si="1"/>
        <v>0.89564681448643413</v>
      </c>
      <c r="T61" s="60"/>
      <c r="U61" s="60"/>
    </row>
    <row r="62" spans="5:23" x14ac:dyDescent="0.25">
      <c r="F62" s="23" t="s">
        <v>842</v>
      </c>
      <c r="G62" s="23"/>
      <c r="H62" s="62" t="s">
        <v>167</v>
      </c>
      <c r="J62" s="60"/>
      <c r="K62" s="60"/>
      <c r="L62" s="101">
        <f t="shared" si="1"/>
        <v>0</v>
      </c>
      <c r="M62" s="101">
        <f t="shared" si="1"/>
        <v>0</v>
      </c>
      <c r="N62" s="101">
        <f t="shared" si="1"/>
        <v>0</v>
      </c>
      <c r="O62" s="101">
        <f t="shared" si="1"/>
        <v>0</v>
      </c>
      <c r="P62" s="101">
        <f t="shared" si="1"/>
        <v>0</v>
      </c>
      <c r="Q62" s="101">
        <f t="shared" si="1"/>
        <v>0.38684969697494365</v>
      </c>
      <c r="R62" s="101">
        <f t="shared" si="1"/>
        <v>0.64124825573068889</v>
      </c>
      <c r="S62" s="101">
        <f t="shared" si="1"/>
        <v>0.89564681448643413</v>
      </c>
      <c r="T62" s="60"/>
      <c r="U62" s="60"/>
    </row>
    <row r="63" spans="5:23" x14ac:dyDescent="0.25">
      <c r="F63" s="23" t="s">
        <v>834</v>
      </c>
      <c r="G63" s="23"/>
      <c r="H63" s="62" t="s">
        <v>167</v>
      </c>
      <c r="J63" s="60"/>
      <c r="K63" s="60"/>
      <c r="L63" s="101">
        <f t="shared" si="1"/>
        <v>0</v>
      </c>
      <c r="M63" s="101">
        <f t="shared" si="1"/>
        <v>0</v>
      </c>
      <c r="N63" s="101">
        <f t="shared" si="1"/>
        <v>0</v>
      </c>
      <c r="O63" s="101">
        <f t="shared" si="1"/>
        <v>0</v>
      </c>
      <c r="P63" s="101">
        <f t="shared" si="1"/>
        <v>0</v>
      </c>
      <c r="Q63" s="101">
        <f t="shared" si="1"/>
        <v>0.38684969697494365</v>
      </c>
      <c r="R63" s="101">
        <f t="shared" si="1"/>
        <v>0.64124825573068889</v>
      </c>
      <c r="S63" s="101">
        <f t="shared" si="1"/>
        <v>0</v>
      </c>
      <c r="T63" s="60"/>
      <c r="U63" s="60"/>
    </row>
    <row r="64" spans="5:23" x14ac:dyDescent="0.25">
      <c r="F64" s="23" t="s">
        <v>841</v>
      </c>
      <c r="G64" s="23"/>
      <c r="H64" s="62" t="s">
        <v>167</v>
      </c>
      <c r="J64" s="60"/>
      <c r="K64" s="60"/>
      <c r="L64" s="101">
        <f t="shared" si="1"/>
        <v>0</v>
      </c>
      <c r="M64" s="101">
        <f t="shared" si="1"/>
        <v>0</v>
      </c>
      <c r="N64" s="101">
        <f t="shared" si="1"/>
        <v>0</v>
      </c>
      <c r="O64" s="101">
        <f t="shared" si="1"/>
        <v>0</v>
      </c>
      <c r="P64" s="101">
        <f t="shared" si="1"/>
        <v>0</v>
      </c>
      <c r="Q64" s="101">
        <f t="shared" si="1"/>
        <v>0.38684969697494365</v>
      </c>
      <c r="R64" s="101">
        <f t="shared" si="1"/>
        <v>0.64124825573068889</v>
      </c>
      <c r="S64" s="101">
        <f t="shared" si="1"/>
        <v>0</v>
      </c>
      <c r="T64" s="60"/>
      <c r="U64" s="60"/>
    </row>
    <row r="65" spans="2:23" x14ac:dyDescent="0.25">
      <c r="F65" s="23" t="s">
        <v>835</v>
      </c>
      <c r="G65" s="23"/>
      <c r="H65" s="62" t="s">
        <v>167</v>
      </c>
      <c r="J65" s="60"/>
      <c r="K65" s="60"/>
      <c r="L65" s="101">
        <f t="shared" si="1"/>
        <v>0</v>
      </c>
      <c r="M65" s="101">
        <f t="shared" si="1"/>
        <v>0</v>
      </c>
      <c r="N65" s="101">
        <f t="shared" si="1"/>
        <v>0</v>
      </c>
      <c r="O65" s="101">
        <f t="shared" si="1"/>
        <v>0.25764106948138837</v>
      </c>
      <c r="P65" s="101">
        <f t="shared" si="1"/>
        <v>0.25764106948138837</v>
      </c>
      <c r="Q65" s="101">
        <f t="shared" si="1"/>
        <v>0.51528213896277675</v>
      </c>
      <c r="R65" s="101">
        <f t="shared" si="1"/>
        <v>0</v>
      </c>
      <c r="S65" s="101">
        <f t="shared" si="1"/>
        <v>0</v>
      </c>
      <c r="T65" s="60"/>
      <c r="U65" s="60"/>
    </row>
    <row r="66" spans="2:23" x14ac:dyDescent="0.25">
      <c r="F66" s="57" t="s">
        <v>840</v>
      </c>
      <c r="G66" s="57"/>
      <c r="H66" s="70" t="s">
        <v>167</v>
      </c>
      <c r="I66" s="28"/>
      <c r="J66" s="61"/>
      <c r="K66" s="61"/>
      <c r="L66" s="133">
        <f t="shared" si="1"/>
        <v>0</v>
      </c>
      <c r="M66" s="133">
        <f t="shared" si="1"/>
        <v>0</v>
      </c>
      <c r="N66" s="133">
        <f t="shared" si="1"/>
        <v>0</v>
      </c>
      <c r="O66" s="133">
        <f t="shared" si="1"/>
        <v>0.25764106948138837</v>
      </c>
      <c r="P66" s="133">
        <f t="shared" si="1"/>
        <v>0.25764106948138837</v>
      </c>
      <c r="Q66" s="133">
        <f t="shared" si="1"/>
        <v>0.51528213896277675</v>
      </c>
      <c r="R66" s="133">
        <f t="shared" si="1"/>
        <v>0</v>
      </c>
      <c r="S66" s="133">
        <f t="shared" si="1"/>
        <v>0</v>
      </c>
      <c r="T66" s="61"/>
      <c r="U66" s="61"/>
    </row>
    <row r="68" spans="2:23" x14ac:dyDescent="0.2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232</v>
      </c>
      <c r="G70" s="6" t="s">
        <v>55</v>
      </c>
      <c r="H70" s="93">
        <f t="array" ref="H70">SUM(IF(ISERROR(H21:U66), 1))</f>
        <v>0</v>
      </c>
    </row>
    <row r="72" spans="2:23" x14ac:dyDescent="0.2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control'!$H$36:$H$59,MATCH($A$1,'Version control'!$F$36:$F$59,0),1)&amp;"-A: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154</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175</v>
      </c>
      <c r="G22" s="19" t="s">
        <v>167</v>
      </c>
      <c r="H22" s="97">
        <f>'General inputs'!H30</f>
        <v>0.3378546825678212</v>
      </c>
      <c r="AQ22" s="3"/>
    </row>
    <row r="23" spans="4:43" x14ac:dyDescent="0.25">
      <c r="F23" t="s">
        <v>177</v>
      </c>
      <c r="G23" t="s">
        <v>167</v>
      </c>
      <c r="H23" s="21">
        <f>'General inputs'!H31</f>
        <v>0.48529035029231349</v>
      </c>
      <c r="AQ23" s="3"/>
    </row>
    <row r="24" spans="4:43" x14ac:dyDescent="0.25">
      <c r="F24" t="s">
        <v>178</v>
      </c>
      <c r="G24" t="s">
        <v>167</v>
      </c>
      <c r="H24" s="21">
        <f>'General inputs'!H32</f>
        <v>0.20072349959460251</v>
      </c>
      <c r="AQ24" s="3"/>
    </row>
    <row r="25" spans="4:43" x14ac:dyDescent="0.25">
      <c r="F25" s="28" t="s">
        <v>179</v>
      </c>
      <c r="G25" s="28" t="s">
        <v>167</v>
      </c>
      <c r="H25" s="131">
        <f>'General inputs'!H33</f>
        <v>8.1602927143683501E-2</v>
      </c>
      <c r="AQ25" s="3"/>
    </row>
    <row r="27" spans="4:43" x14ac:dyDescent="0.25">
      <c r="E27" s="27" t="s">
        <v>426</v>
      </c>
      <c r="I27" t="s">
        <v>154</v>
      </c>
      <c r="AA27" t="s">
        <v>427</v>
      </c>
      <c r="AQ27" s="3"/>
    </row>
    <row r="28" spans="4:43" x14ac:dyDescent="0.25">
      <c r="E28" s="24" t="s">
        <v>428</v>
      </c>
    </row>
    <row r="29" spans="4:43" x14ac:dyDescent="0.25">
      <c r="E29" s="24" t="s">
        <v>429</v>
      </c>
    </row>
    <row r="30" spans="4:43" x14ac:dyDescent="0.2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167</v>
      </c>
      <c r="J34" s="135">
        <f t="shared" ref="J34:Y34" si="0">J30 * $H$22</f>
        <v>0.3378546825678212</v>
      </c>
      <c r="K34" s="135">
        <f t="shared" si="0"/>
        <v>0.3378546825678212</v>
      </c>
      <c r="L34" s="135">
        <f t="shared" si="0"/>
        <v>0.3378546825678212</v>
      </c>
      <c r="M34" s="135">
        <f t="shared" si="0"/>
        <v>0.3378546825678212</v>
      </c>
      <c r="N34" s="135">
        <f t="shared" si="0"/>
        <v>0.3378546825678212</v>
      </c>
      <c r="O34" s="135">
        <f t="shared" si="0"/>
        <v>0</v>
      </c>
      <c r="P34" s="135">
        <f t="shared" si="0"/>
        <v>0</v>
      </c>
      <c r="Q34" s="135">
        <f t="shared" si="0"/>
        <v>0.3378546825678212</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167</v>
      </c>
      <c r="J35" s="135">
        <f t="shared" ref="J35:Y35" si="1">SUMPRODUCT(J31:J33,$H$23:$H$25)</f>
        <v>0.48529035029231349</v>
      </c>
      <c r="K35" s="135">
        <f t="shared" si="1"/>
        <v>0.48529035029231349</v>
      </c>
      <c r="L35" s="135">
        <f t="shared" si="1"/>
        <v>0.48529035029231349</v>
      </c>
      <c r="M35" s="135">
        <f t="shared" si="1"/>
        <v>0.48529035029231349</v>
      </c>
      <c r="N35" s="135">
        <f t="shared" si="1"/>
        <v>0.48529035029231349</v>
      </c>
      <c r="O35" s="135">
        <f t="shared" si="1"/>
        <v>0.20072349959460251</v>
      </c>
      <c r="P35" s="135">
        <f t="shared" si="1"/>
        <v>8.1602927143683501E-2</v>
      </c>
      <c r="Q35" s="135">
        <f t="shared" si="1"/>
        <v>0.48529035029231349</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154</v>
      </c>
      <c r="AA37" t="s">
        <v>427</v>
      </c>
      <c r="AQ37" s="3"/>
    </row>
    <row r="38" spans="4:43" x14ac:dyDescent="0.25">
      <c r="E38" s="24" t="s">
        <v>433</v>
      </c>
    </row>
    <row r="39" spans="4:43" x14ac:dyDescent="0.2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control'!$H$36:$H$59,MATCH($A$1,'Version control'!$F$36:$F$59,0),1)&amp;"-B: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154</v>
      </c>
      <c r="AQ57" s="3"/>
    </row>
    <row r="58" spans="2:43" x14ac:dyDescent="0.25">
      <c r="C58" s="24"/>
      <c r="E58" s="27"/>
      <c r="F58" s="68" t="s">
        <v>247</v>
      </c>
      <c r="G58" s="68" t="s">
        <v>207</v>
      </c>
      <c r="H58" s="19"/>
      <c r="I58" s="19"/>
      <c r="J58" s="73"/>
      <c r="K58" s="114">
        <f>'Inputs by customer type'!K23</f>
        <v>97.101998282967941</v>
      </c>
      <c r="L58" s="114">
        <f>'Inputs by customer type'!L23</f>
        <v>0.84541270469587915</v>
      </c>
      <c r="M58" s="114">
        <f>'Inputs by customer type'!M23</f>
        <v>113.60366930781993</v>
      </c>
      <c r="N58" s="114">
        <f>'Inputs by customer type'!N23</f>
        <v>113.67037138779294</v>
      </c>
      <c r="O58" s="114">
        <f>'Inputs by customer type'!O23</f>
        <v>0.92942754552445628</v>
      </c>
      <c r="P58" s="114">
        <f>'Inputs by customer type'!P23</f>
        <v>514.89001982790273</v>
      </c>
      <c r="Q58" s="73"/>
      <c r="R58" s="114">
        <f>'Inputs by customer type'!R23</f>
        <v>402.74853197386807</v>
      </c>
      <c r="S58" s="114">
        <f>'Inputs by customer type'!S23</f>
        <v>0</v>
      </c>
      <c r="T58" s="114">
        <f>'Inputs by customer type'!T23</f>
        <v>4581.0802139008056</v>
      </c>
      <c r="U58" s="114">
        <f>'Inputs by customer type'!U23</f>
        <v>0</v>
      </c>
      <c r="V58" s="114">
        <f>'Inputs by customer type'!V23</f>
        <v>1000.7714870643234</v>
      </c>
      <c r="W58" s="114">
        <f>'Inputs by customer type'!W23</f>
        <v>0</v>
      </c>
      <c r="X58" s="114">
        <f>'Inputs by customer type'!X23</f>
        <v>112513.35249750761</v>
      </c>
      <c r="Y58" s="114">
        <f>'Inputs by customer type'!Y23</f>
        <v>0</v>
      </c>
      <c r="AQ58" s="3"/>
    </row>
    <row r="59" spans="2:43" x14ac:dyDescent="0.25">
      <c r="E59" s="27"/>
      <c r="F59" s="62" t="s">
        <v>248</v>
      </c>
      <c r="G59" s="62" t="s">
        <v>207</v>
      </c>
      <c r="J59" s="319"/>
      <c r="K59" s="321">
        <f>'Inputs by customer type'!K24</f>
        <v>2610.0714903095482</v>
      </c>
      <c r="L59" s="321">
        <f>'Inputs by customer type'!L24</f>
        <v>3.4947301543468345</v>
      </c>
      <c r="M59" s="321">
        <f>'Inputs by customer type'!M24</f>
        <v>928.08494967695549</v>
      </c>
      <c r="N59" s="321">
        <f>'Inputs by customer type'!N24</f>
        <v>490.41477022151486</v>
      </c>
      <c r="O59" s="321">
        <f>'Inputs by customer type'!O24</f>
        <v>3.5167763112993287</v>
      </c>
      <c r="P59" s="321">
        <f>'Inputs by customer type'!P24</f>
        <v>2048.4044602273625</v>
      </c>
      <c r="Q59" s="319"/>
      <c r="R59" s="321">
        <f>'Inputs by customer type'!R24</f>
        <v>1815.0091331557703</v>
      </c>
      <c r="S59" s="321">
        <f>'Inputs by customer type'!S24</f>
        <v>0</v>
      </c>
      <c r="T59" s="321">
        <f>'Inputs by customer type'!T24</f>
        <v>20492.431913765191</v>
      </c>
      <c r="U59" s="321">
        <f>'Inputs by customer type'!U24</f>
        <v>0</v>
      </c>
      <c r="V59" s="321">
        <f>'Inputs by customer type'!V24</f>
        <v>3996.1654558994287</v>
      </c>
      <c r="W59" s="321">
        <f>'Inputs by customer type'!W24</f>
        <v>0</v>
      </c>
      <c r="X59" s="321">
        <f>'Inputs by customer type'!X24</f>
        <v>328224.9176967626</v>
      </c>
      <c r="Y59" s="321">
        <f>'Inputs by customer type'!Y24</f>
        <v>0</v>
      </c>
      <c r="AQ59" s="3"/>
    </row>
    <row r="60" spans="2:43" x14ac:dyDescent="0.25">
      <c r="E60" s="27"/>
      <c r="F60" s="62" t="s">
        <v>249</v>
      </c>
      <c r="G60" s="62" t="s">
        <v>207</v>
      </c>
      <c r="J60" s="319"/>
      <c r="K60" s="321">
        <f>'Inputs by customer type'!K25</f>
        <v>10855.114741116735</v>
      </c>
      <c r="L60" s="321">
        <f>'Inputs by customer type'!L25</f>
        <v>3.8443571409572863</v>
      </c>
      <c r="M60" s="321">
        <f>'Inputs by customer type'!M25</f>
        <v>2405.8570016096082</v>
      </c>
      <c r="N60" s="321">
        <f>'Inputs by customer type'!N25</f>
        <v>704.50795839069224</v>
      </c>
      <c r="O60" s="321">
        <f>'Inputs by customer type'!O25</f>
        <v>4.3330961431762152</v>
      </c>
      <c r="P60" s="321">
        <f>'Inputs by customer type'!P25</f>
        <v>2865.4108199447342</v>
      </c>
      <c r="Q60" s="319"/>
      <c r="R60" s="321">
        <f>'Inputs by customer type'!R25</f>
        <v>1012.3643348703615</v>
      </c>
      <c r="S60" s="321">
        <f>'Inputs by customer type'!S25</f>
        <v>0</v>
      </c>
      <c r="T60" s="321">
        <f>'Inputs by customer type'!T25</f>
        <v>19151.771205667341</v>
      </c>
      <c r="U60" s="321">
        <f>'Inputs by customer type'!U25</f>
        <v>0</v>
      </c>
      <c r="V60" s="321">
        <f>'Inputs by customer type'!V25</f>
        <v>6019.197723702915</v>
      </c>
      <c r="W60" s="321">
        <f>'Inputs by customer type'!W25</f>
        <v>0</v>
      </c>
      <c r="X60" s="321">
        <f>'Inputs by customer type'!X25</f>
        <v>370994.99213906302</v>
      </c>
      <c r="Y60" s="321">
        <f>'Inputs by customer type'!Y25</f>
        <v>0</v>
      </c>
      <c r="AQ60" s="3"/>
    </row>
    <row r="61" spans="2:43" x14ac:dyDescent="0.25">
      <c r="E61" s="27"/>
      <c r="F61" s="62" t="s">
        <v>212</v>
      </c>
      <c r="G61" s="62" t="s">
        <v>212</v>
      </c>
      <c r="J61" s="319"/>
      <c r="K61" s="321">
        <f>'Inputs by customer type'!K26</f>
        <v>0</v>
      </c>
      <c r="L61" s="321">
        <f>'Inputs by customer type'!L26</f>
        <v>8.1844999999999999</v>
      </c>
      <c r="M61" s="321">
        <f>'Inputs by customer type'!M26</f>
        <v>0</v>
      </c>
      <c r="N61" s="321">
        <f>'Inputs by customer type'!N26</f>
        <v>29</v>
      </c>
      <c r="O61" s="321">
        <f>'Inputs by customer type'!O26</f>
        <v>1</v>
      </c>
      <c r="P61" s="321">
        <f>'Inputs by customer type'!P26</f>
        <v>76</v>
      </c>
      <c r="Q61" s="319"/>
      <c r="R61" s="321">
        <f>'Inputs by customer type'!R26</f>
        <v>0</v>
      </c>
      <c r="S61" s="321">
        <f>'Inputs by customer type'!S26</f>
        <v>0</v>
      </c>
      <c r="T61" s="321">
        <f>'Inputs by customer type'!T26</f>
        <v>633.94808743169403</v>
      </c>
      <c r="U61" s="321">
        <f>'Inputs by customer type'!U26</f>
        <v>0</v>
      </c>
      <c r="V61" s="321">
        <f>'Inputs by customer type'!V26</f>
        <v>35.618169398907106</v>
      </c>
      <c r="W61" s="321">
        <f>'Inputs by customer type'!W26</f>
        <v>0</v>
      </c>
      <c r="X61" s="321">
        <f>'Inputs by customer type'!X26</f>
        <v>338.62978142076497</v>
      </c>
      <c r="Y61" s="321">
        <f>'Inputs by customer type'!Y26</f>
        <v>0</v>
      </c>
      <c r="AQ61" s="3"/>
    </row>
    <row r="62" spans="2:43" x14ac:dyDescent="0.25">
      <c r="E62" s="27"/>
      <c r="F62" s="62" t="s">
        <v>250</v>
      </c>
      <c r="G62" s="62" t="s">
        <v>251</v>
      </c>
      <c r="J62" s="319"/>
      <c r="K62" s="321">
        <f>'Inputs by customer type'!K27</f>
        <v>0</v>
      </c>
      <c r="L62" s="321">
        <f>'Inputs by customer type'!L27</f>
        <v>0</v>
      </c>
      <c r="M62" s="321">
        <f>'Inputs by customer type'!M27</f>
        <v>0</v>
      </c>
      <c r="N62" s="321">
        <f>'Inputs by customer type'!N27</f>
        <v>1856</v>
      </c>
      <c r="O62" s="321">
        <f>'Inputs by customer type'!O27</f>
        <v>220</v>
      </c>
      <c r="P62" s="321">
        <f>'Inputs by customer type'!P27</f>
        <v>16548</v>
      </c>
      <c r="Q62" s="319"/>
      <c r="R62" s="321">
        <f>'Inputs by customer type'!R27</f>
        <v>0</v>
      </c>
      <c r="S62" s="321">
        <f>'Inputs by customer type'!S27</f>
        <v>0</v>
      </c>
      <c r="T62" s="321">
        <f>'Inputs by customer type'!T27</f>
        <v>0</v>
      </c>
      <c r="U62" s="321">
        <f>'Inputs by customer type'!U27</f>
        <v>0</v>
      </c>
      <c r="V62" s="321">
        <f>'Inputs by customer type'!V27</f>
        <v>0</v>
      </c>
      <c r="W62" s="321">
        <f>'Inputs by customer type'!W27</f>
        <v>0</v>
      </c>
      <c r="X62" s="321">
        <f>'Inputs by customer type'!X27</f>
        <v>0</v>
      </c>
      <c r="Y62" s="321">
        <f>'Inputs by customer type'!Y27</f>
        <v>0</v>
      </c>
      <c r="AQ62" s="3"/>
    </row>
    <row r="63" spans="2:43" x14ac:dyDescent="0.25">
      <c r="E63" s="27"/>
      <c r="F63" s="62" t="s">
        <v>252</v>
      </c>
      <c r="G63" s="62" t="s">
        <v>251</v>
      </c>
      <c r="J63" s="319"/>
      <c r="K63" s="321">
        <f>'Inputs by customer type'!K28</f>
        <v>0</v>
      </c>
      <c r="L63" s="321">
        <f>'Inputs by customer type'!L28</f>
        <v>0</v>
      </c>
      <c r="M63" s="321">
        <f>'Inputs by customer type'!M28</f>
        <v>0</v>
      </c>
      <c r="N63" s="321">
        <f>'Inputs by customer type'!N28</f>
        <v>0</v>
      </c>
      <c r="O63" s="321">
        <f>'Inputs by customer type'!O28</f>
        <v>0</v>
      </c>
      <c r="P63" s="321">
        <f>'Inputs by customer type'!P28</f>
        <v>0</v>
      </c>
      <c r="Q63" s="319"/>
      <c r="R63" s="321">
        <f>'Inputs by customer type'!R28</f>
        <v>0</v>
      </c>
      <c r="S63" s="321">
        <f>'Inputs by customer type'!S28</f>
        <v>0</v>
      </c>
      <c r="T63" s="321">
        <f>'Inputs by customer type'!T28</f>
        <v>0</v>
      </c>
      <c r="U63" s="321">
        <f>'Inputs by customer type'!U28</f>
        <v>0</v>
      </c>
      <c r="V63" s="321">
        <f>'Inputs by customer type'!V28</f>
        <v>0</v>
      </c>
      <c r="W63" s="321">
        <f>'Inputs by customer type'!W28</f>
        <v>0</v>
      </c>
      <c r="X63" s="321">
        <f>'Inputs by customer type'!X28</f>
        <v>0</v>
      </c>
      <c r="Y63" s="321">
        <f>'Inputs by customer type'!Y28</f>
        <v>0</v>
      </c>
      <c r="AQ63" s="3"/>
    </row>
    <row r="64" spans="2:43" x14ac:dyDescent="0.25">
      <c r="E64" s="27"/>
      <c r="F64" s="70" t="s">
        <v>253</v>
      </c>
      <c r="G64" s="70" t="s">
        <v>254</v>
      </c>
      <c r="H64" s="28"/>
      <c r="I64" s="28"/>
      <c r="J64" s="71"/>
      <c r="K64" s="115">
        <f>'Inputs by customer type'!K29</f>
        <v>0</v>
      </c>
      <c r="L64" s="115">
        <f>'Inputs by customer type'!L29</f>
        <v>0</v>
      </c>
      <c r="M64" s="115">
        <f>'Inputs by customer type'!M29</f>
        <v>0</v>
      </c>
      <c r="N64" s="115">
        <f>'Inputs by customer type'!N29</f>
        <v>288.15313798253834</v>
      </c>
      <c r="O64" s="115">
        <f>'Inputs by customer type'!O29</f>
        <v>192.90741538233189</v>
      </c>
      <c r="P64" s="115">
        <f>'Inputs by customer type'!P29</f>
        <v>374.50654211740863</v>
      </c>
      <c r="Q64" s="71"/>
      <c r="R64" s="115">
        <f>'Inputs by customer type'!R29</f>
        <v>0</v>
      </c>
      <c r="S64" s="115">
        <f>'Inputs by customer type'!S29</f>
        <v>0</v>
      </c>
      <c r="T64" s="115">
        <f>'Inputs by customer type'!T29</f>
        <v>3761.82</v>
      </c>
      <c r="U64" s="115">
        <f>'Inputs by customer type'!U29</f>
        <v>0</v>
      </c>
      <c r="V64" s="115">
        <f>'Inputs by customer type'!V29</f>
        <v>310.738</v>
      </c>
      <c r="W64" s="115">
        <f>'Inputs by customer type'!W29</f>
        <v>0</v>
      </c>
      <c r="X64" s="115">
        <f>'Inputs by customer type'!X29</f>
        <v>36884.22</v>
      </c>
      <c r="Y64" s="115">
        <f>'Inputs by customer type'!Y29</f>
        <v>0</v>
      </c>
      <c r="AQ64" s="3"/>
    </row>
    <row r="65" spans="3:43" x14ac:dyDescent="0.25">
      <c r="C65" s="24"/>
      <c r="AQ65" s="3"/>
    </row>
    <row r="66" spans="3:43" x14ac:dyDescent="0.25">
      <c r="C66" s="24"/>
      <c r="E66" s="27" t="s">
        <v>944</v>
      </c>
      <c r="G66" s="12"/>
      <c r="I66" t="s">
        <v>154</v>
      </c>
      <c r="AQ66" s="3"/>
    </row>
    <row r="67" spans="3:43" x14ac:dyDescent="0.25">
      <c r="C67" s="24"/>
      <c r="E67" s="27"/>
      <c r="F67" s="68" t="s">
        <v>247</v>
      </c>
      <c r="G67" s="68" t="s">
        <v>207</v>
      </c>
      <c r="H67" s="19"/>
      <c r="I67" s="19"/>
      <c r="J67" s="114">
        <f>'Inputs by customer type'!J32</f>
        <v>958695.14576306345</v>
      </c>
      <c r="K67" s="73"/>
      <c r="L67" s="114">
        <f>'Inputs by customer type'!L32</f>
        <v>11787.636265875673</v>
      </c>
      <c r="M67" s="73"/>
      <c r="N67" s="114">
        <f>'Inputs by customer type'!N32</f>
        <v>58853.594994802042</v>
      </c>
      <c r="O67" s="114">
        <f>'Inputs by customer type'!O32</f>
        <v>538.63355047049492</v>
      </c>
      <c r="P67" s="114">
        <f>'Inputs by customer type'!P32</f>
        <v>99223.692366436182</v>
      </c>
      <c r="Q67" s="114">
        <f>'Inputs by customer type'!Q32</f>
        <v>10812.469000907027</v>
      </c>
      <c r="R67" s="73"/>
      <c r="S67" s="73"/>
      <c r="T67" s="73"/>
      <c r="U67" s="73"/>
      <c r="V67" s="73"/>
      <c r="W67" s="73"/>
      <c r="X67" s="73"/>
      <c r="Y67" s="73"/>
      <c r="AQ67" s="3"/>
    </row>
    <row r="68" spans="3:43" x14ac:dyDescent="0.25">
      <c r="E68" s="27"/>
      <c r="F68" s="62" t="s">
        <v>248</v>
      </c>
      <c r="G68" s="62" t="s">
        <v>207</v>
      </c>
      <c r="J68" s="321">
        <f>'Inputs by customer type'!J33</f>
        <v>2724925.6197538478</v>
      </c>
      <c r="K68" s="319"/>
      <c r="L68" s="321">
        <f>'Inputs by customer type'!L33</f>
        <v>48727.216515686261</v>
      </c>
      <c r="M68" s="319"/>
      <c r="N68" s="321">
        <f>'Inputs by customer type'!N33</f>
        <v>253915.52709561662</v>
      </c>
      <c r="O68" s="321">
        <f>'Inputs by customer type'!O33</f>
        <v>2038.0864757960242</v>
      </c>
      <c r="P68" s="321">
        <f>'Inputs by customer type'!P33</f>
        <v>394744.98665087757</v>
      </c>
      <c r="Q68" s="321">
        <f>'Inputs by customer type'!Q33</f>
        <v>46845.820756552697</v>
      </c>
      <c r="R68" s="319"/>
      <c r="S68" s="319"/>
      <c r="T68" s="319"/>
      <c r="U68" s="319"/>
      <c r="V68" s="319"/>
      <c r="W68" s="319"/>
      <c r="X68" s="319"/>
      <c r="Y68" s="319"/>
      <c r="AQ68" s="3"/>
    </row>
    <row r="69" spans="3:43" x14ac:dyDescent="0.25">
      <c r="E69" s="27"/>
      <c r="F69" s="62" t="s">
        <v>249</v>
      </c>
      <c r="G69" s="62" t="s">
        <v>207</v>
      </c>
      <c r="J69" s="321">
        <f>'Inputs by customer type'!J34</f>
        <v>4883727.7493747445</v>
      </c>
      <c r="K69" s="319"/>
      <c r="L69" s="321">
        <f>'Inputs by customer type'!L34</f>
        <v>53602.084995904734</v>
      </c>
      <c r="M69" s="319"/>
      <c r="N69" s="321">
        <f>'Inputs by customer type'!N34</f>
        <v>364763.70709028357</v>
      </c>
      <c r="O69" s="321">
        <f>'Inputs by customer type'!O34</f>
        <v>2511.1704202956603</v>
      </c>
      <c r="P69" s="321">
        <f>'Inputs by customer type'!P34</f>
        <v>552189.07097225182</v>
      </c>
      <c r="Q69" s="321">
        <f>'Inputs by customer type'!Q34</f>
        <v>180165.70596262455</v>
      </c>
      <c r="R69" s="319"/>
      <c r="S69" s="319"/>
      <c r="T69" s="319"/>
      <c r="U69" s="319"/>
      <c r="V69" s="319"/>
      <c r="W69" s="319"/>
      <c r="X69" s="319"/>
      <c r="Y69" s="319"/>
      <c r="AQ69" s="3"/>
    </row>
    <row r="70" spans="3:43" x14ac:dyDescent="0.25">
      <c r="E70" s="27"/>
      <c r="F70" s="62" t="s">
        <v>212</v>
      </c>
      <c r="G70" s="62" t="s">
        <v>212</v>
      </c>
      <c r="J70" s="321">
        <f>'Inputs by customer type'!J35</f>
        <v>2324955.1193078361</v>
      </c>
      <c r="K70" s="319"/>
      <c r="L70" s="321">
        <f>'Inputs by customer type'!L35</f>
        <v>71117.063271156148</v>
      </c>
      <c r="M70" s="319"/>
      <c r="N70" s="321">
        <f>'Inputs by customer type'!N35</f>
        <v>6538.8255358917031</v>
      </c>
      <c r="O70" s="321">
        <f>'Inputs by customer type'!O35</f>
        <v>23.028329792128428</v>
      </c>
      <c r="P70" s="321">
        <f>'Inputs by customer type'!P35</f>
        <v>2209.8996249966858</v>
      </c>
      <c r="Q70" s="321">
        <f>'Inputs by customer type'!Q35</f>
        <v>2294</v>
      </c>
      <c r="R70" s="319"/>
      <c r="S70" s="319"/>
      <c r="T70" s="319"/>
      <c r="U70" s="319"/>
      <c r="V70" s="319"/>
      <c r="W70" s="319"/>
      <c r="X70" s="319"/>
      <c r="Y70" s="319"/>
      <c r="AQ70" s="3"/>
    </row>
    <row r="71" spans="3:43" x14ac:dyDescent="0.25">
      <c r="E71" s="27"/>
      <c r="F71" s="62" t="s">
        <v>250</v>
      </c>
      <c r="G71" s="62" t="s">
        <v>251</v>
      </c>
      <c r="J71" s="321">
        <f>'Inputs by customer type'!J36</f>
        <v>0</v>
      </c>
      <c r="K71" s="319"/>
      <c r="L71" s="321">
        <f>'Inputs by customer type'!L36</f>
        <v>0</v>
      </c>
      <c r="M71" s="319"/>
      <c r="N71" s="321">
        <f>'Inputs by customer type'!N36</f>
        <v>312045.96920039039</v>
      </c>
      <c r="O71" s="321">
        <f>'Inputs by customer type'!O36</f>
        <v>5384.0083047754661</v>
      </c>
      <c r="P71" s="321">
        <f>'Inputs by customer type'!P36</f>
        <v>484069.27424646</v>
      </c>
      <c r="Q71" s="321">
        <f>'Inputs by customer type'!Q36</f>
        <v>0</v>
      </c>
      <c r="R71" s="319"/>
      <c r="S71" s="319"/>
      <c r="T71" s="319"/>
      <c r="U71" s="319"/>
      <c r="V71" s="319"/>
      <c r="W71" s="319"/>
      <c r="X71" s="319"/>
      <c r="Y71" s="319"/>
      <c r="AQ71" s="3"/>
    </row>
    <row r="72" spans="3:43" x14ac:dyDescent="0.25">
      <c r="E72" s="27"/>
      <c r="F72" s="62" t="s">
        <v>252</v>
      </c>
      <c r="G72" s="62" t="s">
        <v>251</v>
      </c>
      <c r="J72" s="321">
        <f>'Inputs by customer type'!J37</f>
        <v>0</v>
      </c>
      <c r="K72" s="319"/>
      <c r="L72" s="321">
        <f>'Inputs by customer type'!L37</f>
        <v>0</v>
      </c>
      <c r="M72" s="319"/>
      <c r="N72" s="321">
        <f>'Inputs by customer type'!N37</f>
        <v>5259.5206196415666</v>
      </c>
      <c r="O72" s="321">
        <f>'Inputs by customer type'!O37</f>
        <v>25.002841793920606</v>
      </c>
      <c r="P72" s="321">
        <f>'Inputs by customer type'!P37</f>
        <v>7362.9204162581991</v>
      </c>
      <c r="Q72" s="321">
        <f>'Inputs by customer type'!Q37</f>
        <v>0</v>
      </c>
      <c r="R72" s="319"/>
      <c r="S72" s="319"/>
      <c r="T72" s="319"/>
      <c r="U72" s="319"/>
      <c r="V72" s="319"/>
      <c r="W72" s="319"/>
      <c r="X72" s="319"/>
      <c r="Y72" s="319"/>
      <c r="AQ72" s="3"/>
    </row>
    <row r="73" spans="3:43" x14ac:dyDescent="0.25">
      <c r="E73" s="27"/>
      <c r="F73" s="70" t="s">
        <v>253</v>
      </c>
      <c r="G73" s="70" t="s">
        <v>254</v>
      </c>
      <c r="H73" s="28"/>
      <c r="I73" s="28"/>
      <c r="J73" s="115">
        <f>'Inputs by customer type'!J38</f>
        <v>0</v>
      </c>
      <c r="K73" s="71"/>
      <c r="L73" s="115">
        <f>'Inputs by customer type'!L38</f>
        <v>0</v>
      </c>
      <c r="M73" s="71"/>
      <c r="N73" s="115">
        <f>'Inputs by customer type'!N38</f>
        <v>56304.879713602466</v>
      </c>
      <c r="O73" s="115">
        <f>'Inputs by customer type'!O38</f>
        <v>115.60675829683933</v>
      </c>
      <c r="P73" s="115">
        <f>'Inputs by customer type'!P38</f>
        <v>113635.47324864614</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154</v>
      </c>
      <c r="AQ75" s="3"/>
    </row>
    <row r="76" spans="3:43" x14ac:dyDescent="0.25">
      <c r="C76" s="24"/>
      <c r="E76" s="27"/>
      <c r="F76" s="68" t="s">
        <v>247</v>
      </c>
      <c r="G76" s="68" t="s">
        <v>207</v>
      </c>
      <c r="H76" s="19"/>
      <c r="I76" s="19"/>
      <c r="J76" s="73"/>
      <c r="K76" s="73"/>
      <c r="L76" s="114">
        <f>'Inputs by customer type'!L41</f>
        <v>44194.853232625021</v>
      </c>
      <c r="M76" s="73"/>
      <c r="N76" s="114">
        <f>'Inputs by customer type'!N41</f>
        <v>88857.46042767688</v>
      </c>
      <c r="O76" s="114">
        <f>'Inputs by customer type'!O41</f>
        <v>814.71725366006797</v>
      </c>
      <c r="P76" s="114">
        <f>'Inputs by customer type'!P41</f>
        <v>171679.60936146666</v>
      </c>
      <c r="Q76" s="73"/>
      <c r="R76" s="73"/>
      <c r="S76" s="73"/>
      <c r="T76" s="73"/>
      <c r="U76" s="73"/>
      <c r="V76" s="73"/>
      <c r="W76" s="73"/>
      <c r="X76" s="73"/>
      <c r="Y76" s="73"/>
      <c r="AQ76" s="3"/>
    </row>
    <row r="77" spans="3:43" x14ac:dyDescent="0.25">
      <c r="E77" s="27"/>
      <c r="F77" s="62" t="s">
        <v>248</v>
      </c>
      <c r="G77" s="62" t="s">
        <v>207</v>
      </c>
      <c r="J77" s="319"/>
      <c r="K77" s="319"/>
      <c r="L77" s="321">
        <f>'Inputs by customer type'!L42</f>
        <v>182690.75612549187</v>
      </c>
      <c r="M77" s="319"/>
      <c r="N77" s="321">
        <f>'Inputs by customer type'!N42</f>
        <v>383362.96878490044</v>
      </c>
      <c r="O77" s="321">
        <f>'Inputs by customer type'!O42</f>
        <v>3082.7344765877519</v>
      </c>
      <c r="P77" s="321">
        <f>'Inputs by customer type'!P42</f>
        <v>682998.82305674069</v>
      </c>
      <c r="Q77" s="319"/>
      <c r="R77" s="319"/>
      <c r="S77" s="319"/>
      <c r="T77" s="319"/>
      <c r="U77" s="319"/>
      <c r="V77" s="319"/>
      <c r="W77" s="319"/>
      <c r="X77" s="319"/>
      <c r="Y77" s="319"/>
      <c r="AQ77" s="3"/>
    </row>
    <row r="78" spans="3:43" x14ac:dyDescent="0.25">
      <c r="E78" s="27"/>
      <c r="F78" s="62" t="s">
        <v>249</v>
      </c>
      <c r="G78" s="62" t="s">
        <v>207</v>
      </c>
      <c r="J78" s="319"/>
      <c r="K78" s="319"/>
      <c r="L78" s="321">
        <f>'Inputs by customer type'!L43</f>
        <v>200967.88074591302</v>
      </c>
      <c r="M78" s="319"/>
      <c r="N78" s="321">
        <f>'Inputs by customer type'!N43</f>
        <v>550722.12107162236</v>
      </c>
      <c r="O78" s="321">
        <f>'Inputs by customer type'!O43</f>
        <v>3798.303812505917</v>
      </c>
      <c r="P78" s="321">
        <f>'Inputs by customer type'!P43</f>
        <v>955412.98390801146</v>
      </c>
      <c r="Q78" s="319"/>
      <c r="R78" s="319"/>
      <c r="S78" s="319"/>
      <c r="T78" s="319"/>
      <c r="U78" s="319"/>
      <c r="V78" s="319"/>
      <c r="W78" s="319"/>
      <c r="X78" s="319"/>
      <c r="Y78" s="319"/>
      <c r="AQ78" s="3"/>
    </row>
    <row r="79" spans="3:43" x14ac:dyDescent="0.25">
      <c r="E79" s="27"/>
      <c r="F79" s="62" t="s">
        <v>212</v>
      </c>
      <c r="G79" s="62" t="s">
        <v>212</v>
      </c>
      <c r="J79" s="319"/>
      <c r="K79" s="319"/>
      <c r="L79" s="321">
        <f>'Inputs by customer type'!L44</f>
        <v>53541.100272907279</v>
      </c>
      <c r="M79" s="319"/>
      <c r="N79" s="321">
        <f>'Inputs by customer type'!N44</f>
        <v>5249.4268633032916</v>
      </c>
      <c r="O79" s="321">
        <f>'Inputs by customer type'!O44</f>
        <v>26.318091191003916</v>
      </c>
      <c r="P79" s="321">
        <f>'Inputs by customer type'!P44</f>
        <v>1219.1562048469793</v>
      </c>
      <c r="Q79" s="319"/>
      <c r="R79" s="319"/>
      <c r="S79" s="319"/>
      <c r="T79" s="319"/>
      <c r="U79" s="319"/>
      <c r="V79" s="319"/>
      <c r="W79" s="319"/>
      <c r="X79" s="319"/>
      <c r="Y79" s="319"/>
      <c r="AQ79" s="3"/>
    </row>
    <row r="80" spans="3:43" x14ac:dyDescent="0.25">
      <c r="E80" s="27"/>
      <c r="F80" s="62" t="s">
        <v>250</v>
      </c>
      <c r="G80" s="62" t="s">
        <v>251</v>
      </c>
      <c r="J80" s="319"/>
      <c r="K80" s="319"/>
      <c r="L80" s="321">
        <f>'Inputs by customer type'!L45</f>
        <v>0</v>
      </c>
      <c r="M80" s="319"/>
      <c r="N80" s="321">
        <f>'Inputs by customer type'!N45</f>
        <v>606600.18946620962</v>
      </c>
      <c r="O80" s="321">
        <f>'Inputs by customer type'!O45</f>
        <v>3069.2205346557857</v>
      </c>
      <c r="P80" s="321">
        <f>'Inputs by customer type'!P45</f>
        <v>777723.01505323185</v>
      </c>
      <c r="Q80" s="319"/>
      <c r="R80" s="319"/>
      <c r="S80" s="319"/>
      <c r="T80" s="319"/>
      <c r="U80" s="319"/>
      <c r="V80" s="319"/>
      <c r="W80" s="319"/>
      <c r="X80" s="319"/>
      <c r="Y80" s="319"/>
      <c r="AQ80" s="3"/>
    </row>
    <row r="81" spans="3:43" x14ac:dyDescent="0.25">
      <c r="E81" s="27"/>
      <c r="F81" s="62" t="s">
        <v>252</v>
      </c>
      <c r="G81" s="62" t="s">
        <v>251</v>
      </c>
      <c r="J81" s="319"/>
      <c r="K81" s="319"/>
      <c r="L81" s="321">
        <f>'Inputs by customer type'!L46</f>
        <v>0</v>
      </c>
      <c r="M81" s="319"/>
      <c r="N81" s="321">
        <f>'Inputs by customer type'!N46</f>
        <v>10216.002573144408</v>
      </c>
      <c r="O81" s="321">
        <f>'Inputs by customer type'!O46</f>
        <v>14.253179251336862</v>
      </c>
      <c r="P81" s="321">
        <f>'Inputs by customer type'!P46</f>
        <v>11531.55661425686</v>
      </c>
      <c r="Q81" s="319"/>
      <c r="R81" s="319"/>
      <c r="S81" s="319"/>
      <c r="T81" s="319"/>
      <c r="U81" s="319"/>
      <c r="V81" s="319"/>
      <c r="W81" s="319"/>
      <c r="X81" s="319"/>
      <c r="Y81" s="319"/>
      <c r="AQ81" s="3"/>
    </row>
    <row r="82" spans="3:43" x14ac:dyDescent="0.25">
      <c r="E82" s="27"/>
      <c r="F82" s="70" t="s">
        <v>253</v>
      </c>
      <c r="G82" s="70" t="s">
        <v>254</v>
      </c>
      <c r="H82" s="28"/>
      <c r="I82" s="28"/>
      <c r="J82" s="71"/>
      <c r="K82" s="71"/>
      <c r="L82" s="115">
        <f>'Inputs by customer type'!L47</f>
        <v>0</v>
      </c>
      <c r="M82" s="71"/>
      <c r="N82" s="115">
        <f>'Inputs by customer type'!N47</f>
        <v>85351.832172338283</v>
      </c>
      <c r="O82" s="115">
        <f>'Inputs by customer type'!O47</f>
        <v>418.73357936061552</v>
      </c>
      <c r="P82" s="115">
        <f>'Inputs by customer type'!P47</f>
        <v>196244.90669001723</v>
      </c>
      <c r="Q82" s="71"/>
      <c r="R82" s="71"/>
      <c r="S82" s="71"/>
      <c r="T82" s="71"/>
      <c r="U82" s="71"/>
      <c r="V82" s="71"/>
      <c r="W82" s="71"/>
      <c r="X82" s="71"/>
      <c r="Y82" s="71"/>
      <c r="AQ82" s="3"/>
    </row>
    <row r="83" spans="3:43" x14ac:dyDescent="0.25">
      <c r="AQ83" s="3"/>
    </row>
    <row r="84" spans="3:43" x14ac:dyDescent="0.25">
      <c r="C84" s="24"/>
      <c r="E84" s="27" t="s">
        <v>946</v>
      </c>
      <c r="G84" s="12"/>
      <c r="I84" t="s">
        <v>154</v>
      </c>
      <c r="AQ84" s="3"/>
    </row>
    <row r="85" spans="3:43" x14ac:dyDescent="0.25">
      <c r="C85" s="24"/>
      <c r="E85" s="27"/>
      <c r="F85" s="68" t="s">
        <v>247</v>
      </c>
      <c r="G85" s="68" t="s">
        <v>207</v>
      </c>
      <c r="H85" s="19"/>
      <c r="I85" s="19"/>
      <c r="J85" s="73"/>
      <c r="K85" s="73"/>
      <c r="L85" s="114">
        <f>'Inputs by customer type'!L50</f>
        <v>55088.643756714708</v>
      </c>
      <c r="M85" s="73"/>
      <c r="N85" s="114">
        <f>'Inputs by customer type'!N50</f>
        <v>48807.429834632159</v>
      </c>
      <c r="O85" s="114">
        <f>'Inputs by customer type'!O50</f>
        <v>1468.3723943988352</v>
      </c>
      <c r="P85" s="114">
        <f>'Inputs by customer type'!P50</f>
        <v>93822.760463445258</v>
      </c>
      <c r="Q85" s="73"/>
      <c r="R85" s="73"/>
      <c r="S85" s="73"/>
      <c r="T85" s="73"/>
      <c r="U85" s="73"/>
      <c r="V85" s="73"/>
      <c r="W85" s="73"/>
      <c r="X85" s="73"/>
      <c r="Y85" s="73"/>
      <c r="AQ85" s="3"/>
    </row>
    <row r="86" spans="3:43" x14ac:dyDescent="0.25">
      <c r="E86" s="27"/>
      <c r="F86" s="62" t="s">
        <v>248</v>
      </c>
      <c r="G86" s="62" t="s">
        <v>207</v>
      </c>
      <c r="J86" s="319"/>
      <c r="K86" s="319"/>
      <c r="L86" s="321">
        <f>'Inputs by customer type'!L51</f>
        <v>227723.03211118252</v>
      </c>
      <c r="M86" s="319"/>
      <c r="N86" s="321">
        <f>'Inputs by customer type'!N51</f>
        <v>210572.76575436888</v>
      </c>
      <c r="O86" s="321">
        <f>'Inputs by customer type'!O51</f>
        <v>5556.0406807975533</v>
      </c>
      <c r="P86" s="321">
        <f>'Inputs by customer type'!P51</f>
        <v>373258.27575450274</v>
      </c>
      <c r="Q86" s="319"/>
      <c r="R86" s="319"/>
      <c r="S86" s="319"/>
      <c r="T86" s="319"/>
      <c r="U86" s="319"/>
      <c r="V86" s="319"/>
      <c r="W86" s="319"/>
      <c r="X86" s="319"/>
      <c r="Y86" s="319"/>
      <c r="AQ86" s="3"/>
    </row>
    <row r="87" spans="3:43" x14ac:dyDescent="0.25">
      <c r="E87" s="27"/>
      <c r="F87" s="62" t="s">
        <v>249</v>
      </c>
      <c r="G87" s="62" t="s">
        <v>207</v>
      </c>
      <c r="J87" s="319"/>
      <c r="K87" s="319"/>
      <c r="L87" s="321">
        <f>'Inputs by customer type'!L52</f>
        <v>250505.36836675779</v>
      </c>
      <c r="M87" s="319"/>
      <c r="N87" s="321">
        <f>'Inputs by customer type'!N52</f>
        <v>302499.43171019055</v>
      </c>
      <c r="O87" s="321">
        <f>'Inputs by customer type'!O52</f>
        <v>6845.7178717742199</v>
      </c>
      <c r="P87" s="321">
        <f>'Inputs by customer type'!P52</f>
        <v>522132.38290945435</v>
      </c>
      <c r="Q87" s="319"/>
      <c r="R87" s="319"/>
      <c r="S87" s="319"/>
      <c r="T87" s="319"/>
      <c r="U87" s="319"/>
      <c r="V87" s="319"/>
      <c r="W87" s="319"/>
      <c r="X87" s="319"/>
      <c r="Y87" s="319"/>
      <c r="AQ87" s="3"/>
    </row>
    <row r="88" spans="3:43" x14ac:dyDescent="0.25">
      <c r="E88" s="27"/>
      <c r="F88" s="62" t="s">
        <v>212</v>
      </c>
      <c r="G88" s="62" t="s">
        <v>212</v>
      </c>
      <c r="J88" s="319"/>
      <c r="K88" s="319"/>
      <c r="L88" s="321">
        <f>'Inputs by customer type'!L53</f>
        <v>27924.327256355347</v>
      </c>
      <c r="M88" s="319"/>
      <c r="N88" s="321">
        <f>'Inputs by customer type'!N53</f>
        <v>1823.7623385197005</v>
      </c>
      <c r="O88" s="321">
        <f>'Inputs by customer type'!O53</f>
        <v>30.801026855796401</v>
      </c>
      <c r="P88" s="321">
        <f>'Inputs by customer type'!P53</f>
        <v>298.4485717855971</v>
      </c>
      <c r="Q88" s="319"/>
      <c r="R88" s="319"/>
      <c r="S88" s="319"/>
      <c r="T88" s="319"/>
      <c r="U88" s="319"/>
      <c r="V88" s="319"/>
      <c r="W88" s="319"/>
      <c r="X88" s="319"/>
      <c r="Y88" s="319"/>
      <c r="AQ88" s="3"/>
    </row>
    <row r="89" spans="3:43" x14ac:dyDescent="0.25">
      <c r="E89" s="27"/>
      <c r="F89" s="62" t="s">
        <v>250</v>
      </c>
      <c r="G89" s="62" t="s">
        <v>251</v>
      </c>
      <c r="J89" s="319"/>
      <c r="K89" s="319"/>
      <c r="L89" s="321">
        <f>'Inputs by customer type'!L54</f>
        <v>0</v>
      </c>
      <c r="M89" s="319"/>
      <c r="N89" s="321">
        <f>'Inputs by customer type'!N54</f>
        <v>336712.69569263258</v>
      </c>
      <c r="O89" s="321">
        <f>'Inputs by customer type'!O54</f>
        <v>5579.2821262040925</v>
      </c>
      <c r="P89" s="321">
        <f>'Inputs by customer type'!P54</f>
        <v>407078.88999769877</v>
      </c>
      <c r="Q89" s="319"/>
      <c r="R89" s="319"/>
      <c r="S89" s="319"/>
      <c r="T89" s="319"/>
      <c r="U89" s="319"/>
      <c r="V89" s="319"/>
      <c r="W89" s="319"/>
      <c r="X89" s="319"/>
      <c r="Y89" s="319"/>
      <c r="AQ89" s="3"/>
    </row>
    <row r="90" spans="3:43" x14ac:dyDescent="0.25">
      <c r="E90" s="27"/>
      <c r="F90" s="62" t="s">
        <v>252</v>
      </c>
      <c r="G90" s="62" t="s">
        <v>251</v>
      </c>
      <c r="J90" s="319"/>
      <c r="K90" s="319"/>
      <c r="L90" s="321">
        <f>'Inputs by customer type'!L55</f>
        <v>0</v>
      </c>
      <c r="M90" s="319"/>
      <c r="N90" s="321">
        <f>'Inputs by customer type'!N55</f>
        <v>5674.7776906022964</v>
      </c>
      <c r="O90" s="321">
        <f>'Inputs by customer type'!O55</f>
        <v>26.931335412536932</v>
      </c>
      <c r="P90" s="321">
        <f>'Inputs by customer type'!P55</f>
        <v>6046.0846332229867</v>
      </c>
      <c r="Q90" s="319"/>
      <c r="R90" s="319"/>
      <c r="S90" s="319"/>
      <c r="T90" s="319"/>
      <c r="U90" s="319"/>
      <c r="V90" s="319"/>
      <c r="W90" s="319"/>
      <c r="X90" s="319"/>
      <c r="Y90" s="319"/>
      <c r="AQ90" s="3"/>
    </row>
    <row r="91" spans="3:43" x14ac:dyDescent="0.25">
      <c r="E91" s="27"/>
      <c r="F91" s="70" t="s">
        <v>253</v>
      </c>
      <c r="G91" s="70" t="s">
        <v>254</v>
      </c>
      <c r="H91" s="28"/>
      <c r="I91" s="28"/>
      <c r="J91" s="71"/>
      <c r="K91" s="71"/>
      <c r="L91" s="115">
        <f>'Inputs by customer type'!L56</f>
        <v>0</v>
      </c>
      <c r="M91" s="71"/>
      <c r="N91" s="115">
        <f>'Inputs by customer type'!N56</f>
        <v>46867.455293587234</v>
      </c>
      <c r="O91" s="115">
        <f>'Inputs by customer type'!O56</f>
        <v>761.73334007584276</v>
      </c>
      <c r="P91" s="115">
        <f>'Inputs by customer type'!P56</f>
        <v>107247.67455511968</v>
      </c>
      <c r="Q91" s="71"/>
      <c r="R91" s="71"/>
      <c r="S91" s="71"/>
      <c r="T91" s="71"/>
      <c r="U91" s="71"/>
      <c r="V91" s="71"/>
      <c r="W91" s="71"/>
      <c r="X91" s="71"/>
      <c r="Y91" s="71"/>
      <c r="AQ91" s="3"/>
    </row>
    <row r="92" spans="3:43" x14ac:dyDescent="0.25">
      <c r="AQ92" s="3"/>
    </row>
    <row r="93" spans="3:43" x14ac:dyDescent="0.25">
      <c r="C93" s="24"/>
      <c r="E93" s="27" t="s">
        <v>947</v>
      </c>
      <c r="G93" s="12"/>
      <c r="I93" t="s">
        <v>154</v>
      </c>
      <c r="AQ93" s="3"/>
    </row>
    <row r="94" spans="3:43" x14ac:dyDescent="0.25">
      <c r="C94" s="24"/>
      <c r="E94" s="27"/>
      <c r="F94" s="68" t="s">
        <v>247</v>
      </c>
      <c r="G94" s="68" t="s">
        <v>207</v>
      </c>
      <c r="H94" s="19"/>
      <c r="I94" s="19"/>
      <c r="J94" s="73"/>
      <c r="K94" s="73"/>
      <c r="L94" s="114">
        <f>'Inputs by customer type'!L59</f>
        <v>183892.94247197083</v>
      </c>
      <c r="M94" s="73"/>
      <c r="N94" s="114">
        <f>'Inputs by customer type'!N59</f>
        <v>48155.848578831639</v>
      </c>
      <c r="O94" s="114">
        <f>'Inputs by customer type'!O59</f>
        <v>16738.581298928457</v>
      </c>
      <c r="P94" s="114">
        <f>'Inputs by customer type'!P59</f>
        <v>294231.95653909474</v>
      </c>
      <c r="Q94" s="73"/>
      <c r="R94" s="73"/>
      <c r="S94" s="73"/>
      <c r="T94" s="73"/>
      <c r="U94" s="73"/>
      <c r="V94" s="73"/>
      <c r="W94" s="73"/>
      <c r="X94" s="73"/>
      <c r="Y94" s="73"/>
      <c r="AQ94" s="3"/>
    </row>
    <row r="95" spans="3:43" x14ac:dyDescent="0.25">
      <c r="E95" s="27"/>
      <c r="F95" s="62" t="s">
        <v>248</v>
      </c>
      <c r="G95" s="62" t="s">
        <v>207</v>
      </c>
      <c r="J95" s="319"/>
      <c r="K95" s="319"/>
      <c r="L95" s="321">
        <f>'Inputs by customer type'!L60</f>
        <v>760168.6225658831</v>
      </c>
      <c r="M95" s="319"/>
      <c r="N95" s="321">
        <f>'Inputs by customer type'!N60</f>
        <v>207761.61041157588</v>
      </c>
      <c r="O95" s="321">
        <f>'Inputs by customer type'!O60</f>
        <v>63335.594560641948</v>
      </c>
      <c r="P95" s="321">
        <f>'Inputs by customer type'!P60</f>
        <v>1170552.9897774169</v>
      </c>
      <c r="Q95" s="319"/>
      <c r="R95" s="319"/>
      <c r="S95" s="319"/>
      <c r="T95" s="319"/>
      <c r="U95" s="319"/>
      <c r="V95" s="319"/>
      <c r="W95" s="319"/>
      <c r="X95" s="319"/>
      <c r="Y95" s="319"/>
      <c r="AQ95" s="3"/>
    </row>
    <row r="96" spans="3:43" x14ac:dyDescent="0.25">
      <c r="E96" s="27"/>
      <c r="F96" s="62" t="s">
        <v>249</v>
      </c>
      <c r="G96" s="62" t="s">
        <v>207</v>
      </c>
      <c r="J96" s="319"/>
      <c r="K96" s="319"/>
      <c r="L96" s="321">
        <f>'Inputs by customer type'!L61</f>
        <v>836218.97640878276</v>
      </c>
      <c r="M96" s="319"/>
      <c r="N96" s="321">
        <f>'Inputs by customer type'!N61</f>
        <v>298461.05148282577</v>
      </c>
      <c r="O96" s="321">
        <f>'Inputs by customer type'!O61</f>
        <v>78037.155685655249</v>
      </c>
      <c r="P96" s="321">
        <f>'Inputs by customer type'!P61</f>
        <v>1637428.1873290681</v>
      </c>
      <c r="Q96" s="319"/>
      <c r="R96" s="319"/>
      <c r="S96" s="319"/>
      <c r="T96" s="319"/>
      <c r="U96" s="319"/>
      <c r="V96" s="319"/>
      <c r="W96" s="319"/>
      <c r="X96" s="319"/>
      <c r="Y96" s="319"/>
      <c r="AQ96" s="3"/>
    </row>
    <row r="97" spans="3:43" x14ac:dyDescent="0.25">
      <c r="E97" s="27"/>
      <c r="F97" s="62" t="s">
        <v>212</v>
      </c>
      <c r="G97" s="62" t="s">
        <v>212</v>
      </c>
      <c r="J97" s="319"/>
      <c r="K97" s="319"/>
      <c r="L97" s="321">
        <f>'Inputs by customer type'!L62</f>
        <v>28149.945828907057</v>
      </c>
      <c r="M97" s="319"/>
      <c r="N97" s="321">
        <f>'Inputs by customer type'!N62</f>
        <v>1095.576983747472</v>
      </c>
      <c r="O97" s="321">
        <f>'Inputs by customer type'!O62</f>
        <v>235.76623358607674</v>
      </c>
      <c r="P97" s="321">
        <f>'Inputs by customer type'!P62</f>
        <v>300.46365168995504</v>
      </c>
      <c r="Q97" s="319"/>
      <c r="R97" s="319"/>
      <c r="S97" s="319"/>
      <c r="T97" s="319"/>
      <c r="U97" s="319"/>
      <c r="V97" s="319"/>
      <c r="W97" s="319"/>
      <c r="X97" s="319"/>
      <c r="Y97" s="319"/>
      <c r="AQ97" s="3"/>
    </row>
    <row r="98" spans="3:43" x14ac:dyDescent="0.25">
      <c r="E98" s="27"/>
      <c r="F98" s="62" t="s">
        <v>250</v>
      </c>
      <c r="G98" s="62" t="s">
        <v>251</v>
      </c>
      <c r="J98" s="319"/>
      <c r="K98" s="319"/>
      <c r="L98" s="321">
        <f>'Inputs by customer type'!L63</f>
        <v>0</v>
      </c>
      <c r="M98" s="319"/>
      <c r="N98" s="321">
        <f>'Inputs by customer type'!N63</f>
        <v>341121.31598836888</v>
      </c>
      <c r="O98" s="321">
        <f>'Inputs by customer type'!O63</f>
        <v>112225.79140230623</v>
      </c>
      <c r="P98" s="321">
        <f>'Inputs by customer type'!P63</f>
        <v>1202874.0697539097</v>
      </c>
      <c r="Q98" s="319"/>
      <c r="R98" s="319"/>
      <c r="S98" s="319"/>
      <c r="T98" s="319"/>
      <c r="U98" s="319"/>
      <c r="V98" s="319"/>
      <c r="W98" s="319"/>
      <c r="X98" s="319"/>
      <c r="Y98" s="319"/>
      <c r="AQ98" s="3"/>
    </row>
    <row r="99" spans="3:43" x14ac:dyDescent="0.25">
      <c r="E99" s="27"/>
      <c r="F99" s="62" t="s">
        <v>252</v>
      </c>
      <c r="G99" s="62" t="s">
        <v>251</v>
      </c>
      <c r="J99" s="319"/>
      <c r="K99" s="319"/>
      <c r="L99" s="321">
        <f>'Inputs by customer type'!L64</f>
        <v>0</v>
      </c>
      <c r="M99" s="319"/>
      <c r="N99" s="321">
        <f>'Inputs by customer type'!N64</f>
        <v>5752.8548351043901</v>
      </c>
      <c r="O99" s="321">
        <f>'Inputs by customer type'!O64</f>
        <v>521.16630376305068</v>
      </c>
      <c r="P99" s="321">
        <f>'Inputs by customer type'!P64</f>
        <v>17799.936822194777</v>
      </c>
      <c r="Q99" s="319"/>
      <c r="R99" s="319"/>
      <c r="S99" s="319"/>
      <c r="T99" s="319"/>
      <c r="U99" s="319"/>
      <c r="V99" s="319"/>
      <c r="W99" s="319"/>
      <c r="X99" s="319"/>
      <c r="Y99" s="319"/>
      <c r="AQ99" s="3"/>
    </row>
    <row r="100" spans="3:43" x14ac:dyDescent="0.25">
      <c r="E100" s="27"/>
      <c r="F100" s="70" t="s">
        <v>253</v>
      </c>
      <c r="G100" s="70" t="s">
        <v>254</v>
      </c>
      <c r="H100" s="28"/>
      <c r="I100" s="28"/>
      <c r="J100" s="71"/>
      <c r="K100" s="71"/>
      <c r="L100" s="115">
        <f>'Inputs by customer type'!L65</f>
        <v>0</v>
      </c>
      <c r="M100" s="71"/>
      <c r="N100" s="115">
        <f>'Inputs by customer type'!N65</f>
        <v>46264.229682489466</v>
      </c>
      <c r="O100" s="115">
        <f>'Inputs by customer type'!O65</f>
        <v>8829.7904068843709</v>
      </c>
      <c r="P100" s="115">
        <f>'Inputs by customer type'!P65</f>
        <v>336333.02796409954</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154</v>
      </c>
      <c r="AQ104" s="3"/>
    </row>
    <row r="105" spans="3:43" x14ac:dyDescent="0.25">
      <c r="E105" s="27"/>
      <c r="F105" s="68" t="s">
        <v>247</v>
      </c>
      <c r="G105" s="68" t="s">
        <v>207</v>
      </c>
      <c r="H105" s="19"/>
      <c r="I105" s="19"/>
      <c r="J105" s="73"/>
      <c r="K105" s="114">
        <f>'Inputs by customer type'!K70</f>
        <v>0</v>
      </c>
      <c r="L105" s="114">
        <f>'Inputs by customer type'!L70</f>
        <v>0</v>
      </c>
      <c r="M105" s="114">
        <f>'Inputs by customer type'!M70</f>
        <v>0</v>
      </c>
      <c r="N105" s="114">
        <f>'Inputs by customer type'!N70</f>
        <v>0</v>
      </c>
      <c r="O105" s="114">
        <f>'Inputs by customer type'!O70</f>
        <v>0</v>
      </c>
      <c r="P105" s="114">
        <f>'Inputs by customer type'!P70</f>
        <v>0</v>
      </c>
      <c r="Q105" s="73"/>
      <c r="R105" s="114">
        <f>'Inputs by customer type'!R70</f>
        <v>4.2797216354836163</v>
      </c>
      <c r="S105" s="73"/>
      <c r="T105" s="114">
        <f>'Inputs by customer type'!T70</f>
        <v>0</v>
      </c>
      <c r="U105" s="73"/>
      <c r="V105" s="73"/>
      <c r="W105" s="73"/>
      <c r="X105" s="73"/>
      <c r="Y105" s="73"/>
      <c r="AQ105" s="3"/>
    </row>
    <row r="106" spans="3:43" x14ac:dyDescent="0.25">
      <c r="E106" s="27"/>
      <c r="F106" s="62" t="s">
        <v>248</v>
      </c>
      <c r="G106" s="62" t="s">
        <v>207</v>
      </c>
      <c r="J106" s="319"/>
      <c r="K106" s="321">
        <f>'Inputs by customer type'!K71</f>
        <v>0</v>
      </c>
      <c r="L106" s="321">
        <f>'Inputs by customer type'!L71</f>
        <v>0</v>
      </c>
      <c r="M106" s="321">
        <f>'Inputs by customer type'!M71</f>
        <v>0</v>
      </c>
      <c r="N106" s="321">
        <f>'Inputs by customer type'!N71</f>
        <v>0</v>
      </c>
      <c r="O106" s="321">
        <f>'Inputs by customer type'!O71</f>
        <v>0</v>
      </c>
      <c r="P106" s="321">
        <f>'Inputs by customer type'!P71</f>
        <v>0</v>
      </c>
      <c r="Q106" s="319"/>
      <c r="R106" s="321">
        <f>'Inputs by customer type'!R71</f>
        <v>18.271397198392478</v>
      </c>
      <c r="S106" s="319"/>
      <c r="T106" s="321">
        <f>'Inputs by customer type'!T71</f>
        <v>0</v>
      </c>
      <c r="U106" s="319"/>
      <c r="V106" s="319"/>
      <c r="W106" s="319"/>
      <c r="X106" s="319"/>
      <c r="Y106" s="319"/>
      <c r="AQ106" s="3"/>
    </row>
    <row r="107" spans="3:43" x14ac:dyDescent="0.25">
      <c r="E107" s="27"/>
      <c r="F107" s="62" t="s">
        <v>249</v>
      </c>
      <c r="G107" s="62" t="s">
        <v>207</v>
      </c>
      <c r="J107" s="319"/>
      <c r="K107" s="321">
        <f>'Inputs by customer type'!K72</f>
        <v>0</v>
      </c>
      <c r="L107" s="321">
        <f>'Inputs by customer type'!L72</f>
        <v>0</v>
      </c>
      <c r="M107" s="321">
        <f>'Inputs by customer type'!M72</f>
        <v>0</v>
      </c>
      <c r="N107" s="321">
        <f>'Inputs by customer type'!N72</f>
        <v>0</v>
      </c>
      <c r="O107" s="321">
        <f>'Inputs by customer type'!O72</f>
        <v>0</v>
      </c>
      <c r="P107" s="321">
        <f>'Inputs by customer type'!P72</f>
        <v>0</v>
      </c>
      <c r="Q107" s="319"/>
      <c r="R107" s="321">
        <f>'Inputs by customer type'!R72</f>
        <v>10.408381166123906</v>
      </c>
      <c r="S107" s="319"/>
      <c r="T107" s="321">
        <f>'Inputs by customer type'!T72</f>
        <v>0</v>
      </c>
      <c r="U107" s="319"/>
      <c r="V107" s="319"/>
      <c r="W107" s="319"/>
      <c r="X107" s="319"/>
      <c r="Y107" s="319"/>
      <c r="AQ107" s="3"/>
    </row>
    <row r="108" spans="3:43" x14ac:dyDescent="0.25">
      <c r="E108" s="27"/>
      <c r="F108" s="62" t="s">
        <v>212</v>
      </c>
      <c r="G108" s="62" t="s">
        <v>212</v>
      </c>
      <c r="J108" s="319"/>
      <c r="K108" s="321">
        <f>'Inputs by customer type'!K73</f>
        <v>0</v>
      </c>
      <c r="L108" s="321">
        <f>'Inputs by customer type'!L73</f>
        <v>0</v>
      </c>
      <c r="M108" s="321">
        <f>'Inputs by customer type'!M73</f>
        <v>0</v>
      </c>
      <c r="N108" s="321">
        <f>'Inputs by customer type'!N73</f>
        <v>0</v>
      </c>
      <c r="O108" s="321">
        <f>'Inputs by customer type'!O73</f>
        <v>0</v>
      </c>
      <c r="P108" s="321">
        <f>'Inputs by customer type'!P73</f>
        <v>0</v>
      </c>
      <c r="Q108" s="319"/>
      <c r="R108" s="321">
        <f>'Inputs by customer type'!R73</f>
        <v>0</v>
      </c>
      <c r="S108" s="319"/>
      <c r="T108" s="321">
        <f>'Inputs by customer type'!T73</f>
        <v>0</v>
      </c>
      <c r="U108" s="319"/>
      <c r="V108" s="319"/>
      <c r="W108" s="319"/>
      <c r="X108" s="319"/>
      <c r="Y108" s="319"/>
      <c r="AQ108" s="3"/>
    </row>
    <row r="109" spans="3:43" x14ac:dyDescent="0.25">
      <c r="E109" s="27"/>
      <c r="F109" s="62" t="s">
        <v>250</v>
      </c>
      <c r="G109" s="62" t="s">
        <v>251</v>
      </c>
      <c r="J109" s="319"/>
      <c r="K109" s="321">
        <f>'Inputs by customer type'!K74</f>
        <v>0</v>
      </c>
      <c r="L109" s="321">
        <f>'Inputs by customer type'!L74</f>
        <v>0</v>
      </c>
      <c r="M109" s="321">
        <f>'Inputs by customer type'!M74</f>
        <v>0</v>
      </c>
      <c r="N109" s="321">
        <f>'Inputs by customer type'!N74</f>
        <v>0</v>
      </c>
      <c r="O109" s="321">
        <f>'Inputs by customer type'!O74</f>
        <v>0</v>
      </c>
      <c r="P109" s="321">
        <f>'Inputs by customer type'!P74</f>
        <v>0</v>
      </c>
      <c r="Q109" s="319"/>
      <c r="R109" s="321">
        <f>'Inputs by customer type'!R74</f>
        <v>0</v>
      </c>
      <c r="S109" s="319"/>
      <c r="T109" s="321">
        <f>'Inputs by customer type'!T74</f>
        <v>0</v>
      </c>
      <c r="U109" s="319"/>
      <c r="V109" s="319"/>
      <c r="W109" s="319"/>
      <c r="X109" s="319"/>
      <c r="Y109" s="319"/>
      <c r="AQ109" s="3"/>
    </row>
    <row r="110" spans="3:43" x14ac:dyDescent="0.25">
      <c r="E110" s="27"/>
      <c r="F110" s="62" t="s">
        <v>252</v>
      </c>
      <c r="G110" s="62" t="s">
        <v>251</v>
      </c>
      <c r="J110" s="319"/>
      <c r="K110" s="321">
        <f>'Inputs by customer type'!K75</f>
        <v>0</v>
      </c>
      <c r="L110" s="321">
        <f>'Inputs by customer type'!L75</f>
        <v>0</v>
      </c>
      <c r="M110" s="321">
        <f>'Inputs by customer type'!M75</f>
        <v>0</v>
      </c>
      <c r="N110" s="321">
        <f>'Inputs by customer type'!N75</f>
        <v>0</v>
      </c>
      <c r="O110" s="321">
        <f>'Inputs by customer type'!O75</f>
        <v>0</v>
      </c>
      <c r="P110" s="321">
        <f>'Inputs by customer type'!P75</f>
        <v>0</v>
      </c>
      <c r="Q110" s="319"/>
      <c r="R110" s="321">
        <f>'Inputs by customer type'!R75</f>
        <v>0</v>
      </c>
      <c r="S110" s="319"/>
      <c r="T110" s="321">
        <f>'Inputs by customer type'!T75</f>
        <v>0</v>
      </c>
      <c r="U110" s="319"/>
      <c r="V110" s="319"/>
      <c r="W110" s="319"/>
      <c r="X110" s="319"/>
      <c r="Y110" s="319"/>
      <c r="AQ110" s="3"/>
    </row>
    <row r="111" spans="3:43" x14ac:dyDescent="0.2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154</v>
      </c>
      <c r="AQ113" s="3"/>
    </row>
    <row r="114" spans="5:43" x14ac:dyDescent="0.25">
      <c r="E114" s="27"/>
      <c r="F114" s="68" t="s">
        <v>247</v>
      </c>
      <c r="G114" s="68" t="s">
        <v>207</v>
      </c>
      <c r="H114" s="19"/>
      <c r="I114" s="19"/>
      <c r="J114" s="114">
        <f>'Inputs by customer type'!J79</f>
        <v>15700.93913512329</v>
      </c>
      <c r="K114" s="73"/>
      <c r="L114" s="114">
        <f>'Inputs by customer type'!L79</f>
        <v>32.41484239613461</v>
      </c>
      <c r="M114" s="73"/>
      <c r="N114" s="114">
        <f>'Inputs by customer type'!N79</f>
        <v>668.45656969807692</v>
      </c>
      <c r="O114" s="114">
        <f>'Inputs by customer type'!O79</f>
        <v>0</v>
      </c>
      <c r="P114" s="114">
        <f>'Inputs by customer type'!P79</f>
        <v>0</v>
      </c>
      <c r="Q114" s="114">
        <f>'Inputs by customer type'!Q79</f>
        <v>5.2803435811820503</v>
      </c>
      <c r="R114" s="73"/>
      <c r="S114" s="73"/>
      <c r="T114" s="73"/>
      <c r="U114" s="73"/>
      <c r="V114" s="73"/>
      <c r="W114" s="73"/>
      <c r="X114" s="73"/>
      <c r="Y114" s="73"/>
      <c r="AQ114" s="3"/>
    </row>
    <row r="115" spans="5:43" x14ac:dyDescent="0.25">
      <c r="E115" s="27"/>
      <c r="F115" s="62" t="s">
        <v>248</v>
      </c>
      <c r="G115" s="62" t="s">
        <v>207</v>
      </c>
      <c r="J115" s="321">
        <f>'Inputs by customer type'!J80</f>
        <v>43000</v>
      </c>
      <c r="K115" s="319"/>
      <c r="L115" s="321">
        <f>'Inputs by customer type'!L80</f>
        <v>139.32841347950537</v>
      </c>
      <c r="M115" s="319"/>
      <c r="N115" s="321">
        <f>'Inputs by customer type'!N80</f>
        <v>3440.4096256757143</v>
      </c>
      <c r="O115" s="321">
        <f>'Inputs by customer type'!O80</f>
        <v>0</v>
      </c>
      <c r="P115" s="321">
        <f>'Inputs by customer type'!P80</f>
        <v>0</v>
      </c>
      <c r="Q115" s="321">
        <f>'Inputs by customer type'!Q80</f>
        <v>261.68480590474331</v>
      </c>
      <c r="R115" s="319"/>
      <c r="S115" s="319"/>
      <c r="T115" s="319"/>
      <c r="U115" s="319"/>
      <c r="V115" s="319"/>
      <c r="W115" s="319"/>
      <c r="X115" s="319"/>
      <c r="Y115" s="319"/>
      <c r="AQ115" s="3"/>
    </row>
    <row r="116" spans="5:43" x14ac:dyDescent="0.25">
      <c r="E116" s="27"/>
      <c r="F116" s="62" t="s">
        <v>249</v>
      </c>
      <c r="G116" s="62" t="s">
        <v>207</v>
      </c>
      <c r="J116" s="321">
        <f>'Inputs by customer type'!J81</f>
        <v>56000</v>
      </c>
      <c r="K116" s="319"/>
      <c r="L116" s="321">
        <f>'Inputs by customer type'!L81</f>
        <v>137.96965750332501</v>
      </c>
      <c r="M116" s="319"/>
      <c r="N116" s="321">
        <f>'Inputs by customer type'!N81</f>
        <v>4811.7617142317686</v>
      </c>
      <c r="O116" s="321">
        <f>'Inputs by customer type'!O81</f>
        <v>0</v>
      </c>
      <c r="P116" s="321">
        <f>'Inputs by customer type'!P81</f>
        <v>0</v>
      </c>
      <c r="Q116" s="321">
        <f>'Inputs by customer type'!Q81</f>
        <v>406.83426130782453</v>
      </c>
      <c r="R116" s="319"/>
      <c r="S116" s="319"/>
      <c r="T116" s="319"/>
      <c r="U116" s="319"/>
      <c r="V116" s="319"/>
      <c r="W116" s="319"/>
      <c r="X116" s="319"/>
      <c r="Y116" s="319"/>
      <c r="AQ116" s="3"/>
    </row>
    <row r="117" spans="5:43" x14ac:dyDescent="0.25">
      <c r="E117" s="27"/>
      <c r="F117" s="62" t="s">
        <v>212</v>
      </c>
      <c r="G117" s="62" t="s">
        <v>212</v>
      </c>
      <c r="J117" s="321">
        <f>'Inputs by customer type'!J82</f>
        <v>37574.316939890712</v>
      </c>
      <c r="K117" s="319"/>
      <c r="L117" s="321">
        <f>'Inputs by customer type'!L82</f>
        <v>172.96524592468162</v>
      </c>
      <c r="M117" s="319"/>
      <c r="N117" s="321">
        <f>'Inputs by customer type'!N82</f>
        <v>53.908180822924486</v>
      </c>
      <c r="O117" s="321">
        <f>'Inputs by customer type'!O82</f>
        <v>0</v>
      </c>
      <c r="P117" s="321">
        <f>'Inputs by customer type'!P82</f>
        <v>0</v>
      </c>
      <c r="Q117" s="321">
        <f>'Inputs by customer type'!Q82</f>
        <v>0</v>
      </c>
      <c r="R117" s="319"/>
      <c r="S117" s="319"/>
      <c r="T117" s="319"/>
      <c r="U117" s="319"/>
      <c r="V117" s="319"/>
      <c r="W117" s="319"/>
      <c r="X117" s="319"/>
      <c r="Y117" s="319"/>
      <c r="AQ117" s="3"/>
    </row>
    <row r="118" spans="5:43" x14ac:dyDescent="0.25">
      <c r="E118" s="27"/>
      <c r="F118" s="62" t="s">
        <v>250</v>
      </c>
      <c r="G118" s="62" t="s">
        <v>251</v>
      </c>
      <c r="J118" s="321">
        <f>'Inputs by customer type'!J83</f>
        <v>0</v>
      </c>
      <c r="K118" s="319"/>
      <c r="L118" s="321">
        <f>'Inputs by customer type'!L83</f>
        <v>0</v>
      </c>
      <c r="M118" s="319"/>
      <c r="N118" s="321">
        <f>'Inputs by customer type'!N83</f>
        <v>4295.3339766001109</v>
      </c>
      <c r="O118" s="321">
        <f>'Inputs by customer type'!O83</f>
        <v>0</v>
      </c>
      <c r="P118" s="321">
        <f>'Inputs by customer type'!P83</f>
        <v>0</v>
      </c>
      <c r="Q118" s="321">
        <f>'Inputs by customer type'!Q83</f>
        <v>0</v>
      </c>
      <c r="R118" s="319"/>
      <c r="S118" s="319"/>
      <c r="T118" s="319"/>
      <c r="U118" s="319"/>
      <c r="V118" s="319"/>
      <c r="W118" s="319"/>
      <c r="X118" s="319"/>
      <c r="Y118" s="319"/>
      <c r="AQ118" s="3"/>
    </row>
    <row r="119" spans="5:43" x14ac:dyDescent="0.25">
      <c r="E119" s="27"/>
      <c r="F119" s="62" t="s">
        <v>252</v>
      </c>
      <c r="G119" s="62" t="s">
        <v>251</v>
      </c>
      <c r="J119" s="321">
        <f>'Inputs by customer type'!J84</f>
        <v>0</v>
      </c>
      <c r="K119" s="319"/>
      <c r="L119" s="321">
        <f>'Inputs by customer type'!L84</f>
        <v>0</v>
      </c>
      <c r="M119" s="319"/>
      <c r="N119" s="321">
        <f>'Inputs by customer type'!N84</f>
        <v>5.4947726800825611</v>
      </c>
      <c r="O119" s="321">
        <f>'Inputs by customer type'!O84</f>
        <v>0</v>
      </c>
      <c r="P119" s="321">
        <f>'Inputs by customer type'!P84</f>
        <v>0</v>
      </c>
      <c r="Q119" s="321">
        <f>'Inputs by customer type'!Q84</f>
        <v>0</v>
      </c>
      <c r="R119" s="319"/>
      <c r="S119" s="319"/>
      <c r="T119" s="319"/>
      <c r="U119" s="319"/>
      <c r="V119" s="319"/>
      <c r="W119" s="319"/>
      <c r="X119" s="319"/>
      <c r="Y119" s="319"/>
      <c r="AQ119" s="3"/>
    </row>
    <row r="120" spans="5:43" x14ac:dyDescent="0.25">
      <c r="E120" s="27"/>
      <c r="F120" s="70" t="s">
        <v>253</v>
      </c>
      <c r="G120" s="70" t="s">
        <v>254</v>
      </c>
      <c r="H120" s="28"/>
      <c r="I120" s="28"/>
      <c r="J120" s="115">
        <f>'Inputs by customer type'!J85</f>
        <v>0</v>
      </c>
      <c r="K120" s="71"/>
      <c r="L120" s="115">
        <f>'Inputs by customer type'!L85</f>
        <v>0</v>
      </c>
      <c r="M120" s="71"/>
      <c r="N120" s="115">
        <f>'Inputs by customer type'!N85</f>
        <v>522.97973469705812</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154</v>
      </c>
      <c r="AQ122" s="3"/>
    </row>
    <row r="123" spans="5:43" x14ac:dyDescent="0.25">
      <c r="E123" s="27"/>
      <c r="F123" s="68" t="s">
        <v>247</v>
      </c>
      <c r="G123" s="68" t="s">
        <v>207</v>
      </c>
      <c r="H123" s="19"/>
      <c r="I123" s="19"/>
      <c r="J123" s="73"/>
      <c r="K123" s="73"/>
      <c r="L123" s="114">
        <f>'Inputs by customer type'!L88</f>
        <v>121.52279159569919</v>
      </c>
      <c r="M123" s="73"/>
      <c r="N123" s="114">
        <f>'Inputs by customer type'!N88</f>
        <v>1008.9891900732774</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248</v>
      </c>
      <c r="G124" s="62" t="s">
        <v>207</v>
      </c>
      <c r="J124" s="319"/>
      <c r="K124" s="319"/>
      <c r="L124" s="321">
        <f>'Inputs by customer type'!L89</f>
        <v>522.34027695437408</v>
      </c>
      <c r="M124" s="319"/>
      <c r="N124" s="321">
        <f>'Inputs by customer type'!N89</f>
        <v>5193.0615676329608</v>
      </c>
      <c r="O124" s="321">
        <f>'Inputs by customer type'!O89</f>
        <v>0</v>
      </c>
      <c r="P124" s="321">
        <f>'Inputs by customer type'!P89</f>
        <v>0</v>
      </c>
      <c r="Q124" s="319"/>
      <c r="R124" s="319"/>
      <c r="S124" s="319"/>
      <c r="T124" s="319"/>
      <c r="U124" s="319"/>
      <c r="V124" s="319"/>
      <c r="W124" s="319"/>
      <c r="X124" s="319"/>
      <c r="Y124" s="319"/>
      <c r="AQ124" s="3"/>
    </row>
    <row r="125" spans="5:43" x14ac:dyDescent="0.25">
      <c r="E125" s="27"/>
      <c r="F125" s="62" t="s">
        <v>249</v>
      </c>
      <c r="G125" s="62" t="s">
        <v>207</v>
      </c>
      <c r="J125" s="319"/>
      <c r="K125" s="319"/>
      <c r="L125" s="321">
        <f>'Inputs by customer type'!L90</f>
        <v>517.2463197694251</v>
      </c>
      <c r="M125" s="319"/>
      <c r="N125" s="321">
        <f>'Inputs by customer type'!N90</f>
        <v>7263.0231715146301</v>
      </c>
      <c r="O125" s="321">
        <f>'Inputs by customer type'!O90</f>
        <v>0</v>
      </c>
      <c r="P125" s="321">
        <f>'Inputs by customer type'!P90</f>
        <v>0</v>
      </c>
      <c r="Q125" s="319"/>
      <c r="R125" s="319"/>
      <c r="S125" s="319"/>
      <c r="T125" s="319"/>
      <c r="U125" s="319"/>
      <c r="V125" s="319"/>
      <c r="W125" s="319"/>
      <c r="X125" s="319"/>
      <c r="Y125" s="319"/>
      <c r="AQ125" s="3"/>
    </row>
    <row r="126" spans="5:43" x14ac:dyDescent="0.25">
      <c r="E126" s="27"/>
      <c r="F126" s="62" t="s">
        <v>212</v>
      </c>
      <c r="G126" s="62" t="s">
        <v>212</v>
      </c>
      <c r="J126" s="319"/>
      <c r="K126" s="319"/>
      <c r="L126" s="321">
        <f>'Inputs by customer type'!L91</f>
        <v>130.20340689114636</v>
      </c>
      <c r="M126" s="319"/>
      <c r="N126" s="321">
        <f>'Inputs by customer type'!N91</f>
        <v>43.279355249648667</v>
      </c>
      <c r="O126" s="321">
        <f>'Inputs by customer type'!O91</f>
        <v>0</v>
      </c>
      <c r="P126" s="321">
        <f>'Inputs by customer type'!P91</f>
        <v>0</v>
      </c>
      <c r="Q126" s="319"/>
      <c r="R126" s="319"/>
      <c r="S126" s="319"/>
      <c r="T126" s="319"/>
      <c r="U126" s="319"/>
      <c r="V126" s="319"/>
      <c r="W126" s="319"/>
      <c r="X126" s="319"/>
      <c r="Y126" s="319"/>
      <c r="AQ126" s="3"/>
    </row>
    <row r="127" spans="5:43" x14ac:dyDescent="0.25">
      <c r="E127" s="27"/>
      <c r="F127" s="62" t="s">
        <v>250</v>
      </c>
      <c r="G127" s="62" t="s">
        <v>251</v>
      </c>
      <c r="J127" s="319"/>
      <c r="K127" s="319"/>
      <c r="L127" s="321">
        <f>'Inputs by customer type'!L92</f>
        <v>0</v>
      </c>
      <c r="M127" s="319"/>
      <c r="N127" s="321">
        <f>'Inputs by customer type'!N92</f>
        <v>8343.1829877400141</v>
      </c>
      <c r="O127" s="321">
        <f>'Inputs by customer type'!O92</f>
        <v>0</v>
      </c>
      <c r="P127" s="321">
        <f>'Inputs by customer type'!P92</f>
        <v>0</v>
      </c>
      <c r="Q127" s="319"/>
      <c r="R127" s="319"/>
      <c r="S127" s="319"/>
      <c r="T127" s="319"/>
      <c r="U127" s="319"/>
      <c r="V127" s="319"/>
      <c r="W127" s="319"/>
      <c r="X127" s="319"/>
      <c r="Y127" s="319"/>
      <c r="AQ127" s="3"/>
    </row>
    <row r="128" spans="5:43" x14ac:dyDescent="0.25">
      <c r="E128" s="27"/>
      <c r="F128" s="62" t="s">
        <v>252</v>
      </c>
      <c r="G128" s="62" t="s">
        <v>251</v>
      </c>
      <c r="J128" s="319"/>
      <c r="K128" s="319"/>
      <c r="L128" s="321">
        <f>'Inputs by customer type'!L93</f>
        <v>0</v>
      </c>
      <c r="M128" s="319"/>
      <c r="N128" s="321">
        <f>'Inputs by customer type'!N93</f>
        <v>10.672952137298129</v>
      </c>
      <c r="O128" s="321">
        <f>'Inputs by customer type'!O93</f>
        <v>0</v>
      </c>
      <c r="P128" s="321">
        <f>'Inputs by customer type'!P93</f>
        <v>0</v>
      </c>
      <c r="Q128" s="319"/>
      <c r="R128" s="319"/>
      <c r="S128" s="319"/>
      <c r="T128" s="319"/>
      <c r="U128" s="319"/>
      <c r="V128" s="319"/>
      <c r="W128" s="319"/>
      <c r="X128" s="319"/>
      <c r="Y128" s="319"/>
      <c r="AQ128" s="3"/>
    </row>
    <row r="129" spans="5:43" x14ac:dyDescent="0.25">
      <c r="E129" s="27"/>
      <c r="F129" s="70" t="s">
        <v>253</v>
      </c>
      <c r="G129" s="70" t="s">
        <v>254</v>
      </c>
      <c r="H129" s="28"/>
      <c r="I129" s="28"/>
      <c r="J129" s="71"/>
      <c r="K129" s="71"/>
      <c r="L129" s="115">
        <f>'Inputs by customer type'!L94</f>
        <v>0</v>
      </c>
      <c r="M129" s="71"/>
      <c r="N129" s="115">
        <f>'Inputs by customer type'!N94</f>
        <v>789.40191907315807</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154</v>
      </c>
      <c r="AQ131" s="3"/>
    </row>
    <row r="132" spans="5:43" x14ac:dyDescent="0.25">
      <c r="E132" s="27"/>
      <c r="F132" s="68" t="s">
        <v>247</v>
      </c>
      <c r="G132" s="68" t="s">
        <v>207</v>
      </c>
      <c r="H132" s="19"/>
      <c r="I132" s="19"/>
      <c r="J132" s="73"/>
      <c r="K132" s="73"/>
      <c r="L132" s="114">
        <f>'Inputs by customer type'!L97</f>
        <v>151.47749760134965</v>
      </c>
      <c r="M132" s="73"/>
      <c r="N132" s="114">
        <f>'Inputs by customer type'!N97</f>
        <v>554.17349706479604</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248</v>
      </c>
      <c r="G133" s="62" t="s">
        <v>207</v>
      </c>
      <c r="J133" s="319"/>
      <c r="K133" s="319"/>
      <c r="L133" s="321">
        <f>'Inputs by customer type'!L98</f>
        <v>651.09430922787283</v>
      </c>
      <c r="M133" s="319"/>
      <c r="N133" s="321">
        <f>'Inputs by customer type'!N98</f>
        <v>2852.2179600347808</v>
      </c>
      <c r="O133" s="321">
        <f>'Inputs by customer type'!O98</f>
        <v>0</v>
      </c>
      <c r="P133" s="321">
        <f>'Inputs by customer type'!P98</f>
        <v>0</v>
      </c>
      <c r="Q133" s="319"/>
      <c r="R133" s="319"/>
      <c r="S133" s="319"/>
      <c r="T133" s="319"/>
      <c r="U133" s="319"/>
      <c r="V133" s="319"/>
      <c r="W133" s="319"/>
      <c r="X133" s="319"/>
      <c r="Y133" s="319"/>
      <c r="AQ133" s="3"/>
    </row>
    <row r="134" spans="5:43" x14ac:dyDescent="0.25">
      <c r="E134" s="27"/>
      <c r="F134" s="62" t="s">
        <v>249</v>
      </c>
      <c r="G134" s="62" t="s">
        <v>207</v>
      </c>
      <c r="J134" s="319"/>
      <c r="K134" s="319"/>
      <c r="L134" s="321">
        <f>'Inputs by customer type'!L99</f>
        <v>644.74471935150109</v>
      </c>
      <c r="M134" s="319"/>
      <c r="N134" s="321">
        <f>'Inputs by customer type'!N99</f>
        <v>3989.1160280206727</v>
      </c>
      <c r="O134" s="321">
        <f>'Inputs by customer type'!O99</f>
        <v>0</v>
      </c>
      <c r="P134" s="321">
        <f>'Inputs by customer type'!P99</f>
        <v>0</v>
      </c>
      <c r="Q134" s="319"/>
      <c r="R134" s="319"/>
      <c r="S134" s="319"/>
      <c r="T134" s="319"/>
      <c r="U134" s="319"/>
      <c r="V134" s="319"/>
      <c r="W134" s="319"/>
      <c r="X134" s="319"/>
      <c r="Y134" s="319"/>
      <c r="AQ134" s="3"/>
    </row>
    <row r="135" spans="5:43" x14ac:dyDescent="0.25">
      <c r="E135" s="27"/>
      <c r="F135" s="62" t="s">
        <v>212</v>
      </c>
      <c r="G135" s="62" t="s">
        <v>212</v>
      </c>
      <c r="J135" s="319"/>
      <c r="K135" s="319"/>
      <c r="L135" s="321">
        <f>'Inputs by customer type'!L100</f>
        <v>67.907505176178901</v>
      </c>
      <c r="M135" s="319"/>
      <c r="N135" s="321">
        <f>'Inputs by customer type'!N100</f>
        <v>15.043353766649165</v>
      </c>
      <c r="O135" s="321">
        <f>'Inputs by customer type'!O100</f>
        <v>0</v>
      </c>
      <c r="P135" s="321">
        <f>'Inputs by customer type'!P100</f>
        <v>0</v>
      </c>
      <c r="Q135" s="319"/>
      <c r="R135" s="319"/>
      <c r="S135" s="319"/>
      <c r="T135" s="319"/>
      <c r="U135" s="319"/>
      <c r="V135" s="319"/>
      <c r="W135" s="319"/>
      <c r="X135" s="319"/>
      <c r="Y135" s="319"/>
      <c r="AQ135" s="3"/>
    </row>
    <row r="136" spans="5:43" x14ac:dyDescent="0.25">
      <c r="E136" s="27"/>
      <c r="F136" s="62" t="s">
        <v>250</v>
      </c>
      <c r="G136" s="62" t="s">
        <v>251</v>
      </c>
      <c r="J136" s="319"/>
      <c r="K136" s="319"/>
      <c r="L136" s="321">
        <f>'Inputs by customer type'!L101</f>
        <v>0</v>
      </c>
      <c r="M136" s="319"/>
      <c r="N136" s="321">
        <f>'Inputs by customer type'!N101</f>
        <v>4634.465227319045</v>
      </c>
      <c r="O136" s="321">
        <f>'Inputs by customer type'!O101</f>
        <v>0</v>
      </c>
      <c r="P136" s="321">
        <f>'Inputs by customer type'!P101</f>
        <v>0</v>
      </c>
      <c r="Q136" s="319"/>
      <c r="R136" s="319"/>
      <c r="S136" s="319"/>
      <c r="T136" s="319"/>
      <c r="U136" s="319"/>
      <c r="V136" s="319"/>
      <c r="W136" s="319"/>
      <c r="X136" s="319"/>
      <c r="Y136" s="319"/>
      <c r="AQ136" s="3"/>
    </row>
    <row r="137" spans="5:43" x14ac:dyDescent="0.25">
      <c r="E137" s="27"/>
      <c r="F137" s="62" t="s">
        <v>252</v>
      </c>
      <c r="G137" s="62" t="s">
        <v>251</v>
      </c>
      <c r="J137" s="319"/>
      <c r="K137" s="319"/>
      <c r="L137" s="321">
        <f>'Inputs by customer type'!L102</f>
        <v>0</v>
      </c>
      <c r="M137" s="319"/>
      <c r="N137" s="321">
        <f>'Inputs by customer type'!N102</f>
        <v>5.9286037026675853</v>
      </c>
      <c r="O137" s="321">
        <f>'Inputs by customer type'!O102</f>
        <v>0</v>
      </c>
      <c r="P137" s="321">
        <f>'Inputs by customer type'!P102</f>
        <v>0</v>
      </c>
      <c r="Q137" s="319"/>
      <c r="R137" s="319"/>
      <c r="S137" s="319"/>
      <c r="T137" s="319"/>
      <c r="U137" s="319"/>
      <c r="V137" s="319"/>
      <c r="W137" s="319"/>
      <c r="X137" s="319"/>
      <c r="Y137" s="319"/>
      <c r="AQ137" s="3"/>
    </row>
    <row r="138" spans="5:43" x14ac:dyDescent="0.25">
      <c r="E138" s="27"/>
      <c r="F138" s="70" t="s">
        <v>253</v>
      </c>
      <c r="G138" s="70" t="s">
        <v>254</v>
      </c>
      <c r="H138" s="28"/>
      <c r="I138" s="28"/>
      <c r="J138" s="71"/>
      <c r="K138" s="71"/>
      <c r="L138" s="115">
        <f>'Inputs by customer type'!L103</f>
        <v>0</v>
      </c>
      <c r="M138" s="71"/>
      <c r="N138" s="115">
        <f>'Inputs by customer type'!N103</f>
        <v>433.56819516635488</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154</v>
      </c>
      <c r="AQ140" s="3"/>
    </row>
    <row r="141" spans="5:43" x14ac:dyDescent="0.25">
      <c r="E141" s="27"/>
      <c r="F141" s="68" t="s">
        <v>247</v>
      </c>
      <c r="G141" s="68" t="s">
        <v>207</v>
      </c>
      <c r="H141" s="19"/>
      <c r="I141" s="19"/>
      <c r="J141" s="73"/>
      <c r="K141" s="73"/>
      <c r="L141" s="114">
        <f>'Inputs by customer type'!L106</f>
        <v>505.65127134406521</v>
      </c>
      <c r="M141" s="73"/>
      <c r="N141" s="114">
        <f>'Inputs by customer type'!N106</f>
        <v>546.80831043502201</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248</v>
      </c>
      <c r="G142" s="62" t="s">
        <v>207</v>
      </c>
      <c r="J142" s="319"/>
      <c r="K142" s="319"/>
      <c r="L142" s="321">
        <f>'Inputs by customer type'!L107</f>
        <v>2173.4361237759613</v>
      </c>
      <c r="M142" s="319"/>
      <c r="N142" s="321">
        <f>'Inputs by customer type'!N107</f>
        <v>2814.3108466565441</v>
      </c>
      <c r="O142" s="321">
        <f>'Inputs by customer type'!O107</f>
        <v>0</v>
      </c>
      <c r="P142" s="321">
        <f>'Inputs by customer type'!P107</f>
        <v>0</v>
      </c>
      <c r="Q142" s="319"/>
      <c r="R142" s="319"/>
      <c r="S142" s="319"/>
      <c r="T142" s="319"/>
      <c r="U142" s="319"/>
      <c r="V142" s="319"/>
      <c r="W142" s="319"/>
      <c r="X142" s="319"/>
      <c r="Y142" s="319"/>
      <c r="AQ142" s="3"/>
    </row>
    <row r="143" spans="5:43" x14ac:dyDescent="0.25">
      <c r="E143" s="27"/>
      <c r="F143" s="62" t="s">
        <v>249</v>
      </c>
      <c r="G143" s="62" t="s">
        <v>207</v>
      </c>
      <c r="J143" s="319"/>
      <c r="K143" s="319"/>
      <c r="L143" s="321">
        <f>'Inputs by customer type'!L108</f>
        <v>2152.2403802210306</v>
      </c>
      <c r="M143" s="319"/>
      <c r="N143" s="321">
        <f>'Inputs by customer type'!N108</f>
        <v>3936.0990862329286</v>
      </c>
      <c r="O143" s="321">
        <f>'Inputs by customer type'!O108</f>
        <v>0</v>
      </c>
      <c r="P143" s="321">
        <f>'Inputs by customer type'!P108</f>
        <v>0</v>
      </c>
      <c r="Q143" s="319"/>
      <c r="R143" s="319"/>
      <c r="S143" s="319"/>
      <c r="T143" s="319"/>
      <c r="U143" s="319"/>
      <c r="V143" s="319"/>
      <c r="W143" s="319"/>
      <c r="X143" s="319"/>
      <c r="Y143" s="319"/>
      <c r="AQ143" s="3"/>
    </row>
    <row r="144" spans="5:43" x14ac:dyDescent="0.25">
      <c r="E144" s="27"/>
      <c r="F144" s="62" t="s">
        <v>212</v>
      </c>
      <c r="G144" s="62" t="s">
        <v>212</v>
      </c>
      <c r="J144" s="319"/>
      <c r="K144" s="319"/>
      <c r="L144" s="321">
        <f>'Inputs by customer type'!L109</f>
        <v>68.456173519832916</v>
      </c>
      <c r="M144" s="319"/>
      <c r="N144" s="321">
        <f>'Inputs by customer type'!N109</f>
        <v>9.0582722737103047</v>
      </c>
      <c r="O144" s="321">
        <f>'Inputs by customer type'!O109</f>
        <v>0</v>
      </c>
      <c r="P144" s="321">
        <f>'Inputs by customer type'!P109</f>
        <v>0</v>
      </c>
      <c r="Q144" s="319"/>
      <c r="R144" s="319"/>
      <c r="S144" s="319"/>
      <c r="T144" s="319"/>
      <c r="U144" s="319"/>
      <c r="V144" s="319"/>
      <c r="W144" s="319"/>
      <c r="X144" s="319"/>
      <c r="Y144" s="319"/>
      <c r="AQ144" s="3"/>
    </row>
    <row r="145" spans="3:43" x14ac:dyDescent="0.25">
      <c r="E145" s="27"/>
      <c r="F145" s="62" t="s">
        <v>250</v>
      </c>
      <c r="G145" s="62" t="s">
        <v>251</v>
      </c>
      <c r="J145" s="319"/>
      <c r="K145" s="319"/>
      <c r="L145" s="321">
        <f>'Inputs by customer type'!L110</f>
        <v>0</v>
      </c>
      <c r="M145" s="319"/>
      <c r="N145" s="321">
        <f>'Inputs by customer type'!N110</f>
        <v>4698.2291016013014</v>
      </c>
      <c r="O145" s="321">
        <f>'Inputs by customer type'!O110</f>
        <v>0</v>
      </c>
      <c r="P145" s="321">
        <f>'Inputs by customer type'!P110</f>
        <v>0</v>
      </c>
      <c r="Q145" s="319"/>
      <c r="R145" s="319"/>
      <c r="S145" s="319"/>
      <c r="T145" s="319"/>
      <c r="U145" s="319"/>
      <c r="V145" s="319"/>
      <c r="W145" s="319"/>
      <c r="X145" s="319"/>
      <c r="Y145" s="319"/>
      <c r="AQ145" s="3"/>
    </row>
    <row r="146" spans="3:43" x14ac:dyDescent="0.25">
      <c r="E146" s="27"/>
      <c r="F146" s="62" t="s">
        <v>252</v>
      </c>
      <c r="G146" s="62" t="s">
        <v>251</v>
      </c>
      <c r="J146" s="319"/>
      <c r="K146" s="319"/>
      <c r="L146" s="321">
        <f>'Inputs by customer type'!L111</f>
        <v>0</v>
      </c>
      <c r="M146" s="319"/>
      <c r="N146" s="321">
        <f>'Inputs by customer type'!N111</f>
        <v>6.0101731443666662</v>
      </c>
      <c r="O146" s="321">
        <f>'Inputs by customer type'!O111</f>
        <v>0</v>
      </c>
      <c r="P146" s="321">
        <f>'Inputs by customer type'!P111</f>
        <v>0</v>
      </c>
      <c r="Q146" s="319"/>
      <c r="R146" s="319"/>
      <c r="S146" s="319"/>
      <c r="T146" s="319"/>
      <c r="U146" s="319"/>
      <c r="V146" s="319"/>
      <c r="W146" s="319"/>
      <c r="X146" s="319"/>
      <c r="Y146" s="319"/>
      <c r="AQ146" s="3"/>
    </row>
    <row r="147" spans="3:43" x14ac:dyDescent="0.25">
      <c r="E147" s="27"/>
      <c r="F147" s="70" t="s">
        <v>253</v>
      </c>
      <c r="G147" s="70" t="s">
        <v>254</v>
      </c>
      <c r="H147" s="28"/>
      <c r="I147" s="28"/>
      <c r="J147" s="71"/>
      <c r="K147" s="71"/>
      <c r="L147" s="115">
        <f>'Inputs by customer type'!L112</f>
        <v>0</v>
      </c>
      <c r="M147" s="71"/>
      <c r="N147" s="115">
        <f>'Inputs by customer type'!N112</f>
        <v>427.80590106342868</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154</v>
      </c>
      <c r="AQ151" s="3"/>
    </row>
    <row r="152" spans="3:43" x14ac:dyDescent="0.25">
      <c r="E152" s="27"/>
      <c r="F152" s="68" t="s">
        <v>247</v>
      </c>
      <c r="G152" s="68" t="s">
        <v>207</v>
      </c>
      <c r="H152" s="19"/>
      <c r="I152" s="19"/>
      <c r="J152" s="73"/>
      <c r="K152" s="114">
        <f>'Inputs by customer type'!K117</f>
        <v>0</v>
      </c>
      <c r="L152" s="114">
        <f>'Inputs by customer type'!L117</f>
        <v>0</v>
      </c>
      <c r="M152" s="114">
        <f>'Inputs by customer type'!M117</f>
        <v>0</v>
      </c>
      <c r="N152" s="114">
        <f>'Inputs by customer type'!N117</f>
        <v>0</v>
      </c>
      <c r="O152" s="114">
        <f>'Inputs by customer type'!O117</f>
        <v>0</v>
      </c>
      <c r="P152" s="114">
        <f>'Inputs by customer type'!P117</f>
        <v>0</v>
      </c>
      <c r="Q152" s="73"/>
      <c r="R152" s="114">
        <f>'Inputs by customer type'!R117</f>
        <v>7.3769179825496217E-2</v>
      </c>
      <c r="S152" s="114">
        <f>'Inputs by customer type'!S117</f>
        <v>0</v>
      </c>
      <c r="T152" s="114">
        <f>'Inputs by customer type'!T117</f>
        <v>7.4176971777605809</v>
      </c>
      <c r="U152" s="114">
        <f>'Inputs by customer type'!U117</f>
        <v>0</v>
      </c>
      <c r="V152" s="114">
        <f>'Inputs by customer type'!V117</f>
        <v>0</v>
      </c>
      <c r="W152" s="114">
        <f>'Inputs by customer type'!W117</f>
        <v>0</v>
      </c>
      <c r="X152" s="114">
        <f>'Inputs by customer type'!X117</f>
        <v>7.2257999999999996</v>
      </c>
      <c r="Y152" s="114">
        <f>'Inputs by customer type'!Y117</f>
        <v>0</v>
      </c>
      <c r="AQ152" s="3"/>
    </row>
    <row r="153" spans="3:43" x14ac:dyDescent="0.25">
      <c r="E153" s="27"/>
      <c r="F153" s="62" t="s">
        <v>248</v>
      </c>
      <c r="G153" s="62" t="s">
        <v>207</v>
      </c>
      <c r="J153" s="319"/>
      <c r="K153" s="321">
        <f>'Inputs by customer type'!K118</f>
        <v>0</v>
      </c>
      <c r="L153" s="321">
        <f>'Inputs by customer type'!L118</f>
        <v>0</v>
      </c>
      <c r="M153" s="321">
        <f>'Inputs by customer type'!M118</f>
        <v>0</v>
      </c>
      <c r="N153" s="321">
        <f>'Inputs by customer type'!N118</f>
        <v>0</v>
      </c>
      <c r="O153" s="321">
        <f>'Inputs by customer type'!O118</f>
        <v>0</v>
      </c>
      <c r="P153" s="321">
        <f>'Inputs by customer type'!P118</f>
        <v>0</v>
      </c>
      <c r="Q153" s="319"/>
      <c r="R153" s="321">
        <f>'Inputs by customer type'!R118</f>
        <v>0.31437484563728435</v>
      </c>
      <c r="S153" s="321">
        <f>'Inputs by customer type'!S118</f>
        <v>0</v>
      </c>
      <c r="T153" s="321">
        <f>'Inputs by customer type'!T118</f>
        <v>33.173331568660394</v>
      </c>
      <c r="U153" s="321">
        <f>'Inputs by customer type'!U118</f>
        <v>0</v>
      </c>
      <c r="V153" s="321">
        <f>'Inputs by customer type'!V118</f>
        <v>0</v>
      </c>
      <c r="W153" s="321">
        <f>'Inputs by customer type'!W118</f>
        <v>0</v>
      </c>
      <c r="X153" s="321">
        <f>'Inputs by customer type'!X118</f>
        <v>0.19575000000000001</v>
      </c>
      <c r="Y153" s="321">
        <f>'Inputs by customer type'!Y118</f>
        <v>0</v>
      </c>
      <c r="AQ153" s="3"/>
    </row>
    <row r="154" spans="3:43" x14ac:dyDescent="0.25">
      <c r="E154" s="27"/>
      <c r="F154" s="62" t="s">
        <v>249</v>
      </c>
      <c r="G154" s="62" t="s">
        <v>207</v>
      </c>
      <c r="J154" s="319"/>
      <c r="K154" s="321">
        <f>'Inputs by customer type'!K119</f>
        <v>0</v>
      </c>
      <c r="L154" s="321">
        <f>'Inputs by customer type'!L119</f>
        <v>0</v>
      </c>
      <c r="M154" s="321">
        <f>'Inputs by customer type'!M119</f>
        <v>0</v>
      </c>
      <c r="N154" s="321">
        <f>'Inputs by customer type'!N119</f>
        <v>0</v>
      </c>
      <c r="O154" s="321">
        <f>'Inputs by customer type'!O119</f>
        <v>0</v>
      </c>
      <c r="P154" s="321">
        <f>'Inputs by customer type'!P119</f>
        <v>0</v>
      </c>
      <c r="Q154" s="319"/>
      <c r="R154" s="321">
        <f>'Inputs by customer type'!R119</f>
        <v>0.19335597453721937</v>
      </c>
      <c r="S154" s="321">
        <f>'Inputs by customer type'!S119</f>
        <v>0</v>
      </c>
      <c r="T154" s="321">
        <f>'Inputs by customer type'!T119</f>
        <v>74.160171253579037</v>
      </c>
      <c r="U154" s="321">
        <f>'Inputs by customer type'!U119</f>
        <v>0</v>
      </c>
      <c r="V154" s="321">
        <f>'Inputs by customer type'!V119</f>
        <v>0</v>
      </c>
      <c r="W154" s="321">
        <f>'Inputs by customer type'!W119</f>
        <v>0</v>
      </c>
      <c r="X154" s="321">
        <f>'Inputs by customer type'!X119</f>
        <v>9.5E-4</v>
      </c>
      <c r="Y154" s="321">
        <f>'Inputs by customer type'!Y119</f>
        <v>0</v>
      </c>
      <c r="AQ154" s="3"/>
    </row>
    <row r="155" spans="3:43" x14ac:dyDescent="0.25">
      <c r="E155" s="27"/>
      <c r="F155" s="62" t="s">
        <v>212</v>
      </c>
      <c r="G155" s="62" t="s">
        <v>212</v>
      </c>
      <c r="J155" s="319"/>
      <c r="K155" s="321">
        <f>'Inputs by customer type'!K120</f>
        <v>0</v>
      </c>
      <c r="L155" s="321">
        <f>'Inputs by customer type'!L120</f>
        <v>0</v>
      </c>
      <c r="M155" s="321">
        <f>'Inputs by customer type'!M120</f>
        <v>0</v>
      </c>
      <c r="N155" s="321">
        <f>'Inputs by customer type'!N120</f>
        <v>0</v>
      </c>
      <c r="O155" s="321">
        <f>'Inputs by customer type'!O120</f>
        <v>0</v>
      </c>
      <c r="P155" s="321">
        <f>'Inputs by customer type'!P120</f>
        <v>0</v>
      </c>
      <c r="Q155" s="319"/>
      <c r="R155" s="321">
        <f>'Inputs by customer type'!R120</f>
        <v>0</v>
      </c>
      <c r="S155" s="321">
        <f>'Inputs by customer type'!S120</f>
        <v>0</v>
      </c>
      <c r="T155" s="321">
        <f>'Inputs by customer type'!T120</f>
        <v>3</v>
      </c>
      <c r="U155" s="321">
        <f>'Inputs by customer type'!U120</f>
        <v>0</v>
      </c>
      <c r="V155" s="321">
        <f>'Inputs by customer type'!V120</f>
        <v>0</v>
      </c>
      <c r="W155" s="321">
        <f>'Inputs by customer type'!W120</f>
        <v>0</v>
      </c>
      <c r="X155" s="321">
        <f>'Inputs by customer type'!X120</f>
        <v>2</v>
      </c>
      <c r="Y155" s="321">
        <f>'Inputs by customer type'!Y120</f>
        <v>0</v>
      </c>
      <c r="AQ155" s="3"/>
    </row>
    <row r="156" spans="3:43" x14ac:dyDescent="0.25">
      <c r="E156" s="27"/>
      <c r="F156" s="62" t="s">
        <v>250</v>
      </c>
      <c r="G156" s="62" t="s">
        <v>251</v>
      </c>
      <c r="J156" s="319"/>
      <c r="K156" s="321">
        <f>'Inputs by customer type'!K121</f>
        <v>0</v>
      </c>
      <c r="L156" s="321">
        <f>'Inputs by customer type'!L121</f>
        <v>0</v>
      </c>
      <c r="M156" s="321">
        <f>'Inputs by customer type'!M121</f>
        <v>0</v>
      </c>
      <c r="N156" s="321">
        <f>'Inputs by customer type'!N121</f>
        <v>0</v>
      </c>
      <c r="O156" s="321">
        <f>'Inputs by customer type'!O121</f>
        <v>0</v>
      </c>
      <c r="P156" s="321">
        <f>'Inputs by customer type'!P121</f>
        <v>0</v>
      </c>
      <c r="Q156" s="319"/>
      <c r="R156" s="321">
        <f>'Inputs by customer type'!R121</f>
        <v>0</v>
      </c>
      <c r="S156" s="321">
        <f>'Inputs by customer type'!S121</f>
        <v>0</v>
      </c>
      <c r="T156" s="321">
        <f>'Inputs by customer type'!T121</f>
        <v>0</v>
      </c>
      <c r="U156" s="321">
        <f>'Inputs by customer type'!U121</f>
        <v>0</v>
      </c>
      <c r="V156" s="321">
        <f>'Inputs by customer type'!V121</f>
        <v>0</v>
      </c>
      <c r="W156" s="321">
        <f>'Inputs by customer type'!W121</f>
        <v>0</v>
      </c>
      <c r="X156" s="321">
        <f>'Inputs by customer type'!X121</f>
        <v>0</v>
      </c>
      <c r="Y156" s="321">
        <f>'Inputs by customer type'!Y121</f>
        <v>0</v>
      </c>
      <c r="AQ156" s="3"/>
    </row>
    <row r="157" spans="3:43" x14ac:dyDescent="0.25">
      <c r="E157" s="27"/>
      <c r="F157" s="62" t="s">
        <v>252</v>
      </c>
      <c r="G157" s="62" t="s">
        <v>251</v>
      </c>
      <c r="J157" s="319"/>
      <c r="K157" s="321">
        <f>'Inputs by customer type'!K122</f>
        <v>0</v>
      </c>
      <c r="L157" s="321">
        <f>'Inputs by customer type'!L122</f>
        <v>0</v>
      </c>
      <c r="M157" s="321">
        <f>'Inputs by customer type'!M122</f>
        <v>0</v>
      </c>
      <c r="N157" s="321">
        <f>'Inputs by customer type'!N122</f>
        <v>0</v>
      </c>
      <c r="O157" s="321">
        <f>'Inputs by customer type'!O122</f>
        <v>0</v>
      </c>
      <c r="P157" s="321">
        <f>'Inputs by customer type'!P122</f>
        <v>0</v>
      </c>
      <c r="Q157" s="319"/>
      <c r="R157" s="321">
        <f>'Inputs by customer type'!R122</f>
        <v>0</v>
      </c>
      <c r="S157" s="321">
        <f>'Inputs by customer type'!S122</f>
        <v>0</v>
      </c>
      <c r="T157" s="321">
        <f>'Inputs by customer type'!T122</f>
        <v>0</v>
      </c>
      <c r="U157" s="321">
        <f>'Inputs by customer type'!U122</f>
        <v>0</v>
      </c>
      <c r="V157" s="321">
        <f>'Inputs by customer type'!V122</f>
        <v>0</v>
      </c>
      <c r="W157" s="321">
        <f>'Inputs by customer type'!W122</f>
        <v>0</v>
      </c>
      <c r="X157" s="321">
        <f>'Inputs by customer type'!X122</f>
        <v>0</v>
      </c>
      <c r="Y157" s="321">
        <f>'Inputs by customer type'!Y122</f>
        <v>0</v>
      </c>
      <c r="AQ157" s="3"/>
    </row>
    <row r="158" spans="3:43" x14ac:dyDescent="0.2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5.0198499999999999</v>
      </c>
      <c r="U158" s="115">
        <f>'Inputs by customer type'!U123</f>
        <v>0</v>
      </c>
      <c r="V158" s="115">
        <f>'Inputs by customer type'!V123</f>
        <v>0</v>
      </c>
      <c r="W158" s="115">
        <f>'Inputs by customer type'!W123</f>
        <v>0</v>
      </c>
      <c r="X158" s="115">
        <f>'Inputs by customer type'!X123</f>
        <v>3.266</v>
      </c>
      <c r="Y158" s="115">
        <f>'Inputs by customer type'!Y123</f>
        <v>0</v>
      </c>
      <c r="AQ158" s="3"/>
    </row>
    <row r="159" spans="3:43" x14ac:dyDescent="0.25">
      <c r="AQ159" s="3"/>
    </row>
    <row r="160" spans="3:43" x14ac:dyDescent="0.25">
      <c r="E160" s="27" t="s">
        <v>952</v>
      </c>
      <c r="G160" s="12"/>
      <c r="I160" t="s">
        <v>154</v>
      </c>
      <c r="AQ160" s="3"/>
    </row>
    <row r="161" spans="5:43" x14ac:dyDescent="0.25">
      <c r="E161" s="27"/>
      <c r="F161" s="68" t="s">
        <v>247</v>
      </c>
      <c r="G161" s="68" t="s">
        <v>207</v>
      </c>
      <c r="H161" s="19"/>
      <c r="I161" s="19"/>
      <c r="J161" s="114">
        <f>'Inputs by customer type'!J126</f>
        <v>25738.399300986101</v>
      </c>
      <c r="K161" s="73"/>
      <c r="L161" s="114">
        <f>'Inputs by customer type'!L126</f>
        <v>181.44733020302431</v>
      </c>
      <c r="M161" s="73"/>
      <c r="N161" s="114">
        <f>'Inputs by customer type'!N126</f>
        <v>3680.9977113873028</v>
      </c>
      <c r="O161" s="114">
        <f>'Inputs by customer type'!O126</f>
        <v>54.267953996519928</v>
      </c>
      <c r="P161" s="114">
        <f>'Inputs by customer type'!P126</f>
        <v>1208.7761184082235</v>
      </c>
      <c r="Q161" s="114">
        <f>'Inputs by customer type'!Q126</f>
        <v>6.2084614434936132</v>
      </c>
      <c r="R161" s="73"/>
      <c r="S161" s="73"/>
      <c r="T161" s="73"/>
      <c r="U161" s="73"/>
      <c r="V161" s="73"/>
      <c r="W161" s="73"/>
      <c r="X161" s="73"/>
      <c r="Y161" s="73"/>
      <c r="AQ161" s="3"/>
    </row>
    <row r="162" spans="5:43" x14ac:dyDescent="0.25">
      <c r="E162" s="27"/>
      <c r="F162" s="62" t="s">
        <v>248</v>
      </c>
      <c r="G162" s="62" t="s">
        <v>207</v>
      </c>
      <c r="J162" s="321">
        <f>'Inputs by customer type'!J127</f>
        <v>74000</v>
      </c>
      <c r="K162" s="319"/>
      <c r="L162" s="321">
        <f>'Inputs by customer type'!L127</f>
        <v>434.39647959469193</v>
      </c>
      <c r="M162" s="319"/>
      <c r="N162" s="321">
        <f>'Inputs by customer type'!N127</f>
        <v>14194.697056983716</v>
      </c>
      <c r="O162" s="321">
        <f>'Inputs by customer type'!O127</f>
        <v>289.12553786860451</v>
      </c>
      <c r="P162" s="321">
        <f>'Inputs by customer type'!P127</f>
        <v>5403.7507943713044</v>
      </c>
      <c r="Q162" s="321">
        <f>'Inputs by customer type'!Q127</f>
        <v>417.76530632165333</v>
      </c>
      <c r="R162" s="319"/>
      <c r="S162" s="319"/>
      <c r="T162" s="319"/>
      <c r="U162" s="319"/>
      <c r="V162" s="319"/>
      <c r="W162" s="319"/>
      <c r="X162" s="319"/>
      <c r="Y162" s="319"/>
      <c r="AQ162" s="3"/>
    </row>
    <row r="163" spans="5:43" x14ac:dyDescent="0.25">
      <c r="E163" s="27"/>
      <c r="F163" s="62" t="s">
        <v>249</v>
      </c>
      <c r="G163" s="62" t="s">
        <v>207</v>
      </c>
      <c r="J163" s="321">
        <f>'Inputs by customer type'!J128</f>
        <v>105509.59147079231</v>
      </c>
      <c r="K163" s="319"/>
      <c r="L163" s="321">
        <f>'Inputs by customer type'!L128</f>
        <v>400.03868430666529</v>
      </c>
      <c r="M163" s="319"/>
      <c r="N163" s="321">
        <f>'Inputs by customer type'!N128</f>
        <v>16313.843669269236</v>
      </c>
      <c r="O163" s="321">
        <f>'Inputs by customer type'!O128</f>
        <v>357.9649516468437</v>
      </c>
      <c r="P163" s="321">
        <f>'Inputs by customer type'!P128</f>
        <v>7263.1009479187333</v>
      </c>
      <c r="Q163" s="321">
        <f>'Inputs by customer type'!Q128</f>
        <v>689.63075465360259</v>
      </c>
      <c r="R163" s="319"/>
      <c r="S163" s="319"/>
      <c r="T163" s="319"/>
      <c r="U163" s="319"/>
      <c r="V163" s="319"/>
      <c r="W163" s="319"/>
      <c r="X163" s="319"/>
      <c r="Y163" s="319"/>
      <c r="AQ163" s="3"/>
    </row>
    <row r="164" spans="5:43" x14ac:dyDescent="0.25">
      <c r="E164" s="27"/>
      <c r="F164" s="62" t="s">
        <v>212</v>
      </c>
      <c r="G164" s="62" t="s">
        <v>212</v>
      </c>
      <c r="J164" s="321">
        <f>'Inputs by customer type'!J129</f>
        <v>77790.633879781424</v>
      </c>
      <c r="K164" s="319"/>
      <c r="L164" s="321">
        <f>'Inputs by customer type'!L129</f>
        <v>831.62906930409486</v>
      </c>
      <c r="M164" s="319"/>
      <c r="N164" s="321">
        <f>'Inputs by customer type'!N129</f>
        <v>299.76418401943096</v>
      </c>
      <c r="O164" s="321">
        <f>'Inputs by customer type'!O129</f>
        <v>2.2252963866356574</v>
      </c>
      <c r="P164" s="321">
        <f>'Inputs by customer type'!P129</f>
        <v>29.491740654989822</v>
      </c>
      <c r="Q164" s="321">
        <f>'Inputs by customer type'!Q129</f>
        <v>0</v>
      </c>
      <c r="R164" s="319"/>
      <c r="S164" s="319"/>
      <c r="T164" s="319"/>
      <c r="U164" s="319"/>
      <c r="V164" s="319"/>
      <c r="W164" s="319"/>
      <c r="X164" s="319"/>
      <c r="Y164" s="319"/>
      <c r="AQ164" s="3"/>
    </row>
    <row r="165" spans="5:43" x14ac:dyDescent="0.25">
      <c r="E165" s="27"/>
      <c r="F165" s="62" t="s">
        <v>250</v>
      </c>
      <c r="G165" s="62" t="s">
        <v>251</v>
      </c>
      <c r="J165" s="321">
        <f>'Inputs by customer type'!J130</f>
        <v>0</v>
      </c>
      <c r="K165" s="319"/>
      <c r="L165" s="321">
        <f>'Inputs by customer type'!L130</f>
        <v>0</v>
      </c>
      <c r="M165" s="319"/>
      <c r="N165" s="321">
        <f>'Inputs by customer type'!N130</f>
        <v>28626.04191477604</v>
      </c>
      <c r="O165" s="321">
        <f>'Inputs by customer type'!O130</f>
        <v>743.2573085348148</v>
      </c>
      <c r="P165" s="321">
        <f>'Inputs by customer type'!P130</f>
        <v>10782.319617154546</v>
      </c>
      <c r="Q165" s="321">
        <f>'Inputs by customer type'!Q130</f>
        <v>0</v>
      </c>
      <c r="R165" s="319"/>
      <c r="S165" s="319"/>
      <c r="T165" s="319"/>
      <c r="U165" s="319"/>
      <c r="V165" s="319"/>
      <c r="W165" s="319"/>
      <c r="X165" s="319"/>
      <c r="Y165" s="319"/>
      <c r="AQ165" s="3"/>
    </row>
    <row r="166" spans="5:43" x14ac:dyDescent="0.25">
      <c r="E166" s="27"/>
      <c r="F166" s="62" t="s">
        <v>252</v>
      </c>
      <c r="G166" s="62" t="s">
        <v>251</v>
      </c>
      <c r="J166" s="321">
        <f>'Inputs by customer type'!J131</f>
        <v>0</v>
      </c>
      <c r="K166" s="319"/>
      <c r="L166" s="321">
        <f>'Inputs by customer type'!L131</f>
        <v>0</v>
      </c>
      <c r="M166" s="319"/>
      <c r="N166" s="321">
        <f>'Inputs by customer type'!N131</f>
        <v>71.801972487517077</v>
      </c>
      <c r="O166" s="321">
        <f>'Inputs by customer type'!O131</f>
        <v>4.6167300992256761</v>
      </c>
      <c r="P166" s="321">
        <f>'Inputs by customer type'!P131</f>
        <v>120.84775639698513</v>
      </c>
      <c r="Q166" s="321">
        <f>'Inputs by customer type'!Q131</f>
        <v>0</v>
      </c>
      <c r="R166" s="319"/>
      <c r="S166" s="319"/>
      <c r="T166" s="319"/>
      <c r="U166" s="319"/>
      <c r="V166" s="319"/>
      <c r="W166" s="319"/>
      <c r="X166" s="319"/>
      <c r="Y166" s="319"/>
      <c r="AQ166" s="3"/>
    </row>
    <row r="167" spans="5:43" x14ac:dyDescent="0.25">
      <c r="E167" s="27"/>
      <c r="F167" s="70" t="s">
        <v>253</v>
      </c>
      <c r="G167" s="70" t="s">
        <v>254</v>
      </c>
      <c r="H167" s="28"/>
      <c r="I167" s="28"/>
      <c r="J167" s="115">
        <f>'Inputs by customer type'!J132</f>
        <v>0</v>
      </c>
      <c r="K167" s="71"/>
      <c r="L167" s="115">
        <f>'Inputs by customer type'!L132</f>
        <v>0</v>
      </c>
      <c r="M167" s="71"/>
      <c r="N167" s="115">
        <f>'Inputs by customer type'!N132</f>
        <v>2466.8641386709055</v>
      </c>
      <c r="O167" s="115">
        <f>'Inputs by customer type'!O132</f>
        <v>41.931984146569206</v>
      </c>
      <c r="P167" s="115">
        <f>'Inputs by customer type'!P132</f>
        <v>176.83311188776653</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154</v>
      </c>
      <c r="AQ169" s="3"/>
    </row>
    <row r="170" spans="5:43" x14ac:dyDescent="0.25">
      <c r="E170" s="27"/>
      <c r="F170" s="68" t="s">
        <v>247</v>
      </c>
      <c r="G170" s="68" t="s">
        <v>207</v>
      </c>
      <c r="H170" s="19"/>
      <c r="I170" s="19"/>
      <c r="J170" s="73"/>
      <c r="K170" s="73"/>
      <c r="L170" s="114">
        <f>'Inputs by customer type'!L135</f>
        <v>680.24350772371929</v>
      </c>
      <c r="M170" s="73"/>
      <c r="N170" s="114">
        <f>'Inputs by customer type'!N135</f>
        <v>5556.2127262086915</v>
      </c>
      <c r="O170" s="114">
        <f>'Inputs by customer type'!O135</f>
        <v>82.083706822895948</v>
      </c>
      <c r="P170" s="114">
        <f>'Inputs by customer type'!P135</f>
        <v>2081.7527440737172</v>
      </c>
      <c r="Q170" s="73"/>
      <c r="R170" s="73"/>
      <c r="S170" s="73"/>
      <c r="T170" s="73"/>
      <c r="U170" s="73"/>
      <c r="V170" s="73"/>
      <c r="W170" s="73"/>
      <c r="X170" s="73"/>
      <c r="Y170" s="73"/>
      <c r="AQ170" s="3"/>
    </row>
    <row r="171" spans="5:43" x14ac:dyDescent="0.25">
      <c r="E171" s="27"/>
      <c r="F171" s="62" t="s">
        <v>248</v>
      </c>
      <c r="G171" s="62" t="s">
        <v>207</v>
      </c>
      <c r="J171" s="319"/>
      <c r="K171" s="319"/>
      <c r="L171" s="321">
        <f>'Inputs by customer type'!L136</f>
        <v>1628.5463373403941</v>
      </c>
      <c r="M171" s="319"/>
      <c r="N171" s="321">
        <f>'Inputs by customer type'!N136</f>
        <v>21425.918355968159</v>
      </c>
      <c r="O171" s="321">
        <f>'Inputs by customer type'!O136</f>
        <v>437.32063101071657</v>
      </c>
      <c r="P171" s="321">
        <f>'Inputs by customer type'!P136</f>
        <v>9306.3329703159543</v>
      </c>
      <c r="Q171" s="319"/>
      <c r="R171" s="319"/>
      <c r="S171" s="319"/>
      <c r="T171" s="319"/>
      <c r="U171" s="319"/>
      <c r="V171" s="319"/>
      <c r="W171" s="319"/>
      <c r="X171" s="319"/>
      <c r="Y171" s="319"/>
      <c r="AQ171" s="3"/>
    </row>
    <row r="172" spans="5:43" x14ac:dyDescent="0.25">
      <c r="E172" s="27"/>
      <c r="F172" s="62" t="s">
        <v>249</v>
      </c>
      <c r="G172" s="62" t="s">
        <v>207</v>
      </c>
      <c r="J172" s="319"/>
      <c r="K172" s="319"/>
      <c r="L172" s="321">
        <f>'Inputs by customer type'!L137</f>
        <v>1499.7394424787844</v>
      </c>
      <c r="M172" s="319"/>
      <c r="N172" s="321">
        <f>'Inputs by customer type'!N137</f>
        <v>24624.624331649207</v>
      </c>
      <c r="O172" s="321">
        <f>'Inputs by customer type'!O137</f>
        <v>541.44459077517286</v>
      </c>
      <c r="P172" s="321">
        <f>'Inputs by customer type'!P137</f>
        <v>12508.503517363481</v>
      </c>
      <c r="Q172" s="319"/>
      <c r="R172" s="319"/>
      <c r="S172" s="319"/>
      <c r="T172" s="319"/>
      <c r="U172" s="319"/>
      <c r="V172" s="319"/>
      <c r="W172" s="319"/>
      <c r="X172" s="319"/>
      <c r="Y172" s="319"/>
      <c r="AQ172" s="3"/>
    </row>
    <row r="173" spans="5:43" x14ac:dyDescent="0.25">
      <c r="E173" s="27"/>
      <c r="F173" s="62" t="s">
        <v>212</v>
      </c>
      <c r="G173" s="62" t="s">
        <v>212</v>
      </c>
      <c r="J173" s="319"/>
      <c r="K173" s="319"/>
      <c r="L173" s="321">
        <f>'Inputs by customer type'!L138</f>
        <v>626.02713923384226</v>
      </c>
      <c r="M173" s="319"/>
      <c r="N173" s="321">
        <f>'Inputs by customer type'!N138</f>
        <v>240.6610724615841</v>
      </c>
      <c r="O173" s="321">
        <f>'Inputs by customer type'!O138</f>
        <v>2.5431958704407509</v>
      </c>
      <c r="P173" s="321">
        <f>'Inputs by customer type'!P138</f>
        <v>15.79539846468316</v>
      </c>
      <c r="Q173" s="319"/>
      <c r="R173" s="319"/>
      <c r="S173" s="319"/>
      <c r="T173" s="319"/>
      <c r="U173" s="319"/>
      <c r="V173" s="319"/>
      <c r="W173" s="319"/>
      <c r="X173" s="319"/>
      <c r="Y173" s="319"/>
      <c r="AQ173" s="3"/>
    </row>
    <row r="174" spans="5:43" x14ac:dyDescent="0.25">
      <c r="E174" s="27"/>
      <c r="F174" s="62" t="s">
        <v>250</v>
      </c>
      <c r="G174" s="62" t="s">
        <v>251</v>
      </c>
      <c r="J174" s="319"/>
      <c r="K174" s="319"/>
      <c r="L174" s="321">
        <f>'Inputs by customer type'!L139</f>
        <v>0</v>
      </c>
      <c r="M174" s="319"/>
      <c r="N174" s="321">
        <f>'Inputs by customer type'!N139</f>
        <v>55602.732455913749</v>
      </c>
      <c r="O174" s="321">
        <f>'Inputs by customer type'!O139</f>
        <v>423.70302286953483</v>
      </c>
      <c r="P174" s="321">
        <f>'Inputs by customer type'!P139</f>
        <v>16886.903846424768</v>
      </c>
      <c r="Q174" s="319"/>
      <c r="R174" s="319"/>
      <c r="S174" s="319"/>
      <c r="T174" s="319"/>
      <c r="U174" s="319"/>
      <c r="V174" s="319"/>
      <c r="W174" s="319"/>
      <c r="X174" s="319"/>
      <c r="Y174" s="319"/>
      <c r="AQ174" s="3"/>
    </row>
    <row r="175" spans="5:43" x14ac:dyDescent="0.25">
      <c r="E175" s="27"/>
      <c r="F175" s="62" t="s">
        <v>252</v>
      </c>
      <c r="G175" s="62" t="s">
        <v>251</v>
      </c>
      <c r="J175" s="319"/>
      <c r="K175" s="319"/>
      <c r="L175" s="321">
        <f>'Inputs by customer type'!L140</f>
        <v>0</v>
      </c>
      <c r="M175" s="319"/>
      <c r="N175" s="321">
        <f>'Inputs by customer type'!N140</f>
        <v>139.46691889560614</v>
      </c>
      <c r="O175" s="321">
        <f>'Inputs by customer type'!O140</f>
        <v>2.6318241023028701</v>
      </c>
      <c r="P175" s="321">
        <f>'Inputs by customer type'!P140</f>
        <v>189.2676636189907</v>
      </c>
      <c r="Q175" s="319"/>
      <c r="R175" s="319"/>
      <c r="S175" s="319"/>
      <c r="T175" s="319"/>
      <c r="U175" s="319"/>
      <c r="V175" s="319"/>
      <c r="W175" s="319"/>
      <c r="X175" s="319"/>
      <c r="Y175" s="319"/>
      <c r="AQ175" s="3"/>
    </row>
    <row r="176" spans="5:43" x14ac:dyDescent="0.25">
      <c r="E176" s="27"/>
      <c r="F176" s="70" t="s">
        <v>253</v>
      </c>
      <c r="G176" s="70" t="s">
        <v>254</v>
      </c>
      <c r="H176" s="28"/>
      <c r="I176" s="28"/>
      <c r="J176" s="71"/>
      <c r="K176" s="71"/>
      <c r="L176" s="115">
        <f>'Inputs by customer type'!L141</f>
        <v>0</v>
      </c>
      <c r="M176" s="71"/>
      <c r="N176" s="115">
        <f>'Inputs by customer type'!N141</f>
        <v>3723.5616525133405</v>
      </c>
      <c r="O176" s="115">
        <f>'Inputs by customer type'!O141</f>
        <v>63.424773548861452</v>
      </c>
      <c r="P176" s="115">
        <f>'Inputs by customer type'!P141</f>
        <v>304.54176775118219</v>
      </c>
      <c r="Q176" s="71"/>
      <c r="R176" s="71"/>
      <c r="S176" s="71"/>
      <c r="T176" s="71"/>
      <c r="U176" s="71"/>
      <c r="V176" s="71"/>
      <c r="W176" s="71"/>
      <c r="X176" s="71"/>
      <c r="Y176" s="71"/>
      <c r="AQ176" s="3"/>
    </row>
    <row r="177" spans="5:43" x14ac:dyDescent="0.25">
      <c r="AQ177" s="3"/>
    </row>
    <row r="178" spans="5:43" x14ac:dyDescent="0.25">
      <c r="E178" s="27" t="s">
        <v>954</v>
      </c>
      <c r="G178" s="12"/>
      <c r="I178" t="s">
        <v>154</v>
      </c>
      <c r="AQ178" s="3"/>
    </row>
    <row r="179" spans="5:43" x14ac:dyDescent="0.25">
      <c r="E179" s="27"/>
      <c r="F179" s="68" t="s">
        <v>247</v>
      </c>
      <c r="G179" s="68" t="s">
        <v>207</v>
      </c>
      <c r="H179" s="19"/>
      <c r="I179" s="19"/>
      <c r="J179" s="73"/>
      <c r="K179" s="73"/>
      <c r="L179" s="114">
        <f>'Inputs by customer type'!L144</f>
        <v>847.91982603862527</v>
      </c>
      <c r="M179" s="73"/>
      <c r="N179" s="114">
        <f>'Inputs by customer type'!N144</f>
        <v>3051.6737614358149</v>
      </c>
      <c r="O179" s="114">
        <f>'Inputs by customer type'!O144</f>
        <v>148.03386014597541</v>
      </c>
      <c r="P179" s="114">
        <f>'Inputs by customer type'!P144</f>
        <v>1137.8265710157095</v>
      </c>
      <c r="Q179" s="73"/>
      <c r="R179" s="73"/>
      <c r="S179" s="73"/>
      <c r="T179" s="73"/>
      <c r="U179" s="73"/>
      <c r="V179" s="73"/>
      <c r="W179" s="73"/>
      <c r="X179" s="73"/>
      <c r="Y179" s="73"/>
      <c r="AQ179" s="3"/>
    </row>
    <row r="180" spans="5:43" x14ac:dyDescent="0.25">
      <c r="E180" s="27"/>
      <c r="F180" s="62" t="s">
        <v>248</v>
      </c>
      <c r="G180" s="62" t="s">
        <v>207</v>
      </c>
      <c r="J180" s="319"/>
      <c r="K180" s="319"/>
      <c r="L180" s="321">
        <f>'Inputs by customer type'!L145</f>
        <v>2029.9741362829</v>
      </c>
      <c r="M180" s="319"/>
      <c r="N180" s="321">
        <f>'Inputs by customer type'!N145</f>
        <v>11767.892282660985</v>
      </c>
      <c r="O180" s="321">
        <f>'Inputs by customer type'!O145</f>
        <v>788.68588707463721</v>
      </c>
      <c r="P180" s="321">
        <f>'Inputs by customer type'!P145</f>
        <v>5086.5757052510344</v>
      </c>
      <c r="Q180" s="319"/>
      <c r="R180" s="319"/>
      <c r="S180" s="319"/>
      <c r="T180" s="319"/>
      <c r="U180" s="319"/>
      <c r="V180" s="319"/>
      <c r="W180" s="319"/>
      <c r="X180" s="319"/>
      <c r="Y180" s="319"/>
      <c r="AQ180" s="3"/>
    </row>
    <row r="181" spans="5:43" x14ac:dyDescent="0.25">
      <c r="E181" s="27"/>
      <c r="F181" s="62" t="s">
        <v>249</v>
      </c>
      <c r="G181" s="62" t="s">
        <v>207</v>
      </c>
      <c r="J181" s="319"/>
      <c r="K181" s="319"/>
      <c r="L181" s="321">
        <f>'Inputs by customer type'!L146</f>
        <v>1869.4170436483748</v>
      </c>
      <c r="M181" s="319"/>
      <c r="N181" s="321">
        <f>'Inputs by customer type'!N146</f>
        <v>13524.737741527091</v>
      </c>
      <c r="O181" s="321">
        <f>'Inputs by customer type'!O146</f>
        <v>976.46824114002698</v>
      </c>
      <c r="P181" s="321">
        <f>'Inputs by customer type'!P146</f>
        <v>6836.7906353030567</v>
      </c>
      <c r="Q181" s="319"/>
      <c r="R181" s="319"/>
      <c r="S181" s="319"/>
      <c r="T181" s="319"/>
      <c r="U181" s="319"/>
      <c r="V181" s="319"/>
      <c r="W181" s="319"/>
      <c r="X181" s="319"/>
      <c r="Y181" s="319"/>
      <c r="AQ181" s="3"/>
    </row>
    <row r="182" spans="5:43" x14ac:dyDescent="0.25">
      <c r="E182" s="27"/>
      <c r="F182" s="62" t="s">
        <v>212</v>
      </c>
      <c r="G182" s="62" t="s">
        <v>212</v>
      </c>
      <c r="J182" s="319"/>
      <c r="K182" s="319"/>
      <c r="L182" s="321">
        <f>'Inputs by customer type'!L147</f>
        <v>326.50406170624831</v>
      </c>
      <c r="M182" s="319"/>
      <c r="N182" s="321">
        <f>'Inputs by customer type'!N147</f>
        <v>83.650729776760883</v>
      </c>
      <c r="O182" s="321">
        <f>'Inputs by customer type'!O147</f>
        <v>3.0730283434492409</v>
      </c>
      <c r="P182" s="321">
        <f>'Inputs by customer type'!P147</f>
        <v>3.8701350058816715</v>
      </c>
      <c r="Q182" s="319"/>
      <c r="R182" s="319"/>
      <c r="S182" s="319"/>
      <c r="T182" s="319"/>
      <c r="U182" s="319"/>
      <c r="V182" s="319"/>
      <c r="W182" s="319"/>
      <c r="X182" s="319"/>
      <c r="Y182" s="319"/>
      <c r="AQ182" s="3"/>
    </row>
    <row r="183" spans="5:43" x14ac:dyDescent="0.25">
      <c r="E183" s="27"/>
      <c r="F183" s="62" t="s">
        <v>250</v>
      </c>
      <c r="G183" s="62" t="s">
        <v>251</v>
      </c>
      <c r="J183" s="319"/>
      <c r="K183" s="319"/>
      <c r="L183" s="321">
        <f>'Inputs by customer type'!L148</f>
        <v>0</v>
      </c>
      <c r="M183" s="319"/>
      <c r="N183" s="321">
        <f>'Inputs by customer type'!N148</f>
        <v>30886.165446631134</v>
      </c>
      <c r="O183" s="321">
        <f>'Inputs by customer type'!O148</f>
        <v>800.58547100184524</v>
      </c>
      <c r="P183" s="321">
        <f>'Inputs by customer type'!P148</f>
        <v>8853.9347517362585</v>
      </c>
      <c r="Q183" s="319"/>
      <c r="R183" s="319"/>
      <c r="S183" s="319"/>
      <c r="T183" s="319"/>
      <c r="U183" s="319"/>
      <c r="V183" s="319"/>
      <c r="W183" s="319"/>
      <c r="X183" s="319"/>
      <c r="Y183" s="319"/>
      <c r="AQ183" s="3"/>
    </row>
    <row r="184" spans="5:43" x14ac:dyDescent="0.25">
      <c r="E184" s="27"/>
      <c r="F184" s="62" t="s">
        <v>252</v>
      </c>
      <c r="G184" s="62" t="s">
        <v>251</v>
      </c>
      <c r="J184" s="319"/>
      <c r="K184" s="319"/>
      <c r="L184" s="321">
        <f>'Inputs by customer type'!L149</f>
        <v>0</v>
      </c>
      <c r="M184" s="319"/>
      <c r="N184" s="321">
        <f>'Inputs by customer type'!N149</f>
        <v>77.470982829071971</v>
      </c>
      <c r="O184" s="321">
        <f>'Inputs by customer type'!O149</f>
        <v>4.9728230029289451</v>
      </c>
      <c r="P184" s="321">
        <f>'Inputs by customer type'!P149</f>
        <v>99.234505006724291</v>
      </c>
      <c r="Q184" s="319"/>
      <c r="R184" s="319"/>
      <c r="S184" s="319"/>
      <c r="T184" s="319"/>
      <c r="U184" s="319"/>
      <c r="V184" s="319"/>
      <c r="W184" s="319"/>
      <c r="X184" s="319"/>
      <c r="Y184" s="319"/>
      <c r="AQ184" s="3"/>
    </row>
    <row r="185" spans="5:43" x14ac:dyDescent="0.25">
      <c r="E185" s="27"/>
      <c r="F185" s="70" t="s">
        <v>253</v>
      </c>
      <c r="G185" s="70" t="s">
        <v>254</v>
      </c>
      <c r="H185" s="28"/>
      <c r="I185" s="28"/>
      <c r="J185" s="71"/>
      <c r="K185" s="71"/>
      <c r="L185" s="115">
        <f>'Inputs by customer type'!L150</f>
        <v>0</v>
      </c>
      <c r="M185" s="71"/>
      <c r="N185" s="115">
        <f>'Inputs by customer type'!N150</f>
        <v>2045.1152527806842</v>
      </c>
      <c r="O185" s="115">
        <f>'Inputs by customer type'!O150</f>
        <v>114.38340714290698</v>
      </c>
      <c r="P185" s="115">
        <f>'Inputs by customer type'!P150</f>
        <v>166.45382902356806</v>
      </c>
      <c r="Q185" s="71"/>
      <c r="R185" s="71"/>
      <c r="S185" s="71"/>
      <c r="T185" s="71"/>
      <c r="U185" s="71"/>
      <c r="V185" s="71"/>
      <c r="W185" s="71"/>
      <c r="X185" s="71"/>
      <c r="Y185" s="71"/>
      <c r="AQ185" s="3"/>
    </row>
    <row r="186" spans="5:43" x14ac:dyDescent="0.25">
      <c r="AQ186" s="3"/>
    </row>
    <row r="187" spans="5:43" x14ac:dyDescent="0.25">
      <c r="E187" s="27" t="s">
        <v>955</v>
      </c>
      <c r="G187" s="12"/>
      <c r="I187" t="s">
        <v>154</v>
      </c>
      <c r="AQ187" s="3"/>
    </row>
    <row r="188" spans="5:43" x14ac:dyDescent="0.25">
      <c r="E188" s="27"/>
      <c r="F188" s="68" t="s">
        <v>247</v>
      </c>
      <c r="G188" s="68" t="s">
        <v>207</v>
      </c>
      <c r="H188" s="19"/>
      <c r="I188" s="19"/>
      <c r="J188" s="73"/>
      <c r="K188" s="73"/>
      <c r="L188" s="114">
        <f>'Inputs by customer type'!L153</f>
        <v>2830.4648863597899</v>
      </c>
      <c r="M188" s="73"/>
      <c r="N188" s="114">
        <f>'Inputs by customer type'!N153</f>
        <v>3011.1158009681903</v>
      </c>
      <c r="O188" s="114">
        <f>'Inputs by customer type'!O153</f>
        <v>1686.4314506658579</v>
      </c>
      <c r="P188" s="114">
        <f>'Inputs by customer type'!P153</f>
        <v>3567.4085163790546</v>
      </c>
      <c r="Q188" s="73"/>
      <c r="R188" s="73"/>
      <c r="S188" s="73"/>
      <c r="T188" s="73"/>
      <c r="U188" s="73"/>
      <c r="V188" s="73"/>
      <c r="W188" s="73"/>
      <c r="X188" s="73"/>
      <c r="Y188" s="73"/>
      <c r="AQ188" s="3"/>
    </row>
    <row r="189" spans="5:43" x14ac:dyDescent="0.25">
      <c r="E189" s="27"/>
      <c r="F189" s="62" t="s">
        <v>248</v>
      </c>
      <c r="G189" s="62" t="s">
        <v>207</v>
      </c>
      <c r="J189" s="319"/>
      <c r="K189" s="319"/>
      <c r="L189" s="321">
        <f>'Inputs by customer type'!L154</f>
        <v>6776.3134396925334</v>
      </c>
      <c r="M189" s="319"/>
      <c r="N189" s="321">
        <f>'Inputs by customer type'!N154</f>
        <v>11611.49230438714</v>
      </c>
      <c r="O189" s="321">
        <f>'Inputs by customer type'!O154</f>
        <v>8984.8679440460419</v>
      </c>
      <c r="P189" s="321">
        <f>'Inputs by customer type'!P154</f>
        <v>15947.85528160144</v>
      </c>
      <c r="Q189" s="319"/>
      <c r="R189" s="319"/>
      <c r="S189" s="319"/>
      <c r="T189" s="319"/>
      <c r="U189" s="319"/>
      <c r="V189" s="319"/>
      <c r="W189" s="319"/>
      <c r="X189" s="319"/>
      <c r="Y189" s="319"/>
      <c r="AQ189" s="3"/>
    </row>
    <row r="190" spans="5:43" x14ac:dyDescent="0.25">
      <c r="E190" s="27"/>
      <c r="F190" s="62" t="s">
        <v>249</v>
      </c>
      <c r="G190" s="62" t="s">
        <v>207</v>
      </c>
      <c r="J190" s="319"/>
      <c r="K190" s="319"/>
      <c r="L190" s="321">
        <f>'Inputs by customer type'!L155</f>
        <v>6240.353318225415</v>
      </c>
      <c r="M190" s="319"/>
      <c r="N190" s="321">
        <f>'Inputs by customer type'!N155</f>
        <v>13344.988586952404</v>
      </c>
      <c r="O190" s="321">
        <f>'Inputs by customer type'!O155</f>
        <v>11124.122216437956</v>
      </c>
      <c r="P190" s="321">
        <f>'Inputs by customer type'!P155</f>
        <v>21435.274723202045</v>
      </c>
      <c r="Q190" s="319"/>
      <c r="R190" s="319"/>
      <c r="S190" s="319"/>
      <c r="T190" s="319"/>
      <c r="U190" s="319"/>
      <c r="V190" s="319"/>
      <c r="W190" s="319"/>
      <c r="X190" s="319"/>
      <c r="Y190" s="319"/>
      <c r="AQ190" s="3"/>
    </row>
    <row r="191" spans="5:43" x14ac:dyDescent="0.25">
      <c r="E191" s="27"/>
      <c r="F191" s="62" t="s">
        <v>212</v>
      </c>
      <c r="G191" s="62" t="s">
        <v>212</v>
      </c>
      <c r="J191" s="319"/>
      <c r="K191" s="319"/>
      <c r="L191" s="321">
        <f>'Inputs by customer type'!L156</f>
        <v>329.14209769752659</v>
      </c>
      <c r="M191" s="319"/>
      <c r="N191" s="321">
        <f>'Inputs by customer type'!N156</f>
        <v>50.369824306887061</v>
      </c>
      <c r="O191" s="321">
        <f>'Inputs by customer type'!O156</f>
        <v>22.78279633936506</v>
      </c>
      <c r="P191" s="321">
        <f>'Inputs by customer type'!P156</f>
        <v>3.883254107596525</v>
      </c>
      <c r="Q191" s="319"/>
      <c r="R191" s="319"/>
      <c r="S191" s="319"/>
      <c r="T191" s="319"/>
      <c r="U191" s="319"/>
      <c r="V191" s="319"/>
      <c r="W191" s="319"/>
      <c r="X191" s="319"/>
      <c r="Y191" s="319"/>
      <c r="AQ191" s="3"/>
    </row>
    <row r="192" spans="5:43" x14ac:dyDescent="0.25">
      <c r="E192" s="27"/>
      <c r="F192" s="62" t="s">
        <v>250</v>
      </c>
      <c r="G192" s="62" t="s">
        <v>251</v>
      </c>
      <c r="J192" s="319"/>
      <c r="K192" s="319"/>
      <c r="L192" s="321">
        <f>'Inputs by customer type'!L157</f>
        <v>0</v>
      </c>
      <c r="M192" s="319"/>
      <c r="N192" s="321">
        <f>'Inputs by customer type'!N157</f>
        <v>31311.11664898145</v>
      </c>
      <c r="O192" s="321">
        <f>'Inputs by customer type'!O157</f>
        <v>15492.665490854277</v>
      </c>
      <c r="P192" s="321">
        <f>'Inputs by customer type'!P157</f>
        <v>26066.370017835598</v>
      </c>
      <c r="Q192" s="319"/>
      <c r="R192" s="319"/>
      <c r="S192" s="319"/>
      <c r="T192" s="319"/>
      <c r="U192" s="319"/>
      <c r="V192" s="319"/>
      <c r="W192" s="319"/>
      <c r="X192" s="319"/>
      <c r="Y192" s="319"/>
      <c r="AQ192" s="3"/>
    </row>
    <row r="193" spans="4:43" x14ac:dyDescent="0.25">
      <c r="E193" s="27"/>
      <c r="F193" s="62" t="s">
        <v>252</v>
      </c>
      <c r="G193" s="62" t="s">
        <v>251</v>
      </c>
      <c r="J193" s="319"/>
      <c r="K193" s="319"/>
      <c r="L193" s="321">
        <f>'Inputs by customer type'!L158</f>
        <v>0</v>
      </c>
      <c r="M193" s="319"/>
      <c r="N193" s="321">
        <f>'Inputs by customer type'!N158</f>
        <v>78.536877116187682</v>
      </c>
      <c r="O193" s="321">
        <f>'Inputs by customer type'!O158</f>
        <v>96.232427542300513</v>
      </c>
      <c r="P193" s="321">
        <f>'Inputs by customer type'!P158</f>
        <v>292.15071022911991</v>
      </c>
      <c r="Q193" s="319"/>
      <c r="R193" s="319"/>
      <c r="S193" s="319"/>
      <c r="T193" s="319"/>
      <c r="U193" s="319"/>
      <c r="V193" s="319"/>
      <c r="W193" s="319"/>
      <c r="X193" s="319"/>
      <c r="Y193" s="319"/>
      <c r="AQ193" s="3"/>
    </row>
    <row r="194" spans="4:43" x14ac:dyDescent="0.25">
      <c r="E194" s="27"/>
      <c r="F194" s="70" t="s">
        <v>253</v>
      </c>
      <c r="G194" s="70" t="s">
        <v>254</v>
      </c>
      <c r="H194" s="28"/>
      <c r="I194" s="28"/>
      <c r="J194" s="71"/>
      <c r="K194" s="71"/>
      <c r="L194" s="115">
        <f>'Inputs by customer type'!L159</f>
        <v>0</v>
      </c>
      <c r="M194" s="71"/>
      <c r="N194" s="115">
        <f>'Inputs by customer type'!N159</f>
        <v>2017.9348560350672</v>
      </c>
      <c r="O194" s="115">
        <f>'Inputs by customer type'!O159</f>
        <v>1303.0787351616623</v>
      </c>
      <c r="P194" s="115">
        <f>'Inputs by customer type'!P159</f>
        <v>521.8798913374834</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245</v>
      </c>
      <c r="G198" s="12"/>
      <c r="I198" t="s">
        <v>154</v>
      </c>
      <c r="AA198" t="s">
        <v>246</v>
      </c>
    </row>
    <row r="199" spans="4:43" x14ac:dyDescent="0.25">
      <c r="E199" s="27"/>
      <c r="F199" s="68" t="s">
        <v>247</v>
      </c>
      <c r="G199" s="68" t="s">
        <v>207</v>
      </c>
      <c r="H199" s="19"/>
      <c r="I199" s="19"/>
      <c r="J199" s="116">
        <f t="shared" ref="J199:Y199" si="2">SUM( J67, J76, J85, J94, J58 )</f>
        <v>958695.14576306345</v>
      </c>
      <c r="K199" s="116">
        <f t="shared" si="2"/>
        <v>97.101998282967941</v>
      </c>
      <c r="L199" s="116">
        <f t="shared" si="2"/>
        <v>294964.92113989091</v>
      </c>
      <c r="M199" s="116">
        <f t="shared" si="2"/>
        <v>113.60366930781993</v>
      </c>
      <c r="N199" s="116">
        <f t="shared" si="2"/>
        <v>244788.00420733052</v>
      </c>
      <c r="O199" s="116">
        <f t="shared" si="2"/>
        <v>19561.23392500338</v>
      </c>
      <c r="P199" s="116">
        <f t="shared" si="2"/>
        <v>659472.90875027073</v>
      </c>
      <c r="Q199" s="116">
        <f t="shared" si="2"/>
        <v>10812.469000907027</v>
      </c>
      <c r="R199" s="116">
        <f t="shared" si="2"/>
        <v>402.74853197386807</v>
      </c>
      <c r="S199" s="116">
        <f t="shared" si="2"/>
        <v>0</v>
      </c>
      <c r="T199" s="116">
        <f t="shared" si="2"/>
        <v>4581.0802139008056</v>
      </c>
      <c r="U199" s="116">
        <f t="shared" si="2"/>
        <v>0</v>
      </c>
      <c r="V199" s="116">
        <f t="shared" si="2"/>
        <v>1000.7714870643234</v>
      </c>
      <c r="W199" s="116">
        <f t="shared" si="2"/>
        <v>0</v>
      </c>
      <c r="X199" s="116">
        <f t="shared" si="2"/>
        <v>112513.35249750761</v>
      </c>
      <c r="Y199" s="116">
        <f t="shared" si="2"/>
        <v>0</v>
      </c>
    </row>
    <row r="200" spans="4:43" x14ac:dyDescent="0.25">
      <c r="E200" s="27"/>
      <c r="F200" s="62" t="s">
        <v>248</v>
      </c>
      <c r="G200" s="62" t="s">
        <v>207</v>
      </c>
      <c r="J200" s="318">
        <f t="shared" ref="J200:Y200" si="3">SUM( J68, J77, J86, J95, J59 )</f>
        <v>2724925.6197538478</v>
      </c>
      <c r="K200" s="318">
        <f t="shared" si="3"/>
        <v>2610.0714903095482</v>
      </c>
      <c r="L200" s="318">
        <f t="shared" si="3"/>
        <v>1219313.122048398</v>
      </c>
      <c r="M200" s="318">
        <f t="shared" si="3"/>
        <v>928.08494967695549</v>
      </c>
      <c r="N200" s="318">
        <f t="shared" si="3"/>
        <v>1056103.2868166834</v>
      </c>
      <c r="O200" s="318">
        <f t="shared" si="3"/>
        <v>74015.972970134579</v>
      </c>
      <c r="P200" s="318">
        <f t="shared" si="3"/>
        <v>2623603.4796997658</v>
      </c>
      <c r="Q200" s="412">
        <f t="shared" si="3"/>
        <v>46845.820756552697</v>
      </c>
      <c r="R200" s="412">
        <f t="shared" si="3"/>
        <v>1815.0091331557703</v>
      </c>
      <c r="S200" s="412">
        <f t="shared" si="3"/>
        <v>0</v>
      </c>
      <c r="T200" s="318">
        <f t="shared" si="3"/>
        <v>20492.431913765191</v>
      </c>
      <c r="U200" s="318">
        <f t="shared" si="3"/>
        <v>0</v>
      </c>
      <c r="V200" s="318">
        <f t="shared" si="3"/>
        <v>3996.1654558994287</v>
      </c>
      <c r="W200" s="318">
        <f t="shared" si="3"/>
        <v>0</v>
      </c>
      <c r="X200" s="318">
        <f t="shared" si="3"/>
        <v>328224.9176967626</v>
      </c>
      <c r="Y200" s="318">
        <f t="shared" si="3"/>
        <v>0</v>
      </c>
    </row>
    <row r="201" spans="4:43" x14ac:dyDescent="0.25">
      <c r="E201" s="27"/>
      <c r="F201" s="62" t="s">
        <v>249</v>
      </c>
      <c r="G201" s="62" t="s">
        <v>207</v>
      </c>
      <c r="J201" s="318">
        <f t="shared" ref="J201:Y201" si="4">SUM( J69, J78, J87, J96, J60 )</f>
        <v>4883727.7493747445</v>
      </c>
      <c r="K201" s="318">
        <f t="shared" si="4"/>
        <v>10855.114741116735</v>
      </c>
      <c r="L201" s="318">
        <f t="shared" si="4"/>
        <v>1341298.1548744994</v>
      </c>
      <c r="M201" s="318">
        <f t="shared" si="4"/>
        <v>2405.8570016096082</v>
      </c>
      <c r="N201" s="318">
        <f t="shared" si="4"/>
        <v>1517150.8193133131</v>
      </c>
      <c r="O201" s="318">
        <f t="shared" si="4"/>
        <v>91196.680886374219</v>
      </c>
      <c r="P201" s="318">
        <f t="shared" si="4"/>
        <v>3670028.0359387305</v>
      </c>
      <c r="Q201" s="412">
        <f t="shared" si="4"/>
        <v>180165.70596262455</v>
      </c>
      <c r="R201" s="412">
        <f t="shared" si="4"/>
        <v>1012.3643348703615</v>
      </c>
      <c r="S201" s="412">
        <f t="shared" si="4"/>
        <v>0</v>
      </c>
      <c r="T201" s="318">
        <f t="shared" si="4"/>
        <v>19151.771205667341</v>
      </c>
      <c r="U201" s="318">
        <f t="shared" si="4"/>
        <v>0</v>
      </c>
      <c r="V201" s="318">
        <f t="shared" si="4"/>
        <v>6019.197723702915</v>
      </c>
      <c r="W201" s="318">
        <f t="shared" si="4"/>
        <v>0</v>
      </c>
      <c r="X201" s="318">
        <f t="shared" si="4"/>
        <v>370994.99213906302</v>
      </c>
      <c r="Y201" s="318">
        <f t="shared" si="4"/>
        <v>0</v>
      </c>
    </row>
    <row r="202" spans="4:43" x14ac:dyDescent="0.25">
      <c r="E202" s="27"/>
      <c r="F202" s="62" t="s">
        <v>212</v>
      </c>
      <c r="G202" s="62" t="s">
        <v>212</v>
      </c>
      <c r="J202" s="318">
        <f t="shared" ref="J202:Y202" si="5">SUM( J70, J79, J88, J97, J61 )</f>
        <v>2324955.1193078361</v>
      </c>
      <c r="K202" s="318">
        <f t="shared" si="5"/>
        <v>0</v>
      </c>
      <c r="L202" s="318">
        <f t="shared" si="5"/>
        <v>180740.62112932582</v>
      </c>
      <c r="M202" s="318">
        <f t="shared" si="5"/>
        <v>0</v>
      </c>
      <c r="N202" s="318">
        <f t="shared" si="5"/>
        <v>14736.591721462168</v>
      </c>
      <c r="O202" s="318">
        <f t="shared" si="5"/>
        <v>316.91368142500551</v>
      </c>
      <c r="P202" s="318">
        <f t="shared" si="5"/>
        <v>4103.9680533192168</v>
      </c>
      <c r="Q202" s="318">
        <f t="shared" si="5"/>
        <v>2294</v>
      </c>
      <c r="R202" s="318">
        <f t="shared" si="5"/>
        <v>0</v>
      </c>
      <c r="S202" s="318">
        <f t="shared" si="5"/>
        <v>0</v>
      </c>
      <c r="T202" s="318">
        <f t="shared" si="5"/>
        <v>633.94808743169403</v>
      </c>
      <c r="U202" s="318">
        <f t="shared" si="5"/>
        <v>0</v>
      </c>
      <c r="V202" s="318">
        <f t="shared" si="5"/>
        <v>35.618169398907106</v>
      </c>
      <c r="W202" s="318">
        <f t="shared" si="5"/>
        <v>0</v>
      </c>
      <c r="X202" s="318">
        <f t="shared" si="5"/>
        <v>338.62978142076497</v>
      </c>
      <c r="Y202" s="318">
        <f t="shared" si="5"/>
        <v>0</v>
      </c>
    </row>
    <row r="203" spans="4:43" x14ac:dyDescent="0.25">
      <c r="E203" s="27"/>
      <c r="F203" s="62" t="s">
        <v>250</v>
      </c>
      <c r="G203" s="62" t="s">
        <v>251</v>
      </c>
      <c r="J203" s="69"/>
      <c r="K203" s="69"/>
      <c r="L203" s="69"/>
      <c r="M203" s="69"/>
      <c r="N203" s="318">
        <f t="shared" ref="N203:P205" si="6">SUM( N71, N80, N89, N98, N62 )</f>
        <v>1598336.1703476014</v>
      </c>
      <c r="O203" s="318">
        <f t="shared" si="6"/>
        <v>126478.30236794158</v>
      </c>
      <c r="P203" s="318">
        <f t="shared" si="6"/>
        <v>2888293.2490513003</v>
      </c>
      <c r="Q203" s="69"/>
      <c r="R203" s="69"/>
      <c r="S203" s="69"/>
      <c r="T203" s="69"/>
      <c r="U203" s="69"/>
      <c r="V203" s="69"/>
      <c r="W203" s="69"/>
      <c r="X203" s="69"/>
      <c r="Y203" s="69"/>
    </row>
    <row r="204" spans="4:43" x14ac:dyDescent="0.25">
      <c r="E204" s="27"/>
      <c r="F204" s="62" t="s">
        <v>252</v>
      </c>
      <c r="G204" s="62" t="s">
        <v>251</v>
      </c>
      <c r="J204" s="69"/>
      <c r="K204" s="69"/>
      <c r="L204" s="69"/>
      <c r="M204" s="69"/>
      <c r="N204" s="318">
        <f t="shared" si="6"/>
        <v>26903.155718492661</v>
      </c>
      <c r="O204" s="318">
        <f t="shared" si="6"/>
        <v>587.35366022084509</v>
      </c>
      <c r="P204" s="318">
        <f t="shared" si="6"/>
        <v>42740.498485932825</v>
      </c>
      <c r="Q204" s="69"/>
      <c r="R204" s="69"/>
      <c r="S204" s="69"/>
      <c r="T204" s="69"/>
      <c r="U204" s="69"/>
      <c r="V204" s="69"/>
      <c r="W204" s="69"/>
      <c r="X204" s="69"/>
      <c r="Y204" s="69"/>
    </row>
    <row r="205" spans="4:43" x14ac:dyDescent="0.25">
      <c r="E205" s="27"/>
      <c r="F205" s="70" t="s">
        <v>253</v>
      </c>
      <c r="G205" s="70" t="s">
        <v>254</v>
      </c>
      <c r="H205" s="28"/>
      <c r="I205" s="28"/>
      <c r="J205" s="71"/>
      <c r="K205" s="71"/>
      <c r="L205" s="71"/>
      <c r="M205" s="71"/>
      <c r="N205" s="90">
        <f t="shared" si="6"/>
        <v>235076.55</v>
      </c>
      <c r="O205" s="90">
        <f t="shared" si="6"/>
        <v>10318.771499999999</v>
      </c>
      <c r="P205" s="90">
        <f t="shared" si="6"/>
        <v>753835.58900000004</v>
      </c>
      <c r="Q205" s="71"/>
      <c r="R205" s="71"/>
      <c r="S205" s="71"/>
      <c r="T205" s="90">
        <f>SUM( T73, T82, T91, T100, T64 )</f>
        <v>3761.82</v>
      </c>
      <c r="U205" s="71"/>
      <c r="V205" s="90">
        <f>SUM( V73, V82, V91, V100, V64 )</f>
        <v>310.738</v>
      </c>
      <c r="W205" s="71"/>
      <c r="X205" s="90">
        <f>SUM( X73, X82, X91, X100, X64 )</f>
        <v>36884.22</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25">
      <c r="E208" s="27"/>
      <c r="F208" s="68" t="s">
        <v>247</v>
      </c>
      <c r="G208" s="62" t="s">
        <v>207</v>
      </c>
      <c r="I208" s="19"/>
      <c r="J208" s="116">
        <f t="shared" ref="J208:N211" si="7">SUM( J114, J123, J132, J141, J105 )</f>
        <v>15700.93913512329</v>
      </c>
      <c r="K208" s="116">
        <f t="shared" si="7"/>
        <v>0</v>
      </c>
      <c r="L208" s="116">
        <f t="shared" si="7"/>
        <v>811.06640293724865</v>
      </c>
      <c r="M208" s="116">
        <f t="shared" si="7"/>
        <v>0</v>
      </c>
      <c r="N208" s="116">
        <f t="shared" si="7"/>
        <v>2778.4275672711724</v>
      </c>
      <c r="O208" s="73"/>
      <c r="P208" s="73"/>
      <c r="Q208" s="116">
        <f t="shared" ref="Q208:R211" si="8">SUM( Q114, Q123, Q132, Q141, Q105 )</f>
        <v>5.2803435811820503</v>
      </c>
      <c r="R208" s="116">
        <f t="shared" si="8"/>
        <v>4.2797216354836163</v>
      </c>
      <c r="S208" s="73"/>
      <c r="T208" s="116">
        <f>SUM( T114, T123, T132, T141, T105 )</f>
        <v>0</v>
      </c>
      <c r="U208" s="73"/>
      <c r="V208" s="73"/>
      <c r="W208" s="73"/>
      <c r="X208" s="73"/>
      <c r="Y208" s="73"/>
    </row>
    <row r="209" spans="5:27" x14ac:dyDescent="0.25">
      <c r="E209" s="27"/>
      <c r="F209" s="62" t="s">
        <v>248</v>
      </c>
      <c r="G209" s="62" t="s">
        <v>207</v>
      </c>
      <c r="J209" s="318">
        <f t="shared" si="7"/>
        <v>43000</v>
      </c>
      <c r="K209" s="318">
        <f t="shared" si="7"/>
        <v>0</v>
      </c>
      <c r="L209" s="318">
        <f t="shared" si="7"/>
        <v>3486.1991234377138</v>
      </c>
      <c r="M209" s="318">
        <f t="shared" si="7"/>
        <v>0</v>
      </c>
      <c r="N209" s="318">
        <f t="shared" si="7"/>
        <v>14300</v>
      </c>
      <c r="O209" s="69"/>
      <c r="P209" s="69"/>
      <c r="Q209" s="412">
        <f t="shared" si="8"/>
        <v>261.68480590474331</v>
      </c>
      <c r="R209" s="412">
        <f t="shared" si="8"/>
        <v>18.271397198392478</v>
      </c>
      <c r="S209" s="69"/>
      <c r="T209" s="318">
        <f>SUM( T115, T124, T133, T142, T106 )</f>
        <v>0</v>
      </c>
      <c r="U209" s="69"/>
      <c r="V209" s="69"/>
      <c r="W209" s="69"/>
      <c r="X209" s="69"/>
      <c r="Y209" s="69"/>
    </row>
    <row r="210" spans="5:27" x14ac:dyDescent="0.25">
      <c r="E210" s="27"/>
      <c r="F210" s="62" t="s">
        <v>249</v>
      </c>
      <c r="G210" s="62" t="s">
        <v>207</v>
      </c>
      <c r="J210" s="318">
        <f t="shared" si="7"/>
        <v>56000</v>
      </c>
      <c r="K210" s="318">
        <f t="shared" si="7"/>
        <v>0</v>
      </c>
      <c r="L210" s="318">
        <f t="shared" si="7"/>
        <v>3452.2010768452819</v>
      </c>
      <c r="M210" s="318">
        <f t="shared" si="7"/>
        <v>0</v>
      </c>
      <c r="N210" s="318">
        <f t="shared" si="7"/>
        <v>20000</v>
      </c>
      <c r="O210" s="69"/>
      <c r="P210" s="69"/>
      <c r="Q210" s="412">
        <f t="shared" si="8"/>
        <v>406.83426130782453</v>
      </c>
      <c r="R210" s="412">
        <f t="shared" si="8"/>
        <v>10.408381166123906</v>
      </c>
      <c r="S210" s="69"/>
      <c r="T210" s="318">
        <f>SUM( T116, T125, T134, T143, T107 )</f>
        <v>0</v>
      </c>
      <c r="U210" s="69"/>
      <c r="V210" s="69"/>
      <c r="W210" s="69"/>
      <c r="X210" s="69"/>
      <c r="Y210" s="69"/>
    </row>
    <row r="211" spans="5:27" x14ac:dyDescent="0.25">
      <c r="E211" s="27"/>
      <c r="F211" s="62" t="s">
        <v>212</v>
      </c>
      <c r="G211" s="62" t="s">
        <v>212</v>
      </c>
      <c r="J211" s="318">
        <f t="shared" si="7"/>
        <v>37574.316939890712</v>
      </c>
      <c r="K211" s="318">
        <f t="shared" si="7"/>
        <v>0</v>
      </c>
      <c r="L211" s="318">
        <f t="shared" si="7"/>
        <v>439.5323315118398</v>
      </c>
      <c r="M211" s="318">
        <f t="shared" si="7"/>
        <v>0</v>
      </c>
      <c r="N211" s="318">
        <f t="shared" si="7"/>
        <v>121.28916211293262</v>
      </c>
      <c r="O211" s="69"/>
      <c r="P211" s="69"/>
      <c r="Q211" s="318">
        <f t="shared" si="8"/>
        <v>0</v>
      </c>
      <c r="R211" s="318">
        <f t="shared" si="8"/>
        <v>0</v>
      </c>
      <c r="S211" s="69"/>
      <c r="T211" s="318">
        <f>SUM( T117, T126, T135, T144, T108 )</f>
        <v>0</v>
      </c>
      <c r="U211" s="69"/>
      <c r="V211" s="69"/>
      <c r="W211" s="69"/>
      <c r="X211" s="69"/>
      <c r="Y211" s="69"/>
    </row>
    <row r="212" spans="5:27" x14ac:dyDescent="0.25">
      <c r="E212" s="27"/>
      <c r="F212" s="62" t="s">
        <v>250</v>
      </c>
      <c r="G212" s="62" t="s">
        <v>251</v>
      </c>
      <c r="J212" s="69"/>
      <c r="K212" s="69"/>
      <c r="L212" s="69"/>
      <c r="M212" s="69"/>
      <c r="N212" s="318">
        <f>SUM( N118, N127, N136, N145, N109 )</f>
        <v>21971.211293260469</v>
      </c>
      <c r="O212" s="69"/>
      <c r="P212" s="69"/>
      <c r="Q212" s="69"/>
      <c r="R212" s="69"/>
      <c r="S212" s="69"/>
      <c r="T212" s="69"/>
      <c r="U212" s="69"/>
      <c r="V212" s="69"/>
      <c r="W212" s="69"/>
      <c r="X212" s="69"/>
      <c r="Y212" s="69"/>
    </row>
    <row r="213" spans="5:27" x14ac:dyDescent="0.25">
      <c r="E213" s="27"/>
      <c r="F213" s="62" t="s">
        <v>252</v>
      </c>
      <c r="G213" s="62" t="s">
        <v>251</v>
      </c>
      <c r="J213" s="69"/>
      <c r="K213" s="69"/>
      <c r="L213" s="69"/>
      <c r="M213" s="69"/>
      <c r="N213" s="318">
        <f>SUM( N119, N128, N137, N146, N110 )</f>
        <v>28.106501664414942</v>
      </c>
      <c r="O213" s="69"/>
      <c r="P213" s="69"/>
      <c r="Q213" s="69"/>
      <c r="R213" s="69"/>
      <c r="S213" s="69"/>
      <c r="T213" s="69"/>
      <c r="U213" s="69"/>
      <c r="V213" s="69"/>
      <c r="W213" s="69"/>
      <c r="X213" s="69"/>
      <c r="Y213" s="69"/>
    </row>
    <row r="214" spans="5:27" x14ac:dyDescent="0.25">
      <c r="E214" s="27"/>
      <c r="F214" s="70" t="s">
        <v>253</v>
      </c>
      <c r="G214" s="70" t="s">
        <v>254</v>
      </c>
      <c r="H214" s="28"/>
      <c r="I214" s="28"/>
      <c r="J214" s="71"/>
      <c r="K214" s="71"/>
      <c r="L214" s="71"/>
      <c r="M214" s="71"/>
      <c r="N214" s="90">
        <f>SUM( N120, N129, N138, N147, N111 )</f>
        <v>2173.7557499999998</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25">
      <c r="F217" s="68" t="s">
        <v>247</v>
      </c>
      <c r="G217" s="62" t="s">
        <v>207</v>
      </c>
      <c r="I217" s="19"/>
      <c r="J217" s="116">
        <f t="shared" ref="J217:T217" si="9">SUM( J161, J170, J179, J188, J152 )</f>
        <v>25738.399300986101</v>
      </c>
      <c r="K217" s="116">
        <f t="shared" si="9"/>
        <v>0</v>
      </c>
      <c r="L217" s="116">
        <f t="shared" si="9"/>
        <v>4540.0755503251585</v>
      </c>
      <c r="M217" s="116">
        <f t="shared" si="9"/>
        <v>0</v>
      </c>
      <c r="N217" s="116">
        <f t="shared" si="9"/>
        <v>15300</v>
      </c>
      <c r="O217" s="116">
        <f t="shared" si="9"/>
        <v>1970.8169716312491</v>
      </c>
      <c r="P217" s="116">
        <f t="shared" si="9"/>
        <v>7995.7639498767039</v>
      </c>
      <c r="Q217" s="116">
        <f t="shared" si="9"/>
        <v>6.2084614434936132</v>
      </c>
      <c r="R217" s="116">
        <f t="shared" si="9"/>
        <v>7.3769179825496217E-2</v>
      </c>
      <c r="S217" s="116">
        <f t="shared" si="9"/>
        <v>0</v>
      </c>
      <c r="T217" s="116">
        <f t="shared" si="9"/>
        <v>7.4176971777605809</v>
      </c>
      <c r="U217" s="73"/>
      <c r="V217" s="116">
        <f>SUM( V161, V170, V179, V188, V152 )</f>
        <v>0</v>
      </c>
      <c r="W217" s="73"/>
      <c r="X217" s="116">
        <f>SUM( X161, X170, X179, X188, X152 )</f>
        <v>7.2257999999999996</v>
      </c>
      <c r="Y217" s="73"/>
    </row>
    <row r="218" spans="5:27" x14ac:dyDescent="0.25">
      <c r="F218" s="62" t="s">
        <v>248</v>
      </c>
      <c r="G218" s="62" t="s">
        <v>207</v>
      </c>
      <c r="J218" s="318">
        <f t="shared" ref="J218:T218" si="10">SUM( J162, J171, J180, J189, J153 )</f>
        <v>74000</v>
      </c>
      <c r="K218" s="318">
        <f t="shared" si="10"/>
        <v>0</v>
      </c>
      <c r="L218" s="318">
        <f t="shared" si="10"/>
        <v>10869.230392910518</v>
      </c>
      <c r="M218" s="318">
        <f t="shared" si="10"/>
        <v>0</v>
      </c>
      <c r="N218" s="318">
        <f t="shared" si="10"/>
        <v>59000</v>
      </c>
      <c r="O218" s="318">
        <f t="shared" si="10"/>
        <v>10500</v>
      </c>
      <c r="P218" s="318">
        <f t="shared" si="10"/>
        <v>35744.514751539733</v>
      </c>
      <c r="Q218" s="412">
        <f t="shared" si="10"/>
        <v>417.76530632165333</v>
      </c>
      <c r="R218" s="412">
        <f t="shared" si="10"/>
        <v>0.31437484563728435</v>
      </c>
      <c r="S218" s="412">
        <f t="shared" si="10"/>
        <v>0</v>
      </c>
      <c r="T218" s="318">
        <f t="shared" si="10"/>
        <v>33.173331568660394</v>
      </c>
      <c r="U218" s="69"/>
      <c r="V218" s="318">
        <f>SUM( V162, V171, V180, V189, V153 )</f>
        <v>0</v>
      </c>
      <c r="W218" s="69"/>
      <c r="X218" s="318">
        <f>SUM( X162, X171, X180, X189, X153 )</f>
        <v>0.19575000000000001</v>
      </c>
      <c r="Y218" s="69"/>
    </row>
    <row r="219" spans="5:27" x14ac:dyDescent="0.25">
      <c r="F219" s="62" t="s">
        <v>249</v>
      </c>
      <c r="G219" s="62" t="s">
        <v>207</v>
      </c>
      <c r="J219" s="318">
        <f t="shared" ref="J219:T219" si="11">SUM( J163, J172, J181, J190, J154 )</f>
        <v>105509.59147079231</v>
      </c>
      <c r="K219" s="318">
        <f t="shared" si="11"/>
        <v>0</v>
      </c>
      <c r="L219" s="318">
        <f t="shared" si="11"/>
        <v>10009.548488659239</v>
      </c>
      <c r="M219" s="318">
        <f t="shared" si="11"/>
        <v>0</v>
      </c>
      <c r="N219" s="318">
        <f t="shared" si="11"/>
        <v>67808.194329397942</v>
      </c>
      <c r="O219" s="318">
        <f t="shared" si="11"/>
        <v>13000</v>
      </c>
      <c r="P219" s="318">
        <f t="shared" si="11"/>
        <v>48043.669823787313</v>
      </c>
      <c r="Q219" s="412">
        <f t="shared" si="11"/>
        <v>689.63075465360259</v>
      </c>
      <c r="R219" s="412">
        <f t="shared" si="11"/>
        <v>0.19335597453721937</v>
      </c>
      <c r="S219" s="412">
        <f t="shared" si="11"/>
        <v>0</v>
      </c>
      <c r="T219" s="318">
        <f t="shared" si="11"/>
        <v>74.160171253579037</v>
      </c>
      <c r="U219" s="69"/>
      <c r="V219" s="318">
        <f>SUM( V163, V172, V181, V190, V154 )</f>
        <v>0</v>
      </c>
      <c r="W219" s="69"/>
      <c r="X219" s="318">
        <f>SUM( X163, X172, X181, X190, X154 )</f>
        <v>9.5E-4</v>
      </c>
      <c r="Y219" s="69"/>
    </row>
    <row r="220" spans="5:27" x14ac:dyDescent="0.25">
      <c r="F220" s="62" t="s">
        <v>212</v>
      </c>
      <c r="G220" s="62" t="s">
        <v>212</v>
      </c>
      <c r="J220" s="318">
        <f t="shared" ref="J220:T220" si="12">SUM( J164, J173, J182, J191, J155 )</f>
        <v>77790.633879781424</v>
      </c>
      <c r="K220" s="318">
        <f t="shared" si="12"/>
        <v>0</v>
      </c>
      <c r="L220" s="318">
        <f t="shared" si="12"/>
        <v>2113.302367941712</v>
      </c>
      <c r="M220" s="318">
        <f t="shared" si="12"/>
        <v>0</v>
      </c>
      <c r="N220" s="318">
        <f t="shared" si="12"/>
        <v>674.44581056466291</v>
      </c>
      <c r="O220" s="318">
        <f t="shared" si="12"/>
        <v>30.624316939890711</v>
      </c>
      <c r="P220" s="318">
        <f t="shared" si="12"/>
        <v>53.040528233151186</v>
      </c>
      <c r="Q220" s="318">
        <f t="shared" si="12"/>
        <v>0</v>
      </c>
      <c r="R220" s="318">
        <f t="shared" si="12"/>
        <v>0</v>
      </c>
      <c r="S220" s="318">
        <f t="shared" si="12"/>
        <v>0</v>
      </c>
      <c r="T220" s="318">
        <f t="shared" si="12"/>
        <v>3</v>
      </c>
      <c r="U220" s="69"/>
      <c r="V220" s="318">
        <f>SUM( V164, V173, V182, V191, V155 )</f>
        <v>0</v>
      </c>
      <c r="W220" s="69"/>
      <c r="X220" s="318">
        <f>SUM( X164, X173, X182, X191, X155 )</f>
        <v>2</v>
      </c>
      <c r="Y220" s="69"/>
    </row>
    <row r="221" spans="5:27" x14ac:dyDescent="0.25">
      <c r="F221" s="62" t="s">
        <v>250</v>
      </c>
      <c r="G221" s="62" t="s">
        <v>251</v>
      </c>
      <c r="J221" s="69"/>
      <c r="K221" s="69"/>
      <c r="L221" s="69"/>
      <c r="M221" s="69"/>
      <c r="N221" s="318">
        <f t="shared" ref="N221:P223" si="13">SUM( N165, N174, N183, N192, N156 )</f>
        <v>146426.05646630237</v>
      </c>
      <c r="O221" s="318">
        <f t="shared" si="13"/>
        <v>17460.211293260472</v>
      </c>
      <c r="P221" s="318">
        <f t="shared" si="13"/>
        <v>62589.52823315117</v>
      </c>
      <c r="Q221" s="69"/>
      <c r="R221" s="69"/>
      <c r="S221" s="69"/>
      <c r="T221" s="69"/>
      <c r="U221" s="69"/>
      <c r="V221" s="69"/>
      <c r="W221" s="69"/>
      <c r="X221" s="69"/>
      <c r="Y221" s="69"/>
    </row>
    <row r="222" spans="5:27" x14ac:dyDescent="0.25">
      <c r="F222" s="62" t="s">
        <v>252</v>
      </c>
      <c r="G222" s="62" t="s">
        <v>251</v>
      </c>
      <c r="J222" s="69"/>
      <c r="K222" s="69"/>
      <c r="L222" s="69"/>
      <c r="M222" s="69"/>
      <c r="N222" s="318">
        <f t="shared" si="13"/>
        <v>367.27675132838289</v>
      </c>
      <c r="O222" s="318">
        <f t="shared" si="13"/>
        <v>108.45380474675801</v>
      </c>
      <c r="P222" s="318">
        <f t="shared" si="13"/>
        <v>701.50063525182009</v>
      </c>
      <c r="Q222" s="69"/>
      <c r="R222" s="69"/>
      <c r="S222" s="69"/>
      <c r="T222" s="69"/>
      <c r="U222" s="69"/>
      <c r="V222" s="69"/>
      <c r="W222" s="69"/>
      <c r="X222" s="69"/>
      <c r="Y222" s="69"/>
    </row>
    <row r="223" spans="5:27" x14ac:dyDescent="0.25">
      <c r="F223" s="70" t="s">
        <v>253</v>
      </c>
      <c r="G223" s="70" t="s">
        <v>254</v>
      </c>
      <c r="H223" s="28"/>
      <c r="I223" s="28"/>
      <c r="J223" s="71"/>
      <c r="K223" s="71"/>
      <c r="L223" s="71"/>
      <c r="M223" s="71"/>
      <c r="N223" s="90">
        <f t="shared" si="13"/>
        <v>10253.475899999998</v>
      </c>
      <c r="O223" s="90">
        <f t="shared" si="13"/>
        <v>1522.8189</v>
      </c>
      <c r="P223" s="90">
        <f t="shared" si="13"/>
        <v>1169.7086000000004</v>
      </c>
      <c r="Q223" s="71"/>
      <c r="R223" s="71"/>
      <c r="S223" s="71"/>
      <c r="T223" s="90">
        <f>SUM( T167, T176, T185, T194, T158 )</f>
        <v>5.0198499999999999</v>
      </c>
      <c r="U223" s="71"/>
      <c r="V223" s="90">
        <f>SUM( V167, V176, V185, V194, V158 )</f>
        <v>0</v>
      </c>
      <c r="W223" s="71"/>
      <c r="X223" s="90">
        <f>SUM( X167, X176, X185, X194, X158 )</f>
        <v>3.266</v>
      </c>
      <c r="Y223" s="71"/>
    </row>
    <row r="224" spans="5:27" x14ac:dyDescent="0.25">
      <c r="G224" s="12"/>
    </row>
    <row r="225" spans="3:43" x14ac:dyDescent="0.25">
      <c r="C225" s="26" t="str">
        <f ca="1">INDEX('Version control'!$H$36:$H$59,MATCH($A$1,'Version control'!$F$36:$F$59,0),1)&amp;"-C: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156</v>
      </c>
      <c r="I229" t="s">
        <v>154</v>
      </c>
      <c r="AA229" t="s">
        <v>309</v>
      </c>
      <c r="AQ229" s="3"/>
    </row>
    <row r="230" spans="3:43" x14ac:dyDescent="0.25">
      <c r="C230" s="24"/>
      <c r="E230" s="27"/>
      <c r="AQ230" s="3"/>
    </row>
    <row r="231" spans="3:43" x14ac:dyDescent="0.25">
      <c r="F231" s="23" t="s">
        <v>446</v>
      </c>
      <c r="G231" s="23" t="s">
        <v>207</v>
      </c>
      <c r="J231" s="88">
        <f t="shared" ref="J231:Y231" si="14">J$199</f>
        <v>958695.14576306345</v>
      </c>
      <c r="K231" s="88">
        <f t="shared" si="14"/>
        <v>97.101998282967941</v>
      </c>
      <c r="L231" s="88">
        <f t="shared" si="14"/>
        <v>294964.92113989091</v>
      </c>
      <c r="M231" s="88">
        <f t="shared" si="14"/>
        <v>113.60366930781993</v>
      </c>
      <c r="N231" s="88">
        <f t="shared" si="14"/>
        <v>244788.00420733052</v>
      </c>
      <c r="O231" s="88">
        <f t="shared" si="14"/>
        <v>19561.23392500338</v>
      </c>
      <c r="P231" s="88">
        <f t="shared" si="14"/>
        <v>659472.90875027073</v>
      </c>
      <c r="Q231" s="88">
        <f t="shared" si="14"/>
        <v>10812.469000907027</v>
      </c>
      <c r="R231" s="88">
        <f t="shared" si="14"/>
        <v>402.74853197386807</v>
      </c>
      <c r="S231" s="88">
        <f t="shared" si="14"/>
        <v>0</v>
      </c>
      <c r="T231" s="88">
        <f t="shared" si="14"/>
        <v>4581.0802139008056</v>
      </c>
      <c r="U231" s="88">
        <f t="shared" si="14"/>
        <v>0</v>
      </c>
      <c r="V231" s="88">
        <f t="shared" si="14"/>
        <v>1000.7714870643234</v>
      </c>
      <c r="W231" s="88">
        <f t="shared" si="14"/>
        <v>0</v>
      </c>
      <c r="X231" s="88">
        <f t="shared" si="14"/>
        <v>112513.35249750761</v>
      </c>
      <c r="Y231" s="88">
        <f t="shared" si="14"/>
        <v>0</v>
      </c>
      <c r="AQ231" s="3"/>
    </row>
    <row r="232" spans="3:43" x14ac:dyDescent="0.25">
      <c r="F232" s="23" t="s">
        <v>447</v>
      </c>
      <c r="G232" s="23" t="s">
        <v>207</v>
      </c>
      <c r="J232" s="88">
        <f t="shared" ref="J232:Y232" si="15">J$208</f>
        <v>15700.93913512329</v>
      </c>
      <c r="K232" s="88">
        <f t="shared" si="15"/>
        <v>0</v>
      </c>
      <c r="L232" s="88">
        <f t="shared" si="15"/>
        <v>811.06640293724865</v>
      </c>
      <c r="M232" s="88">
        <f t="shared" si="15"/>
        <v>0</v>
      </c>
      <c r="N232" s="88">
        <f t="shared" si="15"/>
        <v>2778.4275672711724</v>
      </c>
      <c r="O232" s="88">
        <f t="shared" si="15"/>
        <v>0</v>
      </c>
      <c r="P232" s="88">
        <f t="shared" si="15"/>
        <v>0</v>
      </c>
      <c r="Q232" s="88">
        <f t="shared" si="15"/>
        <v>5.2803435811820503</v>
      </c>
      <c r="R232" s="88">
        <f t="shared" si="15"/>
        <v>4.2797216354836163</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207</v>
      </c>
      <c r="J233" s="88">
        <f t="shared" ref="J233:Y233" si="16">J$217</f>
        <v>25738.399300986101</v>
      </c>
      <c r="K233" s="88">
        <f t="shared" si="16"/>
        <v>0</v>
      </c>
      <c r="L233" s="88">
        <f t="shared" si="16"/>
        <v>4540.0755503251585</v>
      </c>
      <c r="M233" s="88">
        <f t="shared" si="16"/>
        <v>0</v>
      </c>
      <c r="N233" s="88">
        <f t="shared" si="16"/>
        <v>15300</v>
      </c>
      <c r="O233" s="88">
        <f t="shared" si="16"/>
        <v>1970.8169716312491</v>
      </c>
      <c r="P233" s="88">
        <f t="shared" si="16"/>
        <v>7995.7639498767039</v>
      </c>
      <c r="Q233" s="88">
        <f t="shared" si="16"/>
        <v>6.2084614434936132</v>
      </c>
      <c r="R233" s="88">
        <f t="shared" si="16"/>
        <v>7.3769179825496217E-2</v>
      </c>
      <c r="S233" s="88">
        <f t="shared" si="16"/>
        <v>0</v>
      </c>
      <c r="T233" s="88">
        <f t="shared" si="16"/>
        <v>7.4176971777605809</v>
      </c>
      <c r="U233" s="88">
        <f t="shared" si="16"/>
        <v>0</v>
      </c>
      <c r="V233" s="88">
        <f t="shared" si="16"/>
        <v>0</v>
      </c>
      <c r="W233" s="88">
        <f t="shared" si="16"/>
        <v>0</v>
      </c>
      <c r="X233" s="88">
        <f t="shared" si="16"/>
        <v>7.2257999999999996</v>
      </c>
      <c r="Y233" s="88">
        <f t="shared" si="16"/>
        <v>0</v>
      </c>
      <c r="AQ233" s="3"/>
    </row>
    <row r="234" spans="3:43" x14ac:dyDescent="0.25">
      <c r="F234" s="23" t="s">
        <v>449</v>
      </c>
      <c r="G234" s="23" t="s">
        <v>167</v>
      </c>
      <c r="J234" s="320">
        <f>IF(J$39, J$45, J$34)</f>
        <v>0.3378546825678212</v>
      </c>
      <c r="K234" s="320">
        <f t="shared" ref="K234:Y234" si="17">IF(K$39, K$45, K$34)</f>
        <v>0.3378546825678212</v>
      </c>
      <c r="L234" s="320">
        <f t="shared" si="17"/>
        <v>0.3378546825678212</v>
      </c>
      <c r="M234" s="320">
        <f t="shared" si="17"/>
        <v>0.3378546825678212</v>
      </c>
      <c r="N234" s="320">
        <f t="shared" si="17"/>
        <v>0.3378546825678212</v>
      </c>
      <c r="O234" s="320">
        <f t="shared" si="17"/>
        <v>0</v>
      </c>
      <c r="P234" s="320">
        <f t="shared" si="17"/>
        <v>0</v>
      </c>
      <c r="Q234" s="320">
        <f t="shared" si="17"/>
        <v>0.3378546825678212</v>
      </c>
      <c r="R234" s="320">
        <f t="shared" si="17"/>
        <v>0</v>
      </c>
      <c r="S234" s="320">
        <f t="shared" si="17"/>
        <v>0</v>
      </c>
      <c r="T234" s="320">
        <f t="shared" si="17"/>
        <v>0</v>
      </c>
      <c r="U234" s="320">
        <f t="shared" si="17"/>
        <v>0</v>
      </c>
      <c r="V234" s="320">
        <f t="shared" si="17"/>
        <v>0</v>
      </c>
      <c r="W234" s="320">
        <f t="shared" si="17"/>
        <v>0</v>
      </c>
      <c r="X234" s="320">
        <f t="shared" si="17"/>
        <v>0</v>
      </c>
      <c r="Y234" s="320">
        <f t="shared" si="17"/>
        <v>0</v>
      </c>
      <c r="AQ234" s="3"/>
    </row>
    <row r="235" spans="3:43" x14ac:dyDescent="0.25">
      <c r="F235" s="23" t="s">
        <v>450</v>
      </c>
      <c r="G235" s="23" t="s">
        <v>167</v>
      </c>
      <c r="J235" s="320">
        <f>IF(J$39, J$45, J$35)</f>
        <v>0.48529035029231349</v>
      </c>
      <c r="K235" s="320">
        <f t="shared" ref="K235:Y235" si="18">IF(K$39, K$45, K$35)</f>
        <v>0.48529035029231349</v>
      </c>
      <c r="L235" s="320">
        <f t="shared" si="18"/>
        <v>0.48529035029231349</v>
      </c>
      <c r="M235" s="320">
        <f t="shared" si="18"/>
        <v>0.48529035029231349</v>
      </c>
      <c r="N235" s="320">
        <f t="shared" si="18"/>
        <v>0.48529035029231349</v>
      </c>
      <c r="O235" s="320">
        <f t="shared" si="18"/>
        <v>0.20072349959460251</v>
      </c>
      <c r="P235" s="320">
        <f t="shared" si="18"/>
        <v>8.1602927143683501E-2</v>
      </c>
      <c r="Q235" s="320">
        <f t="shared" si="18"/>
        <v>0.48529035029231349</v>
      </c>
      <c r="R235" s="320">
        <f t="shared" si="18"/>
        <v>0</v>
      </c>
      <c r="S235" s="320">
        <f t="shared" si="18"/>
        <v>0</v>
      </c>
      <c r="T235" s="320">
        <f t="shared" si="18"/>
        <v>0</v>
      </c>
      <c r="U235" s="320">
        <f t="shared" si="18"/>
        <v>0</v>
      </c>
      <c r="V235" s="320">
        <f t="shared" si="18"/>
        <v>0</v>
      </c>
      <c r="W235" s="320">
        <f t="shared" si="18"/>
        <v>0</v>
      </c>
      <c r="X235" s="320">
        <f t="shared" si="18"/>
        <v>0</v>
      </c>
      <c r="Y235" s="320">
        <f t="shared" si="18"/>
        <v>0</v>
      </c>
      <c r="AQ235" s="3"/>
    </row>
    <row r="236" spans="3:43" x14ac:dyDescent="0.25">
      <c r="F236" s="23" t="s">
        <v>451</v>
      </c>
      <c r="G236" s="23" t="s">
        <v>207</v>
      </c>
      <c r="J236" s="88">
        <f t="shared" ref="J236:Y236" si="19">J232 * (1 - J234)</f>
        <v>10396.303327609528</v>
      </c>
      <c r="K236" s="88">
        <f t="shared" si="19"/>
        <v>0</v>
      </c>
      <c r="L236" s="88">
        <f t="shared" si="19"/>
        <v>537.04382083145993</v>
      </c>
      <c r="M236" s="88">
        <f t="shared" si="19"/>
        <v>0</v>
      </c>
      <c r="N236" s="88">
        <f t="shared" si="19"/>
        <v>1839.7228034930865</v>
      </c>
      <c r="O236" s="88">
        <f t="shared" si="19"/>
        <v>0</v>
      </c>
      <c r="P236" s="88">
        <f t="shared" si="19"/>
        <v>0</v>
      </c>
      <c r="Q236" s="88">
        <f t="shared" si="19"/>
        <v>3.4963547767127561</v>
      </c>
      <c r="R236" s="88">
        <f t="shared" si="19"/>
        <v>4.2797216354836163</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207</v>
      </c>
      <c r="H237" s="28"/>
      <c r="I237" s="28"/>
      <c r="J237" s="90">
        <f t="shared" ref="J237:Y237" si="20">J233 * (1 - J235)</f>
        <v>13247.80248824712</v>
      </c>
      <c r="K237" s="90">
        <f t="shared" si="20"/>
        <v>0</v>
      </c>
      <c r="L237" s="90">
        <f t="shared" si="20"/>
        <v>2336.8206961542942</v>
      </c>
      <c r="M237" s="90">
        <f t="shared" si="20"/>
        <v>0</v>
      </c>
      <c r="N237" s="90">
        <f t="shared" si="20"/>
        <v>7875.0576405276033</v>
      </c>
      <c r="O237" s="90">
        <f t="shared" si="20"/>
        <v>1575.2276920249883</v>
      </c>
      <c r="P237" s="90">
        <f t="shared" si="20"/>
        <v>7343.2862068168242</v>
      </c>
      <c r="Q237" s="90">
        <f t="shared" si="20"/>
        <v>3.1955550148042753</v>
      </c>
      <c r="R237" s="90">
        <f t="shared" si="20"/>
        <v>7.3769179825496217E-2</v>
      </c>
      <c r="S237" s="90">
        <f t="shared" si="20"/>
        <v>0</v>
      </c>
      <c r="T237" s="90">
        <f t="shared" si="20"/>
        <v>7.4176971777605809</v>
      </c>
      <c r="U237" s="90">
        <f t="shared" si="20"/>
        <v>0</v>
      </c>
      <c r="V237" s="90">
        <f t="shared" si="20"/>
        <v>0</v>
      </c>
      <c r="W237" s="90">
        <f t="shared" si="20"/>
        <v>0</v>
      </c>
      <c r="X237" s="90">
        <f t="shared" si="20"/>
        <v>7.2257999999999996</v>
      </c>
      <c r="Y237" s="90">
        <f t="shared" si="20"/>
        <v>0</v>
      </c>
      <c r="AQ237" s="3"/>
    </row>
    <row r="238" spans="3:43" x14ac:dyDescent="0.25">
      <c r="F238" s="23" t="s">
        <v>453</v>
      </c>
      <c r="G238" s="23" t="s">
        <v>207</v>
      </c>
      <c r="J238" s="111">
        <f t="shared" ref="J238:Y238" si="21">J231 + J236 + J237</f>
        <v>982339.25157892017</v>
      </c>
      <c r="K238" s="111">
        <f t="shared" si="21"/>
        <v>97.101998282967941</v>
      </c>
      <c r="L238" s="111">
        <f t="shared" si="21"/>
        <v>297838.78565687669</v>
      </c>
      <c r="M238" s="111">
        <f t="shared" si="21"/>
        <v>113.60366930781993</v>
      </c>
      <c r="N238" s="111">
        <f t="shared" si="21"/>
        <v>254502.78465135122</v>
      </c>
      <c r="O238" s="111">
        <f t="shared" si="21"/>
        <v>21136.46161702837</v>
      </c>
      <c r="P238" s="111">
        <f t="shared" si="21"/>
        <v>666816.19495708751</v>
      </c>
      <c r="Q238" s="111">
        <f t="shared" si="21"/>
        <v>10819.160910698545</v>
      </c>
      <c r="R238" s="111">
        <f t="shared" si="21"/>
        <v>407.10202278917717</v>
      </c>
      <c r="S238" s="111">
        <f t="shared" si="21"/>
        <v>0</v>
      </c>
      <c r="T238" s="111">
        <f t="shared" si="21"/>
        <v>4588.4979110785662</v>
      </c>
      <c r="U238" s="111">
        <f t="shared" si="21"/>
        <v>0</v>
      </c>
      <c r="V238" s="111">
        <f t="shared" si="21"/>
        <v>1000.7714870643234</v>
      </c>
      <c r="W238" s="111">
        <f t="shared" si="21"/>
        <v>0</v>
      </c>
      <c r="X238" s="111">
        <f t="shared" si="21"/>
        <v>112520.57829750761</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207</v>
      </c>
      <c r="J242" s="88">
        <f t="shared" ref="J242:Y242" si="22">J$200</f>
        <v>2724925.6197538478</v>
      </c>
      <c r="K242" s="88">
        <f t="shared" si="22"/>
        <v>2610.0714903095482</v>
      </c>
      <c r="L242" s="88">
        <f t="shared" si="22"/>
        <v>1219313.122048398</v>
      </c>
      <c r="M242" s="88">
        <f t="shared" si="22"/>
        <v>928.08494967695549</v>
      </c>
      <c r="N242" s="88">
        <f t="shared" si="22"/>
        <v>1056103.2868166834</v>
      </c>
      <c r="O242" s="88">
        <f t="shared" si="22"/>
        <v>74015.972970134579</v>
      </c>
      <c r="P242" s="88">
        <f t="shared" si="22"/>
        <v>2623603.4796997658</v>
      </c>
      <c r="Q242" s="88">
        <f t="shared" si="22"/>
        <v>46845.820756552697</v>
      </c>
      <c r="R242" s="88">
        <f t="shared" si="22"/>
        <v>1815.0091331557703</v>
      </c>
      <c r="S242" s="88">
        <f t="shared" si="22"/>
        <v>0</v>
      </c>
      <c r="T242" s="88">
        <f t="shared" si="22"/>
        <v>20492.431913765191</v>
      </c>
      <c r="U242" s="88">
        <f t="shared" si="22"/>
        <v>0</v>
      </c>
      <c r="V242" s="88">
        <f t="shared" si="22"/>
        <v>3996.1654558994287</v>
      </c>
      <c r="W242" s="88">
        <f t="shared" si="22"/>
        <v>0</v>
      </c>
      <c r="X242" s="88">
        <f t="shared" si="22"/>
        <v>328224.9176967626</v>
      </c>
      <c r="Y242" s="88">
        <f t="shared" si="22"/>
        <v>0</v>
      </c>
      <c r="AQ242" s="3"/>
    </row>
    <row r="243" spans="5:43" x14ac:dyDescent="0.25">
      <c r="F243" s="23" t="s">
        <v>447</v>
      </c>
      <c r="G243" s="23" t="s">
        <v>207</v>
      </c>
      <c r="J243" s="88">
        <f t="shared" ref="J243:Y243" si="23">J$209</f>
        <v>43000</v>
      </c>
      <c r="K243" s="88">
        <f t="shared" si="23"/>
        <v>0</v>
      </c>
      <c r="L243" s="88">
        <f t="shared" si="23"/>
        <v>3486.1991234377138</v>
      </c>
      <c r="M243" s="88">
        <f t="shared" si="23"/>
        <v>0</v>
      </c>
      <c r="N243" s="88">
        <f t="shared" si="23"/>
        <v>14300</v>
      </c>
      <c r="O243" s="88">
        <f t="shared" si="23"/>
        <v>0</v>
      </c>
      <c r="P243" s="88">
        <f t="shared" si="23"/>
        <v>0</v>
      </c>
      <c r="Q243" s="88">
        <f t="shared" si="23"/>
        <v>261.68480590474331</v>
      </c>
      <c r="R243" s="88">
        <f t="shared" si="23"/>
        <v>18.271397198392478</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207</v>
      </c>
      <c r="J244" s="88">
        <f t="shared" ref="J244:Y244" si="24">J$218</f>
        <v>74000</v>
      </c>
      <c r="K244" s="88">
        <f t="shared" si="24"/>
        <v>0</v>
      </c>
      <c r="L244" s="88">
        <f t="shared" si="24"/>
        <v>10869.230392910518</v>
      </c>
      <c r="M244" s="88">
        <f t="shared" si="24"/>
        <v>0</v>
      </c>
      <c r="N244" s="88">
        <f t="shared" si="24"/>
        <v>59000</v>
      </c>
      <c r="O244" s="88">
        <f t="shared" si="24"/>
        <v>10500</v>
      </c>
      <c r="P244" s="88">
        <f t="shared" si="24"/>
        <v>35744.514751539733</v>
      </c>
      <c r="Q244" s="88">
        <f t="shared" si="24"/>
        <v>417.76530632165333</v>
      </c>
      <c r="R244" s="88">
        <f t="shared" si="24"/>
        <v>0.31437484563728435</v>
      </c>
      <c r="S244" s="88">
        <f t="shared" si="24"/>
        <v>0</v>
      </c>
      <c r="T244" s="88">
        <f t="shared" si="24"/>
        <v>33.173331568660394</v>
      </c>
      <c r="U244" s="88">
        <f t="shared" si="24"/>
        <v>0</v>
      </c>
      <c r="V244" s="88">
        <f t="shared" si="24"/>
        <v>0</v>
      </c>
      <c r="W244" s="88">
        <f t="shared" si="24"/>
        <v>0</v>
      </c>
      <c r="X244" s="88">
        <f t="shared" si="24"/>
        <v>0.19575000000000001</v>
      </c>
      <c r="Y244" s="88">
        <f t="shared" si="24"/>
        <v>0</v>
      </c>
      <c r="AQ244" s="3"/>
    </row>
    <row r="245" spans="5:43" x14ac:dyDescent="0.25">
      <c r="F245" s="23" t="s">
        <v>449</v>
      </c>
      <c r="G245" s="23" t="s">
        <v>167</v>
      </c>
      <c r="J245" s="372">
        <f t="shared" ref="J245:Y245" si="25">IF(J$39, J$45, J$34)</f>
        <v>0.3378546825678212</v>
      </c>
      <c r="K245" s="372">
        <f t="shared" si="25"/>
        <v>0.3378546825678212</v>
      </c>
      <c r="L245" s="372">
        <f t="shared" si="25"/>
        <v>0.3378546825678212</v>
      </c>
      <c r="M245" s="372">
        <f t="shared" si="25"/>
        <v>0.3378546825678212</v>
      </c>
      <c r="N245" s="372">
        <f t="shared" si="25"/>
        <v>0.3378546825678212</v>
      </c>
      <c r="O245" s="372">
        <f t="shared" si="25"/>
        <v>0</v>
      </c>
      <c r="P245" s="372">
        <f t="shared" si="25"/>
        <v>0</v>
      </c>
      <c r="Q245" s="372">
        <f t="shared" si="25"/>
        <v>0.3378546825678212</v>
      </c>
      <c r="R245" s="372">
        <f t="shared" si="25"/>
        <v>0</v>
      </c>
      <c r="S245" s="372">
        <f t="shared" si="25"/>
        <v>0</v>
      </c>
      <c r="T245" s="372">
        <f t="shared" si="25"/>
        <v>0</v>
      </c>
      <c r="U245" s="372">
        <f t="shared" si="25"/>
        <v>0</v>
      </c>
      <c r="V245" s="372">
        <f t="shared" si="25"/>
        <v>0</v>
      </c>
      <c r="W245" s="372">
        <f t="shared" si="25"/>
        <v>0</v>
      </c>
      <c r="X245" s="372">
        <f t="shared" si="25"/>
        <v>0</v>
      </c>
      <c r="Y245" s="372">
        <f t="shared" si="25"/>
        <v>0</v>
      </c>
      <c r="AQ245" s="3"/>
    </row>
    <row r="246" spans="5:43" x14ac:dyDescent="0.25">
      <c r="F246" s="23" t="s">
        <v>450</v>
      </c>
      <c r="G246" s="23" t="s">
        <v>167</v>
      </c>
      <c r="J246" s="372">
        <f t="shared" ref="J246:Y246" si="26">IF(J$39, J$45, J$35)</f>
        <v>0.48529035029231349</v>
      </c>
      <c r="K246" s="372">
        <f t="shared" si="26"/>
        <v>0.48529035029231349</v>
      </c>
      <c r="L246" s="372">
        <f t="shared" si="26"/>
        <v>0.48529035029231349</v>
      </c>
      <c r="M246" s="372">
        <f t="shared" si="26"/>
        <v>0.48529035029231349</v>
      </c>
      <c r="N246" s="372">
        <f t="shared" si="26"/>
        <v>0.48529035029231349</v>
      </c>
      <c r="O246" s="372">
        <f t="shared" si="26"/>
        <v>0.20072349959460251</v>
      </c>
      <c r="P246" s="372">
        <f t="shared" si="26"/>
        <v>8.1602927143683501E-2</v>
      </c>
      <c r="Q246" s="372">
        <f t="shared" si="26"/>
        <v>0.48529035029231349</v>
      </c>
      <c r="R246" s="372">
        <f t="shared" si="26"/>
        <v>0</v>
      </c>
      <c r="S246" s="372">
        <f t="shared" si="26"/>
        <v>0</v>
      </c>
      <c r="T246" s="372">
        <f t="shared" si="26"/>
        <v>0</v>
      </c>
      <c r="U246" s="372">
        <f t="shared" si="26"/>
        <v>0</v>
      </c>
      <c r="V246" s="372">
        <f t="shared" si="26"/>
        <v>0</v>
      </c>
      <c r="W246" s="372">
        <f t="shared" si="26"/>
        <v>0</v>
      </c>
      <c r="X246" s="372">
        <f t="shared" si="26"/>
        <v>0</v>
      </c>
      <c r="Y246" s="372">
        <f t="shared" si="26"/>
        <v>0</v>
      </c>
      <c r="AQ246" s="3"/>
    </row>
    <row r="247" spans="5:43" x14ac:dyDescent="0.25">
      <c r="F247" s="23" t="s">
        <v>451</v>
      </c>
      <c r="G247" s="23" t="s">
        <v>207</v>
      </c>
      <c r="J247" s="88">
        <f t="shared" ref="J247:Y247" si="27">J243 * (1 - J245)</f>
        <v>28472.248649583686</v>
      </c>
      <c r="K247" s="88">
        <f t="shared" si="27"/>
        <v>0</v>
      </c>
      <c r="L247" s="88">
        <f t="shared" si="27"/>
        <v>2308.3704252204484</v>
      </c>
      <c r="M247" s="88">
        <f t="shared" si="27"/>
        <v>0</v>
      </c>
      <c r="N247" s="88">
        <f t="shared" si="27"/>
        <v>9468.6780392801556</v>
      </c>
      <c r="O247" s="88">
        <f t="shared" si="27"/>
        <v>0</v>
      </c>
      <c r="P247" s="88">
        <f t="shared" si="27"/>
        <v>0</v>
      </c>
      <c r="Q247" s="88">
        <f t="shared" si="27"/>
        <v>173.27336887297434</v>
      </c>
      <c r="R247" s="88">
        <f t="shared" si="27"/>
        <v>18.271397198392478</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207</v>
      </c>
      <c r="H248" s="28"/>
      <c r="I248" s="28"/>
      <c r="J248" s="90">
        <f t="shared" ref="J248:Y248" si="28">J244 * (1 - J246)</f>
        <v>38088.514078368804</v>
      </c>
      <c r="K248" s="90">
        <f t="shared" si="28"/>
        <v>0</v>
      </c>
      <c r="L248" s="90">
        <f t="shared" si="28"/>
        <v>5594.497768127113</v>
      </c>
      <c r="M248" s="90">
        <f t="shared" si="28"/>
        <v>0</v>
      </c>
      <c r="N248" s="90">
        <f t="shared" si="28"/>
        <v>30367.869332753504</v>
      </c>
      <c r="O248" s="90">
        <f t="shared" si="28"/>
        <v>8392.4032542566729</v>
      </c>
      <c r="P248" s="90">
        <f t="shared" si="28"/>
        <v>32827.657718483511</v>
      </c>
      <c r="Q248" s="90">
        <f t="shared" si="28"/>
        <v>215.02783447684254</v>
      </c>
      <c r="R248" s="90">
        <f t="shared" si="28"/>
        <v>0.31437484563728435</v>
      </c>
      <c r="S248" s="90">
        <f t="shared" si="28"/>
        <v>0</v>
      </c>
      <c r="T248" s="90">
        <f t="shared" si="28"/>
        <v>33.173331568660394</v>
      </c>
      <c r="U248" s="90">
        <f t="shared" si="28"/>
        <v>0</v>
      </c>
      <c r="V248" s="90">
        <f t="shared" si="28"/>
        <v>0</v>
      </c>
      <c r="W248" s="90">
        <f t="shared" si="28"/>
        <v>0</v>
      </c>
      <c r="X248" s="90">
        <f t="shared" si="28"/>
        <v>0.19575000000000001</v>
      </c>
      <c r="Y248" s="90">
        <f t="shared" si="28"/>
        <v>0</v>
      </c>
      <c r="AQ248" s="3"/>
    </row>
    <row r="249" spans="5:43" x14ac:dyDescent="0.25">
      <c r="F249" s="23" t="s">
        <v>453</v>
      </c>
      <c r="G249" s="23" t="s">
        <v>207</v>
      </c>
      <c r="J249" s="111">
        <f t="shared" ref="J249:Y249" si="29">J242 + J247 + J248</f>
        <v>2791486.3824818004</v>
      </c>
      <c r="K249" s="111">
        <f t="shared" si="29"/>
        <v>2610.0714903095482</v>
      </c>
      <c r="L249" s="111">
        <f t="shared" si="29"/>
        <v>1227215.9902417455</v>
      </c>
      <c r="M249" s="111">
        <f t="shared" si="29"/>
        <v>928.08494967695549</v>
      </c>
      <c r="N249" s="111">
        <f t="shared" si="29"/>
        <v>1095939.8341887172</v>
      </c>
      <c r="O249" s="111">
        <f t="shared" si="29"/>
        <v>82408.37622439125</v>
      </c>
      <c r="P249" s="111">
        <f t="shared" si="29"/>
        <v>2656431.1374182492</v>
      </c>
      <c r="Q249" s="111">
        <f t="shared" si="29"/>
        <v>47234.121959902513</v>
      </c>
      <c r="R249" s="111">
        <f t="shared" si="29"/>
        <v>1833.5949051998</v>
      </c>
      <c r="S249" s="111">
        <f t="shared" si="29"/>
        <v>0</v>
      </c>
      <c r="T249" s="111">
        <f t="shared" si="29"/>
        <v>20525.605245333853</v>
      </c>
      <c r="U249" s="111">
        <f t="shared" si="29"/>
        <v>0</v>
      </c>
      <c r="V249" s="111">
        <f t="shared" si="29"/>
        <v>3996.1654558994287</v>
      </c>
      <c r="W249" s="111">
        <f t="shared" si="29"/>
        <v>0</v>
      </c>
      <c r="X249" s="111">
        <f t="shared" si="29"/>
        <v>328225.11344676261</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207</v>
      </c>
      <c r="J253" s="88">
        <f t="shared" ref="J253:Y253" si="30">J$201</f>
        <v>4883727.7493747445</v>
      </c>
      <c r="K253" s="88">
        <f t="shared" si="30"/>
        <v>10855.114741116735</v>
      </c>
      <c r="L253" s="88">
        <f t="shared" si="30"/>
        <v>1341298.1548744994</v>
      </c>
      <c r="M253" s="88">
        <f t="shared" si="30"/>
        <v>2405.8570016096082</v>
      </c>
      <c r="N253" s="88">
        <f t="shared" si="30"/>
        <v>1517150.8193133131</v>
      </c>
      <c r="O253" s="88">
        <f t="shared" si="30"/>
        <v>91196.680886374219</v>
      </c>
      <c r="P253" s="88">
        <f t="shared" si="30"/>
        <v>3670028.0359387305</v>
      </c>
      <c r="Q253" s="88">
        <f t="shared" si="30"/>
        <v>180165.70596262455</v>
      </c>
      <c r="R253" s="88">
        <f t="shared" si="30"/>
        <v>1012.3643348703615</v>
      </c>
      <c r="S253" s="88">
        <f t="shared" si="30"/>
        <v>0</v>
      </c>
      <c r="T253" s="88">
        <f t="shared" si="30"/>
        <v>19151.771205667341</v>
      </c>
      <c r="U253" s="88">
        <f t="shared" si="30"/>
        <v>0</v>
      </c>
      <c r="V253" s="88">
        <f t="shared" si="30"/>
        <v>6019.197723702915</v>
      </c>
      <c r="W253" s="88">
        <f t="shared" si="30"/>
        <v>0</v>
      </c>
      <c r="X253" s="88">
        <f t="shared" si="30"/>
        <v>370994.99213906302</v>
      </c>
      <c r="Y253" s="88">
        <f t="shared" si="30"/>
        <v>0</v>
      </c>
      <c r="AQ253" s="3"/>
    </row>
    <row r="254" spans="5:43" x14ac:dyDescent="0.25">
      <c r="F254" s="23" t="s">
        <v>447</v>
      </c>
      <c r="G254" s="23" t="s">
        <v>207</v>
      </c>
      <c r="J254" s="88">
        <f t="shared" ref="J254:Y254" si="31">J$210</f>
        <v>56000</v>
      </c>
      <c r="K254" s="88">
        <f t="shared" si="31"/>
        <v>0</v>
      </c>
      <c r="L254" s="88">
        <f t="shared" si="31"/>
        <v>3452.2010768452819</v>
      </c>
      <c r="M254" s="88">
        <f t="shared" si="31"/>
        <v>0</v>
      </c>
      <c r="N254" s="88">
        <f t="shared" si="31"/>
        <v>20000</v>
      </c>
      <c r="O254" s="88">
        <f t="shared" si="31"/>
        <v>0</v>
      </c>
      <c r="P254" s="88">
        <f t="shared" si="31"/>
        <v>0</v>
      </c>
      <c r="Q254" s="88">
        <f t="shared" si="31"/>
        <v>406.83426130782453</v>
      </c>
      <c r="R254" s="88">
        <f t="shared" si="31"/>
        <v>10.408381166123906</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207</v>
      </c>
      <c r="J255" s="88">
        <f t="shared" ref="J255:Y255" si="32">J$219</f>
        <v>105509.59147079231</v>
      </c>
      <c r="K255" s="88">
        <f t="shared" si="32"/>
        <v>0</v>
      </c>
      <c r="L255" s="88">
        <f t="shared" si="32"/>
        <v>10009.548488659239</v>
      </c>
      <c r="M255" s="88">
        <f t="shared" si="32"/>
        <v>0</v>
      </c>
      <c r="N255" s="88">
        <f t="shared" si="32"/>
        <v>67808.194329397942</v>
      </c>
      <c r="O255" s="88">
        <f t="shared" si="32"/>
        <v>13000</v>
      </c>
      <c r="P255" s="88">
        <f t="shared" si="32"/>
        <v>48043.669823787313</v>
      </c>
      <c r="Q255" s="88">
        <f t="shared" si="32"/>
        <v>689.63075465360259</v>
      </c>
      <c r="R255" s="88">
        <f t="shared" si="32"/>
        <v>0.19335597453721937</v>
      </c>
      <c r="S255" s="88">
        <f t="shared" si="32"/>
        <v>0</v>
      </c>
      <c r="T255" s="88">
        <f t="shared" si="32"/>
        <v>74.160171253579037</v>
      </c>
      <c r="U255" s="88">
        <f t="shared" si="32"/>
        <v>0</v>
      </c>
      <c r="V255" s="88">
        <f t="shared" si="32"/>
        <v>0</v>
      </c>
      <c r="W255" s="88">
        <f t="shared" si="32"/>
        <v>0</v>
      </c>
      <c r="X255" s="88">
        <f t="shared" si="32"/>
        <v>9.5E-4</v>
      </c>
      <c r="Y255" s="88">
        <f t="shared" si="32"/>
        <v>0</v>
      </c>
      <c r="AQ255" s="3"/>
    </row>
    <row r="256" spans="5:43" x14ac:dyDescent="0.25">
      <c r="F256" s="23" t="s">
        <v>449</v>
      </c>
      <c r="G256" s="23" t="s">
        <v>167</v>
      </c>
      <c r="J256" s="372">
        <f t="shared" ref="J256:Y256" si="33">IF(J$39, J$45, J$34)</f>
        <v>0.3378546825678212</v>
      </c>
      <c r="K256" s="372">
        <f t="shared" si="33"/>
        <v>0.3378546825678212</v>
      </c>
      <c r="L256" s="372">
        <f t="shared" si="33"/>
        <v>0.3378546825678212</v>
      </c>
      <c r="M256" s="372">
        <f t="shared" si="33"/>
        <v>0.3378546825678212</v>
      </c>
      <c r="N256" s="372">
        <f t="shared" si="33"/>
        <v>0.3378546825678212</v>
      </c>
      <c r="O256" s="372">
        <f t="shared" si="33"/>
        <v>0</v>
      </c>
      <c r="P256" s="372">
        <f t="shared" si="33"/>
        <v>0</v>
      </c>
      <c r="Q256" s="372">
        <f t="shared" si="33"/>
        <v>0.3378546825678212</v>
      </c>
      <c r="R256" s="372">
        <f t="shared" si="33"/>
        <v>0</v>
      </c>
      <c r="S256" s="372">
        <f t="shared" si="33"/>
        <v>0</v>
      </c>
      <c r="T256" s="372">
        <f t="shared" si="33"/>
        <v>0</v>
      </c>
      <c r="U256" s="372">
        <f t="shared" si="33"/>
        <v>0</v>
      </c>
      <c r="V256" s="372">
        <f t="shared" si="33"/>
        <v>0</v>
      </c>
      <c r="W256" s="372">
        <f t="shared" si="33"/>
        <v>0</v>
      </c>
      <c r="X256" s="372">
        <f t="shared" si="33"/>
        <v>0</v>
      </c>
      <c r="Y256" s="372">
        <f t="shared" si="33"/>
        <v>0</v>
      </c>
      <c r="AQ256" s="3"/>
    </row>
    <row r="257" spans="5:43" x14ac:dyDescent="0.25">
      <c r="F257" s="23" t="s">
        <v>450</v>
      </c>
      <c r="G257" s="23" t="s">
        <v>167</v>
      </c>
      <c r="J257" s="372">
        <f t="shared" ref="J257:Y257" si="34">IF(J$39, J$45, J$35)</f>
        <v>0.48529035029231349</v>
      </c>
      <c r="K257" s="372">
        <f t="shared" si="34"/>
        <v>0.48529035029231349</v>
      </c>
      <c r="L257" s="372">
        <f t="shared" si="34"/>
        <v>0.48529035029231349</v>
      </c>
      <c r="M257" s="372">
        <f t="shared" si="34"/>
        <v>0.48529035029231349</v>
      </c>
      <c r="N257" s="372">
        <f t="shared" si="34"/>
        <v>0.48529035029231349</v>
      </c>
      <c r="O257" s="372">
        <f t="shared" si="34"/>
        <v>0.20072349959460251</v>
      </c>
      <c r="P257" s="372">
        <f t="shared" si="34"/>
        <v>8.1602927143683501E-2</v>
      </c>
      <c r="Q257" s="372">
        <f t="shared" si="34"/>
        <v>0.48529035029231349</v>
      </c>
      <c r="R257" s="372">
        <f t="shared" si="34"/>
        <v>0</v>
      </c>
      <c r="S257" s="372">
        <f t="shared" si="34"/>
        <v>0</v>
      </c>
      <c r="T257" s="372">
        <f t="shared" si="34"/>
        <v>0</v>
      </c>
      <c r="U257" s="372">
        <f t="shared" si="34"/>
        <v>0</v>
      </c>
      <c r="V257" s="372">
        <f t="shared" si="34"/>
        <v>0</v>
      </c>
      <c r="W257" s="372">
        <f t="shared" si="34"/>
        <v>0</v>
      </c>
      <c r="X257" s="372">
        <f t="shared" si="34"/>
        <v>0</v>
      </c>
      <c r="Y257" s="372">
        <f t="shared" si="34"/>
        <v>0</v>
      </c>
      <c r="AQ257" s="3"/>
    </row>
    <row r="258" spans="5:43" x14ac:dyDescent="0.25">
      <c r="F258" s="23" t="s">
        <v>451</v>
      </c>
      <c r="G258" s="23" t="s">
        <v>207</v>
      </c>
      <c r="J258" s="88">
        <f t="shared" ref="J258:Y258" si="35">J254 * (1 - J256)</f>
        <v>37080.137776202013</v>
      </c>
      <c r="K258" s="88">
        <f t="shared" si="35"/>
        <v>0</v>
      </c>
      <c r="L258" s="88">
        <f t="shared" si="35"/>
        <v>2285.8587778674287</v>
      </c>
      <c r="M258" s="88">
        <f t="shared" si="35"/>
        <v>0</v>
      </c>
      <c r="N258" s="88">
        <f t="shared" si="35"/>
        <v>13242.906348643575</v>
      </c>
      <c r="O258" s="88">
        <f t="shared" si="35"/>
        <v>0</v>
      </c>
      <c r="P258" s="88">
        <f t="shared" si="35"/>
        <v>0</v>
      </c>
      <c r="Q258" s="88">
        <f t="shared" si="35"/>
        <v>269.38340109595543</v>
      </c>
      <c r="R258" s="88">
        <f t="shared" si="35"/>
        <v>10.408381166123906</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207</v>
      </c>
      <c r="H259" s="28"/>
      <c r="I259" s="28"/>
      <c r="J259" s="90">
        <f t="shared" ref="J259:Y259" si="36">J255 * (1 - J257)</f>
        <v>54306.804866732615</v>
      </c>
      <c r="K259" s="90">
        <f t="shared" si="36"/>
        <v>0</v>
      </c>
      <c r="L259" s="90">
        <f t="shared" si="36"/>
        <v>5152.0111963298996</v>
      </c>
      <c r="M259" s="90">
        <f t="shared" si="36"/>
        <v>0</v>
      </c>
      <c r="N259" s="90">
        <f t="shared" si="36"/>
        <v>34901.531950595148</v>
      </c>
      <c r="O259" s="90">
        <f t="shared" si="36"/>
        <v>10390.594505270166</v>
      </c>
      <c r="P259" s="90">
        <f t="shared" si="36"/>
        <v>44123.165735441609</v>
      </c>
      <c r="Q259" s="90">
        <f t="shared" si="36"/>
        <v>354.95960415540327</v>
      </c>
      <c r="R259" s="90">
        <f t="shared" si="36"/>
        <v>0.19335597453721937</v>
      </c>
      <c r="S259" s="90">
        <f t="shared" si="36"/>
        <v>0</v>
      </c>
      <c r="T259" s="90">
        <f t="shared" si="36"/>
        <v>74.160171253579037</v>
      </c>
      <c r="U259" s="90">
        <f t="shared" si="36"/>
        <v>0</v>
      </c>
      <c r="V259" s="90">
        <f t="shared" si="36"/>
        <v>0</v>
      </c>
      <c r="W259" s="90">
        <f t="shared" si="36"/>
        <v>0</v>
      </c>
      <c r="X259" s="90">
        <f t="shared" si="36"/>
        <v>9.5E-4</v>
      </c>
      <c r="Y259" s="90">
        <f t="shared" si="36"/>
        <v>0</v>
      </c>
      <c r="AQ259" s="3"/>
    </row>
    <row r="260" spans="5:43" x14ac:dyDescent="0.25">
      <c r="F260" s="23" t="s">
        <v>453</v>
      </c>
      <c r="G260" s="23" t="s">
        <v>207</v>
      </c>
      <c r="J260" s="111">
        <f t="shared" ref="J260:Y260" si="37">J253 + J258 + J259</f>
        <v>4975114.6920176791</v>
      </c>
      <c r="K260" s="111">
        <f t="shared" si="37"/>
        <v>10855.114741116735</v>
      </c>
      <c r="L260" s="111">
        <f t="shared" si="37"/>
        <v>1348736.0248486968</v>
      </c>
      <c r="M260" s="111">
        <f t="shared" si="37"/>
        <v>2405.8570016096082</v>
      </c>
      <c r="N260" s="111">
        <f t="shared" si="37"/>
        <v>1565295.2576125518</v>
      </c>
      <c r="O260" s="111">
        <f t="shared" si="37"/>
        <v>101587.27539164439</v>
      </c>
      <c r="P260" s="111">
        <f t="shared" si="37"/>
        <v>3714151.2016741722</v>
      </c>
      <c r="Q260" s="111">
        <f t="shared" si="37"/>
        <v>180790.04896787592</v>
      </c>
      <c r="R260" s="111">
        <f t="shared" si="37"/>
        <v>1022.9660720110227</v>
      </c>
      <c r="S260" s="111">
        <f t="shared" si="37"/>
        <v>0</v>
      </c>
      <c r="T260" s="111">
        <f t="shared" si="37"/>
        <v>19225.931376920918</v>
      </c>
      <c r="U260" s="111">
        <f t="shared" si="37"/>
        <v>0</v>
      </c>
      <c r="V260" s="111">
        <f t="shared" si="37"/>
        <v>6019.197723702915</v>
      </c>
      <c r="W260" s="111">
        <f t="shared" si="37"/>
        <v>0</v>
      </c>
      <c r="X260" s="111">
        <f t="shared" si="37"/>
        <v>370994.99308906303</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207</v>
      </c>
      <c r="J264" s="88">
        <f t="shared" ref="J264:Y264" si="38">J260 + J249 + J238</f>
        <v>8748940.3260784</v>
      </c>
      <c r="K264" s="88">
        <f t="shared" si="38"/>
        <v>13562.288229709251</v>
      </c>
      <c r="L264" s="88">
        <f t="shared" si="38"/>
        <v>2873790.8007473191</v>
      </c>
      <c r="M264" s="88">
        <f t="shared" si="38"/>
        <v>3447.5456205943838</v>
      </c>
      <c r="N264" s="88">
        <f t="shared" si="38"/>
        <v>2915737.8764526201</v>
      </c>
      <c r="O264" s="88">
        <f t="shared" si="38"/>
        <v>205132.11323306401</v>
      </c>
      <c r="P264" s="88">
        <f t="shared" si="38"/>
        <v>7037398.5340495091</v>
      </c>
      <c r="Q264" s="88">
        <f t="shared" si="38"/>
        <v>238843.331838477</v>
      </c>
      <c r="R264" s="88">
        <f t="shared" si="38"/>
        <v>3263.663</v>
      </c>
      <c r="S264" s="88">
        <f t="shared" si="38"/>
        <v>0</v>
      </c>
      <c r="T264" s="88">
        <f t="shared" si="38"/>
        <v>44340.034533333339</v>
      </c>
      <c r="U264" s="88">
        <f t="shared" si="38"/>
        <v>0</v>
      </c>
      <c r="V264" s="88">
        <f t="shared" si="38"/>
        <v>11016.134666666667</v>
      </c>
      <c r="W264" s="88">
        <f t="shared" si="38"/>
        <v>0</v>
      </c>
      <c r="X264" s="88">
        <f t="shared" si="38"/>
        <v>811740.68483333325</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212</v>
      </c>
      <c r="J268" s="88">
        <f t="shared" ref="J268:Y268" si="39">J202</f>
        <v>2324955.1193078361</v>
      </c>
      <c r="K268" s="88">
        <f t="shared" si="39"/>
        <v>0</v>
      </c>
      <c r="L268" s="88">
        <f t="shared" si="39"/>
        <v>180740.62112932582</v>
      </c>
      <c r="M268" s="88">
        <f t="shared" si="39"/>
        <v>0</v>
      </c>
      <c r="N268" s="88">
        <f t="shared" si="39"/>
        <v>14736.591721462168</v>
      </c>
      <c r="O268" s="88">
        <f t="shared" si="39"/>
        <v>316.91368142500551</v>
      </c>
      <c r="P268" s="88">
        <f t="shared" si="39"/>
        <v>4103.9680533192168</v>
      </c>
      <c r="Q268" s="88">
        <f t="shared" si="39"/>
        <v>2294</v>
      </c>
      <c r="R268" s="88">
        <f t="shared" si="39"/>
        <v>0</v>
      </c>
      <c r="S268" s="88">
        <f t="shared" si="39"/>
        <v>0</v>
      </c>
      <c r="T268" s="88">
        <f t="shared" si="39"/>
        <v>633.94808743169403</v>
      </c>
      <c r="U268" s="88">
        <f t="shared" si="39"/>
        <v>0</v>
      </c>
      <c r="V268" s="88">
        <f t="shared" si="39"/>
        <v>35.618169398907106</v>
      </c>
      <c r="W268" s="88">
        <f t="shared" si="39"/>
        <v>0</v>
      </c>
      <c r="X268" s="88">
        <f t="shared" si="39"/>
        <v>338.62978142076497</v>
      </c>
      <c r="Y268" s="88">
        <f t="shared" si="39"/>
        <v>0</v>
      </c>
      <c r="AQ268" s="3"/>
    </row>
    <row r="269" spans="5:43" x14ac:dyDescent="0.25">
      <c r="F269" s="23" t="s">
        <v>447</v>
      </c>
      <c r="G269" s="23" t="s">
        <v>212</v>
      </c>
      <c r="J269" s="88">
        <f t="shared" ref="J269:Y269" si="40">J211</f>
        <v>37574.316939890712</v>
      </c>
      <c r="K269" s="88">
        <f t="shared" si="40"/>
        <v>0</v>
      </c>
      <c r="L269" s="88">
        <f t="shared" si="40"/>
        <v>439.5323315118398</v>
      </c>
      <c r="M269" s="88">
        <f t="shared" si="40"/>
        <v>0</v>
      </c>
      <c r="N269" s="88">
        <f t="shared" si="40"/>
        <v>121.28916211293262</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212</v>
      </c>
      <c r="J270" s="88">
        <f t="shared" ref="J270:Y270" si="41">J220</f>
        <v>77790.633879781424</v>
      </c>
      <c r="K270" s="88">
        <f t="shared" si="41"/>
        <v>0</v>
      </c>
      <c r="L270" s="88">
        <f t="shared" si="41"/>
        <v>2113.302367941712</v>
      </c>
      <c r="M270" s="88">
        <f t="shared" si="41"/>
        <v>0</v>
      </c>
      <c r="N270" s="88">
        <f t="shared" si="41"/>
        <v>674.44581056466291</v>
      </c>
      <c r="O270" s="88">
        <f t="shared" si="41"/>
        <v>30.624316939890711</v>
      </c>
      <c r="P270" s="88">
        <f t="shared" si="41"/>
        <v>53.040528233151186</v>
      </c>
      <c r="Q270" s="88">
        <f t="shared" si="41"/>
        <v>0</v>
      </c>
      <c r="R270" s="88">
        <f t="shared" si="41"/>
        <v>0</v>
      </c>
      <c r="S270" s="88">
        <f t="shared" si="41"/>
        <v>0</v>
      </c>
      <c r="T270" s="88">
        <f t="shared" si="41"/>
        <v>3</v>
      </c>
      <c r="U270" s="88">
        <f t="shared" si="41"/>
        <v>0</v>
      </c>
      <c r="V270" s="88">
        <f t="shared" si="41"/>
        <v>0</v>
      </c>
      <c r="W270" s="88">
        <f t="shared" si="41"/>
        <v>0</v>
      </c>
      <c r="X270" s="88">
        <f t="shared" si="41"/>
        <v>2</v>
      </c>
      <c r="Y270" s="88">
        <f t="shared" si="41"/>
        <v>0</v>
      </c>
      <c r="AQ270" s="3"/>
    </row>
    <row r="271" spans="5:43" x14ac:dyDescent="0.25">
      <c r="F271" s="23" t="s">
        <v>449</v>
      </c>
      <c r="G271" s="23" t="s">
        <v>167</v>
      </c>
      <c r="J271" s="372">
        <f t="shared" ref="J271:Y271" si="42">IF(J$40, J$46, J$34)</f>
        <v>0.3378546825678212</v>
      </c>
      <c r="K271" s="372">
        <f t="shared" si="42"/>
        <v>0.3378546825678212</v>
      </c>
      <c r="L271" s="372">
        <f t="shared" si="42"/>
        <v>0.3378546825678212</v>
      </c>
      <c r="M271" s="372">
        <f t="shared" si="42"/>
        <v>0.3378546825678212</v>
      </c>
      <c r="N271" s="372">
        <f t="shared" si="42"/>
        <v>0.3378546825678212</v>
      </c>
      <c r="O271" s="372">
        <f t="shared" si="42"/>
        <v>0</v>
      </c>
      <c r="P271" s="372">
        <f t="shared" si="42"/>
        <v>0</v>
      </c>
      <c r="Q271" s="372">
        <f t="shared" si="42"/>
        <v>0.3378546825678212</v>
      </c>
      <c r="R271" s="372">
        <f t="shared" si="42"/>
        <v>1</v>
      </c>
      <c r="S271" s="372">
        <f t="shared" si="42"/>
        <v>1</v>
      </c>
      <c r="T271" s="372">
        <f t="shared" si="42"/>
        <v>1</v>
      </c>
      <c r="U271" s="372">
        <f t="shared" si="42"/>
        <v>1</v>
      </c>
      <c r="V271" s="372">
        <f t="shared" si="42"/>
        <v>1</v>
      </c>
      <c r="W271" s="372">
        <f t="shared" si="42"/>
        <v>1</v>
      </c>
      <c r="X271" s="372">
        <f t="shared" si="42"/>
        <v>1</v>
      </c>
      <c r="Y271" s="372">
        <f t="shared" si="42"/>
        <v>1</v>
      </c>
      <c r="AQ271" s="3"/>
    </row>
    <row r="272" spans="5:43" x14ac:dyDescent="0.25">
      <c r="F272" s="23" t="s">
        <v>450</v>
      </c>
      <c r="G272" s="23" t="s">
        <v>167</v>
      </c>
      <c r="J272" s="372">
        <f t="shared" ref="J272:Y272" si="43">IF(J$40, J$46, J$35)</f>
        <v>0.48529035029231349</v>
      </c>
      <c r="K272" s="372">
        <f t="shared" si="43"/>
        <v>0.48529035029231349</v>
      </c>
      <c r="L272" s="372">
        <f t="shared" si="43"/>
        <v>0.48529035029231349</v>
      </c>
      <c r="M272" s="372">
        <f t="shared" si="43"/>
        <v>0.48529035029231349</v>
      </c>
      <c r="N272" s="372">
        <f t="shared" si="43"/>
        <v>0.48529035029231349</v>
      </c>
      <c r="O272" s="372">
        <f t="shared" si="43"/>
        <v>0.20072349959460251</v>
      </c>
      <c r="P272" s="372">
        <f t="shared" si="43"/>
        <v>8.1602927143683501E-2</v>
      </c>
      <c r="Q272" s="372">
        <f t="shared" si="43"/>
        <v>0.48529035029231349</v>
      </c>
      <c r="R272" s="372">
        <f t="shared" si="43"/>
        <v>1</v>
      </c>
      <c r="S272" s="372">
        <f t="shared" si="43"/>
        <v>1</v>
      </c>
      <c r="T272" s="372">
        <f t="shared" si="43"/>
        <v>1</v>
      </c>
      <c r="U272" s="372">
        <f t="shared" si="43"/>
        <v>1</v>
      </c>
      <c r="V272" s="372">
        <f t="shared" si="43"/>
        <v>1</v>
      </c>
      <c r="W272" s="372">
        <f t="shared" si="43"/>
        <v>1</v>
      </c>
      <c r="X272" s="372">
        <f t="shared" si="43"/>
        <v>1</v>
      </c>
      <c r="Y272" s="372">
        <f t="shared" si="43"/>
        <v>1</v>
      </c>
      <c r="AQ272" s="3"/>
    </row>
    <row r="273" spans="5:43" x14ac:dyDescent="0.25">
      <c r="F273" s="23" t="s">
        <v>451</v>
      </c>
      <c r="G273" s="23" t="s">
        <v>212</v>
      </c>
      <c r="J273" s="88">
        <f t="shared" ref="J273:Y273" si="44">J269 * (1 - J271)</f>
        <v>24879.658017461228</v>
      </c>
      <c r="K273" s="88">
        <f t="shared" si="44"/>
        <v>0</v>
      </c>
      <c r="L273" s="88">
        <f t="shared" si="44"/>
        <v>291.03427517061277</v>
      </c>
      <c r="M273" s="88">
        <f t="shared" si="44"/>
        <v>0</v>
      </c>
      <c r="N273" s="88">
        <f t="shared" si="44"/>
        <v>80.311050748350752</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212</v>
      </c>
      <c r="H274" s="28"/>
      <c r="I274" s="28"/>
      <c r="J274" s="90">
        <f t="shared" ref="J274:Y274" si="45">J270 * (1 - J272)</f>
        <v>40039.589914801189</v>
      </c>
      <c r="K274" s="90">
        <f t="shared" si="45"/>
        <v>0</v>
      </c>
      <c r="L274" s="90">
        <f t="shared" si="45"/>
        <v>1087.737121529703</v>
      </c>
      <c r="M274" s="90">
        <f t="shared" si="45"/>
        <v>0</v>
      </c>
      <c r="N274" s="90">
        <f t="shared" si="45"/>
        <v>347.14376690255432</v>
      </c>
      <c r="O274" s="90">
        <f t="shared" si="45"/>
        <v>24.477296871021579</v>
      </c>
      <c r="P274" s="90">
        <f t="shared" si="45"/>
        <v>48.712265872078859</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212</v>
      </c>
      <c r="J275" s="111">
        <f t="shared" ref="J275:Y275" si="46">J268 + J273 + J274</f>
        <v>2389874.3672400983</v>
      </c>
      <c r="K275" s="111">
        <f t="shared" si="46"/>
        <v>0</v>
      </c>
      <c r="L275" s="111">
        <f t="shared" si="46"/>
        <v>182119.39252602615</v>
      </c>
      <c r="M275" s="111">
        <f t="shared" si="46"/>
        <v>0</v>
      </c>
      <c r="N275" s="111">
        <f t="shared" si="46"/>
        <v>15164.046539113073</v>
      </c>
      <c r="O275" s="111">
        <f t="shared" si="46"/>
        <v>341.39097829602707</v>
      </c>
      <c r="P275" s="111">
        <f t="shared" si="46"/>
        <v>4152.6803191912959</v>
      </c>
      <c r="Q275" s="111">
        <f t="shared" si="46"/>
        <v>2294</v>
      </c>
      <c r="R275" s="111">
        <f t="shared" si="46"/>
        <v>0</v>
      </c>
      <c r="S275" s="111">
        <f t="shared" si="46"/>
        <v>0</v>
      </c>
      <c r="T275" s="111">
        <f t="shared" si="46"/>
        <v>633.94808743169403</v>
      </c>
      <c r="U275" s="111">
        <f t="shared" si="46"/>
        <v>0</v>
      </c>
      <c r="V275" s="111">
        <f t="shared" si="46"/>
        <v>35.618169398907106</v>
      </c>
      <c r="W275" s="111">
        <f t="shared" si="46"/>
        <v>0</v>
      </c>
      <c r="X275" s="111">
        <f t="shared" si="46"/>
        <v>338.62978142076497</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251</v>
      </c>
      <c r="J279" s="88">
        <f t="shared" ref="J279:Y279" si="47">J203</f>
        <v>0</v>
      </c>
      <c r="K279" s="88">
        <f t="shared" si="47"/>
        <v>0</v>
      </c>
      <c r="L279" s="88">
        <f t="shared" si="47"/>
        <v>0</v>
      </c>
      <c r="M279" s="88">
        <f t="shared" si="47"/>
        <v>0</v>
      </c>
      <c r="N279" s="88">
        <f t="shared" si="47"/>
        <v>1598336.1703476014</v>
      </c>
      <c r="O279" s="88">
        <f t="shared" si="47"/>
        <v>126478.30236794158</v>
      </c>
      <c r="P279" s="88">
        <f t="shared" si="47"/>
        <v>2888293.2490513003</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251</v>
      </c>
      <c r="J280" s="88">
        <f t="shared" ref="J280:Y280" si="48">J212</f>
        <v>0</v>
      </c>
      <c r="K280" s="88">
        <f t="shared" si="48"/>
        <v>0</v>
      </c>
      <c r="L280" s="88">
        <f t="shared" si="48"/>
        <v>0</v>
      </c>
      <c r="M280" s="88">
        <f t="shared" si="48"/>
        <v>0</v>
      </c>
      <c r="N280" s="88">
        <f t="shared" si="48"/>
        <v>21971.211293260469</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251</v>
      </c>
      <c r="J281" s="88">
        <f t="shared" ref="J281:Y281" si="49">J221</f>
        <v>0</v>
      </c>
      <c r="K281" s="88">
        <f t="shared" si="49"/>
        <v>0</v>
      </c>
      <c r="L281" s="88">
        <f t="shared" si="49"/>
        <v>0</v>
      </c>
      <c r="M281" s="88">
        <f t="shared" si="49"/>
        <v>0</v>
      </c>
      <c r="N281" s="88">
        <f t="shared" si="49"/>
        <v>146426.05646630237</v>
      </c>
      <c r="O281" s="88">
        <f t="shared" si="49"/>
        <v>17460.211293260472</v>
      </c>
      <c r="P281" s="88">
        <f t="shared" si="49"/>
        <v>62589.52823315117</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167</v>
      </c>
      <c r="J282" s="372">
        <f t="shared" ref="J282:Y282" si="50">IF(J$41, J$47, J$34)</f>
        <v>0.3378546825678212</v>
      </c>
      <c r="K282" s="372">
        <f t="shared" si="50"/>
        <v>0.3378546825678212</v>
      </c>
      <c r="L282" s="372">
        <f t="shared" si="50"/>
        <v>0.3378546825678212</v>
      </c>
      <c r="M282" s="372">
        <f t="shared" si="50"/>
        <v>0.3378546825678212</v>
      </c>
      <c r="N282" s="372">
        <f t="shared" si="50"/>
        <v>0.3378546825678212</v>
      </c>
      <c r="O282" s="372">
        <f t="shared" si="50"/>
        <v>0</v>
      </c>
      <c r="P282" s="372">
        <f t="shared" si="50"/>
        <v>0</v>
      </c>
      <c r="Q282" s="372">
        <f t="shared" si="50"/>
        <v>0.3378546825678212</v>
      </c>
      <c r="R282" s="372">
        <f t="shared" si="50"/>
        <v>0</v>
      </c>
      <c r="S282" s="372">
        <f t="shared" si="50"/>
        <v>0</v>
      </c>
      <c r="T282" s="372">
        <f t="shared" si="50"/>
        <v>0</v>
      </c>
      <c r="U282" s="372">
        <f t="shared" si="50"/>
        <v>0</v>
      </c>
      <c r="V282" s="372">
        <f t="shared" si="50"/>
        <v>0</v>
      </c>
      <c r="W282" s="372">
        <f t="shared" si="50"/>
        <v>0</v>
      </c>
      <c r="X282" s="372">
        <f t="shared" si="50"/>
        <v>0</v>
      </c>
      <c r="Y282" s="372">
        <f t="shared" si="50"/>
        <v>0</v>
      </c>
      <c r="AQ282" s="3"/>
    </row>
    <row r="283" spans="5:43" x14ac:dyDescent="0.25">
      <c r="F283" s="23" t="s">
        <v>450</v>
      </c>
      <c r="G283" s="23" t="s">
        <v>167</v>
      </c>
      <c r="J283" s="372">
        <f t="shared" ref="J283:Y283" si="51">IF(J$41, J$47, J$35)</f>
        <v>0.48529035029231349</v>
      </c>
      <c r="K283" s="372">
        <f t="shared" si="51"/>
        <v>0.48529035029231349</v>
      </c>
      <c r="L283" s="372">
        <f t="shared" si="51"/>
        <v>0.48529035029231349</v>
      </c>
      <c r="M283" s="372">
        <f t="shared" si="51"/>
        <v>0.48529035029231349</v>
      </c>
      <c r="N283" s="372">
        <f t="shared" si="51"/>
        <v>0.48529035029231349</v>
      </c>
      <c r="O283" s="372">
        <f t="shared" si="51"/>
        <v>0.20072349959460251</v>
      </c>
      <c r="P283" s="372">
        <f t="shared" si="51"/>
        <v>8.1602927143683501E-2</v>
      </c>
      <c r="Q283" s="372">
        <f t="shared" si="51"/>
        <v>0.48529035029231349</v>
      </c>
      <c r="R283" s="372">
        <f t="shared" si="51"/>
        <v>0</v>
      </c>
      <c r="S283" s="372">
        <f t="shared" si="51"/>
        <v>0</v>
      </c>
      <c r="T283" s="372">
        <f t="shared" si="51"/>
        <v>0</v>
      </c>
      <c r="U283" s="372">
        <f t="shared" si="51"/>
        <v>0</v>
      </c>
      <c r="V283" s="372">
        <f t="shared" si="51"/>
        <v>0</v>
      </c>
      <c r="W283" s="372">
        <f t="shared" si="51"/>
        <v>0</v>
      </c>
      <c r="X283" s="372">
        <f t="shared" si="51"/>
        <v>0</v>
      </c>
      <c r="Y283" s="372">
        <f t="shared" si="51"/>
        <v>0</v>
      </c>
      <c r="AQ283" s="3"/>
    </row>
    <row r="284" spans="5:43" x14ac:dyDescent="0.25">
      <c r="F284" s="23" t="s">
        <v>451</v>
      </c>
      <c r="G284" s="23" t="s">
        <v>251</v>
      </c>
      <c r="J284" s="88">
        <f t="shared" ref="J284:Y284" si="52">J280 * (1 - J282)</f>
        <v>0</v>
      </c>
      <c r="K284" s="88">
        <f t="shared" si="52"/>
        <v>0</v>
      </c>
      <c r="L284" s="88">
        <f t="shared" si="52"/>
        <v>0</v>
      </c>
      <c r="M284" s="88">
        <f t="shared" si="52"/>
        <v>0</v>
      </c>
      <c r="N284" s="88">
        <f t="shared" si="52"/>
        <v>14548.134676145424</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251</v>
      </c>
      <c r="H285" s="28"/>
      <c r="I285" s="28"/>
      <c r="J285" s="90">
        <f t="shared" ref="J285:Y285" si="53">J281 * (1 - J283)</f>
        <v>0</v>
      </c>
      <c r="K285" s="90">
        <f t="shared" si="53"/>
        <v>0</v>
      </c>
      <c r="L285" s="90">
        <f t="shared" si="53"/>
        <v>0</v>
      </c>
      <c r="M285" s="90">
        <f t="shared" si="53"/>
        <v>0</v>
      </c>
      <c r="N285" s="90">
        <f t="shared" si="53"/>
        <v>75366.904231848413</v>
      </c>
      <c r="O285" s="90">
        <f t="shared" si="53"/>
        <v>13955.536578816029</v>
      </c>
      <c r="P285" s="90">
        <f t="shared" si="53"/>
        <v>57482.039520783808</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251</v>
      </c>
      <c r="J286" s="111">
        <f t="shared" ref="J286:Y286" si="54">J279 + J284 + J285</f>
        <v>0</v>
      </c>
      <c r="K286" s="111">
        <f t="shared" si="54"/>
        <v>0</v>
      </c>
      <c r="L286" s="111">
        <f t="shared" si="54"/>
        <v>0</v>
      </c>
      <c r="M286" s="111">
        <f t="shared" si="54"/>
        <v>0</v>
      </c>
      <c r="N286" s="111">
        <f t="shared" si="54"/>
        <v>1688251.2092555952</v>
      </c>
      <c r="O286" s="111">
        <f t="shared" si="54"/>
        <v>140433.83894675761</v>
      </c>
      <c r="P286" s="111">
        <f t="shared" si="54"/>
        <v>2945775.2885720842</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251</v>
      </c>
      <c r="J290" s="88">
        <f t="shared" ref="J290:Y290" si="55">J204</f>
        <v>0</v>
      </c>
      <c r="K290" s="88">
        <f t="shared" si="55"/>
        <v>0</v>
      </c>
      <c r="L290" s="88">
        <f t="shared" si="55"/>
        <v>0</v>
      </c>
      <c r="M290" s="88">
        <f t="shared" si="55"/>
        <v>0</v>
      </c>
      <c r="N290" s="88">
        <f t="shared" si="55"/>
        <v>26903.155718492661</v>
      </c>
      <c r="O290" s="88">
        <f t="shared" si="55"/>
        <v>587.35366022084509</v>
      </c>
      <c r="P290" s="88">
        <f t="shared" si="55"/>
        <v>42740.498485932825</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251</v>
      </c>
      <c r="J291" s="88">
        <f t="shared" ref="J291:Y291" si="56">J213</f>
        <v>0</v>
      </c>
      <c r="K291" s="88">
        <f t="shared" si="56"/>
        <v>0</v>
      </c>
      <c r="L291" s="88">
        <f t="shared" si="56"/>
        <v>0</v>
      </c>
      <c r="M291" s="88">
        <f t="shared" si="56"/>
        <v>0</v>
      </c>
      <c r="N291" s="88">
        <f t="shared" si="56"/>
        <v>28.106501664414942</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251</v>
      </c>
      <c r="J292" s="88">
        <f t="shared" ref="J292:Y292" si="57">J222</f>
        <v>0</v>
      </c>
      <c r="K292" s="88">
        <f t="shared" si="57"/>
        <v>0</v>
      </c>
      <c r="L292" s="88">
        <f t="shared" si="57"/>
        <v>0</v>
      </c>
      <c r="M292" s="88">
        <f t="shared" si="57"/>
        <v>0</v>
      </c>
      <c r="N292" s="88">
        <f t="shared" si="57"/>
        <v>367.27675132838289</v>
      </c>
      <c r="O292" s="88">
        <f t="shared" si="57"/>
        <v>108.45380474675801</v>
      </c>
      <c r="P292" s="88">
        <f t="shared" si="57"/>
        <v>701.50063525182009</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167</v>
      </c>
      <c r="J293" s="372">
        <f t="shared" ref="J293:Y293" si="58">IF(J$42, J$48, J$34)</f>
        <v>0.3378546825678212</v>
      </c>
      <c r="K293" s="372">
        <f t="shared" si="58"/>
        <v>0.3378546825678212</v>
      </c>
      <c r="L293" s="372">
        <f t="shared" si="58"/>
        <v>0.3378546825678212</v>
      </c>
      <c r="M293" s="372">
        <f t="shared" si="58"/>
        <v>0.3378546825678212</v>
      </c>
      <c r="N293" s="372">
        <f t="shared" si="58"/>
        <v>0.3378546825678212</v>
      </c>
      <c r="O293" s="372">
        <f t="shared" si="58"/>
        <v>0</v>
      </c>
      <c r="P293" s="372">
        <f t="shared" si="58"/>
        <v>0</v>
      </c>
      <c r="Q293" s="372">
        <f t="shared" si="58"/>
        <v>0.3378546825678212</v>
      </c>
      <c r="R293" s="372">
        <f t="shared" si="58"/>
        <v>0</v>
      </c>
      <c r="S293" s="372">
        <f t="shared" si="58"/>
        <v>0</v>
      </c>
      <c r="T293" s="372">
        <f t="shared" si="58"/>
        <v>0</v>
      </c>
      <c r="U293" s="372">
        <f t="shared" si="58"/>
        <v>0</v>
      </c>
      <c r="V293" s="372">
        <f t="shared" si="58"/>
        <v>0</v>
      </c>
      <c r="W293" s="372">
        <f t="shared" si="58"/>
        <v>0</v>
      </c>
      <c r="X293" s="372">
        <f t="shared" si="58"/>
        <v>0</v>
      </c>
      <c r="Y293" s="372">
        <f t="shared" si="58"/>
        <v>0</v>
      </c>
      <c r="AQ293" s="3"/>
    </row>
    <row r="294" spans="5:43" x14ac:dyDescent="0.25">
      <c r="F294" s="23" t="s">
        <v>450</v>
      </c>
      <c r="G294" s="23" t="s">
        <v>167</v>
      </c>
      <c r="J294" s="372">
        <f t="shared" ref="J294:Y294" si="59">IF(J$42, J$48, J$35)</f>
        <v>0.48529035029231349</v>
      </c>
      <c r="K294" s="372">
        <f t="shared" si="59"/>
        <v>0.48529035029231349</v>
      </c>
      <c r="L294" s="372">
        <f t="shared" si="59"/>
        <v>0.48529035029231349</v>
      </c>
      <c r="M294" s="372">
        <f t="shared" si="59"/>
        <v>0.48529035029231349</v>
      </c>
      <c r="N294" s="372">
        <f t="shared" si="59"/>
        <v>0.48529035029231349</v>
      </c>
      <c r="O294" s="372">
        <f t="shared" si="59"/>
        <v>0.20072349959460251</v>
      </c>
      <c r="P294" s="372">
        <f t="shared" si="59"/>
        <v>8.1602927143683501E-2</v>
      </c>
      <c r="Q294" s="372">
        <f t="shared" si="59"/>
        <v>0.48529035029231349</v>
      </c>
      <c r="R294" s="372">
        <f t="shared" si="59"/>
        <v>0</v>
      </c>
      <c r="S294" s="372">
        <f t="shared" si="59"/>
        <v>0</v>
      </c>
      <c r="T294" s="372">
        <f t="shared" si="59"/>
        <v>0</v>
      </c>
      <c r="U294" s="372">
        <f t="shared" si="59"/>
        <v>0</v>
      </c>
      <c r="V294" s="372">
        <f t="shared" si="59"/>
        <v>0</v>
      </c>
      <c r="W294" s="372">
        <f t="shared" si="59"/>
        <v>0</v>
      </c>
      <c r="X294" s="372">
        <f t="shared" si="59"/>
        <v>0</v>
      </c>
      <c r="Y294" s="372">
        <f t="shared" si="59"/>
        <v>0</v>
      </c>
      <c r="AQ294" s="3"/>
    </row>
    <row r="295" spans="5:43" x14ac:dyDescent="0.25">
      <c r="F295" s="23" t="s">
        <v>451</v>
      </c>
      <c r="G295" s="23" t="s">
        <v>251</v>
      </c>
      <c r="J295" s="88">
        <f t="shared" ref="J295:Y295" si="60">J291 * (1 - J293)</f>
        <v>0</v>
      </c>
      <c r="K295" s="88">
        <f t="shared" si="60"/>
        <v>0</v>
      </c>
      <c r="L295" s="88">
        <f t="shared" si="60"/>
        <v>0</v>
      </c>
      <c r="M295" s="88">
        <f t="shared" si="60"/>
        <v>0</v>
      </c>
      <c r="N295" s="88">
        <f t="shared" si="60"/>
        <v>18.610588466492093</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251</v>
      </c>
      <c r="H296" s="28"/>
      <c r="I296" s="28"/>
      <c r="J296" s="90">
        <f t="shared" ref="J296:Y296" si="61">J292 * (1 - J294)</f>
        <v>0</v>
      </c>
      <c r="K296" s="90">
        <f t="shared" si="61"/>
        <v>0</v>
      </c>
      <c r="L296" s="90">
        <f t="shared" si="61"/>
        <v>0</v>
      </c>
      <c r="M296" s="90">
        <f t="shared" si="61"/>
        <v>0</v>
      </c>
      <c r="N296" s="90">
        <f t="shared" si="61"/>
        <v>189.04088802200903</v>
      </c>
      <c r="O296" s="90">
        <f t="shared" si="61"/>
        <v>86.684577513639027</v>
      </c>
      <c r="P296" s="90">
        <f t="shared" si="61"/>
        <v>644.2561300221181</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251</v>
      </c>
      <c r="J297" s="111">
        <f t="shared" ref="J297:Y297" si="62">J290 + J295 + J296</f>
        <v>0</v>
      </c>
      <c r="K297" s="111">
        <f t="shared" si="62"/>
        <v>0</v>
      </c>
      <c r="L297" s="111">
        <f t="shared" si="62"/>
        <v>0</v>
      </c>
      <c r="M297" s="111">
        <f t="shared" si="62"/>
        <v>0</v>
      </c>
      <c r="N297" s="111">
        <f t="shared" si="62"/>
        <v>27110.80719498116</v>
      </c>
      <c r="O297" s="111">
        <f t="shared" si="62"/>
        <v>674.03823773448414</v>
      </c>
      <c r="P297" s="111">
        <f t="shared" si="62"/>
        <v>43384.754615954946</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254</v>
      </c>
      <c r="J301" s="88">
        <f t="shared" ref="J301:Y301" si="63">J205</f>
        <v>0</v>
      </c>
      <c r="K301" s="88">
        <f t="shared" si="63"/>
        <v>0</v>
      </c>
      <c r="L301" s="88">
        <f t="shared" si="63"/>
        <v>0</v>
      </c>
      <c r="M301" s="88">
        <f t="shared" si="63"/>
        <v>0</v>
      </c>
      <c r="N301" s="88">
        <f t="shared" si="63"/>
        <v>235076.55</v>
      </c>
      <c r="O301" s="88">
        <f t="shared" si="63"/>
        <v>10318.771499999999</v>
      </c>
      <c r="P301" s="88">
        <f t="shared" si="63"/>
        <v>753835.58900000004</v>
      </c>
      <c r="Q301" s="88">
        <f t="shared" si="63"/>
        <v>0</v>
      </c>
      <c r="R301" s="88">
        <f t="shared" si="63"/>
        <v>0</v>
      </c>
      <c r="S301" s="88">
        <f t="shared" si="63"/>
        <v>0</v>
      </c>
      <c r="T301" s="88">
        <f t="shared" si="63"/>
        <v>3761.82</v>
      </c>
      <c r="U301" s="88">
        <f t="shared" si="63"/>
        <v>0</v>
      </c>
      <c r="V301" s="88">
        <f t="shared" si="63"/>
        <v>310.738</v>
      </c>
      <c r="W301" s="88">
        <f t="shared" si="63"/>
        <v>0</v>
      </c>
      <c r="X301" s="88">
        <f t="shared" si="63"/>
        <v>36884.22</v>
      </c>
      <c r="Y301" s="88">
        <f t="shared" si="63"/>
        <v>0</v>
      </c>
      <c r="AQ301" s="3"/>
    </row>
    <row r="302" spans="5:43" x14ac:dyDescent="0.25">
      <c r="F302" s="23" t="s">
        <v>447</v>
      </c>
      <c r="G302" s="23" t="s">
        <v>254</v>
      </c>
      <c r="J302" s="88">
        <f t="shared" ref="J302:Y302" si="64">J214</f>
        <v>0</v>
      </c>
      <c r="K302" s="88">
        <f t="shared" si="64"/>
        <v>0</v>
      </c>
      <c r="L302" s="88">
        <f t="shared" si="64"/>
        <v>0</v>
      </c>
      <c r="M302" s="88">
        <f t="shared" si="64"/>
        <v>0</v>
      </c>
      <c r="N302" s="88">
        <f t="shared" si="64"/>
        <v>2173.7557499999998</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254</v>
      </c>
      <c r="J303" s="88">
        <f t="shared" ref="J303:Y303" si="65">J223</f>
        <v>0</v>
      </c>
      <c r="K303" s="88">
        <f t="shared" si="65"/>
        <v>0</v>
      </c>
      <c r="L303" s="88">
        <f t="shared" si="65"/>
        <v>0</v>
      </c>
      <c r="M303" s="88">
        <f t="shared" si="65"/>
        <v>0</v>
      </c>
      <c r="N303" s="88">
        <f t="shared" si="65"/>
        <v>10253.475899999998</v>
      </c>
      <c r="O303" s="88">
        <f t="shared" si="65"/>
        <v>1522.8189</v>
      </c>
      <c r="P303" s="88">
        <f t="shared" si="65"/>
        <v>1169.7086000000004</v>
      </c>
      <c r="Q303" s="88">
        <f t="shared" si="65"/>
        <v>0</v>
      </c>
      <c r="R303" s="88">
        <f t="shared" si="65"/>
        <v>0</v>
      </c>
      <c r="S303" s="88">
        <f t="shared" si="65"/>
        <v>0</v>
      </c>
      <c r="T303" s="88">
        <f t="shared" si="65"/>
        <v>5.0198499999999999</v>
      </c>
      <c r="U303" s="88">
        <f t="shared" si="65"/>
        <v>0</v>
      </c>
      <c r="V303" s="88">
        <f t="shared" si="65"/>
        <v>0</v>
      </c>
      <c r="W303" s="88">
        <f t="shared" si="65"/>
        <v>0</v>
      </c>
      <c r="X303" s="88">
        <f t="shared" si="65"/>
        <v>3.266</v>
      </c>
      <c r="Y303" s="88">
        <f t="shared" si="65"/>
        <v>0</v>
      </c>
      <c r="AQ303" s="3"/>
    </row>
    <row r="304" spans="5:43" x14ac:dyDescent="0.25">
      <c r="F304" s="23" t="s">
        <v>449</v>
      </c>
      <c r="G304" s="23" t="s">
        <v>167</v>
      </c>
      <c r="J304" s="372">
        <f t="shared" ref="J304:Y304" si="66">IF(J$43, J$49, J$34)</f>
        <v>0.3378546825678212</v>
      </c>
      <c r="K304" s="372">
        <f t="shared" si="66"/>
        <v>0.3378546825678212</v>
      </c>
      <c r="L304" s="372">
        <f t="shared" si="66"/>
        <v>0.3378546825678212</v>
      </c>
      <c r="M304" s="372">
        <f t="shared" si="66"/>
        <v>0.3378546825678212</v>
      </c>
      <c r="N304" s="372">
        <f t="shared" si="66"/>
        <v>0.3378546825678212</v>
      </c>
      <c r="O304" s="372">
        <f t="shared" si="66"/>
        <v>0</v>
      </c>
      <c r="P304" s="372">
        <f t="shared" si="66"/>
        <v>0</v>
      </c>
      <c r="Q304" s="372">
        <f t="shared" si="66"/>
        <v>0.3378546825678212</v>
      </c>
      <c r="R304" s="372">
        <f t="shared" si="66"/>
        <v>0</v>
      </c>
      <c r="S304" s="372">
        <f t="shared" si="66"/>
        <v>0</v>
      </c>
      <c r="T304" s="372">
        <f t="shared" si="66"/>
        <v>0</v>
      </c>
      <c r="U304" s="372">
        <f t="shared" si="66"/>
        <v>0</v>
      </c>
      <c r="V304" s="372">
        <f t="shared" si="66"/>
        <v>0</v>
      </c>
      <c r="W304" s="372">
        <f t="shared" si="66"/>
        <v>0</v>
      </c>
      <c r="X304" s="372">
        <f t="shared" si="66"/>
        <v>0</v>
      </c>
      <c r="Y304" s="372">
        <f t="shared" si="66"/>
        <v>0</v>
      </c>
      <c r="AQ304" s="3"/>
    </row>
    <row r="305" spans="2:43" x14ac:dyDescent="0.25">
      <c r="F305" s="23" t="s">
        <v>450</v>
      </c>
      <c r="G305" s="23" t="s">
        <v>167</v>
      </c>
      <c r="J305" s="372">
        <f t="shared" ref="J305:Y305" si="67">IF(J$43, J$49, J$35)</f>
        <v>0.48529035029231349</v>
      </c>
      <c r="K305" s="372">
        <f t="shared" si="67"/>
        <v>0.48529035029231349</v>
      </c>
      <c r="L305" s="372">
        <f t="shared" si="67"/>
        <v>0.48529035029231349</v>
      </c>
      <c r="M305" s="372">
        <f t="shared" si="67"/>
        <v>0.48529035029231349</v>
      </c>
      <c r="N305" s="372">
        <f t="shared" si="67"/>
        <v>0.48529035029231349</v>
      </c>
      <c r="O305" s="372">
        <f t="shared" si="67"/>
        <v>0.20072349959460251</v>
      </c>
      <c r="P305" s="372">
        <f t="shared" si="67"/>
        <v>8.1602927143683501E-2</v>
      </c>
      <c r="Q305" s="372">
        <f t="shared" si="67"/>
        <v>0.48529035029231349</v>
      </c>
      <c r="R305" s="372">
        <f t="shared" si="67"/>
        <v>0</v>
      </c>
      <c r="S305" s="372">
        <f t="shared" si="67"/>
        <v>0</v>
      </c>
      <c r="T305" s="372">
        <f t="shared" si="67"/>
        <v>0</v>
      </c>
      <c r="U305" s="372">
        <f t="shared" si="67"/>
        <v>0</v>
      </c>
      <c r="V305" s="372">
        <f t="shared" si="67"/>
        <v>0</v>
      </c>
      <c r="W305" s="372">
        <f t="shared" si="67"/>
        <v>0</v>
      </c>
      <c r="X305" s="372">
        <f t="shared" si="67"/>
        <v>0</v>
      </c>
      <c r="Y305" s="372">
        <f t="shared" si="67"/>
        <v>0</v>
      </c>
      <c r="AQ305" s="3"/>
    </row>
    <row r="306" spans="2:43" x14ac:dyDescent="0.25">
      <c r="F306" s="23" t="s">
        <v>451</v>
      </c>
      <c r="G306" s="23" t="s">
        <v>254</v>
      </c>
      <c r="J306" s="88">
        <f t="shared" ref="J306:Y306" si="68">J302 * (1 - J304)</f>
        <v>0</v>
      </c>
      <c r="K306" s="88">
        <f t="shared" si="68"/>
        <v>0</v>
      </c>
      <c r="L306" s="88">
        <f t="shared" si="68"/>
        <v>0</v>
      </c>
      <c r="M306" s="88">
        <f t="shared" si="68"/>
        <v>0</v>
      </c>
      <c r="N306" s="88">
        <f t="shared" si="68"/>
        <v>1439.3421911037738</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254</v>
      </c>
      <c r="H307" s="28"/>
      <c r="I307" s="28"/>
      <c r="J307" s="90">
        <f t="shared" ref="J307:Y307" si="69">J303 * (1 - J305)</f>
        <v>0</v>
      </c>
      <c r="K307" s="90">
        <f t="shared" si="69"/>
        <v>0</v>
      </c>
      <c r="L307" s="90">
        <f t="shared" si="69"/>
        <v>0</v>
      </c>
      <c r="M307" s="90">
        <f t="shared" si="69"/>
        <v>0</v>
      </c>
      <c r="N307" s="90">
        <f t="shared" si="69"/>
        <v>5277.5629887752048</v>
      </c>
      <c r="O307" s="90">
        <f t="shared" si="69"/>
        <v>1217.1533611431969</v>
      </c>
      <c r="P307" s="90">
        <f t="shared" si="69"/>
        <v>1074.2569543348602</v>
      </c>
      <c r="Q307" s="90">
        <f t="shared" si="69"/>
        <v>0</v>
      </c>
      <c r="R307" s="90">
        <f t="shared" si="69"/>
        <v>0</v>
      </c>
      <c r="S307" s="90">
        <f t="shared" si="69"/>
        <v>0</v>
      </c>
      <c r="T307" s="90">
        <f t="shared" si="69"/>
        <v>5.0198499999999999</v>
      </c>
      <c r="U307" s="90">
        <f t="shared" si="69"/>
        <v>0</v>
      </c>
      <c r="V307" s="90">
        <f t="shared" si="69"/>
        <v>0</v>
      </c>
      <c r="W307" s="90">
        <f t="shared" si="69"/>
        <v>0</v>
      </c>
      <c r="X307" s="90">
        <f t="shared" si="69"/>
        <v>3.266</v>
      </c>
      <c r="Y307" s="90">
        <f t="shared" si="69"/>
        <v>0</v>
      </c>
      <c r="AQ307" s="3"/>
    </row>
    <row r="308" spans="2:43" x14ac:dyDescent="0.25">
      <c r="F308" s="23" t="s">
        <v>453</v>
      </c>
      <c r="G308" s="23" t="s">
        <v>254</v>
      </c>
      <c r="J308" s="111">
        <f t="shared" ref="J308:Y308" si="70">J301 + J306 + J307</f>
        <v>0</v>
      </c>
      <c r="K308" s="111">
        <f t="shared" si="70"/>
        <v>0</v>
      </c>
      <c r="L308" s="111">
        <f t="shared" si="70"/>
        <v>0</v>
      </c>
      <c r="M308" s="111">
        <f t="shared" si="70"/>
        <v>0</v>
      </c>
      <c r="N308" s="111">
        <f t="shared" si="70"/>
        <v>241793.45517987898</v>
      </c>
      <c r="O308" s="111">
        <f t="shared" si="70"/>
        <v>11535.924861143196</v>
      </c>
      <c r="P308" s="111">
        <f t="shared" si="70"/>
        <v>754909.84595433495</v>
      </c>
      <c r="Q308" s="111">
        <f t="shared" si="70"/>
        <v>0</v>
      </c>
      <c r="R308" s="111">
        <f t="shared" si="70"/>
        <v>0</v>
      </c>
      <c r="S308" s="111">
        <f t="shared" si="70"/>
        <v>0</v>
      </c>
      <c r="T308" s="111">
        <f t="shared" si="70"/>
        <v>3766.8398500000003</v>
      </c>
      <c r="U308" s="111">
        <f t="shared" si="70"/>
        <v>0</v>
      </c>
      <c r="V308" s="111">
        <f t="shared" si="70"/>
        <v>310.738</v>
      </c>
      <c r="W308" s="111">
        <f t="shared" si="70"/>
        <v>0</v>
      </c>
      <c r="X308" s="111">
        <f t="shared" si="70"/>
        <v>36887.486000000004</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247</v>
      </c>
      <c r="G315" s="19" t="s">
        <v>167</v>
      </c>
      <c r="H315" s="19"/>
      <c r="I315" s="19"/>
      <c r="J315" s="144">
        <f>IF(J$39, J$45, J$34)</f>
        <v>0.3378546825678212</v>
      </c>
      <c r="K315" s="144">
        <f t="shared" ref="K315:Y315" si="71">IF(K$39, K$45, K$34)</f>
        <v>0.3378546825678212</v>
      </c>
      <c r="L315" s="144">
        <f t="shared" si="71"/>
        <v>0.3378546825678212</v>
      </c>
      <c r="M315" s="144">
        <f t="shared" si="71"/>
        <v>0.3378546825678212</v>
      </c>
      <c r="N315" s="144">
        <f t="shared" si="71"/>
        <v>0.3378546825678212</v>
      </c>
      <c r="O315" s="144">
        <f t="shared" si="71"/>
        <v>0</v>
      </c>
      <c r="P315" s="144">
        <f t="shared" si="71"/>
        <v>0</v>
      </c>
      <c r="Q315" s="144">
        <f t="shared" si="71"/>
        <v>0.3378546825678212</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248</v>
      </c>
      <c r="G316" t="s">
        <v>167</v>
      </c>
      <c r="J316" s="320">
        <f t="shared" ref="J316:Y317" si="72">IF(J$39, J$45, J$34)</f>
        <v>0.3378546825678212</v>
      </c>
      <c r="K316" s="320">
        <f t="shared" si="72"/>
        <v>0.3378546825678212</v>
      </c>
      <c r="L316" s="320">
        <f t="shared" si="72"/>
        <v>0.3378546825678212</v>
      </c>
      <c r="M316" s="320">
        <f t="shared" si="72"/>
        <v>0.3378546825678212</v>
      </c>
      <c r="N316" s="320">
        <f t="shared" si="72"/>
        <v>0.3378546825678212</v>
      </c>
      <c r="O316" s="320">
        <f t="shared" si="72"/>
        <v>0</v>
      </c>
      <c r="P316" s="320">
        <f t="shared" si="72"/>
        <v>0</v>
      </c>
      <c r="Q316" s="320">
        <f t="shared" si="72"/>
        <v>0.3378546825678212</v>
      </c>
      <c r="R316" s="320">
        <f t="shared" si="72"/>
        <v>0</v>
      </c>
      <c r="S316" s="320">
        <f t="shared" si="72"/>
        <v>0</v>
      </c>
      <c r="T316" s="320">
        <f t="shared" si="72"/>
        <v>0</v>
      </c>
      <c r="U316" s="320">
        <f t="shared" si="72"/>
        <v>0</v>
      </c>
      <c r="V316" s="320">
        <f t="shared" si="72"/>
        <v>0</v>
      </c>
      <c r="W316" s="320">
        <f t="shared" si="72"/>
        <v>0</v>
      </c>
      <c r="X316" s="320">
        <f t="shared" si="72"/>
        <v>0</v>
      </c>
      <c r="Y316" s="320">
        <f t="shared" si="72"/>
        <v>0</v>
      </c>
      <c r="AQ316" s="3"/>
    </row>
    <row r="317" spans="2:43" x14ac:dyDescent="0.25">
      <c r="C317" s="27"/>
      <c r="F317" s="70" t="s">
        <v>249</v>
      </c>
      <c r="G317" s="28" t="s">
        <v>167</v>
      </c>
      <c r="H317" s="28"/>
      <c r="I317" s="28"/>
      <c r="J317" s="145">
        <f t="shared" si="72"/>
        <v>0.3378546825678212</v>
      </c>
      <c r="K317" s="145">
        <f t="shared" si="72"/>
        <v>0.3378546825678212</v>
      </c>
      <c r="L317" s="145">
        <f t="shared" si="72"/>
        <v>0.3378546825678212</v>
      </c>
      <c r="M317" s="145">
        <f t="shared" si="72"/>
        <v>0.3378546825678212</v>
      </c>
      <c r="N317" s="145">
        <f t="shared" si="72"/>
        <v>0.3378546825678212</v>
      </c>
      <c r="O317" s="145">
        <f t="shared" si="72"/>
        <v>0</v>
      </c>
      <c r="P317" s="145">
        <f t="shared" si="72"/>
        <v>0</v>
      </c>
      <c r="Q317" s="145">
        <f t="shared" si="72"/>
        <v>0.3378546825678212</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212</v>
      </c>
      <c r="G318" t="s">
        <v>167</v>
      </c>
      <c r="J318" s="320">
        <f t="shared" ref="J318:Y318" si="73">IF(J$39, J46, J$34)</f>
        <v>0.3378546825678212</v>
      </c>
      <c r="K318" s="320">
        <f t="shared" si="73"/>
        <v>0.3378546825678212</v>
      </c>
      <c r="L318" s="320">
        <f t="shared" si="73"/>
        <v>0.3378546825678212</v>
      </c>
      <c r="M318" s="320">
        <f t="shared" si="73"/>
        <v>0.3378546825678212</v>
      </c>
      <c r="N318" s="320">
        <f t="shared" si="73"/>
        <v>0.3378546825678212</v>
      </c>
      <c r="O318" s="320">
        <f t="shared" si="73"/>
        <v>0</v>
      </c>
      <c r="P318" s="320">
        <f t="shared" si="73"/>
        <v>0</v>
      </c>
      <c r="Q318" s="320">
        <f t="shared" si="73"/>
        <v>0.3378546825678212</v>
      </c>
      <c r="R318" s="320">
        <f t="shared" si="73"/>
        <v>1</v>
      </c>
      <c r="S318" s="320">
        <f t="shared" si="73"/>
        <v>1</v>
      </c>
      <c r="T318" s="320">
        <f t="shared" si="73"/>
        <v>1</v>
      </c>
      <c r="U318" s="320">
        <f t="shared" si="73"/>
        <v>1</v>
      </c>
      <c r="V318" s="320">
        <f t="shared" si="73"/>
        <v>1</v>
      </c>
      <c r="W318" s="320">
        <f t="shared" si="73"/>
        <v>1</v>
      </c>
      <c r="X318" s="320">
        <f t="shared" si="73"/>
        <v>1</v>
      </c>
      <c r="Y318" s="320">
        <f t="shared" si="73"/>
        <v>1</v>
      </c>
      <c r="AQ318" s="3"/>
    </row>
    <row r="319" spans="2:43" x14ac:dyDescent="0.25">
      <c r="C319" s="27"/>
      <c r="F319" s="62" t="s">
        <v>250</v>
      </c>
      <c r="G319" t="s">
        <v>167</v>
      </c>
      <c r="J319" s="320">
        <f t="shared" ref="J319:Y319" si="74">IF(J$39, J47, J$34)</f>
        <v>0.3378546825678212</v>
      </c>
      <c r="K319" s="320">
        <f t="shared" si="74"/>
        <v>0.3378546825678212</v>
      </c>
      <c r="L319" s="320">
        <f t="shared" si="74"/>
        <v>0.3378546825678212</v>
      </c>
      <c r="M319" s="320">
        <f t="shared" si="74"/>
        <v>0.3378546825678212</v>
      </c>
      <c r="N319" s="320">
        <f t="shared" si="74"/>
        <v>0.3378546825678212</v>
      </c>
      <c r="O319" s="320">
        <f t="shared" si="74"/>
        <v>0</v>
      </c>
      <c r="P319" s="320">
        <f t="shared" si="74"/>
        <v>0</v>
      </c>
      <c r="Q319" s="320">
        <f t="shared" si="74"/>
        <v>0.3378546825678212</v>
      </c>
      <c r="R319" s="320">
        <f t="shared" si="74"/>
        <v>0</v>
      </c>
      <c r="S319" s="320">
        <f t="shared" si="74"/>
        <v>0</v>
      </c>
      <c r="T319" s="320">
        <f t="shared" si="74"/>
        <v>0</v>
      </c>
      <c r="U319" s="320">
        <f t="shared" si="74"/>
        <v>0</v>
      </c>
      <c r="V319" s="320">
        <f t="shared" si="74"/>
        <v>0</v>
      </c>
      <c r="W319" s="320">
        <f t="shared" si="74"/>
        <v>0</v>
      </c>
      <c r="X319" s="320">
        <f t="shared" si="74"/>
        <v>0</v>
      </c>
      <c r="Y319" s="320">
        <f t="shared" si="74"/>
        <v>0</v>
      </c>
      <c r="AQ319" s="3"/>
    </row>
    <row r="320" spans="2:43" x14ac:dyDescent="0.25">
      <c r="C320" s="27"/>
      <c r="F320" s="62" t="s">
        <v>252</v>
      </c>
      <c r="G320" t="s">
        <v>167</v>
      </c>
      <c r="J320" s="320">
        <f t="shared" ref="J320:Y320" si="75">IF(J$39, J48, J$34)</f>
        <v>0.3378546825678212</v>
      </c>
      <c r="K320" s="320">
        <f t="shared" si="75"/>
        <v>0.3378546825678212</v>
      </c>
      <c r="L320" s="320">
        <f t="shared" si="75"/>
        <v>0.3378546825678212</v>
      </c>
      <c r="M320" s="320">
        <f t="shared" si="75"/>
        <v>0.3378546825678212</v>
      </c>
      <c r="N320" s="320">
        <f t="shared" si="75"/>
        <v>0.3378546825678212</v>
      </c>
      <c r="O320" s="320">
        <f t="shared" si="75"/>
        <v>0</v>
      </c>
      <c r="P320" s="320">
        <f t="shared" si="75"/>
        <v>0</v>
      </c>
      <c r="Q320" s="320">
        <f t="shared" si="75"/>
        <v>0.3378546825678212</v>
      </c>
      <c r="R320" s="320">
        <f t="shared" si="75"/>
        <v>0</v>
      </c>
      <c r="S320" s="320">
        <f t="shared" si="75"/>
        <v>0</v>
      </c>
      <c r="T320" s="320">
        <f t="shared" si="75"/>
        <v>0</v>
      </c>
      <c r="U320" s="320">
        <f t="shared" si="75"/>
        <v>0</v>
      </c>
      <c r="V320" s="320">
        <f t="shared" si="75"/>
        <v>0</v>
      </c>
      <c r="W320" s="320">
        <f t="shared" si="75"/>
        <v>0</v>
      </c>
      <c r="X320" s="320">
        <f t="shared" si="75"/>
        <v>0</v>
      </c>
      <c r="Y320" s="320">
        <f t="shared" si="75"/>
        <v>0</v>
      </c>
      <c r="AQ320" s="3"/>
    </row>
    <row r="321" spans="3:43" x14ac:dyDescent="0.25">
      <c r="C321" s="27"/>
      <c r="F321" s="70" t="s">
        <v>253</v>
      </c>
      <c r="G321" s="28" t="s">
        <v>167</v>
      </c>
      <c r="H321" s="28"/>
      <c r="I321" s="28"/>
      <c r="J321" s="145">
        <f t="shared" ref="J321:Y321" si="76">IF(J$39, J49, J$34)</f>
        <v>0.3378546825678212</v>
      </c>
      <c r="K321" s="145">
        <f t="shared" si="76"/>
        <v>0.3378546825678212</v>
      </c>
      <c r="L321" s="145">
        <f t="shared" si="76"/>
        <v>0.3378546825678212</v>
      </c>
      <c r="M321" s="145">
        <f t="shared" si="76"/>
        <v>0.3378546825678212</v>
      </c>
      <c r="N321" s="145">
        <f t="shared" si="76"/>
        <v>0.3378546825678212</v>
      </c>
      <c r="O321" s="145">
        <f t="shared" si="76"/>
        <v>0</v>
      </c>
      <c r="P321" s="145">
        <f t="shared" si="76"/>
        <v>0</v>
      </c>
      <c r="Q321" s="145">
        <f t="shared" si="76"/>
        <v>0.3378546825678212</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247</v>
      </c>
      <c r="G324" s="19" t="s">
        <v>167</v>
      </c>
      <c r="H324" s="19"/>
      <c r="I324" s="19"/>
      <c r="J324" s="144">
        <f>IF(J$39, J$45, J$35)</f>
        <v>0.48529035029231349</v>
      </c>
      <c r="K324" s="144">
        <f t="shared" ref="K324:Y326" si="77">IF(K$39, K$45, K$35)</f>
        <v>0.48529035029231349</v>
      </c>
      <c r="L324" s="144">
        <f t="shared" si="77"/>
        <v>0.48529035029231349</v>
      </c>
      <c r="M324" s="144">
        <f t="shared" si="77"/>
        <v>0.48529035029231349</v>
      </c>
      <c r="N324" s="144">
        <f t="shared" si="77"/>
        <v>0.48529035029231349</v>
      </c>
      <c r="O324" s="144">
        <f t="shared" si="77"/>
        <v>0.20072349959460251</v>
      </c>
      <c r="P324" s="144">
        <f t="shared" si="77"/>
        <v>8.1602927143683501E-2</v>
      </c>
      <c r="Q324" s="144">
        <f t="shared" si="77"/>
        <v>0.48529035029231349</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248</v>
      </c>
      <c r="G325" t="s">
        <v>167</v>
      </c>
      <c r="J325" s="320">
        <f t="shared" ref="J325:J326" si="78">IF(J$39, J$45, J$35)</f>
        <v>0.48529035029231349</v>
      </c>
      <c r="K325" s="320">
        <f t="shared" si="77"/>
        <v>0.48529035029231349</v>
      </c>
      <c r="L325" s="320">
        <f t="shared" si="77"/>
        <v>0.48529035029231349</v>
      </c>
      <c r="M325" s="320">
        <f t="shared" si="77"/>
        <v>0.48529035029231349</v>
      </c>
      <c r="N325" s="320">
        <f t="shared" si="77"/>
        <v>0.48529035029231349</v>
      </c>
      <c r="O325" s="320">
        <f t="shared" si="77"/>
        <v>0.20072349959460251</v>
      </c>
      <c r="P325" s="320">
        <f t="shared" si="77"/>
        <v>8.1602927143683501E-2</v>
      </c>
      <c r="Q325" s="320">
        <f t="shared" si="77"/>
        <v>0.48529035029231349</v>
      </c>
      <c r="R325" s="320">
        <f t="shared" si="77"/>
        <v>0</v>
      </c>
      <c r="S325" s="320">
        <f t="shared" si="77"/>
        <v>0</v>
      </c>
      <c r="T325" s="320">
        <f t="shared" si="77"/>
        <v>0</v>
      </c>
      <c r="U325" s="320">
        <f t="shared" si="77"/>
        <v>0</v>
      </c>
      <c r="V325" s="320">
        <f t="shared" si="77"/>
        <v>0</v>
      </c>
      <c r="W325" s="320">
        <f t="shared" si="77"/>
        <v>0</v>
      </c>
      <c r="X325" s="320">
        <f t="shared" si="77"/>
        <v>0</v>
      </c>
      <c r="Y325" s="320">
        <f t="shared" si="77"/>
        <v>0</v>
      </c>
      <c r="AQ325" s="3"/>
    </row>
    <row r="326" spans="3:43" x14ac:dyDescent="0.25">
      <c r="C326" s="27"/>
      <c r="F326" s="70" t="s">
        <v>249</v>
      </c>
      <c r="G326" s="28" t="s">
        <v>167</v>
      </c>
      <c r="H326" s="28"/>
      <c r="I326" s="28"/>
      <c r="J326" s="145">
        <f t="shared" si="78"/>
        <v>0.48529035029231349</v>
      </c>
      <c r="K326" s="145">
        <f t="shared" si="77"/>
        <v>0.48529035029231349</v>
      </c>
      <c r="L326" s="145">
        <f t="shared" si="77"/>
        <v>0.48529035029231349</v>
      </c>
      <c r="M326" s="145">
        <f t="shared" si="77"/>
        <v>0.48529035029231349</v>
      </c>
      <c r="N326" s="145">
        <f t="shared" si="77"/>
        <v>0.48529035029231349</v>
      </c>
      <c r="O326" s="145">
        <f t="shared" si="77"/>
        <v>0.20072349959460251</v>
      </c>
      <c r="P326" s="145">
        <f t="shared" si="77"/>
        <v>8.1602927143683501E-2</v>
      </c>
      <c r="Q326" s="145">
        <f t="shared" si="77"/>
        <v>0.48529035029231349</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212</v>
      </c>
      <c r="G327" t="s">
        <v>167</v>
      </c>
      <c r="J327" s="320">
        <f t="shared" ref="J327:Y327" si="79">IF(J$39, J46, J$35)</f>
        <v>0.48529035029231349</v>
      </c>
      <c r="K327" s="320">
        <f t="shared" si="79"/>
        <v>0.48529035029231349</v>
      </c>
      <c r="L327" s="320">
        <f t="shared" si="79"/>
        <v>0.48529035029231349</v>
      </c>
      <c r="M327" s="320">
        <f t="shared" si="79"/>
        <v>0.48529035029231349</v>
      </c>
      <c r="N327" s="320">
        <f t="shared" si="79"/>
        <v>0.48529035029231349</v>
      </c>
      <c r="O327" s="320">
        <f t="shared" si="79"/>
        <v>0.20072349959460251</v>
      </c>
      <c r="P327" s="320">
        <f t="shared" si="79"/>
        <v>8.1602927143683501E-2</v>
      </c>
      <c r="Q327" s="320">
        <f t="shared" si="79"/>
        <v>0.48529035029231349</v>
      </c>
      <c r="R327" s="320">
        <f t="shared" si="79"/>
        <v>1</v>
      </c>
      <c r="S327" s="320">
        <f t="shared" si="79"/>
        <v>1</v>
      </c>
      <c r="T327" s="320">
        <f t="shared" si="79"/>
        <v>1</v>
      </c>
      <c r="U327" s="320">
        <f t="shared" si="79"/>
        <v>1</v>
      </c>
      <c r="V327" s="320">
        <f t="shared" si="79"/>
        <v>1</v>
      </c>
      <c r="W327" s="320">
        <f t="shared" si="79"/>
        <v>1</v>
      </c>
      <c r="X327" s="320">
        <f t="shared" si="79"/>
        <v>1</v>
      </c>
      <c r="Y327" s="320">
        <f t="shared" si="79"/>
        <v>1</v>
      </c>
      <c r="AQ327" s="3"/>
    </row>
    <row r="328" spans="3:43" x14ac:dyDescent="0.25">
      <c r="C328" s="27"/>
      <c r="F328" s="62" t="s">
        <v>250</v>
      </c>
      <c r="G328" t="s">
        <v>167</v>
      </c>
      <c r="J328" s="320">
        <f t="shared" ref="J328:Y328" si="80">IF(J$39, J47, J$35)</f>
        <v>0.48529035029231349</v>
      </c>
      <c r="K328" s="320">
        <f t="shared" si="80"/>
        <v>0.48529035029231349</v>
      </c>
      <c r="L328" s="320">
        <f t="shared" si="80"/>
        <v>0.48529035029231349</v>
      </c>
      <c r="M328" s="320">
        <f t="shared" si="80"/>
        <v>0.48529035029231349</v>
      </c>
      <c r="N328" s="320">
        <f t="shared" si="80"/>
        <v>0.48529035029231349</v>
      </c>
      <c r="O328" s="320">
        <f t="shared" si="80"/>
        <v>0.20072349959460251</v>
      </c>
      <c r="P328" s="320">
        <f t="shared" si="80"/>
        <v>8.1602927143683501E-2</v>
      </c>
      <c r="Q328" s="320">
        <f t="shared" si="80"/>
        <v>0.48529035029231349</v>
      </c>
      <c r="R328" s="320">
        <f t="shared" si="80"/>
        <v>0</v>
      </c>
      <c r="S328" s="320">
        <f t="shared" si="80"/>
        <v>0</v>
      </c>
      <c r="T328" s="320">
        <f t="shared" si="80"/>
        <v>0</v>
      </c>
      <c r="U328" s="320">
        <f t="shared" si="80"/>
        <v>0</v>
      </c>
      <c r="V328" s="320">
        <f t="shared" si="80"/>
        <v>0</v>
      </c>
      <c r="W328" s="320">
        <f t="shared" si="80"/>
        <v>0</v>
      </c>
      <c r="X328" s="320">
        <f t="shared" si="80"/>
        <v>0</v>
      </c>
      <c r="Y328" s="320">
        <f t="shared" si="80"/>
        <v>0</v>
      </c>
      <c r="AQ328" s="3"/>
    </row>
    <row r="329" spans="3:43" x14ac:dyDescent="0.25">
      <c r="C329" s="27"/>
      <c r="F329" s="62" t="s">
        <v>252</v>
      </c>
      <c r="G329" t="s">
        <v>167</v>
      </c>
      <c r="J329" s="320">
        <f t="shared" ref="J329:Y329" si="81">IF(J$39, J48, J$35)</f>
        <v>0.48529035029231349</v>
      </c>
      <c r="K329" s="320">
        <f t="shared" si="81"/>
        <v>0.48529035029231349</v>
      </c>
      <c r="L329" s="320">
        <f t="shared" si="81"/>
        <v>0.48529035029231349</v>
      </c>
      <c r="M329" s="320">
        <f t="shared" si="81"/>
        <v>0.48529035029231349</v>
      </c>
      <c r="N329" s="320">
        <f t="shared" si="81"/>
        <v>0.48529035029231349</v>
      </c>
      <c r="O329" s="320">
        <f t="shared" si="81"/>
        <v>0.20072349959460251</v>
      </c>
      <c r="P329" s="320">
        <f t="shared" si="81"/>
        <v>8.1602927143683501E-2</v>
      </c>
      <c r="Q329" s="320">
        <f t="shared" si="81"/>
        <v>0.48529035029231349</v>
      </c>
      <c r="R329" s="320">
        <f t="shared" si="81"/>
        <v>0</v>
      </c>
      <c r="S329" s="320">
        <f t="shared" si="81"/>
        <v>0</v>
      </c>
      <c r="T329" s="320">
        <f t="shared" si="81"/>
        <v>0</v>
      </c>
      <c r="U329" s="320">
        <f t="shared" si="81"/>
        <v>0</v>
      </c>
      <c r="V329" s="320">
        <f t="shared" si="81"/>
        <v>0</v>
      </c>
      <c r="W329" s="320">
        <f t="shared" si="81"/>
        <v>0</v>
      </c>
      <c r="X329" s="320">
        <f t="shared" si="81"/>
        <v>0</v>
      </c>
      <c r="Y329" s="320">
        <f t="shared" si="81"/>
        <v>0</v>
      </c>
      <c r="AQ329" s="3"/>
    </row>
    <row r="330" spans="3:43" x14ac:dyDescent="0.25">
      <c r="C330" s="27"/>
      <c r="F330" s="70" t="s">
        <v>253</v>
      </c>
      <c r="G330" s="28" t="s">
        <v>167</v>
      </c>
      <c r="H330" s="28"/>
      <c r="I330" s="28"/>
      <c r="J330" s="145">
        <f t="shared" ref="J330:Y330" si="82">IF(J$39, J49, J$35)</f>
        <v>0.48529035029231349</v>
      </c>
      <c r="K330" s="145">
        <f t="shared" si="82"/>
        <v>0.48529035029231349</v>
      </c>
      <c r="L330" s="145">
        <f t="shared" si="82"/>
        <v>0.48529035029231349</v>
      </c>
      <c r="M330" s="145">
        <f t="shared" si="82"/>
        <v>0.48529035029231349</v>
      </c>
      <c r="N330" s="145">
        <f t="shared" si="82"/>
        <v>0.48529035029231349</v>
      </c>
      <c r="O330" s="145">
        <f t="shared" si="82"/>
        <v>0.20072349959460251</v>
      </c>
      <c r="P330" s="145">
        <f t="shared" si="82"/>
        <v>8.1602927143683501E-2</v>
      </c>
      <c r="Q330" s="145">
        <f t="shared" si="82"/>
        <v>0.48529035029231349</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control'!$H$36:$H$59,MATCH($A$1,'Version control'!$F$36:$F$59,0),1)&amp;"-D: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154</v>
      </c>
      <c r="AQ334" s="3"/>
    </row>
    <row r="335" spans="3:43" x14ac:dyDescent="0.25">
      <c r="E335" s="27"/>
      <c r="F335" s="68" t="s">
        <v>247</v>
      </c>
      <c r="G335" s="68" t="s">
        <v>207</v>
      </c>
      <c r="H335" s="19"/>
      <c r="I335" s="19"/>
      <c r="J335" s="73"/>
      <c r="K335" s="116">
        <f t="shared" ref="K335:P341" si="83">(1 - K315) * K105</f>
        <v>0</v>
      </c>
      <c r="L335" s="116">
        <f t="shared" si="83"/>
        <v>0</v>
      </c>
      <c r="M335" s="116">
        <f t="shared" si="83"/>
        <v>0</v>
      </c>
      <c r="N335" s="116">
        <f t="shared" si="83"/>
        <v>0</v>
      </c>
      <c r="O335" s="116">
        <f t="shared" si="83"/>
        <v>0</v>
      </c>
      <c r="P335" s="116">
        <f t="shared" si="83"/>
        <v>0</v>
      </c>
      <c r="Q335" s="73"/>
      <c r="R335" s="116">
        <f t="shared" ref="R335:Y341" si="84">(1 - R315) * R105</f>
        <v>4.2797216354836163</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248</v>
      </c>
      <c r="G336" s="62" t="s">
        <v>207</v>
      </c>
      <c r="J336" s="319"/>
      <c r="K336" s="318">
        <f t="shared" si="83"/>
        <v>0</v>
      </c>
      <c r="L336" s="318">
        <f t="shared" si="83"/>
        <v>0</v>
      </c>
      <c r="M336" s="318">
        <f t="shared" si="83"/>
        <v>0</v>
      </c>
      <c r="N336" s="318">
        <f t="shared" si="83"/>
        <v>0</v>
      </c>
      <c r="O336" s="318">
        <f t="shared" si="83"/>
        <v>0</v>
      </c>
      <c r="P336" s="318">
        <f t="shared" si="83"/>
        <v>0</v>
      </c>
      <c r="Q336" s="319"/>
      <c r="R336" s="318">
        <f t="shared" si="84"/>
        <v>18.271397198392478</v>
      </c>
      <c r="S336" s="318">
        <f t="shared" si="84"/>
        <v>0</v>
      </c>
      <c r="T336" s="318">
        <f t="shared" si="84"/>
        <v>0</v>
      </c>
      <c r="U336" s="318">
        <f t="shared" si="84"/>
        <v>0</v>
      </c>
      <c r="V336" s="318">
        <f t="shared" si="84"/>
        <v>0</v>
      </c>
      <c r="W336" s="318">
        <f t="shared" si="84"/>
        <v>0</v>
      </c>
      <c r="X336" s="318">
        <f t="shared" si="84"/>
        <v>0</v>
      </c>
      <c r="Y336" s="318">
        <f t="shared" si="84"/>
        <v>0</v>
      </c>
      <c r="AQ336" s="3"/>
    </row>
    <row r="337" spans="5:43" x14ac:dyDescent="0.25">
      <c r="E337" s="27"/>
      <c r="F337" s="62" t="s">
        <v>249</v>
      </c>
      <c r="G337" s="62" t="s">
        <v>207</v>
      </c>
      <c r="J337" s="319"/>
      <c r="K337" s="318">
        <f t="shared" si="83"/>
        <v>0</v>
      </c>
      <c r="L337" s="318">
        <f t="shared" si="83"/>
        <v>0</v>
      </c>
      <c r="M337" s="318">
        <f t="shared" si="83"/>
        <v>0</v>
      </c>
      <c r="N337" s="318">
        <f t="shared" si="83"/>
        <v>0</v>
      </c>
      <c r="O337" s="318">
        <f t="shared" si="83"/>
        <v>0</v>
      </c>
      <c r="P337" s="318">
        <f t="shared" si="83"/>
        <v>0</v>
      </c>
      <c r="Q337" s="319"/>
      <c r="R337" s="318">
        <f t="shared" si="84"/>
        <v>10.408381166123906</v>
      </c>
      <c r="S337" s="318">
        <f t="shared" si="84"/>
        <v>0</v>
      </c>
      <c r="T337" s="318">
        <f t="shared" si="84"/>
        <v>0</v>
      </c>
      <c r="U337" s="318">
        <f t="shared" si="84"/>
        <v>0</v>
      </c>
      <c r="V337" s="318">
        <f t="shared" si="84"/>
        <v>0</v>
      </c>
      <c r="W337" s="318">
        <f t="shared" si="84"/>
        <v>0</v>
      </c>
      <c r="X337" s="318">
        <f t="shared" si="84"/>
        <v>0</v>
      </c>
      <c r="Y337" s="318">
        <f t="shared" si="84"/>
        <v>0</v>
      </c>
      <c r="AQ337" s="3"/>
    </row>
    <row r="338" spans="5:43" x14ac:dyDescent="0.25">
      <c r="E338" s="27"/>
      <c r="F338" s="62" t="s">
        <v>212</v>
      </c>
      <c r="G338" s="62" t="s">
        <v>212</v>
      </c>
      <c r="J338" s="319"/>
      <c r="K338" s="318">
        <f t="shared" si="83"/>
        <v>0</v>
      </c>
      <c r="L338" s="318">
        <f t="shared" si="83"/>
        <v>0</v>
      </c>
      <c r="M338" s="318">
        <f t="shared" si="83"/>
        <v>0</v>
      </c>
      <c r="N338" s="318">
        <f t="shared" si="83"/>
        <v>0</v>
      </c>
      <c r="O338" s="318">
        <f t="shared" si="83"/>
        <v>0</v>
      </c>
      <c r="P338" s="318">
        <f t="shared" si="83"/>
        <v>0</v>
      </c>
      <c r="Q338" s="319"/>
      <c r="R338" s="318">
        <f t="shared" si="84"/>
        <v>0</v>
      </c>
      <c r="S338" s="318">
        <f t="shared" si="84"/>
        <v>0</v>
      </c>
      <c r="T338" s="318">
        <f t="shared" si="84"/>
        <v>0</v>
      </c>
      <c r="U338" s="318">
        <f t="shared" si="84"/>
        <v>0</v>
      </c>
      <c r="V338" s="318">
        <f t="shared" si="84"/>
        <v>0</v>
      </c>
      <c r="W338" s="318">
        <f t="shared" si="84"/>
        <v>0</v>
      </c>
      <c r="X338" s="318">
        <f t="shared" si="84"/>
        <v>0</v>
      </c>
      <c r="Y338" s="318">
        <f t="shared" si="84"/>
        <v>0</v>
      </c>
      <c r="AQ338" s="3"/>
    </row>
    <row r="339" spans="5:43" x14ac:dyDescent="0.25">
      <c r="E339" s="27"/>
      <c r="F339" s="62" t="s">
        <v>250</v>
      </c>
      <c r="G339" s="62" t="s">
        <v>251</v>
      </c>
      <c r="J339" s="319"/>
      <c r="K339" s="318">
        <f t="shared" si="83"/>
        <v>0</v>
      </c>
      <c r="L339" s="318">
        <f t="shared" si="83"/>
        <v>0</v>
      </c>
      <c r="M339" s="318">
        <f t="shared" si="83"/>
        <v>0</v>
      </c>
      <c r="N339" s="318">
        <f t="shared" si="83"/>
        <v>0</v>
      </c>
      <c r="O339" s="318">
        <f t="shared" si="83"/>
        <v>0</v>
      </c>
      <c r="P339" s="318">
        <f t="shared" si="83"/>
        <v>0</v>
      </c>
      <c r="Q339" s="319"/>
      <c r="R339" s="318">
        <f t="shared" si="84"/>
        <v>0</v>
      </c>
      <c r="S339" s="318">
        <f t="shared" si="84"/>
        <v>0</v>
      </c>
      <c r="T339" s="318">
        <f t="shared" si="84"/>
        <v>0</v>
      </c>
      <c r="U339" s="318">
        <f t="shared" si="84"/>
        <v>0</v>
      </c>
      <c r="V339" s="318">
        <f t="shared" si="84"/>
        <v>0</v>
      </c>
      <c r="W339" s="318">
        <f t="shared" si="84"/>
        <v>0</v>
      </c>
      <c r="X339" s="318">
        <f t="shared" si="84"/>
        <v>0</v>
      </c>
      <c r="Y339" s="318">
        <f t="shared" si="84"/>
        <v>0</v>
      </c>
      <c r="AQ339" s="3"/>
    </row>
    <row r="340" spans="5:43" x14ac:dyDescent="0.25">
      <c r="E340" s="27"/>
      <c r="F340" s="62" t="s">
        <v>252</v>
      </c>
      <c r="G340" s="62" t="s">
        <v>251</v>
      </c>
      <c r="J340" s="319"/>
      <c r="K340" s="318">
        <f t="shared" si="83"/>
        <v>0</v>
      </c>
      <c r="L340" s="318">
        <f t="shared" si="83"/>
        <v>0</v>
      </c>
      <c r="M340" s="318">
        <f t="shared" si="83"/>
        <v>0</v>
      </c>
      <c r="N340" s="318">
        <f t="shared" si="83"/>
        <v>0</v>
      </c>
      <c r="O340" s="318">
        <f t="shared" si="83"/>
        <v>0</v>
      </c>
      <c r="P340" s="318">
        <f t="shared" si="83"/>
        <v>0</v>
      </c>
      <c r="Q340" s="319"/>
      <c r="R340" s="318">
        <f t="shared" si="84"/>
        <v>0</v>
      </c>
      <c r="S340" s="318">
        <f t="shared" si="84"/>
        <v>0</v>
      </c>
      <c r="T340" s="318">
        <f t="shared" si="84"/>
        <v>0</v>
      </c>
      <c r="U340" s="318">
        <f t="shared" si="84"/>
        <v>0</v>
      </c>
      <c r="V340" s="318">
        <f t="shared" si="84"/>
        <v>0</v>
      </c>
      <c r="W340" s="318">
        <f t="shared" si="84"/>
        <v>0</v>
      </c>
      <c r="X340" s="318">
        <f t="shared" si="84"/>
        <v>0</v>
      </c>
      <c r="Y340" s="318">
        <f t="shared" si="84"/>
        <v>0</v>
      </c>
      <c r="AQ340" s="3"/>
    </row>
    <row r="341" spans="5:43" x14ac:dyDescent="0.25">
      <c r="E341" s="27"/>
      <c r="F341" s="70" t="s">
        <v>253</v>
      </c>
      <c r="G341" s="70" t="s">
        <v>254</v>
      </c>
      <c r="H341" s="28"/>
      <c r="I341" s="28"/>
      <c r="J341" s="71"/>
      <c r="K341" s="90">
        <f t="shared" si="83"/>
        <v>0</v>
      </c>
      <c r="L341" s="90">
        <f t="shared" si="83"/>
        <v>0</v>
      </c>
      <c r="M341" s="90">
        <f t="shared" si="83"/>
        <v>0</v>
      </c>
      <c r="N341" s="90">
        <f t="shared" si="83"/>
        <v>0</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154</v>
      </c>
      <c r="AQ343" s="3"/>
    </row>
    <row r="344" spans="5:43" x14ac:dyDescent="0.25">
      <c r="E344" s="27"/>
      <c r="F344" s="68" t="s">
        <v>247</v>
      </c>
      <c r="G344" s="68" t="s">
        <v>207</v>
      </c>
      <c r="H344" s="19"/>
      <c r="I344" s="19"/>
      <c r="J344" s="73"/>
      <c r="K344" s="116">
        <f t="shared" ref="K344:P350" si="85">(1 - K324) * K152</f>
        <v>0</v>
      </c>
      <c r="L344" s="116">
        <f t="shared" si="85"/>
        <v>0</v>
      </c>
      <c r="M344" s="116">
        <f t="shared" si="85"/>
        <v>0</v>
      </c>
      <c r="N344" s="116">
        <f t="shared" si="85"/>
        <v>0</v>
      </c>
      <c r="O344" s="116">
        <f t="shared" si="85"/>
        <v>0</v>
      </c>
      <c r="P344" s="116">
        <f t="shared" si="85"/>
        <v>0</v>
      </c>
      <c r="Q344" s="73"/>
      <c r="R344" s="116">
        <f t="shared" ref="R344:Y350" si="86">(1 - R324) * R152</f>
        <v>7.3769179825496217E-2</v>
      </c>
      <c r="S344" s="116">
        <f t="shared" si="86"/>
        <v>0</v>
      </c>
      <c r="T344" s="116">
        <f t="shared" si="86"/>
        <v>7.4176971777605809</v>
      </c>
      <c r="U344" s="116">
        <f t="shared" si="86"/>
        <v>0</v>
      </c>
      <c r="V344" s="116">
        <f t="shared" si="86"/>
        <v>0</v>
      </c>
      <c r="W344" s="116">
        <f t="shared" si="86"/>
        <v>0</v>
      </c>
      <c r="X344" s="116">
        <f t="shared" si="86"/>
        <v>7.2257999999999996</v>
      </c>
      <c r="Y344" s="116">
        <f t="shared" si="86"/>
        <v>0</v>
      </c>
      <c r="AQ344" s="3"/>
    </row>
    <row r="345" spans="5:43" x14ac:dyDescent="0.25">
      <c r="E345" s="27"/>
      <c r="F345" s="62" t="s">
        <v>248</v>
      </c>
      <c r="G345" s="62" t="s">
        <v>207</v>
      </c>
      <c r="J345" s="319"/>
      <c r="K345" s="318">
        <f t="shared" si="85"/>
        <v>0</v>
      </c>
      <c r="L345" s="318">
        <f t="shared" si="85"/>
        <v>0</v>
      </c>
      <c r="M345" s="318">
        <f t="shared" si="85"/>
        <v>0</v>
      </c>
      <c r="N345" s="318">
        <f t="shared" si="85"/>
        <v>0</v>
      </c>
      <c r="O345" s="318">
        <f t="shared" si="85"/>
        <v>0</v>
      </c>
      <c r="P345" s="318">
        <f t="shared" si="85"/>
        <v>0</v>
      </c>
      <c r="Q345" s="319"/>
      <c r="R345" s="318">
        <f t="shared" si="86"/>
        <v>0.31437484563728435</v>
      </c>
      <c r="S345" s="318">
        <f t="shared" si="86"/>
        <v>0</v>
      </c>
      <c r="T345" s="318">
        <f t="shared" si="86"/>
        <v>33.173331568660394</v>
      </c>
      <c r="U345" s="318">
        <f t="shared" si="86"/>
        <v>0</v>
      </c>
      <c r="V345" s="318">
        <f t="shared" si="86"/>
        <v>0</v>
      </c>
      <c r="W345" s="318">
        <f t="shared" si="86"/>
        <v>0</v>
      </c>
      <c r="X345" s="318">
        <f t="shared" si="86"/>
        <v>0.19575000000000001</v>
      </c>
      <c r="Y345" s="318">
        <f t="shared" si="86"/>
        <v>0</v>
      </c>
      <c r="AQ345" s="3"/>
    </row>
    <row r="346" spans="5:43" x14ac:dyDescent="0.25">
      <c r="E346" s="27"/>
      <c r="F346" s="62" t="s">
        <v>249</v>
      </c>
      <c r="G346" s="62" t="s">
        <v>207</v>
      </c>
      <c r="J346" s="319"/>
      <c r="K346" s="318">
        <f t="shared" si="85"/>
        <v>0</v>
      </c>
      <c r="L346" s="318">
        <f t="shared" si="85"/>
        <v>0</v>
      </c>
      <c r="M346" s="318">
        <f t="shared" si="85"/>
        <v>0</v>
      </c>
      <c r="N346" s="318">
        <f t="shared" si="85"/>
        <v>0</v>
      </c>
      <c r="O346" s="318">
        <f t="shared" si="85"/>
        <v>0</v>
      </c>
      <c r="P346" s="318">
        <f t="shared" si="85"/>
        <v>0</v>
      </c>
      <c r="Q346" s="319"/>
      <c r="R346" s="318">
        <f t="shared" si="86"/>
        <v>0.19335597453721937</v>
      </c>
      <c r="S346" s="318">
        <f t="shared" si="86"/>
        <v>0</v>
      </c>
      <c r="T346" s="318">
        <f t="shared" si="86"/>
        <v>74.160171253579037</v>
      </c>
      <c r="U346" s="318">
        <f t="shared" si="86"/>
        <v>0</v>
      </c>
      <c r="V346" s="318">
        <f t="shared" si="86"/>
        <v>0</v>
      </c>
      <c r="W346" s="318">
        <f t="shared" si="86"/>
        <v>0</v>
      </c>
      <c r="X346" s="318">
        <f t="shared" si="86"/>
        <v>9.5E-4</v>
      </c>
      <c r="Y346" s="318">
        <f t="shared" si="86"/>
        <v>0</v>
      </c>
      <c r="AQ346" s="3"/>
    </row>
    <row r="347" spans="5:43" x14ac:dyDescent="0.25">
      <c r="E347" s="27"/>
      <c r="F347" s="62" t="s">
        <v>212</v>
      </c>
      <c r="G347" s="62" t="s">
        <v>212</v>
      </c>
      <c r="J347" s="319"/>
      <c r="K347" s="318">
        <f t="shared" si="85"/>
        <v>0</v>
      </c>
      <c r="L347" s="318">
        <f t="shared" si="85"/>
        <v>0</v>
      </c>
      <c r="M347" s="318">
        <f t="shared" si="85"/>
        <v>0</v>
      </c>
      <c r="N347" s="318">
        <f t="shared" si="85"/>
        <v>0</v>
      </c>
      <c r="O347" s="318">
        <f t="shared" si="85"/>
        <v>0</v>
      </c>
      <c r="P347" s="318">
        <f t="shared" si="85"/>
        <v>0</v>
      </c>
      <c r="Q347" s="319"/>
      <c r="R347" s="318">
        <f t="shared" si="86"/>
        <v>0</v>
      </c>
      <c r="S347" s="318">
        <f t="shared" si="86"/>
        <v>0</v>
      </c>
      <c r="T347" s="318">
        <f t="shared" si="86"/>
        <v>0</v>
      </c>
      <c r="U347" s="318">
        <f t="shared" si="86"/>
        <v>0</v>
      </c>
      <c r="V347" s="318">
        <f t="shared" si="86"/>
        <v>0</v>
      </c>
      <c r="W347" s="318">
        <f t="shared" si="86"/>
        <v>0</v>
      </c>
      <c r="X347" s="318">
        <f t="shared" si="86"/>
        <v>0</v>
      </c>
      <c r="Y347" s="318">
        <f t="shared" si="86"/>
        <v>0</v>
      </c>
      <c r="AQ347" s="3"/>
    </row>
    <row r="348" spans="5:43" x14ac:dyDescent="0.25">
      <c r="E348" s="27"/>
      <c r="F348" s="62" t="s">
        <v>250</v>
      </c>
      <c r="G348" s="62" t="s">
        <v>251</v>
      </c>
      <c r="J348" s="319"/>
      <c r="K348" s="318">
        <f t="shared" si="85"/>
        <v>0</v>
      </c>
      <c r="L348" s="318">
        <f t="shared" si="85"/>
        <v>0</v>
      </c>
      <c r="M348" s="318">
        <f t="shared" si="85"/>
        <v>0</v>
      </c>
      <c r="N348" s="318">
        <f t="shared" si="85"/>
        <v>0</v>
      </c>
      <c r="O348" s="318">
        <f t="shared" si="85"/>
        <v>0</v>
      </c>
      <c r="P348" s="318">
        <f t="shared" si="85"/>
        <v>0</v>
      </c>
      <c r="Q348" s="319"/>
      <c r="R348" s="318">
        <f t="shared" si="86"/>
        <v>0</v>
      </c>
      <c r="S348" s="318">
        <f t="shared" si="86"/>
        <v>0</v>
      </c>
      <c r="T348" s="318">
        <f t="shared" si="86"/>
        <v>0</v>
      </c>
      <c r="U348" s="318">
        <f t="shared" si="86"/>
        <v>0</v>
      </c>
      <c r="V348" s="318">
        <f t="shared" si="86"/>
        <v>0</v>
      </c>
      <c r="W348" s="318">
        <f t="shared" si="86"/>
        <v>0</v>
      </c>
      <c r="X348" s="318">
        <f t="shared" si="86"/>
        <v>0</v>
      </c>
      <c r="Y348" s="318">
        <f t="shared" si="86"/>
        <v>0</v>
      </c>
      <c r="AQ348" s="3"/>
    </row>
    <row r="349" spans="5:43" x14ac:dyDescent="0.25">
      <c r="E349" s="27"/>
      <c r="F349" s="62" t="s">
        <v>252</v>
      </c>
      <c r="G349" s="62" t="s">
        <v>251</v>
      </c>
      <c r="J349" s="319"/>
      <c r="K349" s="318">
        <f t="shared" si="85"/>
        <v>0</v>
      </c>
      <c r="L349" s="318">
        <f t="shared" si="85"/>
        <v>0</v>
      </c>
      <c r="M349" s="318">
        <f t="shared" si="85"/>
        <v>0</v>
      </c>
      <c r="N349" s="318">
        <f t="shared" si="85"/>
        <v>0</v>
      </c>
      <c r="O349" s="318">
        <f t="shared" si="85"/>
        <v>0</v>
      </c>
      <c r="P349" s="318">
        <f t="shared" si="85"/>
        <v>0</v>
      </c>
      <c r="Q349" s="319"/>
      <c r="R349" s="318">
        <f t="shared" si="86"/>
        <v>0</v>
      </c>
      <c r="S349" s="318">
        <f t="shared" si="86"/>
        <v>0</v>
      </c>
      <c r="T349" s="318">
        <f t="shared" si="86"/>
        <v>0</v>
      </c>
      <c r="U349" s="318">
        <f t="shared" si="86"/>
        <v>0</v>
      </c>
      <c r="V349" s="318">
        <f t="shared" si="86"/>
        <v>0</v>
      </c>
      <c r="W349" s="318">
        <f t="shared" si="86"/>
        <v>0</v>
      </c>
      <c r="X349" s="318">
        <f t="shared" si="86"/>
        <v>0</v>
      </c>
      <c r="Y349" s="318">
        <f t="shared" si="86"/>
        <v>0</v>
      </c>
      <c r="AQ349" s="3"/>
    </row>
    <row r="350" spans="5:43" x14ac:dyDescent="0.2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5.0198499999999999</v>
      </c>
      <c r="U350" s="90">
        <f t="shared" si="86"/>
        <v>0</v>
      </c>
      <c r="V350" s="90">
        <f t="shared" si="86"/>
        <v>0</v>
      </c>
      <c r="W350" s="90">
        <f t="shared" si="86"/>
        <v>0</v>
      </c>
      <c r="X350" s="90">
        <f t="shared" si="86"/>
        <v>3.266</v>
      </c>
      <c r="Y350" s="90">
        <f t="shared" si="86"/>
        <v>0</v>
      </c>
      <c r="AQ350" s="3"/>
    </row>
    <row r="351" spans="5:43" x14ac:dyDescent="0.25">
      <c r="AQ351" s="3"/>
    </row>
    <row r="352" spans="5:43" x14ac:dyDescent="0.25">
      <c r="E352" s="27" t="s">
        <v>968</v>
      </c>
      <c r="G352" s="12"/>
      <c r="I352" t="s">
        <v>154</v>
      </c>
      <c r="AQ352" s="3"/>
    </row>
    <row r="353" spans="3:43" x14ac:dyDescent="0.25">
      <c r="E353" s="27"/>
      <c r="F353" s="68" t="s">
        <v>247</v>
      </c>
      <c r="G353" s="68" t="s">
        <v>207</v>
      </c>
      <c r="H353" s="19"/>
      <c r="I353" s="19"/>
      <c r="J353" s="73"/>
      <c r="K353" s="116">
        <f t="shared" ref="K353:P359" si="87">K58+K335+K344</f>
        <v>97.101998282967941</v>
      </c>
      <c r="L353" s="116">
        <f t="shared" si="87"/>
        <v>0.84541270469587915</v>
      </c>
      <c r="M353" s="116">
        <f t="shared" si="87"/>
        <v>113.60366930781993</v>
      </c>
      <c r="N353" s="116">
        <f t="shared" si="87"/>
        <v>113.67037138779294</v>
      </c>
      <c r="O353" s="116">
        <f t="shared" si="87"/>
        <v>0.92942754552445628</v>
      </c>
      <c r="P353" s="116">
        <f t="shared" si="87"/>
        <v>514.89001982790273</v>
      </c>
      <c r="Q353" s="73"/>
      <c r="R353" s="116">
        <f t="shared" ref="R353:Y359" si="88">R58+R335+R344</f>
        <v>407.10202278917717</v>
      </c>
      <c r="S353" s="116">
        <f t="shared" si="88"/>
        <v>0</v>
      </c>
      <c r="T353" s="116">
        <f t="shared" si="88"/>
        <v>4588.4979110785662</v>
      </c>
      <c r="U353" s="116">
        <f t="shared" si="88"/>
        <v>0</v>
      </c>
      <c r="V353" s="116">
        <f t="shared" si="88"/>
        <v>1000.7714870643234</v>
      </c>
      <c r="W353" s="116">
        <f t="shared" si="88"/>
        <v>0</v>
      </c>
      <c r="X353" s="116">
        <f t="shared" si="88"/>
        <v>112520.57829750761</v>
      </c>
      <c r="Y353" s="116">
        <f t="shared" si="88"/>
        <v>0</v>
      </c>
      <c r="AQ353" s="3"/>
    </row>
    <row r="354" spans="3:43" x14ac:dyDescent="0.25">
      <c r="E354" s="27"/>
      <c r="F354" s="62" t="s">
        <v>248</v>
      </c>
      <c r="G354" s="62" t="s">
        <v>207</v>
      </c>
      <c r="J354" s="319"/>
      <c r="K354" s="318">
        <f t="shared" si="87"/>
        <v>2610.0714903095482</v>
      </c>
      <c r="L354" s="318">
        <f t="shared" si="87"/>
        <v>3.4947301543468345</v>
      </c>
      <c r="M354" s="318">
        <f t="shared" si="87"/>
        <v>928.08494967695549</v>
      </c>
      <c r="N354" s="318">
        <f t="shared" si="87"/>
        <v>490.41477022151486</v>
      </c>
      <c r="O354" s="318">
        <f t="shared" si="87"/>
        <v>3.5167763112993287</v>
      </c>
      <c r="P354" s="318">
        <f t="shared" si="87"/>
        <v>2048.4044602273625</v>
      </c>
      <c r="Q354" s="319"/>
      <c r="R354" s="318">
        <f t="shared" si="88"/>
        <v>1833.5949051998</v>
      </c>
      <c r="S354" s="318">
        <f t="shared" si="88"/>
        <v>0</v>
      </c>
      <c r="T354" s="318">
        <f t="shared" si="88"/>
        <v>20525.605245333853</v>
      </c>
      <c r="U354" s="318">
        <f t="shared" si="88"/>
        <v>0</v>
      </c>
      <c r="V354" s="318">
        <f t="shared" si="88"/>
        <v>3996.1654558994287</v>
      </c>
      <c r="W354" s="318">
        <f t="shared" si="88"/>
        <v>0</v>
      </c>
      <c r="X354" s="318">
        <f t="shared" si="88"/>
        <v>328225.11344676261</v>
      </c>
      <c r="Y354" s="318">
        <f t="shared" si="88"/>
        <v>0</v>
      </c>
      <c r="AQ354" s="3"/>
    </row>
    <row r="355" spans="3:43" x14ac:dyDescent="0.25">
      <c r="E355" s="27"/>
      <c r="F355" s="62" t="s">
        <v>249</v>
      </c>
      <c r="G355" s="62" t="s">
        <v>207</v>
      </c>
      <c r="J355" s="319"/>
      <c r="K355" s="318">
        <f t="shared" si="87"/>
        <v>10855.114741116735</v>
      </c>
      <c r="L355" s="318">
        <f t="shared" si="87"/>
        <v>3.8443571409572863</v>
      </c>
      <c r="M355" s="318">
        <f t="shared" si="87"/>
        <v>2405.8570016096082</v>
      </c>
      <c r="N355" s="318">
        <f t="shared" si="87"/>
        <v>704.50795839069224</v>
      </c>
      <c r="O355" s="318">
        <f t="shared" si="87"/>
        <v>4.3330961431762152</v>
      </c>
      <c r="P355" s="318">
        <f t="shared" si="87"/>
        <v>2865.4108199447342</v>
      </c>
      <c r="Q355" s="319"/>
      <c r="R355" s="318">
        <f t="shared" si="88"/>
        <v>1022.9660720110227</v>
      </c>
      <c r="S355" s="318">
        <f t="shared" si="88"/>
        <v>0</v>
      </c>
      <c r="T355" s="318">
        <f t="shared" si="88"/>
        <v>19225.931376920918</v>
      </c>
      <c r="U355" s="318">
        <f t="shared" si="88"/>
        <v>0</v>
      </c>
      <c r="V355" s="318">
        <f t="shared" si="88"/>
        <v>6019.197723702915</v>
      </c>
      <c r="W355" s="318">
        <f t="shared" si="88"/>
        <v>0</v>
      </c>
      <c r="X355" s="318">
        <f t="shared" si="88"/>
        <v>370994.99308906303</v>
      </c>
      <c r="Y355" s="318">
        <f t="shared" si="88"/>
        <v>0</v>
      </c>
      <c r="AQ355" s="3"/>
    </row>
    <row r="356" spans="3:43" x14ac:dyDescent="0.25">
      <c r="E356" s="27"/>
      <c r="F356" s="62" t="s">
        <v>212</v>
      </c>
      <c r="G356" s="62" t="s">
        <v>212</v>
      </c>
      <c r="J356" s="319"/>
      <c r="K356" s="318">
        <f t="shared" si="87"/>
        <v>0</v>
      </c>
      <c r="L356" s="318">
        <f t="shared" si="87"/>
        <v>8.1844999999999999</v>
      </c>
      <c r="M356" s="318">
        <f t="shared" si="87"/>
        <v>0</v>
      </c>
      <c r="N356" s="318">
        <f t="shared" si="87"/>
        <v>29</v>
      </c>
      <c r="O356" s="318">
        <f t="shared" si="87"/>
        <v>1</v>
      </c>
      <c r="P356" s="318">
        <f t="shared" si="87"/>
        <v>76</v>
      </c>
      <c r="Q356" s="319"/>
      <c r="R356" s="318">
        <f t="shared" si="88"/>
        <v>0</v>
      </c>
      <c r="S356" s="318">
        <f t="shared" si="88"/>
        <v>0</v>
      </c>
      <c r="T356" s="318">
        <f t="shared" si="88"/>
        <v>633.94808743169403</v>
      </c>
      <c r="U356" s="318">
        <f t="shared" si="88"/>
        <v>0</v>
      </c>
      <c r="V356" s="318">
        <f t="shared" si="88"/>
        <v>35.618169398907106</v>
      </c>
      <c r="W356" s="318">
        <f t="shared" si="88"/>
        <v>0</v>
      </c>
      <c r="X356" s="318">
        <f t="shared" si="88"/>
        <v>338.62978142076497</v>
      </c>
      <c r="Y356" s="318">
        <f t="shared" si="88"/>
        <v>0</v>
      </c>
      <c r="AQ356" s="3"/>
    </row>
    <row r="357" spans="3:43" x14ac:dyDescent="0.25">
      <c r="E357" s="27"/>
      <c r="F357" s="62" t="s">
        <v>250</v>
      </c>
      <c r="G357" s="62" t="s">
        <v>251</v>
      </c>
      <c r="J357" s="319"/>
      <c r="K357" s="318">
        <f t="shared" si="87"/>
        <v>0</v>
      </c>
      <c r="L357" s="318">
        <f t="shared" si="87"/>
        <v>0</v>
      </c>
      <c r="M357" s="318">
        <f t="shared" si="87"/>
        <v>0</v>
      </c>
      <c r="N357" s="318">
        <f t="shared" si="87"/>
        <v>1856</v>
      </c>
      <c r="O357" s="318">
        <f t="shared" si="87"/>
        <v>220</v>
      </c>
      <c r="P357" s="318">
        <f t="shared" si="87"/>
        <v>16548</v>
      </c>
      <c r="Q357" s="319"/>
      <c r="R357" s="318">
        <f t="shared" si="88"/>
        <v>0</v>
      </c>
      <c r="S357" s="318">
        <f t="shared" si="88"/>
        <v>0</v>
      </c>
      <c r="T357" s="318">
        <f t="shared" si="88"/>
        <v>0</v>
      </c>
      <c r="U357" s="318">
        <f t="shared" si="88"/>
        <v>0</v>
      </c>
      <c r="V357" s="318">
        <f t="shared" si="88"/>
        <v>0</v>
      </c>
      <c r="W357" s="318">
        <f t="shared" si="88"/>
        <v>0</v>
      </c>
      <c r="X357" s="318">
        <f t="shared" si="88"/>
        <v>0</v>
      </c>
      <c r="Y357" s="318">
        <f t="shared" si="88"/>
        <v>0</v>
      </c>
      <c r="AQ357" s="3"/>
    </row>
    <row r="358" spans="3:43" x14ac:dyDescent="0.25">
      <c r="E358" s="27"/>
      <c r="F358" s="62" t="s">
        <v>252</v>
      </c>
      <c r="G358" s="62" t="s">
        <v>251</v>
      </c>
      <c r="J358" s="319"/>
      <c r="K358" s="318">
        <f t="shared" si="87"/>
        <v>0</v>
      </c>
      <c r="L358" s="318">
        <f t="shared" si="87"/>
        <v>0</v>
      </c>
      <c r="M358" s="318">
        <f t="shared" si="87"/>
        <v>0</v>
      </c>
      <c r="N358" s="318">
        <f t="shared" si="87"/>
        <v>0</v>
      </c>
      <c r="O358" s="318">
        <f t="shared" si="87"/>
        <v>0</v>
      </c>
      <c r="P358" s="318">
        <f t="shared" si="87"/>
        <v>0</v>
      </c>
      <c r="Q358" s="319"/>
      <c r="R358" s="318">
        <f t="shared" si="88"/>
        <v>0</v>
      </c>
      <c r="S358" s="318">
        <f t="shared" si="88"/>
        <v>0</v>
      </c>
      <c r="T358" s="318">
        <f t="shared" si="88"/>
        <v>0</v>
      </c>
      <c r="U358" s="318">
        <f t="shared" si="88"/>
        <v>0</v>
      </c>
      <c r="V358" s="318">
        <f t="shared" si="88"/>
        <v>0</v>
      </c>
      <c r="W358" s="318">
        <f t="shared" si="88"/>
        <v>0</v>
      </c>
      <c r="X358" s="318">
        <f t="shared" si="88"/>
        <v>0</v>
      </c>
      <c r="Y358" s="318">
        <f t="shared" si="88"/>
        <v>0</v>
      </c>
      <c r="AQ358" s="3"/>
    </row>
    <row r="359" spans="3:43" x14ac:dyDescent="0.25">
      <c r="E359" s="27"/>
      <c r="F359" s="70" t="s">
        <v>253</v>
      </c>
      <c r="G359" s="70" t="s">
        <v>254</v>
      </c>
      <c r="H359" s="28"/>
      <c r="I359" s="28"/>
      <c r="J359" s="71"/>
      <c r="K359" s="90">
        <f t="shared" si="87"/>
        <v>0</v>
      </c>
      <c r="L359" s="90">
        <f t="shared" si="87"/>
        <v>0</v>
      </c>
      <c r="M359" s="90">
        <f t="shared" si="87"/>
        <v>0</v>
      </c>
      <c r="N359" s="90">
        <f t="shared" si="87"/>
        <v>288.15313798253834</v>
      </c>
      <c r="O359" s="90">
        <f t="shared" si="87"/>
        <v>192.90741538233189</v>
      </c>
      <c r="P359" s="90">
        <f t="shared" si="87"/>
        <v>374.50654211740863</v>
      </c>
      <c r="Q359" s="71"/>
      <c r="R359" s="90">
        <f t="shared" si="88"/>
        <v>0</v>
      </c>
      <c r="S359" s="90">
        <f t="shared" si="88"/>
        <v>0</v>
      </c>
      <c r="T359" s="90">
        <f t="shared" si="88"/>
        <v>3766.8398500000003</v>
      </c>
      <c r="U359" s="90">
        <f t="shared" si="88"/>
        <v>0</v>
      </c>
      <c r="V359" s="90">
        <f t="shared" si="88"/>
        <v>310.738</v>
      </c>
      <c r="W359" s="90">
        <f t="shared" si="88"/>
        <v>0</v>
      </c>
      <c r="X359" s="90">
        <f t="shared" si="88"/>
        <v>36887.486000000004</v>
      </c>
      <c r="Y359" s="90">
        <f t="shared" si="88"/>
        <v>0</v>
      </c>
      <c r="AQ359" s="3"/>
    </row>
    <row r="360" spans="3:43" x14ac:dyDescent="0.25">
      <c r="AQ360" s="3"/>
    </row>
    <row r="361" spans="3:43" x14ac:dyDescent="0.25">
      <c r="C361" s="26" t="str">
        <f ca="1">INDEX('Version control'!$H$36:$H$59,MATCH($A$1,'Version control'!$F$36:$F$59,0),1)&amp;"-E: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154</v>
      </c>
      <c r="AQ363" s="3"/>
    </row>
    <row r="364" spans="3:43" x14ac:dyDescent="0.25">
      <c r="E364" s="27"/>
      <c r="F364" s="68" t="s">
        <v>247</v>
      </c>
      <c r="G364" s="68" t="s">
        <v>207</v>
      </c>
      <c r="H364" s="19"/>
      <c r="I364" s="19"/>
      <c r="J364" s="116">
        <f t="shared" ref="J364:J370" si="89">(1 - J315) * J114</f>
        <v>10396.303327609528</v>
      </c>
      <c r="K364" s="73"/>
      <c r="L364" s="116">
        <f t="shared" ref="L364:L370" si="90">(1 - L315) * L114</f>
        <v>21.463336107902595</v>
      </c>
      <c r="M364" s="73"/>
      <c r="N364" s="116">
        <f t="shared" ref="N364:Q370" si="91">(1 - N315) * N114</f>
        <v>442.61538753235845</v>
      </c>
      <c r="O364" s="116">
        <f t="shared" si="91"/>
        <v>0</v>
      </c>
      <c r="P364" s="116">
        <f t="shared" si="91"/>
        <v>0</v>
      </c>
      <c r="Q364" s="116">
        <f t="shared" si="91"/>
        <v>3.4963547767127561</v>
      </c>
      <c r="R364" s="73"/>
      <c r="S364" s="73"/>
      <c r="T364" s="73"/>
      <c r="U364" s="73"/>
      <c r="V364" s="73"/>
      <c r="W364" s="73"/>
      <c r="X364" s="73"/>
      <c r="Y364" s="73"/>
      <c r="AQ364" s="3"/>
    </row>
    <row r="365" spans="3:43" x14ac:dyDescent="0.25">
      <c r="E365" s="27"/>
      <c r="F365" s="62" t="s">
        <v>248</v>
      </c>
      <c r="G365" s="62" t="s">
        <v>207</v>
      </c>
      <c r="J365" s="318">
        <f t="shared" si="89"/>
        <v>28472.248649583686</v>
      </c>
      <c r="K365" s="319"/>
      <c r="L365" s="318">
        <f t="shared" si="90"/>
        <v>92.255656570708936</v>
      </c>
      <c r="M365" s="319"/>
      <c r="N365" s="318">
        <f t="shared" si="91"/>
        <v>2278.0511236897692</v>
      </c>
      <c r="O365" s="318">
        <f t="shared" si="91"/>
        <v>0</v>
      </c>
      <c r="P365" s="318">
        <f t="shared" si="91"/>
        <v>0</v>
      </c>
      <c r="Q365" s="318">
        <f t="shared" si="91"/>
        <v>173.27336887297434</v>
      </c>
      <c r="R365" s="319"/>
      <c r="S365" s="319"/>
      <c r="T365" s="319"/>
      <c r="U365" s="319"/>
      <c r="V365" s="319"/>
      <c r="W365" s="319"/>
      <c r="X365" s="319"/>
      <c r="Y365" s="319"/>
      <c r="AQ365" s="3"/>
    </row>
    <row r="366" spans="3:43" x14ac:dyDescent="0.25">
      <c r="E366" s="27"/>
      <c r="F366" s="62" t="s">
        <v>249</v>
      </c>
      <c r="G366" s="62" t="s">
        <v>207</v>
      </c>
      <c r="J366" s="318">
        <f t="shared" si="89"/>
        <v>37080.137776202013</v>
      </c>
      <c r="K366" s="319"/>
      <c r="L366" s="318">
        <f t="shared" si="90"/>
        <v>91.355962663548127</v>
      </c>
      <c r="M366" s="319"/>
      <c r="N366" s="318">
        <f t="shared" si="91"/>
        <v>3186.085487677999</v>
      </c>
      <c r="O366" s="318">
        <f t="shared" si="91"/>
        <v>0</v>
      </c>
      <c r="P366" s="318">
        <f t="shared" si="91"/>
        <v>0</v>
      </c>
      <c r="Q366" s="318">
        <f t="shared" si="91"/>
        <v>269.38340109595543</v>
      </c>
      <c r="R366" s="319"/>
      <c r="S366" s="319"/>
      <c r="T366" s="319"/>
      <c r="U366" s="319"/>
      <c r="V366" s="319"/>
      <c r="W366" s="319"/>
      <c r="X366" s="319"/>
      <c r="Y366" s="319"/>
      <c r="AQ366" s="3"/>
    </row>
    <row r="367" spans="3:43" x14ac:dyDescent="0.25">
      <c r="E367" s="27"/>
      <c r="F367" s="62" t="s">
        <v>212</v>
      </c>
      <c r="G367" s="62" t="s">
        <v>212</v>
      </c>
      <c r="J367" s="318">
        <f t="shared" si="89"/>
        <v>24879.658017461228</v>
      </c>
      <c r="K367" s="319"/>
      <c r="L367" s="318">
        <f t="shared" si="90"/>
        <v>114.52812766753317</v>
      </c>
      <c r="M367" s="319"/>
      <c r="N367" s="318">
        <f t="shared" si="91"/>
        <v>35.695049503186624</v>
      </c>
      <c r="O367" s="318">
        <f t="shared" si="91"/>
        <v>0</v>
      </c>
      <c r="P367" s="318">
        <f t="shared" si="91"/>
        <v>0</v>
      </c>
      <c r="Q367" s="318">
        <f t="shared" si="91"/>
        <v>0</v>
      </c>
      <c r="R367" s="319"/>
      <c r="S367" s="319"/>
      <c r="T367" s="319"/>
      <c r="U367" s="319"/>
      <c r="V367" s="319"/>
      <c r="W367" s="319"/>
      <c r="X367" s="319"/>
      <c r="Y367" s="319"/>
      <c r="AQ367" s="3"/>
    </row>
    <row r="368" spans="3:43" x14ac:dyDescent="0.25">
      <c r="E368" s="27"/>
      <c r="F368" s="62" t="s">
        <v>250</v>
      </c>
      <c r="G368" s="62" t="s">
        <v>251</v>
      </c>
      <c r="J368" s="318">
        <f t="shared" si="89"/>
        <v>0</v>
      </c>
      <c r="K368" s="319"/>
      <c r="L368" s="318">
        <f t="shared" si="90"/>
        <v>0</v>
      </c>
      <c r="M368" s="319"/>
      <c r="N368" s="318">
        <f t="shared" si="91"/>
        <v>2844.135279413103</v>
      </c>
      <c r="O368" s="318">
        <f t="shared" si="91"/>
        <v>0</v>
      </c>
      <c r="P368" s="318">
        <f t="shared" si="91"/>
        <v>0</v>
      </c>
      <c r="Q368" s="318">
        <f t="shared" si="91"/>
        <v>0</v>
      </c>
      <c r="R368" s="319"/>
      <c r="S368" s="319"/>
      <c r="T368" s="319"/>
      <c r="U368" s="319"/>
      <c r="V368" s="319"/>
      <c r="W368" s="319"/>
      <c r="X368" s="319"/>
      <c r="Y368" s="319"/>
      <c r="AQ368" s="3"/>
    </row>
    <row r="369" spans="5:43" x14ac:dyDescent="0.25">
      <c r="E369" s="27"/>
      <c r="F369" s="62" t="s">
        <v>252</v>
      </c>
      <c r="G369" s="62" t="s">
        <v>251</v>
      </c>
      <c r="J369" s="318">
        <f t="shared" si="89"/>
        <v>0</v>
      </c>
      <c r="K369" s="319"/>
      <c r="L369" s="318">
        <f t="shared" si="90"/>
        <v>0</v>
      </c>
      <c r="M369" s="319"/>
      <c r="N369" s="318">
        <f t="shared" si="91"/>
        <v>3.6383380004709309</v>
      </c>
      <c r="O369" s="318">
        <f t="shared" si="91"/>
        <v>0</v>
      </c>
      <c r="P369" s="318">
        <f t="shared" si="91"/>
        <v>0</v>
      </c>
      <c r="Q369" s="318">
        <f t="shared" si="91"/>
        <v>0</v>
      </c>
      <c r="R369" s="319"/>
      <c r="S369" s="319"/>
      <c r="T369" s="319"/>
      <c r="U369" s="319"/>
      <c r="V369" s="319"/>
      <c r="W369" s="319"/>
      <c r="X369" s="319"/>
      <c r="Y369" s="319"/>
      <c r="AQ369" s="3"/>
    </row>
    <row r="370" spans="5:43" x14ac:dyDescent="0.25">
      <c r="E370" s="27"/>
      <c r="F370" s="70" t="s">
        <v>253</v>
      </c>
      <c r="G370" s="70" t="s">
        <v>254</v>
      </c>
      <c r="H370" s="28"/>
      <c r="I370" s="28"/>
      <c r="J370" s="90">
        <f t="shared" si="89"/>
        <v>0</v>
      </c>
      <c r="K370" s="71"/>
      <c r="L370" s="90">
        <f t="shared" si="90"/>
        <v>0</v>
      </c>
      <c r="M370" s="71"/>
      <c r="N370" s="90">
        <f t="shared" si="91"/>
        <v>346.28858244158016</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154</v>
      </c>
      <c r="AQ372" s="3"/>
    </row>
    <row r="373" spans="5:43" x14ac:dyDescent="0.25">
      <c r="E373" s="27"/>
      <c r="F373" s="68" t="s">
        <v>247</v>
      </c>
      <c r="G373" s="68" t="s">
        <v>207</v>
      </c>
      <c r="H373" s="19"/>
      <c r="I373" s="19"/>
      <c r="J373" s="116">
        <f t="shared" ref="J373:J379" si="92">(1 - J324) * J161</f>
        <v>13247.80248824712</v>
      </c>
      <c r="K373" s="73"/>
      <c r="L373" s="116">
        <f t="shared" ref="L373:L379" si="93">(1 - L324) * L161</f>
        <v>93.392691769193561</v>
      </c>
      <c r="M373" s="73"/>
      <c r="N373" s="116">
        <f t="shared" ref="N373:Q379" si="94">(1 - N324) * N161</f>
        <v>1894.6450426029544</v>
      </c>
      <c r="O373" s="116">
        <f t="shared" si="94"/>
        <v>43.375100354499551</v>
      </c>
      <c r="P373" s="116">
        <f t="shared" si="94"/>
        <v>1110.1364488847325</v>
      </c>
      <c r="Q373" s="116">
        <f t="shared" si="94"/>
        <v>3.1955550148042753</v>
      </c>
      <c r="R373" s="73"/>
      <c r="S373" s="73"/>
      <c r="T373" s="73"/>
      <c r="U373" s="73"/>
      <c r="V373" s="73"/>
      <c r="W373" s="73"/>
      <c r="X373" s="73"/>
      <c r="Y373" s="73"/>
      <c r="AQ373" s="3"/>
    </row>
    <row r="374" spans="5:43" x14ac:dyDescent="0.25">
      <c r="E374" s="27"/>
      <c r="F374" s="62" t="s">
        <v>248</v>
      </c>
      <c r="G374" s="62" t="s">
        <v>207</v>
      </c>
      <c r="J374" s="318">
        <f t="shared" si="92"/>
        <v>38088.514078368804</v>
      </c>
      <c r="K374" s="319"/>
      <c r="L374" s="318">
        <f t="shared" si="93"/>
        <v>223.58805984643607</v>
      </c>
      <c r="M374" s="319"/>
      <c r="N374" s="318">
        <f t="shared" si="94"/>
        <v>7306.1475499068174</v>
      </c>
      <c r="O374" s="318">
        <f t="shared" si="94"/>
        <v>231.09124808544644</v>
      </c>
      <c r="P374" s="318">
        <f t="shared" si="94"/>
        <v>4962.7889119956008</v>
      </c>
      <c r="Q374" s="318">
        <f t="shared" si="94"/>
        <v>215.02783447684254</v>
      </c>
      <c r="R374" s="319"/>
      <c r="S374" s="319"/>
      <c r="T374" s="319"/>
      <c r="U374" s="319"/>
      <c r="V374" s="319"/>
      <c r="W374" s="319"/>
      <c r="X374" s="319"/>
      <c r="Y374" s="319"/>
      <c r="AQ374" s="3"/>
    </row>
    <row r="375" spans="5:43" x14ac:dyDescent="0.25">
      <c r="E375" s="27"/>
      <c r="F375" s="62" t="s">
        <v>249</v>
      </c>
      <c r="G375" s="62" t="s">
        <v>207</v>
      </c>
      <c r="J375" s="318">
        <f t="shared" si="92"/>
        <v>54306.804866732615</v>
      </c>
      <c r="K375" s="319"/>
      <c r="L375" s="318">
        <f t="shared" si="93"/>
        <v>205.90377106900749</v>
      </c>
      <c r="M375" s="319"/>
      <c r="N375" s="318">
        <f t="shared" si="94"/>
        <v>8396.8927603955271</v>
      </c>
      <c r="O375" s="318">
        <f t="shared" si="94"/>
        <v>286.11297382007655</v>
      </c>
      <c r="P375" s="318">
        <f t="shared" si="94"/>
        <v>6670.4106504285019</v>
      </c>
      <c r="Q375" s="318">
        <f t="shared" si="94"/>
        <v>354.95960415540327</v>
      </c>
      <c r="R375" s="319"/>
      <c r="S375" s="319"/>
      <c r="T375" s="319"/>
      <c r="U375" s="319"/>
      <c r="V375" s="319"/>
      <c r="W375" s="319"/>
      <c r="X375" s="319"/>
      <c r="Y375" s="319"/>
      <c r="AQ375" s="3"/>
    </row>
    <row r="376" spans="5:43" x14ac:dyDescent="0.25">
      <c r="E376" s="27"/>
      <c r="F376" s="62" t="s">
        <v>212</v>
      </c>
      <c r="G376" s="62" t="s">
        <v>212</v>
      </c>
      <c r="J376" s="318">
        <f t="shared" si="92"/>
        <v>40039.589914801189</v>
      </c>
      <c r="K376" s="319"/>
      <c r="L376" s="318">
        <f t="shared" si="93"/>
        <v>428.04750694824003</v>
      </c>
      <c r="M376" s="319"/>
      <c r="N376" s="318">
        <f t="shared" si="94"/>
        <v>154.2915181515518</v>
      </c>
      <c r="O376" s="318">
        <f t="shared" si="94"/>
        <v>1.7786271082749245</v>
      </c>
      <c r="P376" s="318">
        <f t="shared" si="94"/>
        <v>27.085128290980279</v>
      </c>
      <c r="Q376" s="318">
        <f t="shared" si="94"/>
        <v>0</v>
      </c>
      <c r="R376" s="319"/>
      <c r="S376" s="319"/>
      <c r="T376" s="319"/>
      <c r="U376" s="319"/>
      <c r="V376" s="319"/>
      <c r="W376" s="319"/>
      <c r="X376" s="319"/>
      <c r="Y376" s="319"/>
      <c r="AQ376" s="3"/>
    </row>
    <row r="377" spans="5:43" x14ac:dyDescent="0.25">
      <c r="E377" s="27"/>
      <c r="F377" s="62" t="s">
        <v>250</v>
      </c>
      <c r="G377" s="62" t="s">
        <v>251</v>
      </c>
      <c r="J377" s="318">
        <f t="shared" si="92"/>
        <v>0</v>
      </c>
      <c r="K377" s="319"/>
      <c r="L377" s="318">
        <f t="shared" si="93"/>
        <v>0</v>
      </c>
      <c r="M377" s="319"/>
      <c r="N377" s="318">
        <f t="shared" si="94"/>
        <v>14734.100006471928</v>
      </c>
      <c r="O377" s="318">
        <f t="shared" si="94"/>
        <v>594.06810046644148</v>
      </c>
      <c r="P377" s="318">
        <f t="shared" si="94"/>
        <v>9902.4507749959739</v>
      </c>
      <c r="Q377" s="318">
        <f t="shared" si="94"/>
        <v>0</v>
      </c>
      <c r="R377" s="319"/>
      <c r="S377" s="319"/>
      <c r="T377" s="319"/>
      <c r="U377" s="319"/>
      <c r="V377" s="319"/>
      <c r="W377" s="319"/>
      <c r="X377" s="319"/>
      <c r="Y377" s="319"/>
      <c r="AQ377" s="3"/>
    </row>
    <row r="378" spans="5:43" x14ac:dyDescent="0.25">
      <c r="E378" s="27"/>
      <c r="F378" s="62" t="s">
        <v>252</v>
      </c>
      <c r="G378" s="62" t="s">
        <v>251</v>
      </c>
      <c r="J378" s="318">
        <f t="shared" si="92"/>
        <v>0</v>
      </c>
      <c r="K378" s="319"/>
      <c r="L378" s="318">
        <f t="shared" si="93"/>
        <v>0</v>
      </c>
      <c r="M378" s="319"/>
      <c r="N378" s="318">
        <f t="shared" si="94"/>
        <v>36.957168107370862</v>
      </c>
      <c r="O378" s="318">
        <f t="shared" si="94"/>
        <v>3.6900438770253619</v>
      </c>
      <c r="P378" s="318">
        <f t="shared" si="94"/>
        <v>110.98622573624434</v>
      </c>
      <c r="Q378" s="318">
        <f t="shared" si="94"/>
        <v>0</v>
      </c>
      <c r="R378" s="319"/>
      <c r="S378" s="319"/>
      <c r="T378" s="319"/>
      <c r="U378" s="319"/>
      <c r="V378" s="319"/>
      <c r="W378" s="319"/>
      <c r="X378" s="319"/>
      <c r="Y378" s="319"/>
      <c r="AQ378" s="3"/>
    </row>
    <row r="379" spans="5:43" x14ac:dyDescent="0.25">
      <c r="E379" s="27"/>
      <c r="F379" s="70" t="s">
        <v>253</v>
      </c>
      <c r="G379" s="70" t="s">
        <v>254</v>
      </c>
      <c r="H379" s="28"/>
      <c r="I379" s="28"/>
      <c r="J379" s="90">
        <f t="shared" si="92"/>
        <v>0</v>
      </c>
      <c r="K379" s="71"/>
      <c r="L379" s="90">
        <f t="shared" si="93"/>
        <v>0</v>
      </c>
      <c r="M379" s="71"/>
      <c r="N379" s="90">
        <f t="shared" si="94"/>
        <v>1269.7187766917555</v>
      </c>
      <c r="O379" s="90">
        <f t="shared" si="94"/>
        <v>33.515249543724444</v>
      </c>
      <c r="P379" s="90">
        <f t="shared" si="94"/>
        <v>162.40301234179827</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154</v>
      </c>
      <c r="AQ381" s="3"/>
    </row>
    <row r="382" spans="5:43" x14ac:dyDescent="0.25">
      <c r="E382" s="27"/>
      <c r="F382" s="68" t="s">
        <v>247</v>
      </c>
      <c r="G382" s="68" t="s">
        <v>207</v>
      </c>
      <c r="H382" s="19"/>
      <c r="I382" s="19"/>
      <c r="J382" s="116">
        <f t="shared" ref="J382:J388" si="95">J67+J364+J373</f>
        <v>982339.25157892017</v>
      </c>
      <c r="K382" s="73"/>
      <c r="L382" s="116">
        <f t="shared" ref="L382:L388" si="96">L67+L364+L373</f>
        <v>11902.49229375277</v>
      </c>
      <c r="M382" s="73"/>
      <c r="N382" s="116">
        <f t="shared" ref="N382:Q388" si="97">N67+N364+N373</f>
        <v>61190.855424937356</v>
      </c>
      <c r="O382" s="116">
        <f t="shared" si="97"/>
        <v>582.00865082499445</v>
      </c>
      <c r="P382" s="116">
        <f t="shared" si="97"/>
        <v>100333.82881532091</v>
      </c>
      <c r="Q382" s="116">
        <f t="shared" si="97"/>
        <v>10819.160910698545</v>
      </c>
      <c r="R382" s="73"/>
      <c r="S382" s="73"/>
      <c r="T382" s="73"/>
      <c r="U382" s="73"/>
      <c r="V382" s="73"/>
      <c r="W382" s="73"/>
      <c r="X382" s="73"/>
      <c r="Y382" s="73"/>
      <c r="AQ382" s="3"/>
    </row>
    <row r="383" spans="5:43" x14ac:dyDescent="0.25">
      <c r="E383" s="27"/>
      <c r="F383" s="62" t="s">
        <v>248</v>
      </c>
      <c r="G383" s="62" t="s">
        <v>207</v>
      </c>
      <c r="J383" s="318">
        <f t="shared" si="95"/>
        <v>2791486.3824818004</v>
      </c>
      <c r="K383" s="319"/>
      <c r="L383" s="318">
        <f t="shared" si="96"/>
        <v>49043.060232103402</v>
      </c>
      <c r="M383" s="319"/>
      <c r="N383" s="318">
        <f t="shared" si="97"/>
        <v>263499.72576921323</v>
      </c>
      <c r="O383" s="318">
        <f t="shared" si="97"/>
        <v>2269.1777238814707</v>
      </c>
      <c r="P383" s="318">
        <f t="shared" si="97"/>
        <v>399707.77556287317</v>
      </c>
      <c r="Q383" s="318">
        <f t="shared" si="97"/>
        <v>47234.121959902513</v>
      </c>
      <c r="R383" s="319"/>
      <c r="S383" s="319"/>
      <c r="T383" s="319"/>
      <c r="U383" s="319"/>
      <c r="V383" s="319"/>
      <c r="W383" s="319"/>
      <c r="X383" s="319"/>
      <c r="Y383" s="319"/>
      <c r="AQ383" s="3"/>
    </row>
    <row r="384" spans="5:43" x14ac:dyDescent="0.25">
      <c r="E384" s="27"/>
      <c r="F384" s="62" t="s">
        <v>249</v>
      </c>
      <c r="G384" s="62" t="s">
        <v>207</v>
      </c>
      <c r="J384" s="318">
        <f t="shared" si="95"/>
        <v>4975114.6920176791</v>
      </c>
      <c r="K384" s="319"/>
      <c r="L384" s="318">
        <f t="shared" si="96"/>
        <v>53899.344729637291</v>
      </c>
      <c r="M384" s="319"/>
      <c r="N384" s="318">
        <f t="shared" si="97"/>
        <v>376346.68533835711</v>
      </c>
      <c r="O384" s="318">
        <f t="shared" si="97"/>
        <v>2797.2833941157369</v>
      </c>
      <c r="P384" s="318">
        <f t="shared" si="97"/>
        <v>558859.48162268032</v>
      </c>
      <c r="Q384" s="318">
        <f t="shared" si="97"/>
        <v>180790.04896787592</v>
      </c>
      <c r="R384" s="319"/>
      <c r="S384" s="319"/>
      <c r="T384" s="319"/>
      <c r="U384" s="319"/>
      <c r="V384" s="319"/>
      <c r="W384" s="319"/>
      <c r="X384" s="319"/>
      <c r="Y384" s="319"/>
      <c r="AQ384" s="3"/>
    </row>
    <row r="385" spans="3:43" x14ac:dyDescent="0.25">
      <c r="E385" s="27"/>
      <c r="F385" s="62" t="s">
        <v>212</v>
      </c>
      <c r="G385" s="62" t="s">
        <v>212</v>
      </c>
      <c r="J385" s="318">
        <f t="shared" si="95"/>
        <v>2389874.3672400983</v>
      </c>
      <c r="K385" s="319"/>
      <c r="L385" s="318">
        <f t="shared" si="96"/>
        <v>71659.638905771921</v>
      </c>
      <c r="M385" s="319"/>
      <c r="N385" s="318">
        <f t="shared" si="97"/>
        <v>6728.8121035464419</v>
      </c>
      <c r="O385" s="318">
        <f t="shared" si="97"/>
        <v>24.806956900403353</v>
      </c>
      <c r="P385" s="318">
        <f t="shared" si="97"/>
        <v>2236.9847532876661</v>
      </c>
      <c r="Q385" s="318">
        <f t="shared" si="97"/>
        <v>2294</v>
      </c>
      <c r="R385" s="319"/>
      <c r="S385" s="319"/>
      <c r="T385" s="319"/>
      <c r="U385" s="319"/>
      <c r="V385" s="319"/>
      <c r="W385" s="319"/>
      <c r="X385" s="319"/>
      <c r="Y385" s="319"/>
      <c r="AQ385" s="3"/>
    </row>
    <row r="386" spans="3:43" x14ac:dyDescent="0.25">
      <c r="E386" s="27"/>
      <c r="F386" s="62" t="s">
        <v>250</v>
      </c>
      <c r="G386" s="62" t="s">
        <v>251</v>
      </c>
      <c r="J386" s="318">
        <f t="shared" si="95"/>
        <v>0</v>
      </c>
      <c r="K386" s="319"/>
      <c r="L386" s="318">
        <f t="shared" si="96"/>
        <v>0</v>
      </c>
      <c r="M386" s="319"/>
      <c r="N386" s="318">
        <f t="shared" si="97"/>
        <v>329624.20448627538</v>
      </c>
      <c r="O386" s="318">
        <f t="shared" si="97"/>
        <v>5978.0764052419072</v>
      </c>
      <c r="P386" s="318">
        <f t="shared" si="97"/>
        <v>493971.72502145596</v>
      </c>
      <c r="Q386" s="318">
        <f t="shared" si="97"/>
        <v>0</v>
      </c>
      <c r="R386" s="319"/>
      <c r="S386" s="319"/>
      <c r="T386" s="319"/>
      <c r="U386" s="319"/>
      <c r="V386" s="319"/>
      <c r="W386" s="319"/>
      <c r="X386" s="319"/>
      <c r="Y386" s="319"/>
      <c r="AQ386" s="3"/>
    </row>
    <row r="387" spans="3:43" x14ac:dyDescent="0.25">
      <c r="E387" s="27"/>
      <c r="F387" s="62" t="s">
        <v>252</v>
      </c>
      <c r="G387" s="62" t="s">
        <v>251</v>
      </c>
      <c r="J387" s="318">
        <f t="shared" si="95"/>
        <v>0</v>
      </c>
      <c r="K387" s="319"/>
      <c r="L387" s="318">
        <f t="shared" si="96"/>
        <v>0</v>
      </c>
      <c r="M387" s="319"/>
      <c r="N387" s="318">
        <f t="shared" si="97"/>
        <v>5300.1161257494086</v>
      </c>
      <c r="O387" s="318">
        <f t="shared" si="97"/>
        <v>28.692885670945969</v>
      </c>
      <c r="P387" s="318">
        <f t="shared" si="97"/>
        <v>7473.9066419944438</v>
      </c>
      <c r="Q387" s="318">
        <f t="shared" si="97"/>
        <v>0</v>
      </c>
      <c r="R387" s="319"/>
      <c r="S387" s="319"/>
      <c r="T387" s="319"/>
      <c r="U387" s="319"/>
      <c r="V387" s="319"/>
      <c r="W387" s="319"/>
      <c r="X387" s="319"/>
      <c r="Y387" s="319"/>
      <c r="AQ387" s="3"/>
    </row>
    <row r="388" spans="3:43" x14ac:dyDescent="0.25">
      <c r="E388" s="27"/>
      <c r="F388" s="70" t="s">
        <v>253</v>
      </c>
      <c r="G388" s="70" t="s">
        <v>254</v>
      </c>
      <c r="H388" s="28"/>
      <c r="I388" s="28"/>
      <c r="J388" s="90">
        <f t="shared" si="95"/>
        <v>0</v>
      </c>
      <c r="K388" s="71"/>
      <c r="L388" s="90">
        <f t="shared" si="96"/>
        <v>0</v>
      </c>
      <c r="M388" s="71"/>
      <c r="N388" s="90">
        <f t="shared" si="97"/>
        <v>57920.887072735801</v>
      </c>
      <c r="O388" s="90">
        <f t="shared" si="97"/>
        <v>149.12200784056378</v>
      </c>
      <c r="P388" s="90">
        <f t="shared" si="97"/>
        <v>113797.87626098795</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control'!$H$36:$H$59,MATCH($A$1,'Version control'!$F$36:$F$59,0),1)&amp;"-F: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154</v>
      </c>
      <c r="AQ392" s="3"/>
    </row>
    <row r="393" spans="3:43" x14ac:dyDescent="0.25">
      <c r="E393" s="27"/>
      <c r="F393" s="68" t="s">
        <v>247</v>
      </c>
      <c r="G393" s="68" t="s">
        <v>207</v>
      </c>
      <c r="H393" s="19"/>
      <c r="I393" s="19"/>
      <c r="J393" s="73"/>
      <c r="K393" s="73"/>
      <c r="L393" s="116">
        <f t="shared" ref="L393:L399" si="98">(1 - L315) * L123</f>
        <v>80.465747416378747</v>
      </c>
      <c r="M393" s="73"/>
      <c r="N393" s="116">
        <f t="shared" ref="N393:P399" si="99">(1 - N315) * N123</f>
        <v>668.09746754670721</v>
      </c>
      <c r="O393" s="116">
        <f t="shared" si="99"/>
        <v>0</v>
      </c>
      <c r="P393" s="116">
        <f t="shared" si="99"/>
        <v>0</v>
      </c>
      <c r="Q393" s="73"/>
      <c r="R393" s="73"/>
      <c r="S393" s="73"/>
      <c r="T393" s="73"/>
      <c r="U393" s="73"/>
      <c r="V393" s="73"/>
      <c r="W393" s="73"/>
      <c r="X393" s="73"/>
      <c r="Y393" s="73"/>
      <c r="AQ393" s="3"/>
    </row>
    <row r="394" spans="3:43" x14ac:dyDescent="0.25">
      <c r="E394" s="27"/>
      <c r="F394" s="62" t="s">
        <v>248</v>
      </c>
      <c r="G394" s="62" t="s">
        <v>207</v>
      </c>
      <c r="J394" s="319"/>
      <c r="K394" s="319"/>
      <c r="L394" s="318">
        <f t="shared" si="98"/>
        <v>345.86516849156618</v>
      </c>
      <c r="M394" s="319"/>
      <c r="N394" s="318">
        <f t="shared" si="99"/>
        <v>3438.5614001451745</v>
      </c>
      <c r="O394" s="318">
        <f t="shared" si="99"/>
        <v>0</v>
      </c>
      <c r="P394" s="318">
        <f t="shared" si="99"/>
        <v>0</v>
      </c>
      <c r="Q394" s="319"/>
      <c r="R394" s="319"/>
      <c r="S394" s="319"/>
      <c r="T394" s="319"/>
      <c r="U394" s="319"/>
      <c r="V394" s="319"/>
      <c r="W394" s="319"/>
      <c r="X394" s="319"/>
      <c r="Y394" s="319"/>
      <c r="AQ394" s="3"/>
    </row>
    <row r="395" spans="3:43" x14ac:dyDescent="0.25">
      <c r="E395" s="27"/>
      <c r="F395" s="62" t="s">
        <v>249</v>
      </c>
      <c r="G395" s="62" t="s">
        <v>207</v>
      </c>
      <c r="J395" s="319"/>
      <c r="K395" s="319"/>
      <c r="L395" s="318">
        <f t="shared" si="98"/>
        <v>342.49222859435224</v>
      </c>
      <c r="M395" s="319"/>
      <c r="N395" s="318">
        <f t="shared" si="99"/>
        <v>4809.1767834198245</v>
      </c>
      <c r="O395" s="318">
        <f t="shared" si="99"/>
        <v>0</v>
      </c>
      <c r="P395" s="318">
        <f t="shared" si="99"/>
        <v>0</v>
      </c>
      <c r="Q395" s="319"/>
      <c r="R395" s="319"/>
      <c r="S395" s="319"/>
      <c r="T395" s="319"/>
      <c r="U395" s="319"/>
      <c r="V395" s="319"/>
      <c r="W395" s="319"/>
      <c r="X395" s="319"/>
      <c r="Y395" s="319"/>
      <c r="AQ395" s="3"/>
    </row>
    <row r="396" spans="3:43" x14ac:dyDescent="0.25">
      <c r="E396" s="27"/>
      <c r="F396" s="62" t="s">
        <v>212</v>
      </c>
      <c r="G396" s="62" t="s">
        <v>212</v>
      </c>
      <c r="J396" s="319"/>
      <c r="K396" s="319"/>
      <c r="L396" s="318">
        <f t="shared" si="98"/>
        <v>86.213576186689238</v>
      </c>
      <c r="M396" s="319"/>
      <c r="N396" s="318">
        <f t="shared" si="99"/>
        <v>28.657222420038647</v>
      </c>
      <c r="O396" s="318">
        <f t="shared" si="99"/>
        <v>0</v>
      </c>
      <c r="P396" s="318">
        <f t="shared" si="99"/>
        <v>0</v>
      </c>
      <c r="Q396" s="319"/>
      <c r="R396" s="319"/>
      <c r="S396" s="319"/>
      <c r="T396" s="319"/>
      <c r="U396" s="319"/>
      <c r="V396" s="319"/>
      <c r="W396" s="319"/>
      <c r="X396" s="319"/>
      <c r="Y396" s="319"/>
      <c r="AQ396" s="3"/>
    </row>
    <row r="397" spans="3:43" x14ac:dyDescent="0.25">
      <c r="E397" s="27"/>
      <c r="F397" s="62" t="s">
        <v>250</v>
      </c>
      <c r="G397" s="62" t="s">
        <v>251</v>
      </c>
      <c r="J397" s="319"/>
      <c r="K397" s="319"/>
      <c r="L397" s="318">
        <f t="shared" si="98"/>
        <v>0</v>
      </c>
      <c r="M397" s="319"/>
      <c r="N397" s="318">
        <f t="shared" si="99"/>
        <v>5524.399547811865</v>
      </c>
      <c r="O397" s="318">
        <f t="shared" si="99"/>
        <v>0</v>
      </c>
      <c r="P397" s="318">
        <f t="shared" si="99"/>
        <v>0</v>
      </c>
      <c r="Q397" s="319"/>
      <c r="R397" s="319"/>
      <c r="S397" s="319"/>
      <c r="T397" s="319"/>
      <c r="U397" s="319"/>
      <c r="V397" s="319"/>
      <c r="W397" s="319"/>
      <c r="X397" s="319"/>
      <c r="Y397" s="319"/>
      <c r="AQ397" s="3"/>
    </row>
    <row r="398" spans="3:43" x14ac:dyDescent="0.25">
      <c r="E398" s="27"/>
      <c r="F398" s="62" t="s">
        <v>252</v>
      </c>
      <c r="G398" s="62" t="s">
        <v>251</v>
      </c>
      <c r="J398" s="319"/>
      <c r="K398" s="319"/>
      <c r="L398" s="318">
        <f t="shared" si="98"/>
        <v>0</v>
      </c>
      <c r="M398" s="319"/>
      <c r="N398" s="318">
        <f t="shared" si="99"/>
        <v>7.0670452808897197</v>
      </c>
      <c r="O398" s="318">
        <f t="shared" si="99"/>
        <v>0</v>
      </c>
      <c r="P398" s="318">
        <f t="shared" si="99"/>
        <v>0</v>
      </c>
      <c r="Q398" s="319"/>
      <c r="R398" s="319"/>
      <c r="S398" s="319"/>
      <c r="T398" s="319"/>
      <c r="U398" s="319"/>
      <c r="V398" s="319"/>
      <c r="W398" s="319"/>
      <c r="X398" s="319"/>
      <c r="Y398" s="319"/>
      <c r="AQ398" s="3"/>
    </row>
    <row r="399" spans="3:43" x14ac:dyDescent="0.25">
      <c r="E399" s="27"/>
      <c r="F399" s="70" t="s">
        <v>253</v>
      </c>
      <c r="G399" s="70" t="s">
        <v>254</v>
      </c>
      <c r="H399" s="28"/>
      <c r="I399" s="28"/>
      <c r="J399" s="71"/>
      <c r="K399" s="71"/>
      <c r="L399" s="90">
        <f t="shared" si="98"/>
        <v>0</v>
      </c>
      <c r="M399" s="71"/>
      <c r="N399" s="90">
        <f t="shared" si="99"/>
        <v>522.69878428626737</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154</v>
      </c>
      <c r="AQ401" s="3"/>
    </row>
    <row r="402" spans="5:43" x14ac:dyDescent="0.25">
      <c r="E402" s="27"/>
      <c r="F402" s="68" t="s">
        <v>247</v>
      </c>
      <c r="G402" s="68" t="s">
        <v>207</v>
      </c>
      <c r="H402" s="19"/>
      <c r="I402" s="19"/>
      <c r="J402" s="73"/>
      <c r="K402" s="73"/>
      <c r="L402" s="116">
        <f t="shared" ref="L402:L408" si="100">(1 - L324) * L170</f>
        <v>350.12789757640348</v>
      </c>
      <c r="M402" s="73"/>
      <c r="N402" s="116">
        <f t="shared" ref="N402:P408" si="101">(1 - N324) * N170</f>
        <v>2859.8363060082656</v>
      </c>
      <c r="O402" s="116">
        <f t="shared" si="101"/>
        <v>65.60757792970692</v>
      </c>
      <c r="P402" s="116">
        <f t="shared" si="101"/>
        <v>1911.8756265679062</v>
      </c>
      <c r="Q402" s="73"/>
      <c r="R402" s="73"/>
      <c r="S402" s="73"/>
      <c r="T402" s="73"/>
      <c r="U402" s="73"/>
      <c r="V402" s="73"/>
      <c r="W402" s="73"/>
      <c r="X402" s="73"/>
      <c r="Y402" s="73"/>
      <c r="AQ402" s="3"/>
    </row>
    <row r="403" spans="5:43" x14ac:dyDescent="0.25">
      <c r="E403" s="27"/>
      <c r="F403" s="62" t="s">
        <v>248</v>
      </c>
      <c r="G403" s="62" t="s">
        <v>207</v>
      </c>
      <c r="J403" s="319"/>
      <c r="K403" s="319"/>
      <c r="L403" s="318">
        <f t="shared" si="100"/>
        <v>838.22851482521014</v>
      </c>
      <c r="M403" s="319"/>
      <c r="N403" s="318">
        <f t="shared" si="101"/>
        <v>11028.126931665862</v>
      </c>
      <c r="O403" s="318">
        <f t="shared" si="101"/>
        <v>349.54010350932566</v>
      </c>
      <c r="P403" s="318">
        <f t="shared" si="101"/>
        <v>8546.9089589644009</v>
      </c>
      <c r="Q403" s="319"/>
      <c r="R403" s="319"/>
      <c r="S403" s="319"/>
      <c r="T403" s="319"/>
      <c r="U403" s="319"/>
      <c r="V403" s="319"/>
      <c r="W403" s="319"/>
      <c r="X403" s="319"/>
      <c r="Y403" s="319"/>
      <c r="AQ403" s="3"/>
    </row>
    <row r="404" spans="5:43" x14ac:dyDescent="0.25">
      <c r="E404" s="27"/>
      <c r="F404" s="62" t="s">
        <v>249</v>
      </c>
      <c r="G404" s="62" t="s">
        <v>207</v>
      </c>
      <c r="J404" s="319"/>
      <c r="K404" s="319"/>
      <c r="L404" s="318">
        <f t="shared" si="100"/>
        <v>771.93036309105617</v>
      </c>
      <c r="M404" s="319"/>
      <c r="N404" s="318">
        <f t="shared" si="101"/>
        <v>12674.531763926538</v>
      </c>
      <c r="O404" s="318">
        <f t="shared" si="101"/>
        <v>432.7639376782127</v>
      </c>
      <c r="P404" s="318">
        <f t="shared" si="101"/>
        <v>11487.773016159559</v>
      </c>
      <c r="Q404" s="319"/>
      <c r="R404" s="319"/>
      <c r="S404" s="319"/>
      <c r="T404" s="319"/>
      <c r="U404" s="319"/>
      <c r="V404" s="319"/>
      <c r="W404" s="319"/>
      <c r="X404" s="319"/>
      <c r="Y404" s="319"/>
      <c r="AQ404" s="3"/>
    </row>
    <row r="405" spans="5:43" x14ac:dyDescent="0.25">
      <c r="E405" s="27"/>
      <c r="F405" s="62" t="s">
        <v>212</v>
      </c>
      <c r="G405" s="62" t="s">
        <v>212</v>
      </c>
      <c r="J405" s="319"/>
      <c r="K405" s="319"/>
      <c r="L405" s="318">
        <f t="shared" si="100"/>
        <v>322.22220954255602</v>
      </c>
      <c r="M405" s="319"/>
      <c r="N405" s="318">
        <f t="shared" si="101"/>
        <v>123.87057630497812</v>
      </c>
      <c r="O405" s="318">
        <f t="shared" si="101"/>
        <v>2.032716695171342</v>
      </c>
      <c r="P405" s="318">
        <f t="shared" si="101"/>
        <v>14.506447714564169</v>
      </c>
      <c r="Q405" s="319"/>
      <c r="R405" s="319"/>
      <c r="S405" s="319"/>
      <c r="T405" s="319"/>
      <c r="U405" s="319"/>
      <c r="V405" s="319"/>
      <c r="W405" s="319"/>
      <c r="X405" s="319"/>
      <c r="Y405" s="319"/>
      <c r="AQ405" s="3"/>
    </row>
    <row r="406" spans="5:43" x14ac:dyDescent="0.25">
      <c r="E406" s="27"/>
      <c r="F406" s="62" t="s">
        <v>250</v>
      </c>
      <c r="G406" s="62" t="s">
        <v>251</v>
      </c>
      <c r="J406" s="319"/>
      <c r="K406" s="319"/>
      <c r="L406" s="318">
        <f t="shared" si="100"/>
        <v>0</v>
      </c>
      <c r="M406" s="319"/>
      <c r="N406" s="318">
        <f t="shared" si="101"/>
        <v>28619.262945173577</v>
      </c>
      <c r="O406" s="318">
        <f t="shared" si="101"/>
        <v>338.6558693303499</v>
      </c>
      <c r="P406" s="318">
        <f t="shared" si="101"/>
        <v>15508.883062162578</v>
      </c>
      <c r="Q406" s="319"/>
      <c r="R406" s="319"/>
      <c r="S406" s="319"/>
      <c r="T406" s="319"/>
      <c r="U406" s="319"/>
      <c r="V406" s="319"/>
      <c r="W406" s="319"/>
      <c r="X406" s="319"/>
      <c r="Y406" s="319"/>
      <c r="AQ406" s="3"/>
    </row>
    <row r="407" spans="5:43" x14ac:dyDescent="0.25">
      <c r="E407" s="27"/>
      <c r="F407" s="62" t="s">
        <v>252</v>
      </c>
      <c r="G407" s="62" t="s">
        <v>251</v>
      </c>
      <c r="J407" s="319"/>
      <c r="K407" s="319"/>
      <c r="L407" s="318">
        <f t="shared" si="100"/>
        <v>0</v>
      </c>
      <c r="M407" s="319"/>
      <c r="N407" s="318">
        <f t="shared" si="101"/>
        <v>71.78496897056776</v>
      </c>
      <c r="O407" s="318">
        <f t="shared" si="101"/>
        <v>2.1035551581712149</v>
      </c>
      <c r="P407" s="318">
        <f t="shared" si="101"/>
        <v>173.822868254035</v>
      </c>
      <c r="Q407" s="319"/>
      <c r="R407" s="319"/>
      <c r="S407" s="319"/>
      <c r="T407" s="319"/>
      <c r="U407" s="319"/>
      <c r="V407" s="319"/>
      <c r="W407" s="319"/>
      <c r="X407" s="319"/>
      <c r="Y407" s="319"/>
      <c r="AQ407" s="3"/>
    </row>
    <row r="408" spans="5:43" x14ac:dyDescent="0.25">
      <c r="E408" s="27"/>
      <c r="F408" s="70" t="s">
        <v>253</v>
      </c>
      <c r="G408" s="70" t="s">
        <v>254</v>
      </c>
      <c r="H408" s="28"/>
      <c r="I408" s="28"/>
      <c r="J408" s="71"/>
      <c r="K408" s="71"/>
      <c r="L408" s="90">
        <f t="shared" si="100"/>
        <v>0</v>
      </c>
      <c r="M408" s="71"/>
      <c r="N408" s="90">
        <f t="shared" si="101"/>
        <v>1916.5531138301158</v>
      </c>
      <c r="O408" s="90">
        <f t="shared" si="101"/>
        <v>50.693931041138804</v>
      </c>
      <c r="P408" s="90">
        <f t="shared" si="101"/>
        <v>279.69026806517388</v>
      </c>
      <c r="Q408" s="71"/>
      <c r="R408" s="71"/>
      <c r="S408" s="71"/>
      <c r="T408" s="71"/>
      <c r="U408" s="71"/>
      <c r="V408" s="71"/>
      <c r="W408" s="71"/>
      <c r="X408" s="71"/>
      <c r="Y408" s="71"/>
      <c r="AQ408" s="3"/>
    </row>
    <row r="409" spans="5:43" x14ac:dyDescent="0.25">
      <c r="AQ409" s="3"/>
    </row>
    <row r="410" spans="5:43" x14ac:dyDescent="0.25">
      <c r="E410" s="27" t="s">
        <v>977</v>
      </c>
      <c r="G410" s="12"/>
      <c r="I410" t="s">
        <v>154</v>
      </c>
      <c r="AQ410" s="3"/>
    </row>
    <row r="411" spans="5:43" x14ac:dyDescent="0.25">
      <c r="E411" s="27"/>
      <c r="F411" s="68" t="s">
        <v>247</v>
      </c>
      <c r="G411" s="68" t="s">
        <v>207</v>
      </c>
      <c r="H411" s="19"/>
      <c r="I411" s="19"/>
      <c r="J411" s="73"/>
      <c r="K411" s="73"/>
      <c r="L411" s="116">
        <f t="shared" ref="L411:L417" si="102">L76+L393+L402</f>
        <v>44625.446877617796</v>
      </c>
      <c r="M411" s="73"/>
      <c r="N411" s="116">
        <f t="shared" ref="N411:P417" si="103">N76+N393+N402</f>
        <v>92385.394201231844</v>
      </c>
      <c r="O411" s="116">
        <f t="shared" si="103"/>
        <v>880.32483158977493</v>
      </c>
      <c r="P411" s="116">
        <f t="shared" si="103"/>
        <v>173591.48498803456</v>
      </c>
      <c r="Q411" s="73"/>
      <c r="R411" s="73"/>
      <c r="S411" s="73"/>
      <c r="T411" s="73"/>
      <c r="U411" s="73"/>
      <c r="V411" s="73"/>
      <c r="W411" s="73"/>
      <c r="X411" s="73"/>
      <c r="Y411" s="73"/>
      <c r="AQ411" s="3"/>
    </row>
    <row r="412" spans="5:43" x14ac:dyDescent="0.25">
      <c r="E412" s="27"/>
      <c r="F412" s="62" t="s">
        <v>248</v>
      </c>
      <c r="G412" s="62" t="s">
        <v>207</v>
      </c>
      <c r="J412" s="319"/>
      <c r="K412" s="319"/>
      <c r="L412" s="318">
        <f t="shared" si="102"/>
        <v>183874.84980880862</v>
      </c>
      <c r="M412" s="319"/>
      <c r="N412" s="318">
        <f t="shared" si="103"/>
        <v>397829.65711671149</v>
      </c>
      <c r="O412" s="318">
        <f t="shared" si="103"/>
        <v>3432.2745800970774</v>
      </c>
      <c r="P412" s="318">
        <f t="shared" si="103"/>
        <v>691545.73201570509</v>
      </c>
      <c r="Q412" s="319"/>
      <c r="R412" s="319"/>
      <c r="S412" s="319"/>
      <c r="T412" s="319"/>
      <c r="U412" s="319"/>
      <c r="V412" s="319"/>
      <c r="W412" s="319"/>
      <c r="X412" s="319"/>
      <c r="Y412" s="319"/>
      <c r="AQ412" s="3"/>
    </row>
    <row r="413" spans="5:43" x14ac:dyDescent="0.25">
      <c r="E413" s="27"/>
      <c r="F413" s="62" t="s">
        <v>249</v>
      </c>
      <c r="G413" s="62" t="s">
        <v>207</v>
      </c>
      <c r="J413" s="319"/>
      <c r="K413" s="319"/>
      <c r="L413" s="318">
        <f t="shared" si="102"/>
        <v>202082.30333759842</v>
      </c>
      <c r="M413" s="319"/>
      <c r="N413" s="318">
        <f t="shared" si="103"/>
        <v>568205.82961896865</v>
      </c>
      <c r="O413" s="318">
        <f t="shared" si="103"/>
        <v>4231.0677501841301</v>
      </c>
      <c r="P413" s="318">
        <f t="shared" si="103"/>
        <v>966900.756924171</v>
      </c>
      <c r="Q413" s="319"/>
      <c r="R413" s="319"/>
      <c r="S413" s="319"/>
      <c r="T413" s="319"/>
      <c r="U413" s="319"/>
      <c r="V413" s="319"/>
      <c r="W413" s="319"/>
      <c r="X413" s="319"/>
      <c r="Y413" s="319"/>
      <c r="AQ413" s="3"/>
    </row>
    <row r="414" spans="5:43" x14ac:dyDescent="0.25">
      <c r="E414" s="27"/>
      <c r="F414" s="62" t="s">
        <v>212</v>
      </c>
      <c r="G414" s="62" t="s">
        <v>212</v>
      </c>
      <c r="J414" s="319"/>
      <c r="K414" s="319"/>
      <c r="L414" s="318">
        <f t="shared" si="102"/>
        <v>53949.53605863652</v>
      </c>
      <c r="M414" s="319"/>
      <c r="N414" s="318">
        <f t="shared" si="103"/>
        <v>5401.954662028309</v>
      </c>
      <c r="O414" s="318">
        <f t="shared" si="103"/>
        <v>28.350807886175257</v>
      </c>
      <c r="P414" s="318">
        <f t="shared" si="103"/>
        <v>1233.6626525615436</v>
      </c>
      <c r="Q414" s="319"/>
      <c r="R414" s="319"/>
      <c r="S414" s="319"/>
      <c r="T414" s="319"/>
      <c r="U414" s="319"/>
      <c r="V414" s="319"/>
      <c r="W414" s="319"/>
      <c r="X414" s="319"/>
      <c r="Y414" s="319"/>
      <c r="AQ414" s="3"/>
    </row>
    <row r="415" spans="5:43" x14ac:dyDescent="0.25">
      <c r="E415" s="27"/>
      <c r="F415" s="62" t="s">
        <v>250</v>
      </c>
      <c r="G415" s="62" t="s">
        <v>251</v>
      </c>
      <c r="J415" s="319"/>
      <c r="K415" s="319"/>
      <c r="L415" s="318">
        <f t="shared" si="102"/>
        <v>0</v>
      </c>
      <c r="M415" s="319"/>
      <c r="N415" s="318">
        <f t="shared" si="103"/>
        <v>640743.85195919499</v>
      </c>
      <c r="O415" s="318">
        <f t="shared" si="103"/>
        <v>3407.8764039861358</v>
      </c>
      <c r="P415" s="318">
        <f t="shared" si="103"/>
        <v>793231.8981153944</v>
      </c>
      <c r="Q415" s="319"/>
      <c r="R415" s="319"/>
      <c r="S415" s="319"/>
      <c r="T415" s="319"/>
      <c r="U415" s="319"/>
      <c r="V415" s="319"/>
      <c r="W415" s="319"/>
      <c r="X415" s="319"/>
      <c r="Y415" s="319"/>
      <c r="AQ415" s="3"/>
    </row>
    <row r="416" spans="5:43" x14ac:dyDescent="0.25">
      <c r="E416" s="27"/>
      <c r="F416" s="62" t="s">
        <v>252</v>
      </c>
      <c r="G416" s="62" t="s">
        <v>251</v>
      </c>
      <c r="J416" s="319"/>
      <c r="K416" s="319"/>
      <c r="L416" s="318">
        <f t="shared" si="102"/>
        <v>0</v>
      </c>
      <c r="M416" s="319"/>
      <c r="N416" s="318">
        <f t="shared" si="103"/>
        <v>10294.854587395865</v>
      </c>
      <c r="O416" s="318">
        <f t="shared" si="103"/>
        <v>16.356734409508078</v>
      </c>
      <c r="P416" s="318">
        <f t="shared" si="103"/>
        <v>11705.379482510896</v>
      </c>
      <c r="Q416" s="319"/>
      <c r="R416" s="319"/>
      <c r="S416" s="319"/>
      <c r="T416" s="319"/>
      <c r="U416" s="319"/>
      <c r="V416" s="319"/>
      <c r="W416" s="319"/>
      <c r="X416" s="319"/>
      <c r="Y416" s="319"/>
      <c r="AQ416" s="3"/>
    </row>
    <row r="417" spans="3:43" x14ac:dyDescent="0.25">
      <c r="E417" s="27"/>
      <c r="F417" s="70" t="s">
        <v>253</v>
      </c>
      <c r="G417" s="70" t="s">
        <v>254</v>
      </c>
      <c r="H417" s="28"/>
      <c r="I417" s="28"/>
      <c r="J417" s="71"/>
      <c r="K417" s="71"/>
      <c r="L417" s="90">
        <f t="shared" si="102"/>
        <v>0</v>
      </c>
      <c r="M417" s="71"/>
      <c r="N417" s="90">
        <f t="shared" si="103"/>
        <v>87791.084070454672</v>
      </c>
      <c r="O417" s="90">
        <f t="shared" si="103"/>
        <v>469.42751040175432</v>
      </c>
      <c r="P417" s="90">
        <f t="shared" si="103"/>
        <v>196524.5969580824</v>
      </c>
      <c r="Q417" s="71"/>
      <c r="R417" s="71"/>
      <c r="S417" s="71"/>
      <c r="T417" s="71"/>
      <c r="U417" s="71"/>
      <c r="V417" s="71"/>
      <c r="W417" s="71"/>
      <c r="X417" s="71"/>
      <c r="Y417" s="71"/>
      <c r="AQ417" s="3"/>
    </row>
    <row r="418" spans="3:43" x14ac:dyDescent="0.25">
      <c r="AQ418" s="3"/>
    </row>
    <row r="419" spans="3:43" x14ac:dyDescent="0.25">
      <c r="C419" s="26" t="str">
        <f ca="1">INDEX('Version control'!$H$36:$H$59,MATCH($A$1,'Version control'!$F$36:$F$59,0),1)&amp;"-G: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154</v>
      </c>
      <c r="AQ421" s="3"/>
    </row>
    <row r="422" spans="3:43" x14ac:dyDescent="0.25">
      <c r="E422" s="27"/>
      <c r="F422" s="68" t="s">
        <v>247</v>
      </c>
      <c r="G422" s="68" t="s">
        <v>207</v>
      </c>
      <c r="H422" s="19"/>
      <c r="I422" s="19"/>
      <c r="J422" s="73"/>
      <c r="K422" s="73"/>
      <c r="L422" s="116">
        <f t="shared" ref="L422:L428" si="104">(1 - L315) * L132</f>
        <v>100.30011573307776</v>
      </c>
      <c r="M422" s="73"/>
      <c r="N422" s="116">
        <f t="shared" ref="N422:P428" si="105">(1 - N315) * N132</f>
        <v>366.94338612646993</v>
      </c>
      <c r="O422" s="116">
        <f t="shared" si="105"/>
        <v>0</v>
      </c>
      <c r="P422" s="116">
        <f t="shared" si="105"/>
        <v>0</v>
      </c>
      <c r="Q422" s="73"/>
      <c r="R422" s="73"/>
      <c r="S422" s="73"/>
      <c r="T422" s="73"/>
      <c r="U422" s="73"/>
      <c r="V422" s="73"/>
      <c r="W422" s="73"/>
      <c r="X422" s="73"/>
      <c r="Y422" s="73"/>
      <c r="AQ422" s="3"/>
    </row>
    <row r="423" spans="3:43" x14ac:dyDescent="0.25">
      <c r="E423" s="27"/>
      <c r="F423" s="62" t="s">
        <v>248</v>
      </c>
      <c r="G423" s="62" t="s">
        <v>207</v>
      </c>
      <c r="J423" s="319"/>
      <c r="K423" s="319"/>
      <c r="L423" s="318">
        <f t="shared" si="104"/>
        <v>431.11904806197498</v>
      </c>
      <c r="M423" s="319"/>
      <c r="N423" s="318">
        <f t="shared" si="105"/>
        <v>1888.5827665329912</v>
      </c>
      <c r="O423" s="318">
        <f t="shared" si="105"/>
        <v>0</v>
      </c>
      <c r="P423" s="318">
        <f t="shared" si="105"/>
        <v>0</v>
      </c>
      <c r="Q423" s="319"/>
      <c r="R423" s="319"/>
      <c r="S423" s="319"/>
      <c r="T423" s="319"/>
      <c r="U423" s="319"/>
      <c r="V423" s="319"/>
      <c r="W423" s="319"/>
      <c r="X423" s="319"/>
      <c r="Y423" s="319"/>
      <c r="AQ423" s="3"/>
    </row>
    <row r="424" spans="3:43" x14ac:dyDescent="0.25">
      <c r="E424" s="27"/>
      <c r="F424" s="62" t="s">
        <v>249</v>
      </c>
      <c r="G424" s="62" t="s">
        <v>207</v>
      </c>
      <c r="J424" s="319"/>
      <c r="K424" s="319"/>
      <c r="L424" s="318">
        <f t="shared" si="104"/>
        <v>426.91469685772068</v>
      </c>
      <c r="M424" s="319"/>
      <c r="N424" s="318">
        <f t="shared" si="105"/>
        <v>2641.3744986475403</v>
      </c>
      <c r="O424" s="318">
        <f t="shared" si="105"/>
        <v>0</v>
      </c>
      <c r="P424" s="318">
        <f t="shared" si="105"/>
        <v>0</v>
      </c>
      <c r="Q424" s="319"/>
      <c r="R424" s="319"/>
      <c r="S424" s="319"/>
      <c r="T424" s="319"/>
      <c r="U424" s="319"/>
      <c r="V424" s="319"/>
      <c r="W424" s="319"/>
      <c r="X424" s="319"/>
      <c r="Y424" s="319"/>
      <c r="AQ424" s="3"/>
    </row>
    <row r="425" spans="3:43" x14ac:dyDescent="0.25">
      <c r="E425" s="27"/>
      <c r="F425" s="62" t="s">
        <v>212</v>
      </c>
      <c r="G425" s="62" t="s">
        <v>212</v>
      </c>
      <c r="J425" s="319"/>
      <c r="K425" s="319"/>
      <c r="L425" s="318">
        <f t="shared" si="104"/>
        <v>44.964636570908297</v>
      </c>
      <c r="M425" s="319"/>
      <c r="N425" s="318">
        <f t="shared" si="105"/>
        <v>9.9608862550624728</v>
      </c>
      <c r="O425" s="318">
        <f t="shared" si="105"/>
        <v>0</v>
      </c>
      <c r="P425" s="318">
        <f t="shared" si="105"/>
        <v>0</v>
      </c>
      <c r="Q425" s="319"/>
      <c r="R425" s="319"/>
      <c r="S425" s="319"/>
      <c r="T425" s="319"/>
      <c r="U425" s="319"/>
      <c r="V425" s="319"/>
      <c r="W425" s="319"/>
      <c r="X425" s="319"/>
      <c r="Y425" s="319"/>
      <c r="AQ425" s="3"/>
    </row>
    <row r="426" spans="3:43" x14ac:dyDescent="0.25">
      <c r="E426" s="27"/>
      <c r="F426" s="62" t="s">
        <v>250</v>
      </c>
      <c r="G426" s="62" t="s">
        <v>251</v>
      </c>
      <c r="J426" s="319"/>
      <c r="K426" s="319"/>
      <c r="L426" s="318">
        <f t="shared" si="104"/>
        <v>0</v>
      </c>
      <c r="M426" s="319"/>
      <c r="N426" s="318">
        <f t="shared" si="105"/>
        <v>3068.6894490715636</v>
      </c>
      <c r="O426" s="318">
        <f t="shared" si="105"/>
        <v>0</v>
      </c>
      <c r="P426" s="318">
        <f t="shared" si="105"/>
        <v>0</v>
      </c>
      <c r="Q426" s="319"/>
      <c r="R426" s="319"/>
      <c r="S426" s="319"/>
      <c r="T426" s="319"/>
      <c r="U426" s="319"/>
      <c r="V426" s="319"/>
      <c r="W426" s="319"/>
      <c r="X426" s="319"/>
      <c r="Y426" s="319"/>
      <c r="AQ426" s="3"/>
    </row>
    <row r="427" spans="3:43" x14ac:dyDescent="0.25">
      <c r="E427" s="27"/>
      <c r="F427" s="62" t="s">
        <v>252</v>
      </c>
      <c r="G427" s="62" t="s">
        <v>251</v>
      </c>
      <c r="J427" s="319"/>
      <c r="K427" s="319"/>
      <c r="L427" s="318">
        <f t="shared" si="104"/>
        <v>0</v>
      </c>
      <c r="M427" s="319"/>
      <c r="N427" s="318">
        <f t="shared" si="105"/>
        <v>3.9255971806324186</v>
      </c>
      <c r="O427" s="318">
        <f t="shared" si="105"/>
        <v>0</v>
      </c>
      <c r="P427" s="318">
        <f t="shared" si="105"/>
        <v>0</v>
      </c>
      <c r="Q427" s="319"/>
      <c r="R427" s="319"/>
      <c r="S427" s="319"/>
      <c r="T427" s="319"/>
      <c r="U427" s="319"/>
      <c r="V427" s="319"/>
      <c r="W427" s="319"/>
      <c r="X427" s="319"/>
      <c r="Y427" s="319"/>
      <c r="AQ427" s="3"/>
    </row>
    <row r="428" spans="3:43" x14ac:dyDescent="0.25">
      <c r="E428" s="27"/>
      <c r="F428" s="70" t="s">
        <v>253</v>
      </c>
      <c r="G428" s="70" t="s">
        <v>254</v>
      </c>
      <c r="H428" s="28"/>
      <c r="I428" s="28"/>
      <c r="J428" s="71"/>
      <c r="K428" s="71"/>
      <c r="L428" s="90">
        <f t="shared" si="104"/>
        <v>0</v>
      </c>
      <c r="M428" s="71"/>
      <c r="N428" s="90">
        <f t="shared" si="105"/>
        <v>287.0851502169229</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154</v>
      </c>
      <c r="AQ430" s="3"/>
    </row>
    <row r="431" spans="3:43" x14ac:dyDescent="0.25">
      <c r="E431" s="27"/>
      <c r="F431" s="68" t="s">
        <v>247</v>
      </c>
      <c r="G431" s="68" t="s">
        <v>207</v>
      </c>
      <c r="H431" s="19"/>
      <c r="I431" s="19"/>
      <c r="J431" s="73"/>
      <c r="K431" s="73"/>
      <c r="L431" s="116">
        <f t="shared" ref="L431:L437" si="106">(1 - L324) * L179</f>
        <v>436.43251664054333</v>
      </c>
      <c r="M431" s="73"/>
      <c r="N431" s="116">
        <f t="shared" ref="N431:P437" si="107">(1 - N324) * N179</f>
        <v>1570.7259327707663</v>
      </c>
      <c r="O431" s="116">
        <f t="shared" si="107"/>
        <v>118.31998567897726</v>
      </c>
      <c r="P431" s="116">
        <f t="shared" si="107"/>
        <v>1044.9765922389672</v>
      </c>
      <c r="Q431" s="73"/>
      <c r="R431" s="73"/>
      <c r="S431" s="73"/>
      <c r="T431" s="73"/>
      <c r="U431" s="73"/>
      <c r="V431" s="73"/>
      <c r="W431" s="73"/>
      <c r="X431" s="73"/>
      <c r="Y431" s="73"/>
      <c r="AQ431" s="3"/>
    </row>
    <row r="432" spans="3:43" x14ac:dyDescent="0.25">
      <c r="E432" s="27"/>
      <c r="F432" s="62" t="s">
        <v>248</v>
      </c>
      <c r="G432" s="62" t="s">
        <v>207</v>
      </c>
      <c r="J432" s="319"/>
      <c r="K432" s="319"/>
      <c r="L432" s="318">
        <f t="shared" si="106"/>
        <v>1044.8472766018349</v>
      </c>
      <c r="M432" s="319"/>
      <c r="N432" s="318">
        <f t="shared" si="107"/>
        <v>6057.0477146062231</v>
      </c>
      <c r="O432" s="318">
        <f t="shared" si="107"/>
        <v>630.3780957401425</v>
      </c>
      <c r="P432" s="318">
        <f t="shared" si="107"/>
        <v>4671.4962385646031</v>
      </c>
      <c r="Q432" s="319"/>
      <c r="R432" s="319"/>
      <c r="S432" s="319"/>
      <c r="T432" s="319"/>
      <c r="U432" s="319"/>
      <c r="V432" s="319"/>
      <c r="W432" s="319"/>
      <c r="X432" s="319"/>
      <c r="Y432" s="319"/>
      <c r="AQ432" s="3"/>
    </row>
    <row r="433" spans="3:43" x14ac:dyDescent="0.25">
      <c r="E433" s="27"/>
      <c r="F433" s="62" t="s">
        <v>249</v>
      </c>
      <c r="G433" s="62" t="s">
        <v>207</v>
      </c>
      <c r="J433" s="319"/>
      <c r="K433" s="319"/>
      <c r="L433" s="318">
        <f t="shared" si="106"/>
        <v>962.20699169383397</v>
      </c>
      <c r="M433" s="319"/>
      <c r="N433" s="318">
        <f t="shared" si="107"/>
        <v>6961.3130253297359</v>
      </c>
      <c r="O433" s="318">
        <f t="shared" si="107"/>
        <v>780.46811853541453</v>
      </c>
      <c r="P433" s="318">
        <f t="shared" si="107"/>
        <v>6278.888507193803</v>
      </c>
      <c r="Q433" s="319"/>
      <c r="R433" s="319"/>
      <c r="S433" s="319"/>
      <c r="T433" s="319"/>
      <c r="U433" s="319"/>
      <c r="V433" s="319"/>
      <c r="W433" s="319"/>
      <c r="X433" s="319"/>
      <c r="Y433" s="319"/>
      <c r="AQ433" s="3"/>
    </row>
    <row r="434" spans="3:43" x14ac:dyDescent="0.25">
      <c r="E434" s="27"/>
      <c r="F434" s="62" t="s">
        <v>212</v>
      </c>
      <c r="G434" s="62" t="s">
        <v>212</v>
      </c>
      <c r="J434" s="319"/>
      <c r="K434" s="319"/>
      <c r="L434" s="318">
        <f t="shared" si="106"/>
        <v>168.05479122895994</v>
      </c>
      <c r="M434" s="319"/>
      <c r="N434" s="318">
        <f t="shared" si="107"/>
        <v>43.055837821188938</v>
      </c>
      <c r="O434" s="318">
        <f t="shared" si="107"/>
        <v>2.456199339998705</v>
      </c>
      <c r="P434" s="318">
        <f t="shared" si="107"/>
        <v>3.55432066096049</v>
      </c>
      <c r="Q434" s="319"/>
      <c r="R434" s="319"/>
      <c r="S434" s="319"/>
      <c r="T434" s="319"/>
      <c r="U434" s="319"/>
      <c r="V434" s="319"/>
      <c r="W434" s="319"/>
      <c r="X434" s="319"/>
      <c r="Y434" s="319"/>
      <c r="AQ434" s="3"/>
    </row>
    <row r="435" spans="3:43" x14ac:dyDescent="0.25">
      <c r="E435" s="27"/>
      <c r="F435" s="62" t="s">
        <v>250</v>
      </c>
      <c r="G435" s="62" t="s">
        <v>251</v>
      </c>
      <c r="J435" s="319"/>
      <c r="K435" s="319"/>
      <c r="L435" s="318">
        <f t="shared" si="106"/>
        <v>0</v>
      </c>
      <c r="M435" s="319"/>
      <c r="N435" s="318">
        <f t="shared" si="107"/>
        <v>15897.407397849161</v>
      </c>
      <c r="O435" s="318">
        <f t="shared" si="107"/>
        <v>639.88915353776167</v>
      </c>
      <c r="P435" s="318">
        <f t="shared" si="107"/>
        <v>8131.4277592553963</v>
      </c>
      <c r="Q435" s="319"/>
      <c r="R435" s="319"/>
      <c r="S435" s="319"/>
      <c r="T435" s="319"/>
      <c r="U435" s="319"/>
      <c r="V435" s="319"/>
      <c r="W435" s="319"/>
      <c r="X435" s="319"/>
      <c r="Y435" s="319"/>
      <c r="AQ435" s="3"/>
    </row>
    <row r="436" spans="3:43" x14ac:dyDescent="0.25">
      <c r="E436" s="27"/>
      <c r="F436" s="62" t="s">
        <v>252</v>
      </c>
      <c r="G436" s="62" t="s">
        <v>251</v>
      </c>
      <c r="J436" s="319"/>
      <c r="K436" s="319"/>
      <c r="L436" s="318">
        <f t="shared" si="106"/>
        <v>0</v>
      </c>
      <c r="M436" s="319"/>
      <c r="N436" s="318">
        <f t="shared" si="107"/>
        <v>39.875062434461832</v>
      </c>
      <c r="O436" s="318">
        <f t="shared" si="107"/>
        <v>3.9746605669165067</v>
      </c>
      <c r="P436" s="318">
        <f t="shared" si="107"/>
        <v>91.136678924521064</v>
      </c>
      <c r="Q436" s="319"/>
      <c r="R436" s="319"/>
      <c r="S436" s="319"/>
      <c r="T436" s="319"/>
      <c r="U436" s="319"/>
      <c r="V436" s="319"/>
      <c r="W436" s="319"/>
      <c r="X436" s="319"/>
      <c r="Y436" s="319"/>
      <c r="AQ436" s="3"/>
    </row>
    <row r="437" spans="3:43" x14ac:dyDescent="0.25">
      <c r="E437" s="27"/>
      <c r="F437" s="70" t="s">
        <v>253</v>
      </c>
      <c r="G437" s="70" t="s">
        <v>254</v>
      </c>
      <c r="H437" s="28"/>
      <c r="I437" s="28"/>
      <c r="J437" s="71"/>
      <c r="K437" s="71"/>
      <c r="L437" s="90">
        <f t="shared" si="106"/>
        <v>0</v>
      </c>
      <c r="M437" s="71"/>
      <c r="N437" s="90">
        <f t="shared" si="107"/>
        <v>1052.6405553705927</v>
      </c>
      <c r="O437" s="90">
        <f t="shared" si="107"/>
        <v>91.423969365628423</v>
      </c>
      <c r="P437" s="90">
        <f t="shared" si="107"/>
        <v>152.87070934097068</v>
      </c>
      <c r="Q437" s="71"/>
      <c r="R437" s="71"/>
      <c r="S437" s="71"/>
      <c r="T437" s="71"/>
      <c r="U437" s="71"/>
      <c r="V437" s="71"/>
      <c r="W437" s="71"/>
      <c r="X437" s="71"/>
      <c r="Y437" s="71"/>
      <c r="AQ437" s="3"/>
    </row>
    <row r="438" spans="3:43" x14ac:dyDescent="0.25">
      <c r="AQ438" s="3"/>
    </row>
    <row r="439" spans="3:43" x14ac:dyDescent="0.25">
      <c r="E439" s="27" t="s">
        <v>974</v>
      </c>
      <c r="G439" s="12"/>
      <c r="I439" t="s">
        <v>154</v>
      </c>
      <c r="AQ439" s="3"/>
    </row>
    <row r="440" spans="3:43" x14ac:dyDescent="0.25">
      <c r="E440" s="27"/>
      <c r="F440" s="68" t="s">
        <v>247</v>
      </c>
      <c r="G440" s="68" t="s">
        <v>207</v>
      </c>
      <c r="H440" s="19"/>
      <c r="I440" s="19"/>
      <c r="J440" s="73"/>
      <c r="K440" s="73"/>
      <c r="L440" s="116">
        <f t="shared" ref="L440:L446" si="108">L85+L422+L431</f>
        <v>55625.376389088327</v>
      </c>
      <c r="M440" s="73"/>
      <c r="N440" s="116">
        <f t="shared" ref="N440:P446" si="109">N85+N422+N431</f>
        <v>50745.099153529394</v>
      </c>
      <c r="O440" s="116">
        <f t="shared" si="109"/>
        <v>1586.6923800778125</v>
      </c>
      <c r="P440" s="116">
        <f t="shared" si="109"/>
        <v>94867.737055684222</v>
      </c>
      <c r="Q440" s="73"/>
      <c r="R440" s="73"/>
      <c r="S440" s="73"/>
      <c r="T440" s="73"/>
      <c r="U440" s="73"/>
      <c r="V440" s="73"/>
      <c r="W440" s="73"/>
      <c r="X440" s="73"/>
      <c r="Y440" s="73"/>
      <c r="AQ440" s="3"/>
    </row>
    <row r="441" spans="3:43" x14ac:dyDescent="0.25">
      <c r="E441" s="27"/>
      <c r="F441" s="62" t="s">
        <v>248</v>
      </c>
      <c r="G441" s="62" t="s">
        <v>207</v>
      </c>
      <c r="J441" s="319"/>
      <c r="K441" s="319"/>
      <c r="L441" s="318">
        <f t="shared" si="108"/>
        <v>229198.99843584633</v>
      </c>
      <c r="M441" s="319"/>
      <c r="N441" s="318">
        <f t="shared" si="109"/>
        <v>218518.39623550809</v>
      </c>
      <c r="O441" s="318">
        <f t="shared" si="109"/>
        <v>6186.4187765376955</v>
      </c>
      <c r="P441" s="318">
        <f t="shared" si="109"/>
        <v>377929.77199306735</v>
      </c>
      <c r="Q441" s="319"/>
      <c r="R441" s="319"/>
      <c r="S441" s="319"/>
      <c r="T441" s="319"/>
      <c r="U441" s="319"/>
      <c r="V441" s="319"/>
      <c r="W441" s="319"/>
      <c r="X441" s="319"/>
      <c r="Y441" s="319"/>
      <c r="AQ441" s="3"/>
    </row>
    <row r="442" spans="3:43" x14ac:dyDescent="0.25">
      <c r="E442" s="27"/>
      <c r="F442" s="62" t="s">
        <v>249</v>
      </c>
      <c r="G442" s="62" t="s">
        <v>207</v>
      </c>
      <c r="J442" s="319"/>
      <c r="K442" s="319"/>
      <c r="L442" s="318">
        <f t="shared" si="108"/>
        <v>251894.49005530932</v>
      </c>
      <c r="M442" s="319"/>
      <c r="N442" s="318">
        <f t="shared" si="109"/>
        <v>312102.1192341678</v>
      </c>
      <c r="O442" s="318">
        <f t="shared" si="109"/>
        <v>7626.1859903096347</v>
      </c>
      <c r="P442" s="318">
        <f t="shared" si="109"/>
        <v>528411.27141664817</v>
      </c>
      <c r="Q442" s="319"/>
      <c r="R442" s="319"/>
      <c r="S442" s="319"/>
      <c r="T442" s="319"/>
      <c r="U442" s="319"/>
      <c r="V442" s="319"/>
      <c r="W442" s="319"/>
      <c r="X442" s="319"/>
      <c r="Y442" s="319"/>
      <c r="AQ442" s="3"/>
    </row>
    <row r="443" spans="3:43" x14ac:dyDescent="0.25">
      <c r="E443" s="27"/>
      <c r="F443" s="62" t="s">
        <v>212</v>
      </c>
      <c r="G443" s="62" t="s">
        <v>212</v>
      </c>
      <c r="J443" s="319"/>
      <c r="K443" s="319"/>
      <c r="L443" s="318">
        <f t="shared" si="108"/>
        <v>28137.346684155214</v>
      </c>
      <c r="M443" s="319"/>
      <c r="N443" s="318">
        <f t="shared" si="109"/>
        <v>1876.7790625959519</v>
      </c>
      <c r="O443" s="318">
        <f t="shared" si="109"/>
        <v>33.257226195795106</v>
      </c>
      <c r="P443" s="318">
        <f t="shared" si="109"/>
        <v>302.00289244655761</v>
      </c>
      <c r="Q443" s="319"/>
      <c r="R443" s="319"/>
      <c r="S443" s="319"/>
      <c r="T443" s="319"/>
      <c r="U443" s="319"/>
      <c r="V443" s="319"/>
      <c r="W443" s="319"/>
      <c r="X443" s="319"/>
      <c r="Y443" s="319"/>
      <c r="AQ443" s="3"/>
    </row>
    <row r="444" spans="3:43" x14ac:dyDescent="0.25">
      <c r="E444" s="27"/>
      <c r="F444" s="62" t="s">
        <v>250</v>
      </c>
      <c r="G444" s="62" t="s">
        <v>251</v>
      </c>
      <c r="J444" s="319"/>
      <c r="K444" s="319"/>
      <c r="L444" s="318">
        <f t="shared" si="108"/>
        <v>0</v>
      </c>
      <c r="M444" s="319"/>
      <c r="N444" s="318">
        <f t="shared" si="109"/>
        <v>355678.79253955325</v>
      </c>
      <c r="O444" s="318">
        <f t="shared" si="109"/>
        <v>6219.1712797418541</v>
      </c>
      <c r="P444" s="318">
        <f t="shared" si="109"/>
        <v>415210.31775695417</v>
      </c>
      <c r="Q444" s="319"/>
      <c r="R444" s="319"/>
      <c r="S444" s="319"/>
      <c r="T444" s="319"/>
      <c r="U444" s="319"/>
      <c r="V444" s="319"/>
      <c r="W444" s="319"/>
      <c r="X444" s="319"/>
      <c r="Y444" s="319"/>
      <c r="AQ444" s="3"/>
    </row>
    <row r="445" spans="3:43" x14ac:dyDescent="0.25">
      <c r="E445" s="27"/>
      <c r="F445" s="62" t="s">
        <v>252</v>
      </c>
      <c r="G445" s="62" t="s">
        <v>251</v>
      </c>
      <c r="J445" s="319"/>
      <c r="K445" s="319"/>
      <c r="L445" s="318">
        <f t="shared" si="108"/>
        <v>0</v>
      </c>
      <c r="M445" s="319"/>
      <c r="N445" s="318">
        <f t="shared" si="109"/>
        <v>5718.5783502173908</v>
      </c>
      <c r="O445" s="318">
        <f t="shared" si="109"/>
        <v>30.905995979453436</v>
      </c>
      <c r="P445" s="318">
        <f t="shared" si="109"/>
        <v>6137.2213121475079</v>
      </c>
      <c r="Q445" s="319"/>
      <c r="R445" s="319"/>
      <c r="S445" s="319"/>
      <c r="T445" s="319"/>
      <c r="U445" s="319"/>
      <c r="V445" s="319"/>
      <c r="W445" s="319"/>
      <c r="X445" s="319"/>
      <c r="Y445" s="319"/>
      <c r="AQ445" s="3"/>
    </row>
    <row r="446" spans="3:43" x14ac:dyDescent="0.25">
      <c r="E446" s="27"/>
      <c r="F446" s="70" t="s">
        <v>253</v>
      </c>
      <c r="G446" s="70" t="s">
        <v>254</v>
      </c>
      <c r="H446" s="28"/>
      <c r="I446" s="28"/>
      <c r="J446" s="71"/>
      <c r="K446" s="71"/>
      <c r="L446" s="90">
        <f t="shared" si="108"/>
        <v>0</v>
      </c>
      <c r="M446" s="71"/>
      <c r="N446" s="90">
        <f t="shared" si="109"/>
        <v>48207.18099917475</v>
      </c>
      <c r="O446" s="90">
        <f t="shared" si="109"/>
        <v>853.15730944147117</v>
      </c>
      <c r="P446" s="90">
        <f t="shared" si="109"/>
        <v>107400.54526446066</v>
      </c>
      <c r="Q446" s="71"/>
      <c r="R446" s="71"/>
      <c r="S446" s="71"/>
      <c r="T446" s="71"/>
      <c r="U446" s="71"/>
      <c r="V446" s="71"/>
      <c r="W446" s="71"/>
      <c r="X446" s="71"/>
      <c r="Y446" s="71"/>
      <c r="AQ446" s="3"/>
    </row>
    <row r="447" spans="3:43" x14ac:dyDescent="0.25">
      <c r="AQ447" s="3"/>
    </row>
    <row r="448" spans="3:43" x14ac:dyDescent="0.25">
      <c r="C448" s="26" t="str">
        <f ca="1">INDEX('Version control'!$H$36:$H$59,MATCH($A$1,'Version control'!$F$36:$F$59,0),1)&amp;"-H: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154</v>
      </c>
      <c r="AQ450" s="3"/>
    </row>
    <row r="451" spans="3:43" x14ac:dyDescent="0.25">
      <c r="E451" s="27"/>
      <c r="F451" s="68" t="s">
        <v>247</v>
      </c>
      <c r="G451" s="68" t="s">
        <v>207</v>
      </c>
      <c r="H451" s="19"/>
      <c r="I451" s="19"/>
      <c r="J451" s="73"/>
      <c r="K451" s="73"/>
      <c r="L451" s="116">
        <f t="shared" ref="L451:L457" si="110">(1 - L315) * L141</f>
        <v>334.81462157410078</v>
      </c>
      <c r="M451" s="73"/>
      <c r="N451" s="116">
        <f t="shared" ref="N451:P457" si="111">(1 - N315) * N141</f>
        <v>362.06656228755099</v>
      </c>
      <c r="O451" s="116">
        <f t="shared" si="111"/>
        <v>0</v>
      </c>
      <c r="P451" s="116">
        <f t="shared" si="111"/>
        <v>0</v>
      </c>
      <c r="Q451" s="73"/>
      <c r="R451" s="73"/>
      <c r="S451" s="73"/>
      <c r="T451" s="73"/>
      <c r="U451" s="73"/>
      <c r="V451" s="73"/>
      <c r="W451" s="73"/>
      <c r="X451" s="73"/>
      <c r="Y451" s="73"/>
      <c r="AQ451" s="3"/>
    </row>
    <row r="452" spans="3:43" x14ac:dyDescent="0.25">
      <c r="E452" s="27"/>
      <c r="F452" s="62" t="s">
        <v>248</v>
      </c>
      <c r="G452" s="62" t="s">
        <v>207</v>
      </c>
      <c r="J452" s="319"/>
      <c r="K452" s="319"/>
      <c r="L452" s="318">
        <f t="shared" si="110"/>
        <v>1439.130552096198</v>
      </c>
      <c r="M452" s="319"/>
      <c r="N452" s="318">
        <f t="shared" si="111"/>
        <v>1863.482748912221</v>
      </c>
      <c r="O452" s="318">
        <f t="shared" si="111"/>
        <v>0</v>
      </c>
      <c r="P452" s="318">
        <f t="shared" si="111"/>
        <v>0</v>
      </c>
      <c r="Q452" s="319"/>
      <c r="R452" s="319"/>
      <c r="S452" s="319"/>
      <c r="T452" s="319"/>
      <c r="U452" s="319"/>
      <c r="V452" s="319"/>
      <c r="W452" s="319"/>
      <c r="X452" s="319"/>
      <c r="Y452" s="319"/>
      <c r="AQ452" s="3"/>
    </row>
    <row r="453" spans="3:43" x14ac:dyDescent="0.25">
      <c r="E453" s="27"/>
      <c r="F453" s="62" t="s">
        <v>249</v>
      </c>
      <c r="G453" s="62" t="s">
        <v>207</v>
      </c>
      <c r="J453" s="319"/>
      <c r="K453" s="319"/>
      <c r="L453" s="318">
        <f t="shared" si="110"/>
        <v>1425.0958897518074</v>
      </c>
      <c r="M453" s="319"/>
      <c r="N453" s="318">
        <f t="shared" si="111"/>
        <v>2606.2695788982114</v>
      </c>
      <c r="O453" s="318">
        <f t="shared" si="111"/>
        <v>0</v>
      </c>
      <c r="P453" s="318">
        <f t="shared" si="111"/>
        <v>0</v>
      </c>
      <c r="Q453" s="319"/>
      <c r="R453" s="319"/>
      <c r="S453" s="319"/>
      <c r="T453" s="319"/>
      <c r="U453" s="319"/>
      <c r="V453" s="319"/>
      <c r="W453" s="319"/>
      <c r="X453" s="319"/>
      <c r="Y453" s="319"/>
      <c r="AQ453" s="3"/>
    </row>
    <row r="454" spans="3:43" x14ac:dyDescent="0.25">
      <c r="E454" s="27"/>
      <c r="F454" s="62" t="s">
        <v>212</v>
      </c>
      <c r="G454" s="62" t="s">
        <v>212</v>
      </c>
      <c r="J454" s="319"/>
      <c r="K454" s="319"/>
      <c r="L454" s="318">
        <f t="shared" si="110"/>
        <v>45.327934745482075</v>
      </c>
      <c r="M454" s="319"/>
      <c r="N454" s="318">
        <f t="shared" si="111"/>
        <v>5.997892570063013</v>
      </c>
      <c r="O454" s="318">
        <f t="shared" si="111"/>
        <v>0</v>
      </c>
      <c r="P454" s="318">
        <f t="shared" si="111"/>
        <v>0</v>
      </c>
      <c r="Q454" s="319"/>
      <c r="R454" s="319"/>
      <c r="S454" s="319"/>
      <c r="T454" s="319"/>
      <c r="U454" s="319"/>
      <c r="V454" s="319"/>
      <c r="W454" s="319"/>
      <c r="X454" s="319"/>
      <c r="Y454" s="319"/>
      <c r="AQ454" s="3"/>
    </row>
    <row r="455" spans="3:43" x14ac:dyDescent="0.25">
      <c r="E455" s="27"/>
      <c r="F455" s="62" t="s">
        <v>250</v>
      </c>
      <c r="G455" s="62" t="s">
        <v>251</v>
      </c>
      <c r="J455" s="319"/>
      <c r="K455" s="319"/>
      <c r="L455" s="318">
        <f t="shared" si="110"/>
        <v>0</v>
      </c>
      <c r="M455" s="319"/>
      <c r="N455" s="318">
        <f t="shared" si="111"/>
        <v>3110.9103998488936</v>
      </c>
      <c r="O455" s="318">
        <f t="shared" si="111"/>
        <v>0</v>
      </c>
      <c r="P455" s="318">
        <f t="shared" si="111"/>
        <v>0</v>
      </c>
      <c r="Q455" s="319"/>
      <c r="R455" s="319"/>
      <c r="S455" s="319"/>
      <c r="T455" s="319"/>
      <c r="U455" s="319"/>
      <c r="V455" s="319"/>
      <c r="W455" s="319"/>
      <c r="X455" s="319"/>
      <c r="Y455" s="319"/>
      <c r="AQ455" s="3"/>
    </row>
    <row r="456" spans="3:43" x14ac:dyDescent="0.25">
      <c r="E456" s="27"/>
      <c r="F456" s="62" t="s">
        <v>252</v>
      </c>
      <c r="G456" s="62" t="s">
        <v>251</v>
      </c>
      <c r="J456" s="319"/>
      <c r="K456" s="319"/>
      <c r="L456" s="318">
        <f t="shared" si="110"/>
        <v>0</v>
      </c>
      <c r="M456" s="319"/>
      <c r="N456" s="318">
        <f t="shared" si="111"/>
        <v>3.9796080044990219</v>
      </c>
      <c r="O456" s="318">
        <f t="shared" si="111"/>
        <v>0</v>
      </c>
      <c r="P456" s="318">
        <f t="shared" si="111"/>
        <v>0</v>
      </c>
      <c r="Q456" s="319"/>
      <c r="R456" s="319"/>
      <c r="S456" s="319"/>
      <c r="T456" s="319"/>
      <c r="U456" s="319"/>
      <c r="V456" s="319"/>
      <c r="W456" s="319"/>
      <c r="X456" s="319"/>
      <c r="Y456" s="319"/>
      <c r="AQ456" s="3"/>
    </row>
    <row r="457" spans="3:43" x14ac:dyDescent="0.25">
      <c r="E457" s="27"/>
      <c r="F457" s="70" t="s">
        <v>253</v>
      </c>
      <c r="G457" s="70" t="s">
        <v>254</v>
      </c>
      <c r="H457" s="28"/>
      <c r="I457" s="28"/>
      <c r="J457" s="71"/>
      <c r="K457" s="71"/>
      <c r="L457" s="90">
        <f t="shared" si="110"/>
        <v>0</v>
      </c>
      <c r="M457" s="71"/>
      <c r="N457" s="90">
        <f t="shared" si="111"/>
        <v>283.26967415900322</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154</v>
      </c>
      <c r="AQ459" s="3"/>
    </row>
    <row r="460" spans="3:43" x14ac:dyDescent="0.25">
      <c r="E460" s="27"/>
      <c r="F460" s="68" t="s">
        <v>247</v>
      </c>
      <c r="G460" s="68" t="s">
        <v>207</v>
      </c>
      <c r="H460" s="19"/>
      <c r="I460" s="19"/>
      <c r="J460" s="73"/>
      <c r="K460" s="73"/>
      <c r="L460" s="116">
        <f t="shared" ref="L460:L466" si="112">(1 - L324) * L188</f>
        <v>1456.8675901681543</v>
      </c>
      <c r="M460" s="73"/>
      <c r="N460" s="116">
        <f t="shared" ref="N460:P466" si="113">(1 - N324) * N188</f>
        <v>1549.8503591456172</v>
      </c>
      <c r="O460" s="116">
        <f t="shared" si="113"/>
        <v>1347.9250280618046</v>
      </c>
      <c r="P460" s="116">
        <f t="shared" si="113"/>
        <v>3276.2975391252185</v>
      </c>
      <c r="Q460" s="73"/>
      <c r="R460" s="73"/>
      <c r="S460" s="73"/>
      <c r="T460" s="73"/>
      <c r="U460" s="73"/>
      <c r="V460" s="73"/>
      <c r="W460" s="73"/>
      <c r="X460" s="73"/>
      <c r="Y460" s="73"/>
      <c r="AQ460" s="3"/>
    </row>
    <row r="461" spans="3:43" x14ac:dyDescent="0.25">
      <c r="E461" s="27"/>
      <c r="F461" s="62" t="s">
        <v>248</v>
      </c>
      <c r="G461" s="62" t="s">
        <v>207</v>
      </c>
      <c r="J461" s="319"/>
      <c r="K461" s="319"/>
      <c r="L461" s="318">
        <f t="shared" si="112"/>
        <v>3487.8339168536322</v>
      </c>
      <c r="M461" s="319"/>
      <c r="N461" s="318">
        <f t="shared" si="113"/>
        <v>5976.5471365746025</v>
      </c>
      <c r="O461" s="318">
        <f t="shared" si="113"/>
        <v>7181.3938069217584</v>
      </c>
      <c r="P461" s="318">
        <f t="shared" si="113"/>
        <v>14646.463608958909</v>
      </c>
      <c r="Q461" s="319"/>
      <c r="R461" s="319"/>
      <c r="S461" s="319"/>
      <c r="T461" s="319"/>
      <c r="U461" s="319"/>
      <c r="V461" s="319"/>
      <c r="W461" s="319"/>
      <c r="X461" s="319"/>
      <c r="Y461" s="319"/>
      <c r="AQ461" s="3"/>
    </row>
    <row r="462" spans="3:43" x14ac:dyDescent="0.25">
      <c r="E462" s="27"/>
      <c r="F462" s="62" t="s">
        <v>249</v>
      </c>
      <c r="G462" s="62" t="s">
        <v>207</v>
      </c>
      <c r="J462" s="319"/>
      <c r="K462" s="319"/>
      <c r="L462" s="318">
        <f t="shared" si="112"/>
        <v>3211.9700704760025</v>
      </c>
      <c r="M462" s="319"/>
      <c r="N462" s="318">
        <f t="shared" si="113"/>
        <v>6868.7944009433468</v>
      </c>
      <c r="O462" s="318">
        <f t="shared" si="113"/>
        <v>8891.2494752364619</v>
      </c>
      <c r="P462" s="318">
        <f t="shared" si="113"/>
        <v>19686.093561659745</v>
      </c>
      <c r="Q462" s="319"/>
      <c r="R462" s="319"/>
      <c r="S462" s="319"/>
      <c r="T462" s="319"/>
      <c r="U462" s="319"/>
      <c r="V462" s="319"/>
      <c r="W462" s="319"/>
      <c r="X462" s="319"/>
      <c r="Y462" s="319"/>
      <c r="AQ462" s="3"/>
    </row>
    <row r="463" spans="3:43" x14ac:dyDescent="0.25">
      <c r="E463" s="27"/>
      <c r="F463" s="62" t="s">
        <v>212</v>
      </c>
      <c r="G463" s="62" t="s">
        <v>212</v>
      </c>
      <c r="J463" s="319"/>
      <c r="K463" s="319"/>
      <c r="L463" s="318">
        <f t="shared" si="112"/>
        <v>169.41261380994703</v>
      </c>
      <c r="M463" s="319"/>
      <c r="N463" s="318">
        <f t="shared" si="113"/>
        <v>25.925834624835552</v>
      </c>
      <c r="O463" s="318">
        <f t="shared" si="113"/>
        <v>18.209753727576604</v>
      </c>
      <c r="P463" s="318">
        <f t="shared" si="113"/>
        <v>3.566369205573916</v>
      </c>
      <c r="Q463" s="319"/>
      <c r="R463" s="319"/>
      <c r="S463" s="319"/>
      <c r="T463" s="319"/>
      <c r="U463" s="319"/>
      <c r="V463" s="319"/>
      <c r="W463" s="319"/>
      <c r="X463" s="319"/>
      <c r="Y463" s="319"/>
      <c r="AQ463" s="3"/>
    </row>
    <row r="464" spans="3:43" x14ac:dyDescent="0.25">
      <c r="E464" s="27"/>
      <c r="F464" s="62" t="s">
        <v>250</v>
      </c>
      <c r="G464" s="62" t="s">
        <v>251</v>
      </c>
      <c r="J464" s="319"/>
      <c r="K464" s="319"/>
      <c r="L464" s="318">
        <f t="shared" si="112"/>
        <v>0</v>
      </c>
      <c r="M464" s="319"/>
      <c r="N464" s="318">
        <f t="shared" si="113"/>
        <v>16116.133882353754</v>
      </c>
      <c r="O464" s="318">
        <f t="shared" si="113"/>
        <v>12382.923455481476</v>
      </c>
      <c r="P464" s="318">
        <f t="shared" si="113"/>
        <v>23939.277924369861</v>
      </c>
      <c r="Q464" s="319"/>
      <c r="R464" s="319"/>
      <c r="S464" s="319"/>
      <c r="T464" s="319"/>
      <c r="U464" s="319"/>
      <c r="V464" s="319"/>
      <c r="W464" s="319"/>
      <c r="X464" s="319"/>
      <c r="Y464" s="319"/>
      <c r="AQ464" s="3"/>
    </row>
    <row r="465" spans="3:43" x14ac:dyDescent="0.25">
      <c r="E465" s="27"/>
      <c r="F465" s="62" t="s">
        <v>252</v>
      </c>
      <c r="G465" s="62" t="s">
        <v>251</v>
      </c>
      <c r="J465" s="319"/>
      <c r="K465" s="319"/>
      <c r="L465" s="318">
        <f t="shared" si="112"/>
        <v>0</v>
      </c>
      <c r="M465" s="319"/>
      <c r="N465" s="318">
        <f t="shared" si="113"/>
        <v>40.423688509608581</v>
      </c>
      <c r="O465" s="318">
        <f t="shared" si="113"/>
        <v>76.916317911525937</v>
      </c>
      <c r="P465" s="318">
        <f t="shared" si="113"/>
        <v>268.31035710731766</v>
      </c>
      <c r="Q465" s="319"/>
      <c r="R465" s="319"/>
      <c r="S465" s="319"/>
      <c r="T465" s="319"/>
      <c r="U465" s="319"/>
      <c r="V465" s="319"/>
      <c r="W465" s="319"/>
      <c r="X465" s="319"/>
      <c r="Y465" s="319"/>
      <c r="AQ465" s="3"/>
    </row>
    <row r="466" spans="3:43" x14ac:dyDescent="0.25">
      <c r="E466" s="27"/>
      <c r="F466" s="70" t="s">
        <v>253</v>
      </c>
      <c r="G466" s="70" t="s">
        <v>254</v>
      </c>
      <c r="H466" s="28"/>
      <c r="I466" s="28"/>
      <c r="J466" s="71"/>
      <c r="K466" s="71"/>
      <c r="L466" s="90">
        <f t="shared" si="112"/>
        <v>0</v>
      </c>
      <c r="M466" s="71"/>
      <c r="N466" s="90">
        <f t="shared" si="113"/>
        <v>1038.6505428827402</v>
      </c>
      <c r="O466" s="90">
        <f t="shared" si="113"/>
        <v>1041.5202111927051</v>
      </c>
      <c r="P466" s="90">
        <f t="shared" si="113"/>
        <v>479.29296458691726</v>
      </c>
      <c r="Q466" s="71"/>
      <c r="R466" s="71"/>
      <c r="S466" s="71"/>
      <c r="T466" s="71"/>
      <c r="U466" s="71"/>
      <c r="V466" s="71"/>
      <c r="W466" s="71"/>
      <c r="X466" s="71"/>
      <c r="Y466" s="71"/>
      <c r="AQ466" s="3"/>
    </row>
    <row r="467" spans="3:43" x14ac:dyDescent="0.25">
      <c r="AQ467" s="3"/>
    </row>
    <row r="468" spans="3:43" x14ac:dyDescent="0.25">
      <c r="E468" s="27" t="s">
        <v>971</v>
      </c>
      <c r="G468" s="12"/>
      <c r="I468" t="s">
        <v>154</v>
      </c>
      <c r="AQ468" s="3"/>
    </row>
    <row r="469" spans="3:43" x14ac:dyDescent="0.25">
      <c r="E469" s="27"/>
      <c r="F469" s="68" t="s">
        <v>247</v>
      </c>
      <c r="G469" s="68" t="s">
        <v>207</v>
      </c>
      <c r="H469" s="19"/>
      <c r="I469" s="19"/>
      <c r="J469" s="73"/>
      <c r="K469" s="73"/>
      <c r="L469" s="116">
        <f t="shared" ref="L469:L475" si="114">L94+L451+L460</f>
        <v>185684.62468371307</v>
      </c>
      <c r="M469" s="73"/>
      <c r="N469" s="116">
        <f t="shared" ref="N469:P475" si="115">N94+N451+N460</f>
        <v>50067.76550026481</v>
      </c>
      <c r="O469" s="116">
        <f t="shared" si="115"/>
        <v>18086.50632699026</v>
      </c>
      <c r="P469" s="116">
        <f t="shared" si="115"/>
        <v>297508.25407821994</v>
      </c>
      <c r="Q469" s="73"/>
      <c r="R469" s="73"/>
      <c r="S469" s="73"/>
      <c r="T469" s="73"/>
      <c r="U469" s="73"/>
      <c r="V469" s="73"/>
      <c r="W469" s="73"/>
      <c r="X469" s="73"/>
      <c r="Y469" s="73"/>
      <c r="AQ469" s="3"/>
    </row>
    <row r="470" spans="3:43" x14ac:dyDescent="0.25">
      <c r="E470" s="27"/>
      <c r="F470" s="62" t="s">
        <v>248</v>
      </c>
      <c r="G470" s="62" t="s">
        <v>207</v>
      </c>
      <c r="J470" s="319"/>
      <c r="K470" s="319"/>
      <c r="L470" s="318">
        <f t="shared" si="114"/>
        <v>765095.58703483292</v>
      </c>
      <c r="M470" s="319"/>
      <c r="N470" s="318">
        <f t="shared" si="115"/>
        <v>215601.6402970627</v>
      </c>
      <c r="O470" s="318">
        <f t="shared" si="115"/>
        <v>70516.98836756371</v>
      </c>
      <c r="P470" s="318">
        <f t="shared" si="115"/>
        <v>1185199.4533863759</v>
      </c>
      <c r="Q470" s="319"/>
      <c r="R470" s="319"/>
      <c r="S470" s="319"/>
      <c r="T470" s="319"/>
      <c r="U470" s="319"/>
      <c r="V470" s="319"/>
      <c r="W470" s="319"/>
      <c r="X470" s="319"/>
      <c r="Y470" s="319"/>
      <c r="AQ470" s="3"/>
    </row>
    <row r="471" spans="3:43" x14ac:dyDescent="0.25">
      <c r="E471" s="27"/>
      <c r="F471" s="62" t="s">
        <v>249</v>
      </c>
      <c r="G471" s="62" t="s">
        <v>207</v>
      </c>
      <c r="J471" s="319"/>
      <c r="K471" s="319"/>
      <c r="L471" s="318">
        <f t="shared" si="114"/>
        <v>840856.04236901051</v>
      </c>
      <c r="M471" s="319"/>
      <c r="N471" s="318">
        <f t="shared" si="115"/>
        <v>307936.11546266731</v>
      </c>
      <c r="O471" s="318">
        <f t="shared" si="115"/>
        <v>86928.405160891707</v>
      </c>
      <c r="P471" s="318">
        <f t="shared" si="115"/>
        <v>1657114.2808907279</v>
      </c>
      <c r="Q471" s="319"/>
      <c r="R471" s="319"/>
      <c r="S471" s="319"/>
      <c r="T471" s="319"/>
      <c r="U471" s="319"/>
      <c r="V471" s="319"/>
      <c r="W471" s="319"/>
      <c r="X471" s="319"/>
      <c r="Y471" s="319"/>
      <c r="AQ471" s="3"/>
    </row>
    <row r="472" spans="3:43" x14ac:dyDescent="0.25">
      <c r="E472" s="27"/>
      <c r="F472" s="62" t="s">
        <v>212</v>
      </c>
      <c r="G472" s="62" t="s">
        <v>212</v>
      </c>
      <c r="J472" s="319"/>
      <c r="K472" s="319"/>
      <c r="L472" s="318">
        <f t="shared" si="114"/>
        <v>28364.686377462484</v>
      </c>
      <c r="M472" s="319"/>
      <c r="N472" s="318">
        <f t="shared" si="115"/>
        <v>1127.5007109423705</v>
      </c>
      <c r="O472" s="318">
        <f t="shared" si="115"/>
        <v>253.97598731365335</v>
      </c>
      <c r="P472" s="318">
        <f t="shared" si="115"/>
        <v>304.03002089552893</v>
      </c>
      <c r="Q472" s="319"/>
      <c r="R472" s="319"/>
      <c r="S472" s="319"/>
      <c r="T472" s="319"/>
      <c r="U472" s="319"/>
      <c r="V472" s="319"/>
      <c r="W472" s="319"/>
      <c r="X472" s="319"/>
      <c r="Y472" s="319"/>
      <c r="AQ472" s="3"/>
    </row>
    <row r="473" spans="3:43" x14ac:dyDescent="0.25">
      <c r="E473" s="27"/>
      <c r="F473" s="62" t="s">
        <v>250</v>
      </c>
      <c r="G473" s="62" t="s">
        <v>251</v>
      </c>
      <c r="J473" s="319"/>
      <c r="K473" s="319"/>
      <c r="L473" s="318">
        <f t="shared" si="114"/>
        <v>0</v>
      </c>
      <c r="M473" s="319"/>
      <c r="N473" s="318">
        <f t="shared" si="115"/>
        <v>360348.36027057155</v>
      </c>
      <c r="O473" s="318">
        <f t="shared" si="115"/>
        <v>124608.71485778771</v>
      </c>
      <c r="P473" s="318">
        <f t="shared" si="115"/>
        <v>1226813.3476782795</v>
      </c>
      <c r="Q473" s="319"/>
      <c r="R473" s="319"/>
      <c r="S473" s="319"/>
      <c r="T473" s="319"/>
      <c r="U473" s="319"/>
      <c r="V473" s="319"/>
      <c r="W473" s="319"/>
      <c r="X473" s="319"/>
      <c r="Y473" s="319"/>
      <c r="AQ473" s="3"/>
    </row>
    <row r="474" spans="3:43" x14ac:dyDescent="0.25">
      <c r="E474" s="27"/>
      <c r="F474" s="62" t="s">
        <v>252</v>
      </c>
      <c r="G474" s="62" t="s">
        <v>251</v>
      </c>
      <c r="J474" s="319"/>
      <c r="K474" s="319"/>
      <c r="L474" s="318">
        <f t="shared" si="114"/>
        <v>0</v>
      </c>
      <c r="M474" s="319"/>
      <c r="N474" s="318">
        <f t="shared" si="115"/>
        <v>5797.2581316184978</v>
      </c>
      <c r="O474" s="318">
        <f t="shared" si="115"/>
        <v>598.08262167457656</v>
      </c>
      <c r="P474" s="318">
        <f t="shared" si="115"/>
        <v>18068.247179302096</v>
      </c>
      <c r="Q474" s="319"/>
      <c r="R474" s="319"/>
      <c r="S474" s="319"/>
      <c r="T474" s="319"/>
      <c r="U474" s="319"/>
      <c r="V474" s="319"/>
      <c r="W474" s="319"/>
      <c r="X474" s="319"/>
      <c r="Y474" s="319"/>
      <c r="AQ474" s="3"/>
    </row>
    <row r="475" spans="3:43" x14ac:dyDescent="0.25">
      <c r="E475" s="27"/>
      <c r="F475" s="70" t="s">
        <v>253</v>
      </c>
      <c r="G475" s="70" t="s">
        <v>254</v>
      </c>
      <c r="H475" s="28"/>
      <c r="I475" s="28"/>
      <c r="J475" s="71"/>
      <c r="K475" s="71"/>
      <c r="L475" s="90">
        <f t="shared" si="114"/>
        <v>0</v>
      </c>
      <c r="M475" s="71"/>
      <c r="N475" s="90">
        <f t="shared" si="115"/>
        <v>47586.149899531207</v>
      </c>
      <c r="O475" s="90">
        <f t="shared" si="115"/>
        <v>9871.3106180770756</v>
      </c>
      <c r="P475" s="90">
        <f t="shared" si="115"/>
        <v>336812.32092868647</v>
      </c>
      <c r="Q475" s="71"/>
      <c r="R475" s="71"/>
      <c r="S475" s="71"/>
      <c r="T475" s="71"/>
      <c r="U475" s="71"/>
      <c r="V475" s="71"/>
      <c r="W475" s="71"/>
      <c r="X475" s="71"/>
      <c r="Y475" s="71"/>
      <c r="AQ475" s="3"/>
    </row>
    <row r="476" spans="3:43" x14ac:dyDescent="0.25">
      <c r="AQ476" s="3"/>
    </row>
    <row r="477" spans="3:43" x14ac:dyDescent="0.25">
      <c r="C477" s="26" t="str">
        <f ca="1">INDEX('Version control'!$H$36:$H$59,MATCH($A$1,'Version control'!$F$36:$F$59,0),1)&amp;"-I: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40"/>
      <c r="F481" s="2" t="s">
        <v>978</v>
      </c>
      <c r="G481" t="s">
        <v>207</v>
      </c>
      <c r="J481" s="121">
        <f t="shared" ref="J481:Y481" si="116">J353</f>
        <v>0</v>
      </c>
      <c r="K481" s="121">
        <f t="shared" si="116"/>
        <v>97.101998282967941</v>
      </c>
      <c r="L481" s="121">
        <f t="shared" si="116"/>
        <v>0.84541270469587915</v>
      </c>
      <c r="M481" s="121">
        <f t="shared" si="116"/>
        <v>113.60366930781993</v>
      </c>
      <c r="N481" s="121">
        <f t="shared" si="116"/>
        <v>113.67037138779294</v>
      </c>
      <c r="O481" s="121">
        <f t="shared" si="116"/>
        <v>0.92942754552445628</v>
      </c>
      <c r="P481" s="121">
        <f t="shared" si="116"/>
        <v>514.89001982790273</v>
      </c>
      <c r="Q481" s="121">
        <f t="shared" si="116"/>
        <v>0</v>
      </c>
      <c r="R481" s="121">
        <f t="shared" si="116"/>
        <v>407.10202278917717</v>
      </c>
      <c r="S481" s="121">
        <f t="shared" si="116"/>
        <v>0</v>
      </c>
      <c r="T481" s="121">
        <f t="shared" si="116"/>
        <v>4588.4979110785662</v>
      </c>
      <c r="U481" s="121">
        <f t="shared" si="116"/>
        <v>0</v>
      </c>
      <c r="V481" s="121">
        <f t="shared" si="116"/>
        <v>1000.7714870643234</v>
      </c>
      <c r="W481" s="121">
        <f t="shared" si="116"/>
        <v>0</v>
      </c>
      <c r="X481" s="121">
        <f t="shared" si="116"/>
        <v>112520.57829750761</v>
      </c>
      <c r="Y481" s="121">
        <f t="shared" si="116"/>
        <v>0</v>
      </c>
      <c r="AQ481" s="3"/>
    </row>
    <row r="482" spans="5:43" x14ac:dyDescent="0.25">
      <c r="E482" s="340"/>
      <c r="F482" s="2" t="s">
        <v>979</v>
      </c>
      <c r="G482" t="s">
        <v>207</v>
      </c>
      <c r="J482" s="352">
        <f t="shared" ref="J482:Y482" si="117">J382</f>
        <v>982339.25157892017</v>
      </c>
      <c r="K482" s="352">
        <f t="shared" si="117"/>
        <v>0</v>
      </c>
      <c r="L482" s="352">
        <f t="shared" si="117"/>
        <v>11902.49229375277</v>
      </c>
      <c r="M482" s="352">
        <f t="shared" si="117"/>
        <v>0</v>
      </c>
      <c r="N482" s="352">
        <f t="shared" si="117"/>
        <v>61190.855424937356</v>
      </c>
      <c r="O482" s="352">
        <f t="shared" si="117"/>
        <v>582.00865082499445</v>
      </c>
      <c r="P482" s="352">
        <f t="shared" si="117"/>
        <v>100333.82881532091</v>
      </c>
      <c r="Q482" s="352">
        <f t="shared" si="117"/>
        <v>10819.160910698545</v>
      </c>
      <c r="R482" s="352">
        <f t="shared" si="117"/>
        <v>0</v>
      </c>
      <c r="S482" s="352">
        <f t="shared" si="117"/>
        <v>0</v>
      </c>
      <c r="T482" s="352">
        <f t="shared" si="117"/>
        <v>0</v>
      </c>
      <c r="U482" s="352">
        <f t="shared" si="117"/>
        <v>0</v>
      </c>
      <c r="V482" s="352">
        <f t="shared" si="117"/>
        <v>0</v>
      </c>
      <c r="W482" s="352">
        <f t="shared" si="117"/>
        <v>0</v>
      </c>
      <c r="X482" s="352">
        <f t="shared" si="117"/>
        <v>0</v>
      </c>
      <c r="Y482" s="352">
        <f t="shared" si="117"/>
        <v>0</v>
      </c>
      <c r="AQ482" s="3"/>
    </row>
    <row r="483" spans="5:43" x14ac:dyDescent="0.25">
      <c r="E483" s="340"/>
      <c r="F483" s="2" t="s">
        <v>980</v>
      </c>
      <c r="G483" t="s">
        <v>207</v>
      </c>
      <c r="J483" s="352">
        <f t="shared" ref="J483:Y483" si="118">J411</f>
        <v>0</v>
      </c>
      <c r="K483" s="352">
        <f t="shared" si="118"/>
        <v>0</v>
      </c>
      <c r="L483" s="352">
        <f t="shared" si="118"/>
        <v>44625.446877617796</v>
      </c>
      <c r="M483" s="352">
        <f t="shared" si="118"/>
        <v>0</v>
      </c>
      <c r="N483" s="352">
        <f t="shared" si="118"/>
        <v>92385.394201231844</v>
      </c>
      <c r="O483" s="352">
        <f t="shared" si="118"/>
        <v>880.32483158977493</v>
      </c>
      <c r="P483" s="352">
        <f t="shared" si="118"/>
        <v>173591.48498803456</v>
      </c>
      <c r="Q483" s="352">
        <f t="shared" si="118"/>
        <v>0</v>
      </c>
      <c r="R483" s="352">
        <f t="shared" si="118"/>
        <v>0</v>
      </c>
      <c r="S483" s="352">
        <f t="shared" si="118"/>
        <v>0</v>
      </c>
      <c r="T483" s="352">
        <f t="shared" si="118"/>
        <v>0</v>
      </c>
      <c r="U483" s="352">
        <f t="shared" si="118"/>
        <v>0</v>
      </c>
      <c r="V483" s="352">
        <f t="shared" si="118"/>
        <v>0</v>
      </c>
      <c r="W483" s="352">
        <f t="shared" si="118"/>
        <v>0</v>
      </c>
      <c r="X483" s="352">
        <f t="shared" si="118"/>
        <v>0</v>
      </c>
      <c r="Y483" s="352">
        <f t="shared" si="118"/>
        <v>0</v>
      </c>
      <c r="AQ483" s="3"/>
    </row>
    <row r="484" spans="5:43" x14ac:dyDescent="0.25">
      <c r="E484" s="340"/>
      <c r="F484" s="2" t="s">
        <v>982</v>
      </c>
      <c r="G484" t="s">
        <v>207</v>
      </c>
      <c r="J484" s="91">
        <f t="shared" ref="J484:Y484" si="119">J440</f>
        <v>0</v>
      </c>
      <c r="K484" s="91">
        <f t="shared" si="119"/>
        <v>0</v>
      </c>
      <c r="L484" s="91">
        <f t="shared" si="119"/>
        <v>55625.376389088327</v>
      </c>
      <c r="M484" s="91">
        <f t="shared" si="119"/>
        <v>0</v>
      </c>
      <c r="N484" s="91">
        <f t="shared" si="119"/>
        <v>50745.099153529394</v>
      </c>
      <c r="O484" s="91">
        <f t="shared" si="119"/>
        <v>1586.6923800778125</v>
      </c>
      <c r="P484" s="91">
        <f t="shared" si="119"/>
        <v>94867.737055684222</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40"/>
      <c r="F485" s="2" t="s">
        <v>981</v>
      </c>
      <c r="G485" t="s">
        <v>207</v>
      </c>
      <c r="J485" s="91">
        <f t="shared" ref="J485:Y485" si="120">J469</f>
        <v>0</v>
      </c>
      <c r="K485" s="91">
        <f t="shared" si="120"/>
        <v>0</v>
      </c>
      <c r="L485" s="91">
        <f t="shared" si="120"/>
        <v>185684.62468371307</v>
      </c>
      <c r="M485" s="91">
        <f t="shared" si="120"/>
        <v>0</v>
      </c>
      <c r="N485" s="91">
        <f t="shared" si="120"/>
        <v>50067.76550026481</v>
      </c>
      <c r="O485" s="91">
        <f t="shared" si="120"/>
        <v>18086.50632699026</v>
      </c>
      <c r="P485" s="91">
        <f t="shared" si="120"/>
        <v>297508.25407821994</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248</v>
      </c>
      <c r="F486" s="2"/>
      <c r="J486" s="22"/>
      <c r="K486" s="22"/>
      <c r="L486" s="22"/>
      <c r="M486" s="22"/>
      <c r="N486" s="22"/>
      <c r="O486" s="22"/>
      <c r="P486" s="22"/>
      <c r="Q486" s="22"/>
      <c r="R486" s="22"/>
      <c r="S486" s="22"/>
      <c r="T486" s="22"/>
      <c r="U486" s="22"/>
      <c r="V486" s="22"/>
      <c r="W486" s="22"/>
      <c r="X486" s="22"/>
      <c r="Y486" s="22"/>
      <c r="AQ486" s="3"/>
    </row>
    <row r="487" spans="5:43" x14ac:dyDescent="0.25">
      <c r="E487" s="340"/>
      <c r="F487" s="2" t="s">
        <v>978</v>
      </c>
      <c r="G487" t="s">
        <v>207</v>
      </c>
      <c r="J487" s="121">
        <f t="shared" ref="J487:Y487" si="121">J354</f>
        <v>0</v>
      </c>
      <c r="K487" s="121">
        <f t="shared" si="121"/>
        <v>2610.0714903095482</v>
      </c>
      <c r="L487" s="121">
        <f t="shared" si="121"/>
        <v>3.4947301543468345</v>
      </c>
      <c r="M487" s="121">
        <f t="shared" si="121"/>
        <v>928.08494967695549</v>
      </c>
      <c r="N487" s="121">
        <f t="shared" si="121"/>
        <v>490.41477022151486</v>
      </c>
      <c r="O487" s="121">
        <f t="shared" si="121"/>
        <v>3.5167763112993287</v>
      </c>
      <c r="P487" s="121">
        <f t="shared" si="121"/>
        <v>2048.4044602273625</v>
      </c>
      <c r="Q487" s="121">
        <f t="shared" si="121"/>
        <v>0</v>
      </c>
      <c r="R487" s="121">
        <f t="shared" si="121"/>
        <v>1833.5949051998</v>
      </c>
      <c r="S487" s="121">
        <f t="shared" si="121"/>
        <v>0</v>
      </c>
      <c r="T487" s="121">
        <f t="shared" si="121"/>
        <v>20525.605245333853</v>
      </c>
      <c r="U487" s="121">
        <f t="shared" si="121"/>
        <v>0</v>
      </c>
      <c r="V487" s="121">
        <f t="shared" si="121"/>
        <v>3996.1654558994287</v>
      </c>
      <c r="W487" s="121">
        <f t="shared" si="121"/>
        <v>0</v>
      </c>
      <c r="X487" s="121">
        <f t="shared" si="121"/>
        <v>328225.11344676261</v>
      </c>
      <c r="Y487" s="121">
        <f t="shared" si="121"/>
        <v>0</v>
      </c>
      <c r="AQ487" s="3"/>
    </row>
    <row r="488" spans="5:43" x14ac:dyDescent="0.25">
      <c r="E488" s="340"/>
      <c r="F488" s="2" t="s">
        <v>979</v>
      </c>
      <c r="G488" t="s">
        <v>207</v>
      </c>
      <c r="J488" s="352">
        <f t="shared" ref="J488:Y488" si="122">J383</f>
        <v>2791486.3824818004</v>
      </c>
      <c r="K488" s="352">
        <f t="shared" si="122"/>
        <v>0</v>
      </c>
      <c r="L488" s="352">
        <f t="shared" si="122"/>
        <v>49043.060232103402</v>
      </c>
      <c r="M488" s="352">
        <f t="shared" si="122"/>
        <v>0</v>
      </c>
      <c r="N488" s="352">
        <f t="shared" si="122"/>
        <v>263499.72576921323</v>
      </c>
      <c r="O488" s="352">
        <f t="shared" si="122"/>
        <v>2269.1777238814707</v>
      </c>
      <c r="P488" s="352">
        <f t="shared" si="122"/>
        <v>399707.77556287317</v>
      </c>
      <c r="Q488" s="352">
        <f t="shared" si="122"/>
        <v>47234.121959902513</v>
      </c>
      <c r="R488" s="352">
        <f t="shared" si="122"/>
        <v>0</v>
      </c>
      <c r="S488" s="352">
        <f t="shared" si="122"/>
        <v>0</v>
      </c>
      <c r="T488" s="352">
        <f t="shared" si="122"/>
        <v>0</v>
      </c>
      <c r="U488" s="352">
        <f t="shared" si="122"/>
        <v>0</v>
      </c>
      <c r="V488" s="352">
        <f t="shared" si="122"/>
        <v>0</v>
      </c>
      <c r="W488" s="352">
        <f t="shared" si="122"/>
        <v>0</v>
      </c>
      <c r="X488" s="352">
        <f t="shared" si="122"/>
        <v>0</v>
      </c>
      <c r="Y488" s="352">
        <f t="shared" si="122"/>
        <v>0</v>
      </c>
      <c r="AQ488" s="3"/>
    </row>
    <row r="489" spans="5:43" x14ac:dyDescent="0.25">
      <c r="E489" s="340"/>
      <c r="F489" s="2" t="s">
        <v>980</v>
      </c>
      <c r="G489" t="s">
        <v>207</v>
      </c>
      <c r="J489" s="352">
        <f t="shared" ref="J489:Y489" si="123">J412</f>
        <v>0</v>
      </c>
      <c r="K489" s="352">
        <f t="shared" si="123"/>
        <v>0</v>
      </c>
      <c r="L489" s="352">
        <f t="shared" si="123"/>
        <v>183874.84980880862</v>
      </c>
      <c r="M489" s="352">
        <f t="shared" si="123"/>
        <v>0</v>
      </c>
      <c r="N489" s="352">
        <f t="shared" si="123"/>
        <v>397829.65711671149</v>
      </c>
      <c r="O489" s="352">
        <f t="shared" si="123"/>
        <v>3432.2745800970774</v>
      </c>
      <c r="P489" s="352">
        <f t="shared" si="123"/>
        <v>691545.73201570509</v>
      </c>
      <c r="Q489" s="352">
        <f t="shared" si="123"/>
        <v>0</v>
      </c>
      <c r="R489" s="352">
        <f t="shared" si="123"/>
        <v>0</v>
      </c>
      <c r="S489" s="352">
        <f t="shared" si="123"/>
        <v>0</v>
      </c>
      <c r="T489" s="352">
        <f t="shared" si="123"/>
        <v>0</v>
      </c>
      <c r="U489" s="352">
        <f t="shared" si="123"/>
        <v>0</v>
      </c>
      <c r="V489" s="352">
        <f t="shared" si="123"/>
        <v>0</v>
      </c>
      <c r="W489" s="352">
        <f t="shared" si="123"/>
        <v>0</v>
      </c>
      <c r="X489" s="352">
        <f t="shared" si="123"/>
        <v>0</v>
      </c>
      <c r="Y489" s="352">
        <f t="shared" si="123"/>
        <v>0</v>
      </c>
      <c r="AQ489" s="3"/>
    </row>
    <row r="490" spans="5:43" x14ac:dyDescent="0.25">
      <c r="E490" s="340"/>
      <c r="F490" s="2" t="s">
        <v>982</v>
      </c>
      <c r="G490" t="s">
        <v>207</v>
      </c>
      <c r="J490" s="91">
        <f t="shared" ref="J490:Y490" si="124">J441</f>
        <v>0</v>
      </c>
      <c r="K490" s="91">
        <f t="shared" si="124"/>
        <v>0</v>
      </c>
      <c r="L490" s="91">
        <f t="shared" si="124"/>
        <v>229198.99843584633</v>
      </c>
      <c r="M490" s="91">
        <f t="shared" si="124"/>
        <v>0</v>
      </c>
      <c r="N490" s="91">
        <f t="shared" si="124"/>
        <v>218518.39623550809</v>
      </c>
      <c r="O490" s="91">
        <f t="shared" si="124"/>
        <v>6186.4187765376955</v>
      </c>
      <c r="P490" s="91">
        <f t="shared" si="124"/>
        <v>377929.77199306735</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40"/>
      <c r="F491" s="2" t="s">
        <v>981</v>
      </c>
      <c r="G491" t="s">
        <v>207</v>
      </c>
      <c r="J491" s="91">
        <f t="shared" ref="J491:Y491" si="125">J470</f>
        <v>0</v>
      </c>
      <c r="K491" s="91">
        <f t="shared" si="125"/>
        <v>0</v>
      </c>
      <c r="L491" s="91">
        <f t="shared" si="125"/>
        <v>765095.58703483292</v>
      </c>
      <c r="M491" s="91">
        <f t="shared" si="125"/>
        <v>0</v>
      </c>
      <c r="N491" s="91">
        <f t="shared" si="125"/>
        <v>215601.6402970627</v>
      </c>
      <c r="O491" s="91">
        <f t="shared" si="125"/>
        <v>70516.98836756371</v>
      </c>
      <c r="P491" s="91">
        <f t="shared" si="125"/>
        <v>1185199.4533863759</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249</v>
      </c>
      <c r="F492" s="2"/>
      <c r="J492" s="22"/>
      <c r="K492" s="22"/>
      <c r="L492" s="22"/>
      <c r="M492" s="22"/>
      <c r="N492" s="22"/>
      <c r="O492" s="22"/>
      <c r="P492" s="22"/>
      <c r="Q492" s="22"/>
      <c r="R492" s="22"/>
      <c r="S492" s="22"/>
      <c r="T492" s="22"/>
      <c r="U492" s="22"/>
      <c r="V492" s="22"/>
      <c r="W492" s="22"/>
      <c r="X492" s="22"/>
      <c r="Y492" s="22"/>
      <c r="AQ492" s="3"/>
    </row>
    <row r="493" spans="5:43" x14ac:dyDescent="0.25">
      <c r="E493" s="340"/>
      <c r="F493" s="2" t="s">
        <v>978</v>
      </c>
      <c r="G493" t="s">
        <v>207</v>
      </c>
      <c r="J493" s="121">
        <f t="shared" ref="J493:Y493" si="126">J355</f>
        <v>0</v>
      </c>
      <c r="K493" s="121">
        <f t="shared" si="126"/>
        <v>10855.114741116735</v>
      </c>
      <c r="L493" s="121">
        <f t="shared" si="126"/>
        <v>3.8443571409572863</v>
      </c>
      <c r="M493" s="121">
        <f t="shared" si="126"/>
        <v>2405.8570016096082</v>
      </c>
      <c r="N493" s="121">
        <f t="shared" si="126"/>
        <v>704.50795839069224</v>
      </c>
      <c r="O493" s="121">
        <f t="shared" si="126"/>
        <v>4.3330961431762152</v>
      </c>
      <c r="P493" s="121">
        <f t="shared" si="126"/>
        <v>2865.4108199447342</v>
      </c>
      <c r="Q493" s="121">
        <f t="shared" si="126"/>
        <v>0</v>
      </c>
      <c r="R493" s="121">
        <f t="shared" si="126"/>
        <v>1022.9660720110227</v>
      </c>
      <c r="S493" s="121">
        <f t="shared" si="126"/>
        <v>0</v>
      </c>
      <c r="T493" s="121">
        <f t="shared" si="126"/>
        <v>19225.931376920918</v>
      </c>
      <c r="U493" s="121">
        <f t="shared" si="126"/>
        <v>0</v>
      </c>
      <c r="V493" s="121">
        <f t="shared" si="126"/>
        <v>6019.197723702915</v>
      </c>
      <c r="W493" s="121">
        <f t="shared" si="126"/>
        <v>0</v>
      </c>
      <c r="X493" s="121">
        <f t="shared" si="126"/>
        <v>370994.99308906303</v>
      </c>
      <c r="Y493" s="121">
        <f t="shared" si="126"/>
        <v>0</v>
      </c>
      <c r="AQ493" s="3"/>
    </row>
    <row r="494" spans="5:43" x14ac:dyDescent="0.25">
      <c r="E494" s="340"/>
      <c r="F494" s="2" t="s">
        <v>979</v>
      </c>
      <c r="G494" t="s">
        <v>207</v>
      </c>
      <c r="J494" s="352">
        <f t="shared" ref="J494:Y494" si="127">J384</f>
        <v>4975114.6920176791</v>
      </c>
      <c r="K494" s="352">
        <f t="shared" si="127"/>
        <v>0</v>
      </c>
      <c r="L494" s="352">
        <f t="shared" si="127"/>
        <v>53899.344729637291</v>
      </c>
      <c r="M494" s="352">
        <f t="shared" si="127"/>
        <v>0</v>
      </c>
      <c r="N494" s="352">
        <f t="shared" si="127"/>
        <v>376346.68533835711</v>
      </c>
      <c r="O494" s="352">
        <f t="shared" si="127"/>
        <v>2797.2833941157369</v>
      </c>
      <c r="P494" s="352">
        <f t="shared" si="127"/>
        <v>558859.48162268032</v>
      </c>
      <c r="Q494" s="352">
        <f t="shared" si="127"/>
        <v>180790.04896787592</v>
      </c>
      <c r="R494" s="352">
        <f t="shared" si="127"/>
        <v>0</v>
      </c>
      <c r="S494" s="352">
        <f t="shared" si="127"/>
        <v>0</v>
      </c>
      <c r="T494" s="352">
        <f t="shared" si="127"/>
        <v>0</v>
      </c>
      <c r="U494" s="352">
        <f t="shared" si="127"/>
        <v>0</v>
      </c>
      <c r="V494" s="352">
        <f t="shared" si="127"/>
        <v>0</v>
      </c>
      <c r="W494" s="352">
        <f t="shared" si="127"/>
        <v>0</v>
      </c>
      <c r="X494" s="352">
        <f t="shared" si="127"/>
        <v>0</v>
      </c>
      <c r="Y494" s="352">
        <f t="shared" si="127"/>
        <v>0</v>
      </c>
      <c r="AQ494" s="3"/>
    </row>
    <row r="495" spans="5:43" x14ac:dyDescent="0.25">
      <c r="E495" s="340"/>
      <c r="F495" s="2" t="s">
        <v>980</v>
      </c>
      <c r="G495" t="s">
        <v>207</v>
      </c>
      <c r="J495" s="352">
        <f t="shared" ref="J495:Y495" si="128">J413</f>
        <v>0</v>
      </c>
      <c r="K495" s="352">
        <f t="shared" si="128"/>
        <v>0</v>
      </c>
      <c r="L495" s="352">
        <f t="shared" si="128"/>
        <v>202082.30333759842</v>
      </c>
      <c r="M495" s="352">
        <f t="shared" si="128"/>
        <v>0</v>
      </c>
      <c r="N495" s="352">
        <f t="shared" si="128"/>
        <v>568205.82961896865</v>
      </c>
      <c r="O495" s="352">
        <f t="shared" si="128"/>
        <v>4231.0677501841301</v>
      </c>
      <c r="P495" s="352">
        <f t="shared" si="128"/>
        <v>966900.756924171</v>
      </c>
      <c r="Q495" s="352">
        <f t="shared" si="128"/>
        <v>0</v>
      </c>
      <c r="R495" s="352">
        <f t="shared" si="128"/>
        <v>0</v>
      </c>
      <c r="S495" s="352">
        <f t="shared" si="128"/>
        <v>0</v>
      </c>
      <c r="T495" s="352">
        <f t="shared" si="128"/>
        <v>0</v>
      </c>
      <c r="U495" s="352">
        <f t="shared" si="128"/>
        <v>0</v>
      </c>
      <c r="V495" s="352">
        <f t="shared" si="128"/>
        <v>0</v>
      </c>
      <c r="W495" s="352">
        <f t="shared" si="128"/>
        <v>0</v>
      </c>
      <c r="X495" s="352">
        <f t="shared" si="128"/>
        <v>0</v>
      </c>
      <c r="Y495" s="352">
        <f t="shared" si="128"/>
        <v>0</v>
      </c>
      <c r="AQ495" s="3"/>
    </row>
    <row r="496" spans="5:43" x14ac:dyDescent="0.25">
      <c r="E496" s="340"/>
      <c r="F496" s="2" t="s">
        <v>982</v>
      </c>
      <c r="G496" t="s">
        <v>207</v>
      </c>
      <c r="J496" s="91">
        <f t="shared" ref="J496:Y496" si="129">J442</f>
        <v>0</v>
      </c>
      <c r="K496" s="91">
        <f t="shared" si="129"/>
        <v>0</v>
      </c>
      <c r="L496" s="91">
        <f t="shared" si="129"/>
        <v>251894.49005530932</v>
      </c>
      <c r="M496" s="91">
        <f t="shared" si="129"/>
        <v>0</v>
      </c>
      <c r="N496" s="91">
        <f t="shared" si="129"/>
        <v>312102.1192341678</v>
      </c>
      <c r="O496" s="91">
        <f t="shared" si="129"/>
        <v>7626.1859903096347</v>
      </c>
      <c r="P496" s="91">
        <f t="shared" si="129"/>
        <v>528411.27141664817</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40"/>
      <c r="F497" s="2" t="s">
        <v>981</v>
      </c>
      <c r="G497" t="s">
        <v>207</v>
      </c>
      <c r="J497" s="91">
        <f t="shared" ref="J497:Y497" si="130">J471</f>
        <v>0</v>
      </c>
      <c r="K497" s="91">
        <f t="shared" si="130"/>
        <v>0</v>
      </c>
      <c r="L497" s="91">
        <f t="shared" si="130"/>
        <v>840856.04236901051</v>
      </c>
      <c r="M497" s="91">
        <f t="shared" si="130"/>
        <v>0</v>
      </c>
      <c r="N497" s="91">
        <f t="shared" si="130"/>
        <v>307936.11546266731</v>
      </c>
      <c r="O497" s="91">
        <f t="shared" si="130"/>
        <v>86928.405160891707</v>
      </c>
      <c r="P497" s="91">
        <f t="shared" si="130"/>
        <v>1657114.2808907279</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212</v>
      </c>
      <c r="F498" s="2"/>
      <c r="J498" s="22"/>
      <c r="K498" s="22"/>
      <c r="L498" s="22"/>
      <c r="M498" s="22"/>
      <c r="N498" s="22"/>
      <c r="O498" s="22"/>
      <c r="P498" s="22"/>
      <c r="Q498" s="22"/>
      <c r="R498" s="22"/>
      <c r="S498" s="22"/>
      <c r="T498" s="22"/>
      <c r="U498" s="22"/>
      <c r="V498" s="22"/>
      <c r="W498" s="22"/>
      <c r="X498" s="22"/>
      <c r="Y498" s="22"/>
      <c r="AQ498" s="3"/>
    </row>
    <row r="499" spans="5:43" x14ac:dyDescent="0.25">
      <c r="E499" s="340"/>
      <c r="F499" s="2" t="s">
        <v>978</v>
      </c>
      <c r="G499" t="s">
        <v>212</v>
      </c>
      <c r="J499" s="121">
        <f t="shared" ref="J499:Y499" si="131">J356</f>
        <v>0</v>
      </c>
      <c r="K499" s="121">
        <f t="shared" si="131"/>
        <v>0</v>
      </c>
      <c r="L499" s="121">
        <f t="shared" si="131"/>
        <v>8.1844999999999999</v>
      </c>
      <c r="M499" s="121">
        <f t="shared" si="131"/>
        <v>0</v>
      </c>
      <c r="N499" s="121">
        <f t="shared" si="131"/>
        <v>29</v>
      </c>
      <c r="O499" s="121">
        <f t="shared" si="131"/>
        <v>1</v>
      </c>
      <c r="P499" s="121">
        <f t="shared" si="131"/>
        <v>76</v>
      </c>
      <c r="Q499" s="121">
        <f t="shared" si="131"/>
        <v>0</v>
      </c>
      <c r="R499" s="121">
        <f t="shared" si="131"/>
        <v>0</v>
      </c>
      <c r="S499" s="121">
        <f t="shared" si="131"/>
        <v>0</v>
      </c>
      <c r="T499" s="121">
        <f t="shared" si="131"/>
        <v>633.94808743169403</v>
      </c>
      <c r="U499" s="121">
        <f t="shared" si="131"/>
        <v>0</v>
      </c>
      <c r="V499" s="121">
        <f t="shared" si="131"/>
        <v>35.618169398907106</v>
      </c>
      <c r="W499" s="121">
        <f t="shared" si="131"/>
        <v>0</v>
      </c>
      <c r="X499" s="121">
        <f t="shared" si="131"/>
        <v>338.62978142076497</v>
      </c>
      <c r="Y499" s="121">
        <f t="shared" si="131"/>
        <v>0</v>
      </c>
      <c r="AQ499" s="3"/>
    </row>
    <row r="500" spans="5:43" x14ac:dyDescent="0.25">
      <c r="E500" s="340"/>
      <c r="F500" s="2" t="s">
        <v>979</v>
      </c>
      <c r="G500" t="s">
        <v>212</v>
      </c>
      <c r="J500" s="352">
        <f t="shared" ref="J500:Y500" si="132">J385</f>
        <v>2389874.3672400983</v>
      </c>
      <c r="K500" s="352">
        <f t="shared" si="132"/>
        <v>0</v>
      </c>
      <c r="L500" s="352">
        <f t="shared" si="132"/>
        <v>71659.638905771921</v>
      </c>
      <c r="M500" s="352">
        <f t="shared" si="132"/>
        <v>0</v>
      </c>
      <c r="N500" s="352">
        <f t="shared" si="132"/>
        <v>6728.8121035464419</v>
      </c>
      <c r="O500" s="352">
        <f t="shared" si="132"/>
        <v>24.806956900403353</v>
      </c>
      <c r="P500" s="352">
        <f t="shared" si="132"/>
        <v>2236.9847532876661</v>
      </c>
      <c r="Q500" s="352">
        <f t="shared" si="132"/>
        <v>2294</v>
      </c>
      <c r="R500" s="352">
        <f t="shared" si="132"/>
        <v>0</v>
      </c>
      <c r="S500" s="352">
        <f t="shared" si="132"/>
        <v>0</v>
      </c>
      <c r="T500" s="352">
        <f t="shared" si="132"/>
        <v>0</v>
      </c>
      <c r="U500" s="352">
        <f t="shared" si="132"/>
        <v>0</v>
      </c>
      <c r="V500" s="352">
        <f t="shared" si="132"/>
        <v>0</v>
      </c>
      <c r="W500" s="352">
        <f t="shared" si="132"/>
        <v>0</v>
      </c>
      <c r="X500" s="352">
        <f t="shared" si="132"/>
        <v>0</v>
      </c>
      <c r="Y500" s="352">
        <f t="shared" si="132"/>
        <v>0</v>
      </c>
      <c r="AQ500" s="3"/>
    </row>
    <row r="501" spans="5:43" x14ac:dyDescent="0.25">
      <c r="E501" s="340"/>
      <c r="F501" s="2" t="s">
        <v>980</v>
      </c>
      <c r="G501" t="s">
        <v>212</v>
      </c>
      <c r="J501" s="352">
        <f t="shared" ref="J501:Y501" si="133">J414</f>
        <v>0</v>
      </c>
      <c r="K501" s="352">
        <f t="shared" si="133"/>
        <v>0</v>
      </c>
      <c r="L501" s="352">
        <f t="shared" si="133"/>
        <v>53949.53605863652</v>
      </c>
      <c r="M501" s="352">
        <f t="shared" si="133"/>
        <v>0</v>
      </c>
      <c r="N501" s="352">
        <f t="shared" si="133"/>
        <v>5401.954662028309</v>
      </c>
      <c r="O501" s="352">
        <f t="shared" si="133"/>
        <v>28.350807886175257</v>
      </c>
      <c r="P501" s="352">
        <f t="shared" si="133"/>
        <v>1233.6626525615436</v>
      </c>
      <c r="Q501" s="352">
        <f t="shared" si="133"/>
        <v>0</v>
      </c>
      <c r="R501" s="352">
        <f t="shared" si="133"/>
        <v>0</v>
      </c>
      <c r="S501" s="352">
        <f t="shared" si="133"/>
        <v>0</v>
      </c>
      <c r="T501" s="352">
        <f t="shared" si="133"/>
        <v>0</v>
      </c>
      <c r="U501" s="352">
        <f t="shared" si="133"/>
        <v>0</v>
      </c>
      <c r="V501" s="352">
        <f t="shared" si="133"/>
        <v>0</v>
      </c>
      <c r="W501" s="352">
        <f t="shared" si="133"/>
        <v>0</v>
      </c>
      <c r="X501" s="352">
        <f t="shared" si="133"/>
        <v>0</v>
      </c>
      <c r="Y501" s="352">
        <f t="shared" si="133"/>
        <v>0</v>
      </c>
      <c r="AQ501" s="3"/>
    </row>
    <row r="502" spans="5:43" x14ac:dyDescent="0.25">
      <c r="E502" s="340"/>
      <c r="F502" s="2" t="s">
        <v>982</v>
      </c>
      <c r="G502" t="s">
        <v>212</v>
      </c>
      <c r="J502" s="91">
        <f t="shared" ref="J502:Y502" si="134">J443</f>
        <v>0</v>
      </c>
      <c r="K502" s="91">
        <f t="shared" si="134"/>
        <v>0</v>
      </c>
      <c r="L502" s="91">
        <f t="shared" si="134"/>
        <v>28137.346684155214</v>
      </c>
      <c r="M502" s="91">
        <f t="shared" si="134"/>
        <v>0</v>
      </c>
      <c r="N502" s="91">
        <f t="shared" si="134"/>
        <v>1876.7790625959519</v>
      </c>
      <c r="O502" s="91">
        <f t="shared" si="134"/>
        <v>33.257226195795106</v>
      </c>
      <c r="P502" s="91">
        <f t="shared" si="134"/>
        <v>302.00289244655761</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40"/>
      <c r="F503" s="2" t="s">
        <v>981</v>
      </c>
      <c r="G503" t="s">
        <v>212</v>
      </c>
      <c r="J503" s="91">
        <f t="shared" ref="J503:Y503" si="135">J472</f>
        <v>0</v>
      </c>
      <c r="K503" s="91">
        <f t="shared" si="135"/>
        <v>0</v>
      </c>
      <c r="L503" s="91">
        <f t="shared" si="135"/>
        <v>28364.686377462484</v>
      </c>
      <c r="M503" s="91">
        <f t="shared" si="135"/>
        <v>0</v>
      </c>
      <c r="N503" s="91">
        <f t="shared" si="135"/>
        <v>1127.5007109423705</v>
      </c>
      <c r="O503" s="91">
        <f t="shared" si="135"/>
        <v>253.97598731365335</v>
      </c>
      <c r="P503" s="91">
        <f t="shared" si="135"/>
        <v>304.03002089552893</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250</v>
      </c>
      <c r="F504" s="2"/>
      <c r="J504" s="22"/>
      <c r="K504" s="22"/>
      <c r="L504" s="22"/>
      <c r="M504" s="22"/>
      <c r="N504" s="22"/>
      <c r="O504" s="22"/>
      <c r="P504" s="22"/>
      <c r="Q504" s="22"/>
      <c r="R504" s="22"/>
      <c r="S504" s="22"/>
      <c r="T504" s="22"/>
      <c r="U504" s="22"/>
      <c r="V504" s="22"/>
      <c r="W504" s="22"/>
      <c r="X504" s="22"/>
      <c r="Y504" s="22"/>
      <c r="AQ504" s="3"/>
    </row>
    <row r="505" spans="5:43" x14ac:dyDescent="0.25">
      <c r="E505" s="340"/>
      <c r="F505" s="2" t="s">
        <v>978</v>
      </c>
      <c r="G505" t="s">
        <v>251</v>
      </c>
      <c r="J505" s="121">
        <f t="shared" ref="J505:Y505" si="136">J357</f>
        <v>0</v>
      </c>
      <c r="K505" s="121">
        <f t="shared" si="136"/>
        <v>0</v>
      </c>
      <c r="L505" s="121">
        <f t="shared" si="136"/>
        <v>0</v>
      </c>
      <c r="M505" s="121">
        <f t="shared" si="136"/>
        <v>0</v>
      </c>
      <c r="N505" s="121">
        <f t="shared" si="136"/>
        <v>1856</v>
      </c>
      <c r="O505" s="121">
        <f t="shared" si="136"/>
        <v>220</v>
      </c>
      <c r="P505" s="121">
        <f t="shared" si="136"/>
        <v>16548</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40"/>
      <c r="F506" s="2" t="s">
        <v>979</v>
      </c>
      <c r="G506" t="s">
        <v>251</v>
      </c>
      <c r="J506" s="352">
        <f t="shared" ref="J506:Y506" si="137">J386</f>
        <v>0</v>
      </c>
      <c r="K506" s="352">
        <f t="shared" si="137"/>
        <v>0</v>
      </c>
      <c r="L506" s="352">
        <f t="shared" si="137"/>
        <v>0</v>
      </c>
      <c r="M506" s="352">
        <f t="shared" si="137"/>
        <v>0</v>
      </c>
      <c r="N506" s="352">
        <f t="shared" si="137"/>
        <v>329624.20448627538</v>
      </c>
      <c r="O506" s="352">
        <f t="shared" si="137"/>
        <v>5978.0764052419072</v>
      </c>
      <c r="P506" s="352">
        <f t="shared" si="137"/>
        <v>493971.72502145596</v>
      </c>
      <c r="Q506" s="352">
        <f t="shared" si="137"/>
        <v>0</v>
      </c>
      <c r="R506" s="352">
        <f t="shared" si="137"/>
        <v>0</v>
      </c>
      <c r="S506" s="352">
        <f t="shared" si="137"/>
        <v>0</v>
      </c>
      <c r="T506" s="352">
        <f t="shared" si="137"/>
        <v>0</v>
      </c>
      <c r="U506" s="352">
        <f t="shared" si="137"/>
        <v>0</v>
      </c>
      <c r="V506" s="352">
        <f t="shared" si="137"/>
        <v>0</v>
      </c>
      <c r="W506" s="352">
        <f t="shared" si="137"/>
        <v>0</v>
      </c>
      <c r="X506" s="352">
        <f t="shared" si="137"/>
        <v>0</v>
      </c>
      <c r="Y506" s="352">
        <f t="shared" si="137"/>
        <v>0</v>
      </c>
      <c r="AQ506" s="3"/>
    </row>
    <row r="507" spans="5:43" x14ac:dyDescent="0.25">
      <c r="E507" s="340"/>
      <c r="F507" s="2" t="s">
        <v>980</v>
      </c>
      <c r="G507" t="s">
        <v>251</v>
      </c>
      <c r="J507" s="352">
        <f t="shared" ref="J507:Y507" si="138">J415</f>
        <v>0</v>
      </c>
      <c r="K507" s="352">
        <f t="shared" si="138"/>
        <v>0</v>
      </c>
      <c r="L507" s="352">
        <f t="shared" si="138"/>
        <v>0</v>
      </c>
      <c r="M507" s="352">
        <f t="shared" si="138"/>
        <v>0</v>
      </c>
      <c r="N507" s="352">
        <f t="shared" si="138"/>
        <v>640743.85195919499</v>
      </c>
      <c r="O507" s="352">
        <f t="shared" si="138"/>
        <v>3407.8764039861358</v>
      </c>
      <c r="P507" s="352">
        <f t="shared" si="138"/>
        <v>793231.8981153944</v>
      </c>
      <c r="Q507" s="352">
        <f t="shared" si="138"/>
        <v>0</v>
      </c>
      <c r="R507" s="352">
        <f t="shared" si="138"/>
        <v>0</v>
      </c>
      <c r="S507" s="352">
        <f t="shared" si="138"/>
        <v>0</v>
      </c>
      <c r="T507" s="352">
        <f t="shared" si="138"/>
        <v>0</v>
      </c>
      <c r="U507" s="352">
        <f t="shared" si="138"/>
        <v>0</v>
      </c>
      <c r="V507" s="352">
        <f t="shared" si="138"/>
        <v>0</v>
      </c>
      <c r="W507" s="352">
        <f t="shared" si="138"/>
        <v>0</v>
      </c>
      <c r="X507" s="352">
        <f t="shared" si="138"/>
        <v>0</v>
      </c>
      <c r="Y507" s="352">
        <f t="shared" si="138"/>
        <v>0</v>
      </c>
      <c r="AQ507" s="3"/>
    </row>
    <row r="508" spans="5:43" x14ac:dyDescent="0.25">
      <c r="E508" s="340"/>
      <c r="F508" s="2" t="s">
        <v>982</v>
      </c>
      <c r="G508" t="s">
        <v>251</v>
      </c>
      <c r="J508" s="91">
        <f t="shared" ref="J508:Y508" si="139">J444</f>
        <v>0</v>
      </c>
      <c r="K508" s="91">
        <f t="shared" si="139"/>
        <v>0</v>
      </c>
      <c r="L508" s="91">
        <f t="shared" si="139"/>
        <v>0</v>
      </c>
      <c r="M508" s="91">
        <f t="shared" si="139"/>
        <v>0</v>
      </c>
      <c r="N508" s="91">
        <f t="shared" si="139"/>
        <v>355678.79253955325</v>
      </c>
      <c r="O508" s="91">
        <f t="shared" si="139"/>
        <v>6219.1712797418541</v>
      </c>
      <c r="P508" s="91">
        <f t="shared" si="139"/>
        <v>415210.31775695417</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40"/>
      <c r="F509" s="2" t="s">
        <v>981</v>
      </c>
      <c r="G509" t="s">
        <v>251</v>
      </c>
      <c r="J509" s="91">
        <f>J473</f>
        <v>0</v>
      </c>
      <c r="K509" s="91">
        <f t="shared" ref="K509:Y509" si="140">K473</f>
        <v>0</v>
      </c>
      <c r="L509" s="91">
        <f t="shared" si="140"/>
        <v>0</v>
      </c>
      <c r="M509" s="91">
        <f t="shared" si="140"/>
        <v>0</v>
      </c>
      <c r="N509" s="91">
        <f t="shared" si="140"/>
        <v>360348.36027057155</v>
      </c>
      <c r="O509" s="91">
        <f t="shared" si="140"/>
        <v>124608.71485778771</v>
      </c>
      <c r="P509" s="91">
        <f t="shared" si="140"/>
        <v>1226813.3476782795</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252</v>
      </c>
      <c r="F510" s="2"/>
      <c r="J510" s="22"/>
      <c r="K510" s="22"/>
      <c r="L510" s="22"/>
      <c r="M510" s="22"/>
      <c r="N510" s="22"/>
      <c r="O510" s="22"/>
      <c r="P510" s="22"/>
      <c r="Q510" s="22"/>
      <c r="R510" s="22"/>
      <c r="S510" s="22"/>
      <c r="T510" s="22"/>
      <c r="U510" s="22"/>
      <c r="V510" s="22"/>
      <c r="W510" s="22"/>
      <c r="X510" s="22"/>
      <c r="Y510" s="22"/>
      <c r="AQ510" s="3"/>
    </row>
    <row r="511" spans="5:43" x14ac:dyDescent="0.25">
      <c r="E511" s="340"/>
      <c r="F511" s="2" t="s">
        <v>978</v>
      </c>
      <c r="G511" t="s">
        <v>251</v>
      </c>
      <c r="J511" s="121">
        <f t="shared" ref="J511:Y511" si="141">J358</f>
        <v>0</v>
      </c>
      <c r="K511" s="121">
        <f t="shared" si="141"/>
        <v>0</v>
      </c>
      <c r="L511" s="121">
        <f t="shared" si="141"/>
        <v>0</v>
      </c>
      <c r="M511" s="121">
        <f t="shared" si="141"/>
        <v>0</v>
      </c>
      <c r="N511" s="121">
        <f t="shared" si="141"/>
        <v>0</v>
      </c>
      <c r="O511" s="121">
        <f t="shared" si="141"/>
        <v>0</v>
      </c>
      <c r="P511" s="121">
        <f t="shared" si="141"/>
        <v>0</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40"/>
      <c r="F512" s="2" t="s">
        <v>979</v>
      </c>
      <c r="G512" t="s">
        <v>251</v>
      </c>
      <c r="J512" s="352">
        <f t="shared" ref="J512:Y512" si="142">J387</f>
        <v>0</v>
      </c>
      <c r="K512" s="352">
        <f t="shared" si="142"/>
        <v>0</v>
      </c>
      <c r="L512" s="352">
        <f t="shared" si="142"/>
        <v>0</v>
      </c>
      <c r="M512" s="352">
        <f t="shared" si="142"/>
        <v>0</v>
      </c>
      <c r="N512" s="352">
        <f t="shared" si="142"/>
        <v>5300.1161257494086</v>
      </c>
      <c r="O512" s="352">
        <f t="shared" si="142"/>
        <v>28.692885670945969</v>
      </c>
      <c r="P512" s="352">
        <f t="shared" si="142"/>
        <v>7473.9066419944438</v>
      </c>
      <c r="Q512" s="352">
        <f t="shared" si="142"/>
        <v>0</v>
      </c>
      <c r="R512" s="352">
        <f t="shared" si="142"/>
        <v>0</v>
      </c>
      <c r="S512" s="352">
        <f t="shared" si="142"/>
        <v>0</v>
      </c>
      <c r="T512" s="352">
        <f t="shared" si="142"/>
        <v>0</v>
      </c>
      <c r="U512" s="352">
        <f t="shared" si="142"/>
        <v>0</v>
      </c>
      <c r="V512" s="352">
        <f t="shared" si="142"/>
        <v>0</v>
      </c>
      <c r="W512" s="352">
        <f t="shared" si="142"/>
        <v>0</v>
      </c>
      <c r="X512" s="352">
        <f t="shared" si="142"/>
        <v>0</v>
      </c>
      <c r="Y512" s="352">
        <f t="shared" si="142"/>
        <v>0</v>
      </c>
      <c r="AQ512" s="3"/>
    </row>
    <row r="513" spans="3:43" x14ac:dyDescent="0.25">
      <c r="E513" s="340"/>
      <c r="F513" s="2" t="s">
        <v>980</v>
      </c>
      <c r="G513" t="s">
        <v>251</v>
      </c>
      <c r="J513" s="352">
        <f t="shared" ref="J513:Y513" si="143">J416</f>
        <v>0</v>
      </c>
      <c r="K513" s="352">
        <f t="shared" si="143"/>
        <v>0</v>
      </c>
      <c r="L513" s="352">
        <f t="shared" si="143"/>
        <v>0</v>
      </c>
      <c r="M513" s="352">
        <f t="shared" si="143"/>
        <v>0</v>
      </c>
      <c r="N513" s="352">
        <f t="shared" si="143"/>
        <v>10294.854587395865</v>
      </c>
      <c r="O513" s="352">
        <f t="shared" si="143"/>
        <v>16.356734409508078</v>
      </c>
      <c r="P513" s="352">
        <f t="shared" si="143"/>
        <v>11705.379482510896</v>
      </c>
      <c r="Q513" s="352">
        <f t="shared" si="143"/>
        <v>0</v>
      </c>
      <c r="R513" s="352">
        <f t="shared" si="143"/>
        <v>0</v>
      </c>
      <c r="S513" s="352">
        <f t="shared" si="143"/>
        <v>0</v>
      </c>
      <c r="T513" s="352">
        <f t="shared" si="143"/>
        <v>0</v>
      </c>
      <c r="U513" s="352">
        <f t="shared" si="143"/>
        <v>0</v>
      </c>
      <c r="V513" s="352">
        <f t="shared" si="143"/>
        <v>0</v>
      </c>
      <c r="W513" s="352">
        <f t="shared" si="143"/>
        <v>0</v>
      </c>
      <c r="X513" s="352">
        <f t="shared" si="143"/>
        <v>0</v>
      </c>
      <c r="Y513" s="352">
        <f t="shared" si="143"/>
        <v>0</v>
      </c>
      <c r="AQ513" s="3"/>
    </row>
    <row r="514" spans="3:43" x14ac:dyDescent="0.25">
      <c r="E514" s="340"/>
      <c r="F514" s="2" t="s">
        <v>982</v>
      </c>
      <c r="G514" t="s">
        <v>251</v>
      </c>
      <c r="J514" s="91">
        <f t="shared" ref="J514:Y514" si="144">J445</f>
        <v>0</v>
      </c>
      <c r="K514" s="91">
        <f t="shared" si="144"/>
        <v>0</v>
      </c>
      <c r="L514" s="91">
        <f t="shared" si="144"/>
        <v>0</v>
      </c>
      <c r="M514" s="91">
        <f t="shared" si="144"/>
        <v>0</v>
      </c>
      <c r="N514" s="91">
        <f t="shared" si="144"/>
        <v>5718.5783502173908</v>
      </c>
      <c r="O514" s="91">
        <f t="shared" si="144"/>
        <v>30.905995979453436</v>
      </c>
      <c r="P514" s="91">
        <f t="shared" si="144"/>
        <v>6137.2213121475079</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40"/>
      <c r="F515" s="2" t="s">
        <v>981</v>
      </c>
      <c r="G515" t="s">
        <v>251</v>
      </c>
      <c r="J515" s="91">
        <f t="shared" ref="J515:Y515" si="145">J474</f>
        <v>0</v>
      </c>
      <c r="K515" s="91">
        <f t="shared" si="145"/>
        <v>0</v>
      </c>
      <c r="L515" s="91">
        <f t="shared" si="145"/>
        <v>0</v>
      </c>
      <c r="M515" s="91">
        <f t="shared" si="145"/>
        <v>0</v>
      </c>
      <c r="N515" s="91">
        <f t="shared" si="145"/>
        <v>5797.2581316184978</v>
      </c>
      <c r="O515" s="91">
        <f t="shared" si="145"/>
        <v>598.08262167457656</v>
      </c>
      <c r="P515" s="91">
        <f t="shared" si="145"/>
        <v>18068.247179302096</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40" t="s">
        <v>253</v>
      </c>
      <c r="F516" s="341"/>
      <c r="J516" s="22"/>
      <c r="K516" s="22"/>
      <c r="L516" s="22"/>
      <c r="M516" s="22"/>
      <c r="N516" s="22"/>
      <c r="O516" s="22"/>
      <c r="P516" s="22"/>
      <c r="Q516" s="22"/>
      <c r="R516" s="22"/>
      <c r="S516" s="22"/>
      <c r="T516" s="22"/>
      <c r="U516" s="22"/>
      <c r="V516" s="22"/>
      <c r="W516" s="22"/>
      <c r="X516" s="22"/>
      <c r="Y516" s="22"/>
      <c r="AQ516" s="3"/>
    </row>
    <row r="517" spans="3:43" x14ac:dyDescent="0.25">
      <c r="E517" s="340"/>
      <c r="F517" s="341" t="s">
        <v>978</v>
      </c>
      <c r="G517" t="s">
        <v>254</v>
      </c>
      <c r="J517" s="121">
        <f t="shared" ref="J517:Y517" si="146">J359</f>
        <v>0</v>
      </c>
      <c r="K517" s="121">
        <f t="shared" si="146"/>
        <v>0</v>
      </c>
      <c r="L517" s="121">
        <f t="shared" si="146"/>
        <v>0</v>
      </c>
      <c r="M517" s="121">
        <f t="shared" si="146"/>
        <v>0</v>
      </c>
      <c r="N517" s="121">
        <f t="shared" si="146"/>
        <v>288.15313798253834</v>
      </c>
      <c r="O517" s="121">
        <f t="shared" si="146"/>
        <v>192.90741538233189</v>
      </c>
      <c r="P517" s="121">
        <f t="shared" si="146"/>
        <v>374.50654211740863</v>
      </c>
      <c r="Q517" s="121">
        <f t="shared" si="146"/>
        <v>0</v>
      </c>
      <c r="R517" s="121">
        <f t="shared" si="146"/>
        <v>0</v>
      </c>
      <c r="S517" s="121">
        <f t="shared" si="146"/>
        <v>0</v>
      </c>
      <c r="T517" s="121">
        <f t="shared" si="146"/>
        <v>3766.8398500000003</v>
      </c>
      <c r="U517" s="121">
        <f t="shared" si="146"/>
        <v>0</v>
      </c>
      <c r="V517" s="121">
        <f t="shared" si="146"/>
        <v>310.738</v>
      </c>
      <c r="W517" s="121">
        <f t="shared" si="146"/>
        <v>0</v>
      </c>
      <c r="X517" s="121">
        <f t="shared" si="146"/>
        <v>36887.486000000004</v>
      </c>
      <c r="Y517" s="121">
        <f t="shared" si="146"/>
        <v>0</v>
      </c>
      <c r="AQ517" s="3"/>
    </row>
    <row r="518" spans="3:43" x14ac:dyDescent="0.25">
      <c r="E518" s="340"/>
      <c r="F518" s="341" t="s">
        <v>979</v>
      </c>
      <c r="G518" t="s">
        <v>254</v>
      </c>
      <c r="J518" s="352">
        <f t="shared" ref="J518:Y518" si="147">J388</f>
        <v>0</v>
      </c>
      <c r="K518" s="352">
        <f t="shared" si="147"/>
        <v>0</v>
      </c>
      <c r="L518" s="352">
        <f t="shared" si="147"/>
        <v>0</v>
      </c>
      <c r="M518" s="352">
        <f t="shared" si="147"/>
        <v>0</v>
      </c>
      <c r="N518" s="352">
        <f t="shared" si="147"/>
        <v>57920.887072735801</v>
      </c>
      <c r="O518" s="352">
        <f t="shared" si="147"/>
        <v>149.12200784056378</v>
      </c>
      <c r="P518" s="352">
        <f t="shared" si="147"/>
        <v>113797.87626098795</v>
      </c>
      <c r="Q518" s="352">
        <f t="shared" si="147"/>
        <v>0</v>
      </c>
      <c r="R518" s="352">
        <f t="shared" si="147"/>
        <v>0</v>
      </c>
      <c r="S518" s="352">
        <f t="shared" si="147"/>
        <v>0</v>
      </c>
      <c r="T518" s="352">
        <f t="shared" si="147"/>
        <v>0</v>
      </c>
      <c r="U518" s="352">
        <f t="shared" si="147"/>
        <v>0</v>
      </c>
      <c r="V518" s="352">
        <f t="shared" si="147"/>
        <v>0</v>
      </c>
      <c r="W518" s="352">
        <f t="shared" si="147"/>
        <v>0</v>
      </c>
      <c r="X518" s="352">
        <f t="shared" si="147"/>
        <v>0</v>
      </c>
      <c r="Y518" s="352">
        <f t="shared" si="147"/>
        <v>0</v>
      </c>
      <c r="AQ518" s="3"/>
    </row>
    <row r="519" spans="3:43" x14ac:dyDescent="0.25">
      <c r="E519" s="340"/>
      <c r="F519" s="341" t="s">
        <v>980</v>
      </c>
      <c r="G519" t="s">
        <v>254</v>
      </c>
      <c r="J519" s="352">
        <f t="shared" ref="J519:Y519" si="148">J417</f>
        <v>0</v>
      </c>
      <c r="K519" s="352">
        <f t="shared" si="148"/>
        <v>0</v>
      </c>
      <c r="L519" s="352">
        <f t="shared" si="148"/>
        <v>0</v>
      </c>
      <c r="M519" s="352">
        <f t="shared" si="148"/>
        <v>0</v>
      </c>
      <c r="N519" s="352">
        <f t="shared" si="148"/>
        <v>87791.084070454672</v>
      </c>
      <c r="O519" s="352">
        <f t="shared" si="148"/>
        <v>469.42751040175432</v>
      </c>
      <c r="P519" s="352">
        <f t="shared" si="148"/>
        <v>196524.5969580824</v>
      </c>
      <c r="Q519" s="352">
        <f t="shared" si="148"/>
        <v>0</v>
      </c>
      <c r="R519" s="352">
        <f t="shared" si="148"/>
        <v>0</v>
      </c>
      <c r="S519" s="352">
        <f t="shared" si="148"/>
        <v>0</v>
      </c>
      <c r="T519" s="352">
        <f t="shared" si="148"/>
        <v>0</v>
      </c>
      <c r="U519" s="352">
        <f t="shared" si="148"/>
        <v>0</v>
      </c>
      <c r="V519" s="352">
        <f t="shared" si="148"/>
        <v>0</v>
      </c>
      <c r="W519" s="352">
        <f t="shared" si="148"/>
        <v>0</v>
      </c>
      <c r="X519" s="352">
        <f t="shared" si="148"/>
        <v>0</v>
      </c>
      <c r="Y519" s="352">
        <f t="shared" si="148"/>
        <v>0</v>
      </c>
      <c r="AQ519" s="3"/>
    </row>
    <row r="520" spans="3:43" x14ac:dyDescent="0.25">
      <c r="E520" s="340"/>
      <c r="F520" s="341" t="s">
        <v>982</v>
      </c>
      <c r="G520" t="s">
        <v>254</v>
      </c>
      <c r="J520" s="91">
        <f t="shared" ref="J520:Y520" si="149">J446</f>
        <v>0</v>
      </c>
      <c r="K520" s="91">
        <f t="shared" si="149"/>
        <v>0</v>
      </c>
      <c r="L520" s="91">
        <f t="shared" si="149"/>
        <v>0</v>
      </c>
      <c r="M520" s="91">
        <f t="shared" si="149"/>
        <v>0</v>
      </c>
      <c r="N520" s="91">
        <f t="shared" si="149"/>
        <v>48207.18099917475</v>
      </c>
      <c r="O520" s="91">
        <f t="shared" si="149"/>
        <v>853.15730944147117</v>
      </c>
      <c r="P520" s="91">
        <f t="shared" si="149"/>
        <v>107400.54526446066</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42" t="s">
        <v>981</v>
      </c>
      <c r="G521" s="28" t="s">
        <v>254</v>
      </c>
      <c r="H521" s="28"/>
      <c r="I521" s="28"/>
      <c r="J521" s="352">
        <f t="shared" ref="J521:Y521" si="150">J475</f>
        <v>0</v>
      </c>
      <c r="K521" s="352">
        <f t="shared" si="150"/>
        <v>0</v>
      </c>
      <c r="L521" s="352">
        <f t="shared" si="150"/>
        <v>0</v>
      </c>
      <c r="M521" s="352">
        <f t="shared" si="150"/>
        <v>0</v>
      </c>
      <c r="N521" s="352">
        <f t="shared" si="150"/>
        <v>47586.149899531207</v>
      </c>
      <c r="O521" s="352">
        <f t="shared" si="150"/>
        <v>9871.3106180770756</v>
      </c>
      <c r="P521" s="352">
        <f t="shared" si="150"/>
        <v>336812.32092868647</v>
      </c>
      <c r="Q521" s="352">
        <f t="shared" si="150"/>
        <v>0</v>
      </c>
      <c r="R521" s="352">
        <f t="shared" si="150"/>
        <v>0</v>
      </c>
      <c r="S521" s="352">
        <f t="shared" si="150"/>
        <v>0</v>
      </c>
      <c r="T521" s="352">
        <f t="shared" si="150"/>
        <v>0</v>
      </c>
      <c r="U521" s="352">
        <f t="shared" si="150"/>
        <v>0</v>
      </c>
      <c r="V521" s="352">
        <f t="shared" si="150"/>
        <v>0</v>
      </c>
      <c r="W521" s="352">
        <f t="shared" si="150"/>
        <v>0</v>
      </c>
      <c r="X521" s="352">
        <f t="shared" si="150"/>
        <v>0</v>
      </c>
      <c r="Y521" s="352">
        <f t="shared" si="150"/>
        <v>0</v>
      </c>
      <c r="AQ521" s="3"/>
    </row>
    <row r="522" spans="3:43" x14ac:dyDescent="0.25">
      <c r="AQ522" s="3"/>
    </row>
    <row r="523" spans="3:43" x14ac:dyDescent="0.25">
      <c r="C523" s="26" t="str">
        <f ca="1">INDEX('Version control'!$H$36:$H$59,MATCH($A$1,'Version control'!$F$36:$F$59,0),1)&amp;"-J: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40"/>
      <c r="F527" s="2" t="s">
        <v>978</v>
      </c>
      <c r="G527" t="s">
        <v>207</v>
      </c>
      <c r="J527" s="121">
        <f>J58</f>
        <v>0</v>
      </c>
      <c r="K527" s="121">
        <f t="shared" ref="K527:Y527" si="151">K58</f>
        <v>97.101998282967941</v>
      </c>
      <c r="L527" s="121">
        <f t="shared" si="151"/>
        <v>0.84541270469587915</v>
      </c>
      <c r="M527" s="121">
        <f t="shared" si="151"/>
        <v>113.60366930781993</v>
      </c>
      <c r="N527" s="121">
        <f t="shared" si="151"/>
        <v>113.67037138779294</v>
      </c>
      <c r="O527" s="121">
        <f t="shared" si="151"/>
        <v>0.92942754552445628</v>
      </c>
      <c r="P527" s="121">
        <f t="shared" si="151"/>
        <v>514.89001982790273</v>
      </c>
      <c r="Q527" s="121">
        <f t="shared" si="151"/>
        <v>0</v>
      </c>
      <c r="R527" s="121">
        <f t="shared" si="151"/>
        <v>402.74853197386807</v>
      </c>
      <c r="S527" s="121">
        <f t="shared" si="151"/>
        <v>0</v>
      </c>
      <c r="T527" s="121">
        <f t="shared" si="151"/>
        <v>4581.0802139008056</v>
      </c>
      <c r="U527" s="121">
        <f t="shared" si="151"/>
        <v>0</v>
      </c>
      <c r="V527" s="121">
        <f t="shared" si="151"/>
        <v>1000.7714870643234</v>
      </c>
      <c r="W527" s="121">
        <f t="shared" si="151"/>
        <v>0</v>
      </c>
      <c r="X527" s="121">
        <f t="shared" si="151"/>
        <v>112513.35249750761</v>
      </c>
      <c r="Y527" s="121">
        <f t="shared" si="151"/>
        <v>0</v>
      </c>
      <c r="AQ527" s="3"/>
    </row>
    <row r="528" spans="3:43" x14ac:dyDescent="0.25">
      <c r="E528" s="340"/>
      <c r="F528" s="2" t="s">
        <v>979</v>
      </c>
      <c r="G528" t="s">
        <v>207</v>
      </c>
      <c r="J528" s="352">
        <f>J67</f>
        <v>958695.14576306345</v>
      </c>
      <c r="K528" s="352">
        <f t="shared" ref="K528:Y528" si="152">K67</f>
        <v>0</v>
      </c>
      <c r="L528" s="352">
        <f t="shared" si="152"/>
        <v>11787.636265875673</v>
      </c>
      <c r="M528" s="352">
        <f t="shared" si="152"/>
        <v>0</v>
      </c>
      <c r="N528" s="352">
        <f t="shared" si="152"/>
        <v>58853.594994802042</v>
      </c>
      <c r="O528" s="352">
        <f t="shared" si="152"/>
        <v>538.63355047049492</v>
      </c>
      <c r="P528" s="352">
        <f t="shared" si="152"/>
        <v>99223.692366436182</v>
      </c>
      <c r="Q528" s="352">
        <f t="shared" si="152"/>
        <v>10812.469000907027</v>
      </c>
      <c r="R528" s="352">
        <f t="shared" si="152"/>
        <v>0</v>
      </c>
      <c r="S528" s="352">
        <f t="shared" si="152"/>
        <v>0</v>
      </c>
      <c r="T528" s="352">
        <f t="shared" si="152"/>
        <v>0</v>
      </c>
      <c r="U528" s="352">
        <f t="shared" si="152"/>
        <v>0</v>
      </c>
      <c r="V528" s="352">
        <f t="shared" si="152"/>
        <v>0</v>
      </c>
      <c r="W528" s="352">
        <f t="shared" si="152"/>
        <v>0</v>
      </c>
      <c r="X528" s="352">
        <f t="shared" si="152"/>
        <v>0</v>
      </c>
      <c r="Y528" s="352">
        <f t="shared" si="152"/>
        <v>0</v>
      </c>
      <c r="AQ528" s="3"/>
    </row>
    <row r="529" spans="5:43" x14ac:dyDescent="0.25">
      <c r="E529" s="340"/>
      <c r="F529" s="2" t="s">
        <v>980</v>
      </c>
      <c r="G529" t="s">
        <v>207</v>
      </c>
      <c r="J529" s="352">
        <f>J76</f>
        <v>0</v>
      </c>
      <c r="K529" s="352">
        <f t="shared" ref="K529:Y529" si="153">K76</f>
        <v>0</v>
      </c>
      <c r="L529" s="352">
        <f t="shared" si="153"/>
        <v>44194.853232625021</v>
      </c>
      <c r="M529" s="352">
        <f t="shared" si="153"/>
        <v>0</v>
      </c>
      <c r="N529" s="352">
        <f t="shared" si="153"/>
        <v>88857.46042767688</v>
      </c>
      <c r="O529" s="352">
        <f t="shared" si="153"/>
        <v>814.71725366006797</v>
      </c>
      <c r="P529" s="352">
        <f t="shared" si="153"/>
        <v>171679.60936146666</v>
      </c>
      <c r="Q529" s="352">
        <f t="shared" si="153"/>
        <v>0</v>
      </c>
      <c r="R529" s="352">
        <f t="shared" si="153"/>
        <v>0</v>
      </c>
      <c r="S529" s="352">
        <f t="shared" si="153"/>
        <v>0</v>
      </c>
      <c r="T529" s="352">
        <f t="shared" si="153"/>
        <v>0</v>
      </c>
      <c r="U529" s="352">
        <f t="shared" si="153"/>
        <v>0</v>
      </c>
      <c r="V529" s="352">
        <f t="shared" si="153"/>
        <v>0</v>
      </c>
      <c r="W529" s="352">
        <f t="shared" si="153"/>
        <v>0</v>
      </c>
      <c r="X529" s="352">
        <f t="shared" si="153"/>
        <v>0</v>
      </c>
      <c r="Y529" s="352">
        <f t="shared" si="153"/>
        <v>0</v>
      </c>
      <c r="AQ529" s="3"/>
    </row>
    <row r="530" spans="5:43" x14ac:dyDescent="0.25">
      <c r="E530" s="340"/>
      <c r="F530" s="2" t="s">
        <v>982</v>
      </c>
      <c r="G530" t="s">
        <v>207</v>
      </c>
      <c r="J530" s="91">
        <f>J85</f>
        <v>0</v>
      </c>
      <c r="K530" s="91">
        <f t="shared" ref="K530:Y530" si="154">K85</f>
        <v>0</v>
      </c>
      <c r="L530" s="91">
        <f t="shared" si="154"/>
        <v>55088.643756714708</v>
      </c>
      <c r="M530" s="91">
        <f t="shared" si="154"/>
        <v>0</v>
      </c>
      <c r="N530" s="91">
        <f t="shared" si="154"/>
        <v>48807.429834632159</v>
      </c>
      <c r="O530" s="91">
        <f t="shared" si="154"/>
        <v>1468.3723943988352</v>
      </c>
      <c r="P530" s="91">
        <f t="shared" si="154"/>
        <v>93822.760463445258</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40"/>
      <c r="F531" s="2" t="s">
        <v>981</v>
      </c>
      <c r="G531" t="s">
        <v>207</v>
      </c>
      <c r="J531" s="91">
        <f>J94</f>
        <v>0</v>
      </c>
      <c r="K531" s="91">
        <f t="shared" ref="K531:Y531" si="155">K94</f>
        <v>0</v>
      </c>
      <c r="L531" s="91">
        <f t="shared" si="155"/>
        <v>183892.94247197083</v>
      </c>
      <c r="M531" s="91">
        <f t="shared" si="155"/>
        <v>0</v>
      </c>
      <c r="N531" s="91">
        <f t="shared" si="155"/>
        <v>48155.848578831639</v>
      </c>
      <c r="O531" s="91">
        <f t="shared" si="155"/>
        <v>16738.581298928457</v>
      </c>
      <c r="P531" s="91">
        <f t="shared" si="155"/>
        <v>294231.95653909474</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248</v>
      </c>
      <c r="F532" s="2"/>
      <c r="J532" s="22"/>
      <c r="K532" s="22"/>
      <c r="L532" s="22"/>
      <c r="M532" s="22"/>
      <c r="N532" s="22"/>
      <c r="O532" s="22"/>
      <c r="P532" s="22"/>
      <c r="Q532" s="22"/>
      <c r="R532" s="22"/>
      <c r="S532" s="22"/>
      <c r="T532" s="22"/>
      <c r="U532" s="22"/>
      <c r="V532" s="22"/>
      <c r="W532" s="22"/>
      <c r="X532" s="22"/>
      <c r="Y532" s="22"/>
      <c r="AQ532" s="3"/>
    </row>
    <row r="533" spans="5:43" x14ac:dyDescent="0.25">
      <c r="E533" s="340"/>
      <c r="F533" s="2" t="s">
        <v>978</v>
      </c>
      <c r="G533" t="s">
        <v>207</v>
      </c>
      <c r="J533" s="121">
        <f>J59</f>
        <v>0</v>
      </c>
      <c r="K533" s="121">
        <f t="shared" ref="K533:Y533" si="156">K59</f>
        <v>2610.0714903095482</v>
      </c>
      <c r="L533" s="121">
        <f t="shared" si="156"/>
        <v>3.4947301543468345</v>
      </c>
      <c r="M533" s="121">
        <f t="shared" si="156"/>
        <v>928.08494967695549</v>
      </c>
      <c r="N533" s="121">
        <f t="shared" si="156"/>
        <v>490.41477022151486</v>
      </c>
      <c r="O533" s="121">
        <f t="shared" si="156"/>
        <v>3.5167763112993287</v>
      </c>
      <c r="P533" s="121">
        <f t="shared" si="156"/>
        <v>2048.4044602273625</v>
      </c>
      <c r="Q533" s="121">
        <f t="shared" si="156"/>
        <v>0</v>
      </c>
      <c r="R533" s="121">
        <f t="shared" si="156"/>
        <v>1815.0091331557703</v>
      </c>
      <c r="S533" s="121">
        <f t="shared" si="156"/>
        <v>0</v>
      </c>
      <c r="T533" s="121">
        <f t="shared" si="156"/>
        <v>20492.431913765191</v>
      </c>
      <c r="U533" s="121">
        <f t="shared" si="156"/>
        <v>0</v>
      </c>
      <c r="V533" s="121">
        <f t="shared" si="156"/>
        <v>3996.1654558994287</v>
      </c>
      <c r="W533" s="121">
        <f t="shared" si="156"/>
        <v>0</v>
      </c>
      <c r="X533" s="121">
        <f t="shared" si="156"/>
        <v>328224.9176967626</v>
      </c>
      <c r="Y533" s="121">
        <f t="shared" si="156"/>
        <v>0</v>
      </c>
      <c r="AQ533" s="3"/>
    </row>
    <row r="534" spans="5:43" x14ac:dyDescent="0.25">
      <c r="E534" s="340"/>
      <c r="F534" s="2" t="s">
        <v>979</v>
      </c>
      <c r="G534" t="s">
        <v>207</v>
      </c>
      <c r="J534" s="352">
        <f>J68</f>
        <v>2724925.6197538478</v>
      </c>
      <c r="K534" s="352">
        <f t="shared" ref="K534:Y534" si="157">K68</f>
        <v>0</v>
      </c>
      <c r="L534" s="352">
        <f t="shared" si="157"/>
        <v>48727.216515686261</v>
      </c>
      <c r="M534" s="352">
        <f t="shared" si="157"/>
        <v>0</v>
      </c>
      <c r="N534" s="352">
        <f t="shared" si="157"/>
        <v>253915.52709561662</v>
      </c>
      <c r="O534" s="352">
        <f t="shared" si="157"/>
        <v>2038.0864757960242</v>
      </c>
      <c r="P534" s="352">
        <f t="shared" si="157"/>
        <v>394744.98665087757</v>
      </c>
      <c r="Q534" s="352">
        <f t="shared" si="157"/>
        <v>46845.820756552697</v>
      </c>
      <c r="R534" s="352">
        <f t="shared" si="157"/>
        <v>0</v>
      </c>
      <c r="S534" s="352">
        <f t="shared" si="157"/>
        <v>0</v>
      </c>
      <c r="T534" s="352">
        <f t="shared" si="157"/>
        <v>0</v>
      </c>
      <c r="U534" s="352">
        <f t="shared" si="157"/>
        <v>0</v>
      </c>
      <c r="V534" s="352">
        <f t="shared" si="157"/>
        <v>0</v>
      </c>
      <c r="W534" s="352">
        <f t="shared" si="157"/>
        <v>0</v>
      </c>
      <c r="X534" s="352">
        <f t="shared" si="157"/>
        <v>0</v>
      </c>
      <c r="Y534" s="352">
        <f t="shared" si="157"/>
        <v>0</v>
      </c>
      <c r="AQ534" s="3"/>
    </row>
    <row r="535" spans="5:43" x14ac:dyDescent="0.25">
      <c r="E535" s="340"/>
      <c r="F535" s="2" t="s">
        <v>980</v>
      </c>
      <c r="G535" t="s">
        <v>207</v>
      </c>
      <c r="J535" s="352">
        <f>J77</f>
        <v>0</v>
      </c>
      <c r="K535" s="352">
        <f t="shared" ref="K535:Y535" si="158">K77</f>
        <v>0</v>
      </c>
      <c r="L535" s="352">
        <f t="shared" si="158"/>
        <v>182690.75612549187</v>
      </c>
      <c r="M535" s="352">
        <f t="shared" si="158"/>
        <v>0</v>
      </c>
      <c r="N535" s="352">
        <f t="shared" si="158"/>
        <v>383362.96878490044</v>
      </c>
      <c r="O535" s="352">
        <f t="shared" si="158"/>
        <v>3082.7344765877519</v>
      </c>
      <c r="P535" s="352">
        <f t="shared" si="158"/>
        <v>682998.82305674069</v>
      </c>
      <c r="Q535" s="352">
        <f t="shared" si="158"/>
        <v>0</v>
      </c>
      <c r="R535" s="352">
        <f t="shared" si="158"/>
        <v>0</v>
      </c>
      <c r="S535" s="352">
        <f t="shared" si="158"/>
        <v>0</v>
      </c>
      <c r="T535" s="352">
        <f t="shared" si="158"/>
        <v>0</v>
      </c>
      <c r="U535" s="352">
        <f t="shared" si="158"/>
        <v>0</v>
      </c>
      <c r="V535" s="352">
        <f t="shared" si="158"/>
        <v>0</v>
      </c>
      <c r="W535" s="352">
        <f t="shared" si="158"/>
        <v>0</v>
      </c>
      <c r="X535" s="352">
        <f t="shared" si="158"/>
        <v>0</v>
      </c>
      <c r="Y535" s="352">
        <f t="shared" si="158"/>
        <v>0</v>
      </c>
      <c r="AQ535" s="3"/>
    </row>
    <row r="536" spans="5:43" x14ac:dyDescent="0.25">
      <c r="E536" s="340"/>
      <c r="F536" s="2" t="s">
        <v>982</v>
      </c>
      <c r="G536" t="s">
        <v>207</v>
      </c>
      <c r="J536" s="91">
        <f>J86</f>
        <v>0</v>
      </c>
      <c r="K536" s="91">
        <f t="shared" ref="K536:Y536" si="159">K86</f>
        <v>0</v>
      </c>
      <c r="L536" s="91">
        <f t="shared" si="159"/>
        <v>227723.03211118252</v>
      </c>
      <c r="M536" s="91">
        <f t="shared" si="159"/>
        <v>0</v>
      </c>
      <c r="N536" s="91">
        <f t="shared" si="159"/>
        <v>210572.76575436888</v>
      </c>
      <c r="O536" s="91">
        <f t="shared" si="159"/>
        <v>5556.0406807975533</v>
      </c>
      <c r="P536" s="91">
        <f t="shared" si="159"/>
        <v>373258.27575450274</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40"/>
      <c r="F537" s="2" t="s">
        <v>981</v>
      </c>
      <c r="G537" t="s">
        <v>207</v>
      </c>
      <c r="J537" s="91">
        <f>J95</f>
        <v>0</v>
      </c>
      <c r="K537" s="91">
        <f t="shared" ref="K537:Y537" si="160">K95</f>
        <v>0</v>
      </c>
      <c r="L537" s="91">
        <f t="shared" si="160"/>
        <v>760168.6225658831</v>
      </c>
      <c r="M537" s="91">
        <f t="shared" si="160"/>
        <v>0</v>
      </c>
      <c r="N537" s="91">
        <f t="shared" si="160"/>
        <v>207761.61041157588</v>
      </c>
      <c r="O537" s="91">
        <f t="shared" si="160"/>
        <v>63335.594560641948</v>
      </c>
      <c r="P537" s="91">
        <f t="shared" si="160"/>
        <v>1170552.9897774169</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249</v>
      </c>
      <c r="F538" s="2"/>
      <c r="J538" s="22"/>
      <c r="K538" s="22"/>
      <c r="L538" s="22"/>
      <c r="M538" s="22"/>
      <c r="N538" s="22"/>
      <c r="O538" s="22"/>
      <c r="P538" s="22"/>
      <c r="Q538" s="22"/>
      <c r="R538" s="22"/>
      <c r="S538" s="22"/>
      <c r="T538" s="22"/>
      <c r="U538" s="22"/>
      <c r="V538" s="22"/>
      <c r="W538" s="22"/>
      <c r="X538" s="22"/>
      <c r="Y538" s="22"/>
      <c r="AQ538" s="3"/>
    </row>
    <row r="539" spans="5:43" x14ac:dyDescent="0.25">
      <c r="E539" s="340"/>
      <c r="F539" s="2" t="s">
        <v>978</v>
      </c>
      <c r="G539" t="s">
        <v>207</v>
      </c>
      <c r="J539" s="121">
        <f>J60</f>
        <v>0</v>
      </c>
      <c r="K539" s="121">
        <f t="shared" ref="K539:Y539" si="161">K60</f>
        <v>10855.114741116735</v>
      </c>
      <c r="L539" s="121">
        <f t="shared" si="161"/>
        <v>3.8443571409572863</v>
      </c>
      <c r="M539" s="121">
        <f t="shared" si="161"/>
        <v>2405.8570016096082</v>
      </c>
      <c r="N539" s="121">
        <f t="shared" si="161"/>
        <v>704.50795839069224</v>
      </c>
      <c r="O539" s="121">
        <f t="shared" si="161"/>
        <v>4.3330961431762152</v>
      </c>
      <c r="P539" s="121">
        <f t="shared" si="161"/>
        <v>2865.4108199447342</v>
      </c>
      <c r="Q539" s="121">
        <f t="shared" si="161"/>
        <v>0</v>
      </c>
      <c r="R539" s="121">
        <f t="shared" si="161"/>
        <v>1012.3643348703615</v>
      </c>
      <c r="S539" s="121">
        <f t="shared" si="161"/>
        <v>0</v>
      </c>
      <c r="T539" s="121">
        <f t="shared" si="161"/>
        <v>19151.771205667341</v>
      </c>
      <c r="U539" s="121">
        <f t="shared" si="161"/>
        <v>0</v>
      </c>
      <c r="V539" s="121">
        <f t="shared" si="161"/>
        <v>6019.197723702915</v>
      </c>
      <c r="W539" s="121">
        <f t="shared" si="161"/>
        <v>0</v>
      </c>
      <c r="X539" s="121">
        <f t="shared" si="161"/>
        <v>370994.99213906302</v>
      </c>
      <c r="Y539" s="121">
        <f t="shared" si="161"/>
        <v>0</v>
      </c>
      <c r="AQ539" s="3"/>
    </row>
    <row r="540" spans="5:43" x14ac:dyDescent="0.25">
      <c r="E540" s="340"/>
      <c r="F540" s="2" t="s">
        <v>979</v>
      </c>
      <c r="G540" t="s">
        <v>207</v>
      </c>
      <c r="J540" s="352">
        <f>J69</f>
        <v>4883727.7493747445</v>
      </c>
      <c r="K540" s="352">
        <f t="shared" ref="K540:Y540" si="162">K69</f>
        <v>0</v>
      </c>
      <c r="L540" s="352">
        <f t="shared" si="162"/>
        <v>53602.084995904734</v>
      </c>
      <c r="M540" s="352">
        <f t="shared" si="162"/>
        <v>0</v>
      </c>
      <c r="N540" s="352">
        <f t="shared" si="162"/>
        <v>364763.70709028357</v>
      </c>
      <c r="O540" s="352">
        <f t="shared" si="162"/>
        <v>2511.1704202956603</v>
      </c>
      <c r="P540" s="352">
        <f t="shared" si="162"/>
        <v>552189.07097225182</v>
      </c>
      <c r="Q540" s="352">
        <f t="shared" si="162"/>
        <v>180165.70596262455</v>
      </c>
      <c r="R540" s="352">
        <f t="shared" si="162"/>
        <v>0</v>
      </c>
      <c r="S540" s="352">
        <f t="shared" si="162"/>
        <v>0</v>
      </c>
      <c r="T540" s="352">
        <f t="shared" si="162"/>
        <v>0</v>
      </c>
      <c r="U540" s="352">
        <f t="shared" si="162"/>
        <v>0</v>
      </c>
      <c r="V540" s="352">
        <f t="shared" si="162"/>
        <v>0</v>
      </c>
      <c r="W540" s="352">
        <f t="shared" si="162"/>
        <v>0</v>
      </c>
      <c r="X540" s="352">
        <f t="shared" si="162"/>
        <v>0</v>
      </c>
      <c r="Y540" s="352">
        <f t="shared" si="162"/>
        <v>0</v>
      </c>
      <c r="AQ540" s="3"/>
    </row>
    <row r="541" spans="5:43" x14ac:dyDescent="0.25">
      <c r="E541" s="340"/>
      <c r="F541" s="2" t="s">
        <v>980</v>
      </c>
      <c r="G541" t="s">
        <v>207</v>
      </c>
      <c r="J541" s="352">
        <f>J78</f>
        <v>0</v>
      </c>
      <c r="K541" s="352">
        <f t="shared" ref="K541:Y541" si="163">K78</f>
        <v>0</v>
      </c>
      <c r="L541" s="352">
        <f t="shared" si="163"/>
        <v>200967.88074591302</v>
      </c>
      <c r="M541" s="352">
        <f t="shared" si="163"/>
        <v>0</v>
      </c>
      <c r="N541" s="352">
        <f t="shared" si="163"/>
        <v>550722.12107162236</v>
      </c>
      <c r="O541" s="352">
        <f t="shared" si="163"/>
        <v>3798.303812505917</v>
      </c>
      <c r="P541" s="352">
        <f t="shared" si="163"/>
        <v>955412.98390801146</v>
      </c>
      <c r="Q541" s="352">
        <f t="shared" si="163"/>
        <v>0</v>
      </c>
      <c r="R541" s="352">
        <f t="shared" si="163"/>
        <v>0</v>
      </c>
      <c r="S541" s="352">
        <f t="shared" si="163"/>
        <v>0</v>
      </c>
      <c r="T541" s="352">
        <f t="shared" si="163"/>
        <v>0</v>
      </c>
      <c r="U541" s="352">
        <f t="shared" si="163"/>
        <v>0</v>
      </c>
      <c r="V541" s="352">
        <f t="shared" si="163"/>
        <v>0</v>
      </c>
      <c r="W541" s="352">
        <f t="shared" si="163"/>
        <v>0</v>
      </c>
      <c r="X541" s="352">
        <f t="shared" si="163"/>
        <v>0</v>
      </c>
      <c r="Y541" s="352">
        <f t="shared" si="163"/>
        <v>0</v>
      </c>
      <c r="AQ541" s="3"/>
    </row>
    <row r="542" spans="5:43" x14ac:dyDescent="0.25">
      <c r="E542" s="340"/>
      <c r="F542" s="2" t="s">
        <v>982</v>
      </c>
      <c r="G542" t="s">
        <v>207</v>
      </c>
      <c r="J542" s="91">
        <f>J87</f>
        <v>0</v>
      </c>
      <c r="K542" s="91">
        <f t="shared" ref="K542:Y542" si="164">K87</f>
        <v>0</v>
      </c>
      <c r="L542" s="91">
        <f t="shared" si="164"/>
        <v>250505.36836675779</v>
      </c>
      <c r="M542" s="91">
        <f t="shared" si="164"/>
        <v>0</v>
      </c>
      <c r="N542" s="91">
        <f t="shared" si="164"/>
        <v>302499.43171019055</v>
      </c>
      <c r="O542" s="91">
        <f t="shared" si="164"/>
        <v>6845.7178717742199</v>
      </c>
      <c r="P542" s="91">
        <f t="shared" si="164"/>
        <v>522132.38290945435</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40"/>
      <c r="F543" s="2" t="s">
        <v>981</v>
      </c>
      <c r="G543" t="s">
        <v>207</v>
      </c>
      <c r="J543" s="91">
        <f>J96</f>
        <v>0</v>
      </c>
      <c r="K543" s="91">
        <f t="shared" ref="K543:Y543" si="165">K96</f>
        <v>0</v>
      </c>
      <c r="L543" s="91">
        <f t="shared" si="165"/>
        <v>836218.97640878276</v>
      </c>
      <c r="M543" s="91">
        <f t="shared" si="165"/>
        <v>0</v>
      </c>
      <c r="N543" s="91">
        <f t="shared" si="165"/>
        <v>298461.05148282577</v>
      </c>
      <c r="O543" s="91">
        <f t="shared" si="165"/>
        <v>78037.155685655249</v>
      </c>
      <c r="P543" s="91">
        <f t="shared" si="165"/>
        <v>1637428.1873290681</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212</v>
      </c>
      <c r="F544" s="2"/>
      <c r="J544" s="22"/>
      <c r="K544" s="22"/>
      <c r="L544" s="22"/>
      <c r="M544" s="22"/>
      <c r="N544" s="22"/>
      <c r="O544" s="22"/>
      <c r="P544" s="22"/>
      <c r="Q544" s="22"/>
      <c r="R544" s="22"/>
      <c r="S544" s="22"/>
      <c r="T544" s="22"/>
      <c r="U544" s="22"/>
      <c r="V544" s="22"/>
      <c r="W544" s="22"/>
      <c r="X544" s="22"/>
      <c r="Y544" s="22"/>
      <c r="AQ544" s="3"/>
    </row>
    <row r="545" spans="5:43" x14ac:dyDescent="0.25">
      <c r="E545" s="340"/>
      <c r="F545" s="2" t="s">
        <v>978</v>
      </c>
      <c r="G545" t="s">
        <v>212</v>
      </c>
      <c r="J545" s="121">
        <f>J61</f>
        <v>0</v>
      </c>
      <c r="K545" s="121">
        <f t="shared" ref="K545:Y545" si="166">K61</f>
        <v>0</v>
      </c>
      <c r="L545" s="121">
        <f t="shared" si="166"/>
        <v>8.1844999999999999</v>
      </c>
      <c r="M545" s="121">
        <f t="shared" si="166"/>
        <v>0</v>
      </c>
      <c r="N545" s="121">
        <f t="shared" si="166"/>
        <v>29</v>
      </c>
      <c r="O545" s="121">
        <f t="shared" si="166"/>
        <v>1</v>
      </c>
      <c r="P545" s="121">
        <f t="shared" si="166"/>
        <v>76</v>
      </c>
      <c r="Q545" s="121">
        <f t="shared" si="166"/>
        <v>0</v>
      </c>
      <c r="R545" s="121">
        <f t="shared" si="166"/>
        <v>0</v>
      </c>
      <c r="S545" s="121">
        <f t="shared" si="166"/>
        <v>0</v>
      </c>
      <c r="T545" s="121">
        <f t="shared" si="166"/>
        <v>633.94808743169403</v>
      </c>
      <c r="U545" s="121">
        <f t="shared" si="166"/>
        <v>0</v>
      </c>
      <c r="V545" s="121">
        <f t="shared" si="166"/>
        <v>35.618169398907106</v>
      </c>
      <c r="W545" s="121">
        <f t="shared" si="166"/>
        <v>0</v>
      </c>
      <c r="X545" s="121">
        <f t="shared" si="166"/>
        <v>338.62978142076497</v>
      </c>
      <c r="Y545" s="121">
        <f t="shared" si="166"/>
        <v>0</v>
      </c>
      <c r="AQ545" s="3"/>
    </row>
    <row r="546" spans="5:43" x14ac:dyDescent="0.25">
      <c r="E546" s="340"/>
      <c r="F546" s="2" t="s">
        <v>979</v>
      </c>
      <c r="G546" t="s">
        <v>212</v>
      </c>
      <c r="J546" s="352">
        <f>J70</f>
        <v>2324955.1193078361</v>
      </c>
      <c r="K546" s="352">
        <f t="shared" ref="K546:Y546" si="167">K70</f>
        <v>0</v>
      </c>
      <c r="L546" s="352">
        <f t="shared" si="167"/>
        <v>71117.063271156148</v>
      </c>
      <c r="M546" s="352">
        <f t="shared" si="167"/>
        <v>0</v>
      </c>
      <c r="N546" s="352">
        <f t="shared" si="167"/>
        <v>6538.8255358917031</v>
      </c>
      <c r="O546" s="352">
        <f t="shared" si="167"/>
        <v>23.028329792128428</v>
      </c>
      <c r="P546" s="352">
        <f t="shared" si="167"/>
        <v>2209.8996249966858</v>
      </c>
      <c r="Q546" s="352">
        <f t="shared" si="167"/>
        <v>2294</v>
      </c>
      <c r="R546" s="352">
        <f t="shared" si="167"/>
        <v>0</v>
      </c>
      <c r="S546" s="352">
        <f t="shared" si="167"/>
        <v>0</v>
      </c>
      <c r="T546" s="352">
        <f t="shared" si="167"/>
        <v>0</v>
      </c>
      <c r="U546" s="352">
        <f t="shared" si="167"/>
        <v>0</v>
      </c>
      <c r="V546" s="352">
        <f t="shared" si="167"/>
        <v>0</v>
      </c>
      <c r="W546" s="352">
        <f t="shared" si="167"/>
        <v>0</v>
      </c>
      <c r="X546" s="352">
        <f t="shared" si="167"/>
        <v>0</v>
      </c>
      <c r="Y546" s="352">
        <f t="shared" si="167"/>
        <v>0</v>
      </c>
      <c r="AQ546" s="3"/>
    </row>
    <row r="547" spans="5:43" x14ac:dyDescent="0.25">
      <c r="E547" s="340"/>
      <c r="F547" s="2" t="s">
        <v>980</v>
      </c>
      <c r="G547" t="s">
        <v>212</v>
      </c>
      <c r="J547" s="352">
        <f>J79</f>
        <v>0</v>
      </c>
      <c r="K547" s="352">
        <f t="shared" ref="K547:Y547" si="168">K79</f>
        <v>0</v>
      </c>
      <c r="L547" s="352">
        <f t="shared" si="168"/>
        <v>53541.100272907279</v>
      </c>
      <c r="M547" s="352">
        <f t="shared" si="168"/>
        <v>0</v>
      </c>
      <c r="N547" s="352">
        <f t="shared" si="168"/>
        <v>5249.4268633032916</v>
      </c>
      <c r="O547" s="352">
        <f t="shared" si="168"/>
        <v>26.318091191003916</v>
      </c>
      <c r="P547" s="352">
        <f t="shared" si="168"/>
        <v>1219.1562048469793</v>
      </c>
      <c r="Q547" s="352">
        <f t="shared" si="168"/>
        <v>0</v>
      </c>
      <c r="R547" s="352">
        <f t="shared" si="168"/>
        <v>0</v>
      </c>
      <c r="S547" s="352">
        <f t="shared" si="168"/>
        <v>0</v>
      </c>
      <c r="T547" s="352">
        <f t="shared" si="168"/>
        <v>0</v>
      </c>
      <c r="U547" s="352">
        <f t="shared" si="168"/>
        <v>0</v>
      </c>
      <c r="V547" s="352">
        <f t="shared" si="168"/>
        <v>0</v>
      </c>
      <c r="W547" s="352">
        <f t="shared" si="168"/>
        <v>0</v>
      </c>
      <c r="X547" s="352">
        <f t="shared" si="168"/>
        <v>0</v>
      </c>
      <c r="Y547" s="352">
        <f t="shared" si="168"/>
        <v>0</v>
      </c>
      <c r="AQ547" s="3"/>
    </row>
    <row r="548" spans="5:43" x14ac:dyDescent="0.25">
      <c r="E548" s="340"/>
      <c r="F548" s="2" t="s">
        <v>982</v>
      </c>
      <c r="G548" t="s">
        <v>212</v>
      </c>
      <c r="J548" s="91">
        <f>J88</f>
        <v>0</v>
      </c>
      <c r="K548" s="91">
        <f t="shared" ref="K548:Y548" si="169">K88</f>
        <v>0</v>
      </c>
      <c r="L548" s="91">
        <f t="shared" si="169"/>
        <v>27924.327256355347</v>
      </c>
      <c r="M548" s="91">
        <f t="shared" si="169"/>
        <v>0</v>
      </c>
      <c r="N548" s="91">
        <f t="shared" si="169"/>
        <v>1823.7623385197005</v>
      </c>
      <c r="O548" s="91">
        <f t="shared" si="169"/>
        <v>30.801026855796401</v>
      </c>
      <c r="P548" s="91">
        <f t="shared" si="169"/>
        <v>298.4485717855971</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40"/>
      <c r="F549" s="2" t="s">
        <v>981</v>
      </c>
      <c r="G549" t="s">
        <v>212</v>
      </c>
      <c r="J549" s="91">
        <f>J97</f>
        <v>0</v>
      </c>
      <c r="K549" s="91">
        <f t="shared" ref="K549:Y549" si="170">K97</f>
        <v>0</v>
      </c>
      <c r="L549" s="91">
        <f t="shared" si="170"/>
        <v>28149.945828907057</v>
      </c>
      <c r="M549" s="91">
        <f t="shared" si="170"/>
        <v>0</v>
      </c>
      <c r="N549" s="91">
        <f t="shared" si="170"/>
        <v>1095.576983747472</v>
      </c>
      <c r="O549" s="91">
        <f t="shared" si="170"/>
        <v>235.76623358607674</v>
      </c>
      <c r="P549" s="91">
        <f t="shared" si="170"/>
        <v>300.46365168995504</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250</v>
      </c>
      <c r="F550" s="2"/>
      <c r="J550" s="22"/>
      <c r="K550" s="22"/>
      <c r="L550" s="22"/>
      <c r="M550" s="22"/>
      <c r="N550" s="22"/>
      <c r="O550" s="22"/>
      <c r="P550" s="22"/>
      <c r="Q550" s="22"/>
      <c r="R550" s="22"/>
      <c r="S550" s="22"/>
      <c r="T550" s="22"/>
      <c r="U550" s="22"/>
      <c r="V550" s="22"/>
      <c r="W550" s="22"/>
      <c r="X550" s="22"/>
      <c r="Y550" s="22"/>
      <c r="AQ550" s="3"/>
    </row>
    <row r="551" spans="5:43" x14ac:dyDescent="0.25">
      <c r="E551" s="340"/>
      <c r="F551" s="2" t="s">
        <v>978</v>
      </c>
      <c r="G551" t="s">
        <v>251</v>
      </c>
      <c r="J551" s="121">
        <f>J62</f>
        <v>0</v>
      </c>
      <c r="K551" s="121">
        <f t="shared" ref="K551:Y551" si="171">K62</f>
        <v>0</v>
      </c>
      <c r="L551" s="121">
        <f t="shared" si="171"/>
        <v>0</v>
      </c>
      <c r="M551" s="121">
        <f t="shared" si="171"/>
        <v>0</v>
      </c>
      <c r="N551" s="121">
        <f t="shared" si="171"/>
        <v>1856</v>
      </c>
      <c r="O551" s="121">
        <f t="shared" si="171"/>
        <v>220</v>
      </c>
      <c r="P551" s="121">
        <f t="shared" si="171"/>
        <v>16548</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40"/>
      <c r="F552" s="2" t="s">
        <v>979</v>
      </c>
      <c r="G552" t="s">
        <v>251</v>
      </c>
      <c r="J552" s="352">
        <f>J71</f>
        <v>0</v>
      </c>
      <c r="K552" s="352">
        <f t="shared" ref="K552:Y552" si="172">K71</f>
        <v>0</v>
      </c>
      <c r="L552" s="352">
        <f t="shared" si="172"/>
        <v>0</v>
      </c>
      <c r="M552" s="352">
        <f t="shared" si="172"/>
        <v>0</v>
      </c>
      <c r="N552" s="352">
        <f t="shared" si="172"/>
        <v>312045.96920039039</v>
      </c>
      <c r="O552" s="352">
        <f t="shared" si="172"/>
        <v>5384.0083047754661</v>
      </c>
      <c r="P552" s="352">
        <f t="shared" si="172"/>
        <v>484069.27424646</v>
      </c>
      <c r="Q552" s="352">
        <f t="shared" si="172"/>
        <v>0</v>
      </c>
      <c r="R552" s="352">
        <f t="shared" si="172"/>
        <v>0</v>
      </c>
      <c r="S552" s="352">
        <f t="shared" si="172"/>
        <v>0</v>
      </c>
      <c r="T552" s="352">
        <f t="shared" si="172"/>
        <v>0</v>
      </c>
      <c r="U552" s="352">
        <f t="shared" si="172"/>
        <v>0</v>
      </c>
      <c r="V552" s="352">
        <f t="shared" si="172"/>
        <v>0</v>
      </c>
      <c r="W552" s="352">
        <f t="shared" si="172"/>
        <v>0</v>
      </c>
      <c r="X552" s="352">
        <f t="shared" si="172"/>
        <v>0</v>
      </c>
      <c r="Y552" s="352">
        <f t="shared" si="172"/>
        <v>0</v>
      </c>
      <c r="AQ552" s="3"/>
    </row>
    <row r="553" spans="5:43" x14ac:dyDescent="0.25">
      <c r="E553" s="340"/>
      <c r="F553" s="2" t="s">
        <v>980</v>
      </c>
      <c r="G553" t="s">
        <v>251</v>
      </c>
      <c r="J553" s="352">
        <f>J80</f>
        <v>0</v>
      </c>
      <c r="K553" s="352">
        <f t="shared" ref="K553:Y553" si="173">K80</f>
        <v>0</v>
      </c>
      <c r="L553" s="352">
        <f t="shared" si="173"/>
        <v>0</v>
      </c>
      <c r="M553" s="352">
        <f t="shared" si="173"/>
        <v>0</v>
      </c>
      <c r="N553" s="352">
        <f t="shared" si="173"/>
        <v>606600.18946620962</v>
      </c>
      <c r="O553" s="352">
        <f t="shared" si="173"/>
        <v>3069.2205346557857</v>
      </c>
      <c r="P553" s="352">
        <f t="shared" si="173"/>
        <v>777723.01505323185</v>
      </c>
      <c r="Q553" s="352">
        <f t="shared" si="173"/>
        <v>0</v>
      </c>
      <c r="R553" s="352">
        <f t="shared" si="173"/>
        <v>0</v>
      </c>
      <c r="S553" s="352">
        <f t="shared" si="173"/>
        <v>0</v>
      </c>
      <c r="T553" s="352">
        <f t="shared" si="173"/>
        <v>0</v>
      </c>
      <c r="U553" s="352">
        <f t="shared" si="173"/>
        <v>0</v>
      </c>
      <c r="V553" s="352">
        <f t="shared" si="173"/>
        <v>0</v>
      </c>
      <c r="W553" s="352">
        <f t="shared" si="173"/>
        <v>0</v>
      </c>
      <c r="X553" s="352">
        <f t="shared" si="173"/>
        <v>0</v>
      </c>
      <c r="Y553" s="352">
        <f t="shared" si="173"/>
        <v>0</v>
      </c>
      <c r="AQ553" s="3"/>
    </row>
    <row r="554" spans="5:43" x14ac:dyDescent="0.25">
      <c r="E554" s="340"/>
      <c r="F554" s="2" t="s">
        <v>982</v>
      </c>
      <c r="G554" t="s">
        <v>251</v>
      </c>
      <c r="J554" s="91">
        <f>J89</f>
        <v>0</v>
      </c>
      <c r="K554" s="91">
        <f t="shared" ref="K554:Y554" si="174">K89</f>
        <v>0</v>
      </c>
      <c r="L554" s="91">
        <f t="shared" si="174"/>
        <v>0</v>
      </c>
      <c r="M554" s="91">
        <f t="shared" si="174"/>
        <v>0</v>
      </c>
      <c r="N554" s="91">
        <f t="shared" si="174"/>
        <v>336712.69569263258</v>
      </c>
      <c r="O554" s="91">
        <f t="shared" si="174"/>
        <v>5579.2821262040925</v>
      </c>
      <c r="P554" s="91">
        <f t="shared" si="174"/>
        <v>407078.88999769877</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40"/>
      <c r="F555" s="2" t="s">
        <v>981</v>
      </c>
      <c r="G555" t="s">
        <v>251</v>
      </c>
      <c r="J555" s="91">
        <f>J98</f>
        <v>0</v>
      </c>
      <c r="K555" s="91">
        <f t="shared" ref="K555:Y555" si="175">K98</f>
        <v>0</v>
      </c>
      <c r="L555" s="91">
        <f t="shared" si="175"/>
        <v>0</v>
      </c>
      <c r="M555" s="91">
        <f t="shared" si="175"/>
        <v>0</v>
      </c>
      <c r="N555" s="91">
        <f t="shared" si="175"/>
        <v>341121.31598836888</v>
      </c>
      <c r="O555" s="91">
        <f t="shared" si="175"/>
        <v>112225.79140230623</v>
      </c>
      <c r="P555" s="91">
        <f t="shared" si="175"/>
        <v>1202874.0697539097</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252</v>
      </c>
      <c r="F556" s="2"/>
      <c r="J556" s="22"/>
      <c r="K556" s="22"/>
      <c r="L556" s="22"/>
      <c r="M556" s="22"/>
      <c r="N556" s="22"/>
      <c r="O556" s="22"/>
      <c r="P556" s="22"/>
      <c r="Q556" s="22"/>
      <c r="R556" s="22"/>
      <c r="S556" s="22"/>
      <c r="T556" s="22"/>
      <c r="U556" s="22"/>
      <c r="V556" s="22"/>
      <c r="W556" s="22"/>
      <c r="X556" s="22"/>
      <c r="Y556" s="22"/>
      <c r="AQ556" s="3"/>
    </row>
    <row r="557" spans="5:43" x14ac:dyDescent="0.25">
      <c r="E557" s="340"/>
      <c r="F557" s="2" t="s">
        <v>978</v>
      </c>
      <c r="G557" t="s">
        <v>251</v>
      </c>
      <c r="J557" s="121">
        <f>J63</f>
        <v>0</v>
      </c>
      <c r="K557" s="121">
        <f t="shared" ref="K557:Y557" si="176">K63</f>
        <v>0</v>
      </c>
      <c r="L557" s="121">
        <f t="shared" si="176"/>
        <v>0</v>
      </c>
      <c r="M557" s="121">
        <f t="shared" si="176"/>
        <v>0</v>
      </c>
      <c r="N557" s="121">
        <f t="shared" si="176"/>
        <v>0</v>
      </c>
      <c r="O557" s="121">
        <f t="shared" si="176"/>
        <v>0</v>
      </c>
      <c r="P557" s="121">
        <f t="shared" si="176"/>
        <v>0</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40"/>
      <c r="F558" s="2" t="s">
        <v>979</v>
      </c>
      <c r="G558" t="s">
        <v>251</v>
      </c>
      <c r="J558" s="352">
        <f>J72</f>
        <v>0</v>
      </c>
      <c r="K558" s="352">
        <f t="shared" ref="K558:Y558" si="177">K72</f>
        <v>0</v>
      </c>
      <c r="L558" s="352">
        <f t="shared" si="177"/>
        <v>0</v>
      </c>
      <c r="M558" s="352">
        <f t="shared" si="177"/>
        <v>0</v>
      </c>
      <c r="N558" s="352">
        <f t="shared" si="177"/>
        <v>5259.5206196415666</v>
      </c>
      <c r="O558" s="352">
        <f t="shared" si="177"/>
        <v>25.002841793920606</v>
      </c>
      <c r="P558" s="352">
        <f t="shared" si="177"/>
        <v>7362.9204162581991</v>
      </c>
      <c r="Q558" s="352">
        <f t="shared" si="177"/>
        <v>0</v>
      </c>
      <c r="R558" s="352">
        <f t="shared" si="177"/>
        <v>0</v>
      </c>
      <c r="S558" s="352">
        <f t="shared" si="177"/>
        <v>0</v>
      </c>
      <c r="T558" s="352">
        <f t="shared" si="177"/>
        <v>0</v>
      </c>
      <c r="U558" s="352">
        <f t="shared" si="177"/>
        <v>0</v>
      </c>
      <c r="V558" s="352">
        <f t="shared" si="177"/>
        <v>0</v>
      </c>
      <c r="W558" s="352">
        <f t="shared" si="177"/>
        <v>0</v>
      </c>
      <c r="X558" s="352">
        <f t="shared" si="177"/>
        <v>0</v>
      </c>
      <c r="Y558" s="352">
        <f t="shared" si="177"/>
        <v>0</v>
      </c>
      <c r="AQ558" s="3"/>
    </row>
    <row r="559" spans="5:43" x14ac:dyDescent="0.25">
      <c r="E559" s="340"/>
      <c r="F559" s="2" t="s">
        <v>980</v>
      </c>
      <c r="G559" t="s">
        <v>251</v>
      </c>
      <c r="J559" s="352">
        <f>J81</f>
        <v>0</v>
      </c>
      <c r="K559" s="352">
        <f t="shared" ref="K559:Y559" si="178">K81</f>
        <v>0</v>
      </c>
      <c r="L559" s="352">
        <f t="shared" si="178"/>
        <v>0</v>
      </c>
      <c r="M559" s="352">
        <f t="shared" si="178"/>
        <v>0</v>
      </c>
      <c r="N559" s="352">
        <f t="shared" si="178"/>
        <v>10216.002573144408</v>
      </c>
      <c r="O559" s="352">
        <f t="shared" si="178"/>
        <v>14.253179251336862</v>
      </c>
      <c r="P559" s="352">
        <f t="shared" si="178"/>
        <v>11531.55661425686</v>
      </c>
      <c r="Q559" s="352">
        <f t="shared" si="178"/>
        <v>0</v>
      </c>
      <c r="R559" s="352">
        <f t="shared" si="178"/>
        <v>0</v>
      </c>
      <c r="S559" s="352">
        <f t="shared" si="178"/>
        <v>0</v>
      </c>
      <c r="T559" s="352">
        <f t="shared" si="178"/>
        <v>0</v>
      </c>
      <c r="U559" s="352">
        <f t="shared" si="178"/>
        <v>0</v>
      </c>
      <c r="V559" s="352">
        <f t="shared" si="178"/>
        <v>0</v>
      </c>
      <c r="W559" s="352">
        <f t="shared" si="178"/>
        <v>0</v>
      </c>
      <c r="X559" s="352">
        <f t="shared" si="178"/>
        <v>0</v>
      </c>
      <c r="Y559" s="352">
        <f t="shared" si="178"/>
        <v>0</v>
      </c>
      <c r="AQ559" s="3"/>
    </row>
    <row r="560" spans="5:43" x14ac:dyDescent="0.25">
      <c r="E560" s="340"/>
      <c r="F560" s="2" t="s">
        <v>982</v>
      </c>
      <c r="G560" t="s">
        <v>251</v>
      </c>
      <c r="J560" s="91">
        <f>J90</f>
        <v>0</v>
      </c>
      <c r="K560" s="91">
        <f t="shared" ref="K560:Y560" si="179">K90</f>
        <v>0</v>
      </c>
      <c r="L560" s="91">
        <f t="shared" si="179"/>
        <v>0</v>
      </c>
      <c r="M560" s="91">
        <f t="shared" si="179"/>
        <v>0</v>
      </c>
      <c r="N560" s="91">
        <f t="shared" si="179"/>
        <v>5674.7776906022964</v>
      </c>
      <c r="O560" s="91">
        <f t="shared" si="179"/>
        <v>26.931335412536932</v>
      </c>
      <c r="P560" s="91">
        <f t="shared" si="179"/>
        <v>6046.0846332229867</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40"/>
      <c r="F561" s="2" t="s">
        <v>981</v>
      </c>
      <c r="G561" t="s">
        <v>251</v>
      </c>
      <c r="J561" s="91">
        <f>J99</f>
        <v>0</v>
      </c>
      <c r="K561" s="91">
        <f t="shared" ref="K561:Y561" si="180">K99</f>
        <v>0</v>
      </c>
      <c r="L561" s="91">
        <f t="shared" si="180"/>
        <v>0</v>
      </c>
      <c r="M561" s="91">
        <f t="shared" si="180"/>
        <v>0</v>
      </c>
      <c r="N561" s="91">
        <f t="shared" si="180"/>
        <v>5752.8548351043901</v>
      </c>
      <c r="O561" s="91">
        <f t="shared" si="180"/>
        <v>521.16630376305068</v>
      </c>
      <c r="P561" s="91">
        <f t="shared" si="180"/>
        <v>17799.936822194777</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40" t="s">
        <v>253</v>
      </c>
      <c r="F562" s="341"/>
      <c r="J562" s="22"/>
      <c r="K562" s="22"/>
      <c r="L562" s="22"/>
      <c r="M562" s="22"/>
      <c r="N562" s="22"/>
      <c r="O562" s="22"/>
      <c r="P562" s="22"/>
      <c r="Q562" s="22"/>
      <c r="R562" s="22"/>
      <c r="S562" s="22"/>
      <c r="T562" s="22"/>
      <c r="U562" s="22"/>
      <c r="V562" s="22"/>
      <c r="W562" s="22"/>
      <c r="X562" s="22"/>
      <c r="Y562" s="22"/>
      <c r="AQ562" s="3"/>
    </row>
    <row r="563" spans="4:43" x14ac:dyDescent="0.25">
      <c r="E563" s="340"/>
      <c r="F563" s="341" t="s">
        <v>978</v>
      </c>
      <c r="G563" t="s">
        <v>254</v>
      </c>
      <c r="J563" s="121">
        <f>J64</f>
        <v>0</v>
      </c>
      <c r="K563" s="121">
        <f t="shared" ref="K563:Y563" si="181">K64</f>
        <v>0</v>
      </c>
      <c r="L563" s="121">
        <f t="shared" si="181"/>
        <v>0</v>
      </c>
      <c r="M563" s="121">
        <f t="shared" si="181"/>
        <v>0</v>
      </c>
      <c r="N563" s="121">
        <f t="shared" si="181"/>
        <v>288.15313798253834</v>
      </c>
      <c r="O563" s="121">
        <f t="shared" si="181"/>
        <v>192.90741538233189</v>
      </c>
      <c r="P563" s="121">
        <f t="shared" si="181"/>
        <v>374.50654211740863</v>
      </c>
      <c r="Q563" s="121">
        <f t="shared" si="181"/>
        <v>0</v>
      </c>
      <c r="R563" s="121">
        <f t="shared" si="181"/>
        <v>0</v>
      </c>
      <c r="S563" s="121">
        <f t="shared" si="181"/>
        <v>0</v>
      </c>
      <c r="T563" s="121">
        <f t="shared" si="181"/>
        <v>3761.82</v>
      </c>
      <c r="U563" s="121">
        <f t="shared" si="181"/>
        <v>0</v>
      </c>
      <c r="V563" s="121">
        <f t="shared" si="181"/>
        <v>310.738</v>
      </c>
      <c r="W563" s="121">
        <f t="shared" si="181"/>
        <v>0</v>
      </c>
      <c r="X563" s="121">
        <f t="shared" si="181"/>
        <v>36884.22</v>
      </c>
      <c r="Y563" s="121">
        <f t="shared" si="181"/>
        <v>0</v>
      </c>
      <c r="AQ563" s="3"/>
    </row>
    <row r="564" spans="4:43" x14ac:dyDescent="0.25">
      <c r="E564" s="340"/>
      <c r="F564" s="341" t="s">
        <v>979</v>
      </c>
      <c r="G564" t="s">
        <v>254</v>
      </c>
      <c r="J564" s="352">
        <f>J73</f>
        <v>0</v>
      </c>
      <c r="K564" s="352">
        <f t="shared" ref="K564:Y564" si="182">K73</f>
        <v>0</v>
      </c>
      <c r="L564" s="352">
        <f t="shared" si="182"/>
        <v>0</v>
      </c>
      <c r="M564" s="352">
        <f t="shared" si="182"/>
        <v>0</v>
      </c>
      <c r="N564" s="352">
        <f t="shared" si="182"/>
        <v>56304.879713602466</v>
      </c>
      <c r="O564" s="352">
        <f t="shared" si="182"/>
        <v>115.60675829683933</v>
      </c>
      <c r="P564" s="352">
        <f t="shared" si="182"/>
        <v>113635.47324864614</v>
      </c>
      <c r="Q564" s="352">
        <f t="shared" si="182"/>
        <v>0</v>
      </c>
      <c r="R564" s="352">
        <f t="shared" si="182"/>
        <v>0</v>
      </c>
      <c r="S564" s="352">
        <f t="shared" si="182"/>
        <v>0</v>
      </c>
      <c r="T564" s="352">
        <f t="shared" si="182"/>
        <v>0</v>
      </c>
      <c r="U564" s="352">
        <f t="shared" si="182"/>
        <v>0</v>
      </c>
      <c r="V564" s="352">
        <f t="shared" si="182"/>
        <v>0</v>
      </c>
      <c r="W564" s="352">
        <f t="shared" si="182"/>
        <v>0</v>
      </c>
      <c r="X564" s="352">
        <f t="shared" si="182"/>
        <v>0</v>
      </c>
      <c r="Y564" s="352">
        <f t="shared" si="182"/>
        <v>0</v>
      </c>
      <c r="AQ564" s="3"/>
    </row>
    <row r="565" spans="4:43" x14ac:dyDescent="0.25">
      <c r="E565" s="340"/>
      <c r="F565" s="341" t="s">
        <v>980</v>
      </c>
      <c r="G565" t="s">
        <v>254</v>
      </c>
      <c r="J565" s="352">
        <f>J82</f>
        <v>0</v>
      </c>
      <c r="K565" s="352">
        <f t="shared" ref="K565:Y565" si="183">K82</f>
        <v>0</v>
      </c>
      <c r="L565" s="352">
        <f t="shared" si="183"/>
        <v>0</v>
      </c>
      <c r="M565" s="352">
        <f t="shared" si="183"/>
        <v>0</v>
      </c>
      <c r="N565" s="352">
        <f t="shared" si="183"/>
        <v>85351.832172338283</v>
      </c>
      <c r="O565" s="352">
        <f t="shared" si="183"/>
        <v>418.73357936061552</v>
      </c>
      <c r="P565" s="352">
        <f t="shared" si="183"/>
        <v>196244.90669001723</v>
      </c>
      <c r="Q565" s="352">
        <f t="shared" si="183"/>
        <v>0</v>
      </c>
      <c r="R565" s="352">
        <f t="shared" si="183"/>
        <v>0</v>
      </c>
      <c r="S565" s="352">
        <f t="shared" si="183"/>
        <v>0</v>
      </c>
      <c r="T565" s="352">
        <f t="shared" si="183"/>
        <v>0</v>
      </c>
      <c r="U565" s="352">
        <f t="shared" si="183"/>
        <v>0</v>
      </c>
      <c r="V565" s="352">
        <f t="shared" si="183"/>
        <v>0</v>
      </c>
      <c r="W565" s="352">
        <f t="shared" si="183"/>
        <v>0</v>
      </c>
      <c r="X565" s="352">
        <f t="shared" si="183"/>
        <v>0</v>
      </c>
      <c r="Y565" s="352">
        <f t="shared" si="183"/>
        <v>0</v>
      </c>
      <c r="AQ565" s="3"/>
    </row>
    <row r="566" spans="4:43" x14ac:dyDescent="0.25">
      <c r="E566" s="340"/>
      <c r="F566" s="341" t="s">
        <v>982</v>
      </c>
      <c r="G566" t="s">
        <v>254</v>
      </c>
      <c r="J566" s="91">
        <f>J91</f>
        <v>0</v>
      </c>
      <c r="K566" s="91">
        <f t="shared" ref="K566:Y566" si="184">K91</f>
        <v>0</v>
      </c>
      <c r="L566" s="91">
        <f t="shared" si="184"/>
        <v>0</v>
      </c>
      <c r="M566" s="91">
        <f t="shared" si="184"/>
        <v>0</v>
      </c>
      <c r="N566" s="91">
        <f t="shared" si="184"/>
        <v>46867.455293587234</v>
      </c>
      <c r="O566" s="91">
        <f t="shared" si="184"/>
        <v>761.73334007584276</v>
      </c>
      <c r="P566" s="91">
        <f t="shared" si="184"/>
        <v>107247.67455511968</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42" t="s">
        <v>981</v>
      </c>
      <c r="G567" s="28" t="s">
        <v>254</v>
      </c>
      <c r="H567" s="28"/>
      <c r="I567" s="28"/>
      <c r="J567" s="352">
        <f>J100</f>
        <v>0</v>
      </c>
      <c r="K567" s="352">
        <f t="shared" ref="K567:Y567" si="185">K100</f>
        <v>0</v>
      </c>
      <c r="L567" s="352">
        <f t="shared" si="185"/>
        <v>0</v>
      </c>
      <c r="M567" s="352">
        <f t="shared" si="185"/>
        <v>0</v>
      </c>
      <c r="N567" s="352">
        <f t="shared" si="185"/>
        <v>46264.229682489466</v>
      </c>
      <c r="O567" s="352">
        <f t="shared" si="185"/>
        <v>8829.7904068843709</v>
      </c>
      <c r="P567" s="352">
        <f t="shared" si="185"/>
        <v>336333.02796409954</v>
      </c>
      <c r="Q567" s="352">
        <f t="shared" si="185"/>
        <v>0</v>
      </c>
      <c r="R567" s="352">
        <f t="shared" si="185"/>
        <v>0</v>
      </c>
      <c r="S567" s="352">
        <f t="shared" si="185"/>
        <v>0</v>
      </c>
      <c r="T567" s="352">
        <f t="shared" si="185"/>
        <v>0</v>
      </c>
      <c r="U567" s="352">
        <f t="shared" si="185"/>
        <v>0</v>
      </c>
      <c r="V567" s="352">
        <f t="shared" si="185"/>
        <v>0</v>
      </c>
      <c r="W567" s="352">
        <f t="shared" si="185"/>
        <v>0</v>
      </c>
      <c r="X567" s="352">
        <f t="shared" si="185"/>
        <v>0</v>
      </c>
      <c r="Y567" s="352">
        <f t="shared" si="185"/>
        <v>0</v>
      </c>
      <c r="AQ567" s="3"/>
    </row>
    <row r="568" spans="4:43" x14ac:dyDescent="0.25">
      <c r="AQ568" s="3"/>
    </row>
    <row r="569" spans="4:43" x14ac:dyDescent="0.25">
      <c r="D569" s="27" t="s">
        <v>1131</v>
      </c>
      <c r="AQ569" s="3"/>
    </row>
    <row r="570" spans="4:43" x14ac:dyDescent="0.2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40"/>
      <c r="F571" s="2" t="s">
        <v>978</v>
      </c>
      <c r="G571" t="s">
        <v>207</v>
      </c>
      <c r="J571" s="121">
        <f>J105</f>
        <v>0</v>
      </c>
      <c r="K571" s="121">
        <f t="shared" ref="K571:Y571" si="186">K105</f>
        <v>0</v>
      </c>
      <c r="L571" s="121">
        <f t="shared" si="186"/>
        <v>0</v>
      </c>
      <c r="M571" s="121">
        <f t="shared" si="186"/>
        <v>0</v>
      </c>
      <c r="N571" s="121">
        <f t="shared" si="186"/>
        <v>0</v>
      </c>
      <c r="O571" s="121">
        <f t="shared" si="186"/>
        <v>0</v>
      </c>
      <c r="P571" s="121">
        <f t="shared" si="186"/>
        <v>0</v>
      </c>
      <c r="Q571" s="121">
        <f t="shared" si="186"/>
        <v>0</v>
      </c>
      <c r="R571" s="121">
        <f t="shared" si="186"/>
        <v>4.2797216354836163</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40"/>
      <c r="F572" s="2" t="s">
        <v>979</v>
      </c>
      <c r="G572" t="s">
        <v>207</v>
      </c>
      <c r="J572" s="352">
        <f>J114</f>
        <v>15700.93913512329</v>
      </c>
      <c r="K572" s="352">
        <f t="shared" ref="K572:Y572" si="187">K114</f>
        <v>0</v>
      </c>
      <c r="L572" s="352">
        <f t="shared" si="187"/>
        <v>32.41484239613461</v>
      </c>
      <c r="M572" s="352">
        <f t="shared" si="187"/>
        <v>0</v>
      </c>
      <c r="N572" s="352">
        <f t="shared" si="187"/>
        <v>668.45656969807692</v>
      </c>
      <c r="O572" s="352">
        <f t="shared" si="187"/>
        <v>0</v>
      </c>
      <c r="P572" s="352">
        <f t="shared" si="187"/>
        <v>0</v>
      </c>
      <c r="Q572" s="352">
        <f t="shared" si="187"/>
        <v>5.2803435811820503</v>
      </c>
      <c r="R572" s="352">
        <f t="shared" si="187"/>
        <v>0</v>
      </c>
      <c r="S572" s="352">
        <f t="shared" si="187"/>
        <v>0</v>
      </c>
      <c r="T572" s="352">
        <f t="shared" si="187"/>
        <v>0</v>
      </c>
      <c r="U572" s="352">
        <f t="shared" si="187"/>
        <v>0</v>
      </c>
      <c r="V572" s="352">
        <f t="shared" si="187"/>
        <v>0</v>
      </c>
      <c r="W572" s="352">
        <f t="shared" si="187"/>
        <v>0</v>
      </c>
      <c r="X572" s="352">
        <f t="shared" si="187"/>
        <v>0</v>
      </c>
      <c r="Y572" s="352">
        <f t="shared" si="187"/>
        <v>0</v>
      </c>
      <c r="AQ572" s="3"/>
    </row>
    <row r="573" spans="4:43" x14ac:dyDescent="0.25">
      <c r="E573" s="340"/>
      <c r="F573" s="2" t="s">
        <v>980</v>
      </c>
      <c r="G573" t="s">
        <v>207</v>
      </c>
      <c r="J573" s="352">
        <f>J123</f>
        <v>0</v>
      </c>
      <c r="K573" s="352">
        <f t="shared" ref="K573:Y573" si="188">K123</f>
        <v>0</v>
      </c>
      <c r="L573" s="352">
        <f t="shared" si="188"/>
        <v>121.52279159569919</v>
      </c>
      <c r="M573" s="352">
        <f t="shared" si="188"/>
        <v>0</v>
      </c>
      <c r="N573" s="352">
        <f t="shared" si="188"/>
        <v>1008.9891900732774</v>
      </c>
      <c r="O573" s="352">
        <f t="shared" si="188"/>
        <v>0</v>
      </c>
      <c r="P573" s="352">
        <f t="shared" si="188"/>
        <v>0</v>
      </c>
      <c r="Q573" s="352">
        <f t="shared" si="188"/>
        <v>0</v>
      </c>
      <c r="R573" s="352">
        <f t="shared" si="188"/>
        <v>0</v>
      </c>
      <c r="S573" s="352">
        <f t="shared" si="188"/>
        <v>0</v>
      </c>
      <c r="T573" s="352">
        <f t="shared" si="188"/>
        <v>0</v>
      </c>
      <c r="U573" s="352">
        <f t="shared" si="188"/>
        <v>0</v>
      </c>
      <c r="V573" s="352">
        <f t="shared" si="188"/>
        <v>0</v>
      </c>
      <c r="W573" s="352">
        <f t="shared" si="188"/>
        <v>0</v>
      </c>
      <c r="X573" s="352">
        <f t="shared" si="188"/>
        <v>0</v>
      </c>
      <c r="Y573" s="352">
        <f t="shared" si="188"/>
        <v>0</v>
      </c>
      <c r="AQ573" s="3"/>
    </row>
    <row r="574" spans="4:43" x14ac:dyDescent="0.25">
      <c r="E574" s="340"/>
      <c r="F574" s="2" t="s">
        <v>982</v>
      </c>
      <c r="G574" t="s">
        <v>207</v>
      </c>
      <c r="J574" s="91">
        <f>J132</f>
        <v>0</v>
      </c>
      <c r="K574" s="91">
        <f t="shared" ref="K574:Y574" si="189">K132</f>
        <v>0</v>
      </c>
      <c r="L574" s="91">
        <f t="shared" si="189"/>
        <v>151.47749760134965</v>
      </c>
      <c r="M574" s="91">
        <f t="shared" si="189"/>
        <v>0</v>
      </c>
      <c r="N574" s="91">
        <f t="shared" si="189"/>
        <v>554.17349706479604</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40"/>
      <c r="F575" s="2" t="s">
        <v>981</v>
      </c>
      <c r="G575" t="s">
        <v>207</v>
      </c>
      <c r="J575" s="91">
        <f>J141</f>
        <v>0</v>
      </c>
      <c r="K575" s="91">
        <f t="shared" ref="K575:Y575" si="190">K141</f>
        <v>0</v>
      </c>
      <c r="L575" s="91">
        <f t="shared" si="190"/>
        <v>505.65127134406521</v>
      </c>
      <c r="M575" s="91">
        <f t="shared" si="190"/>
        <v>0</v>
      </c>
      <c r="N575" s="91">
        <f t="shared" si="190"/>
        <v>546.80831043502201</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248</v>
      </c>
      <c r="F576" s="2"/>
      <c r="J576" s="22"/>
      <c r="K576" s="22"/>
      <c r="L576" s="22"/>
      <c r="M576" s="22"/>
      <c r="N576" s="22"/>
      <c r="O576" s="22"/>
      <c r="P576" s="22"/>
      <c r="Q576" s="22"/>
      <c r="R576" s="22"/>
      <c r="S576" s="22"/>
      <c r="T576" s="22"/>
      <c r="U576" s="22"/>
      <c r="V576" s="22"/>
      <c r="W576" s="22"/>
      <c r="X576" s="22"/>
      <c r="Y576" s="22"/>
      <c r="AQ576" s="3"/>
    </row>
    <row r="577" spans="5:43" x14ac:dyDescent="0.25">
      <c r="E577" s="340"/>
      <c r="F577" s="2" t="s">
        <v>978</v>
      </c>
      <c r="G577" t="s">
        <v>207</v>
      </c>
      <c r="J577" s="121">
        <f>J106</f>
        <v>0</v>
      </c>
      <c r="K577" s="121">
        <f t="shared" ref="K577:Y577" si="191">K106</f>
        <v>0</v>
      </c>
      <c r="L577" s="121">
        <f t="shared" si="191"/>
        <v>0</v>
      </c>
      <c r="M577" s="121">
        <f t="shared" si="191"/>
        <v>0</v>
      </c>
      <c r="N577" s="121">
        <f t="shared" si="191"/>
        <v>0</v>
      </c>
      <c r="O577" s="121">
        <f t="shared" si="191"/>
        <v>0</v>
      </c>
      <c r="P577" s="121">
        <f t="shared" si="191"/>
        <v>0</v>
      </c>
      <c r="Q577" s="121">
        <f t="shared" si="191"/>
        <v>0</v>
      </c>
      <c r="R577" s="121">
        <f t="shared" si="191"/>
        <v>18.271397198392478</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40"/>
      <c r="F578" s="2" t="s">
        <v>979</v>
      </c>
      <c r="G578" t="s">
        <v>207</v>
      </c>
      <c r="J578" s="352">
        <f>J115</f>
        <v>43000</v>
      </c>
      <c r="K578" s="352">
        <f t="shared" ref="K578:Y578" si="192">K115</f>
        <v>0</v>
      </c>
      <c r="L578" s="352">
        <f t="shared" si="192"/>
        <v>139.32841347950537</v>
      </c>
      <c r="M578" s="352">
        <f t="shared" si="192"/>
        <v>0</v>
      </c>
      <c r="N578" s="352">
        <f t="shared" si="192"/>
        <v>3440.4096256757143</v>
      </c>
      <c r="O578" s="352">
        <f t="shared" si="192"/>
        <v>0</v>
      </c>
      <c r="P578" s="352">
        <f t="shared" si="192"/>
        <v>0</v>
      </c>
      <c r="Q578" s="352">
        <f t="shared" si="192"/>
        <v>261.68480590474331</v>
      </c>
      <c r="R578" s="352">
        <f t="shared" si="192"/>
        <v>0</v>
      </c>
      <c r="S578" s="352">
        <f t="shared" si="192"/>
        <v>0</v>
      </c>
      <c r="T578" s="352">
        <f t="shared" si="192"/>
        <v>0</v>
      </c>
      <c r="U578" s="352">
        <f t="shared" si="192"/>
        <v>0</v>
      </c>
      <c r="V578" s="352">
        <f t="shared" si="192"/>
        <v>0</v>
      </c>
      <c r="W578" s="352">
        <f t="shared" si="192"/>
        <v>0</v>
      </c>
      <c r="X578" s="352">
        <f t="shared" si="192"/>
        <v>0</v>
      </c>
      <c r="Y578" s="352">
        <f t="shared" si="192"/>
        <v>0</v>
      </c>
      <c r="AQ578" s="3"/>
    </row>
    <row r="579" spans="5:43" x14ac:dyDescent="0.25">
      <c r="E579" s="340"/>
      <c r="F579" s="2" t="s">
        <v>980</v>
      </c>
      <c r="G579" t="s">
        <v>207</v>
      </c>
      <c r="J579" s="352">
        <f>J124</f>
        <v>0</v>
      </c>
      <c r="K579" s="352">
        <f t="shared" ref="K579:Y579" si="193">K124</f>
        <v>0</v>
      </c>
      <c r="L579" s="352">
        <f t="shared" si="193"/>
        <v>522.34027695437408</v>
      </c>
      <c r="M579" s="352">
        <f t="shared" si="193"/>
        <v>0</v>
      </c>
      <c r="N579" s="352">
        <f t="shared" si="193"/>
        <v>5193.0615676329608</v>
      </c>
      <c r="O579" s="352">
        <f t="shared" si="193"/>
        <v>0</v>
      </c>
      <c r="P579" s="352">
        <f t="shared" si="193"/>
        <v>0</v>
      </c>
      <c r="Q579" s="352">
        <f t="shared" si="193"/>
        <v>0</v>
      </c>
      <c r="R579" s="352">
        <f t="shared" si="193"/>
        <v>0</v>
      </c>
      <c r="S579" s="352">
        <f t="shared" si="193"/>
        <v>0</v>
      </c>
      <c r="T579" s="352">
        <f t="shared" si="193"/>
        <v>0</v>
      </c>
      <c r="U579" s="352">
        <f t="shared" si="193"/>
        <v>0</v>
      </c>
      <c r="V579" s="352">
        <f t="shared" si="193"/>
        <v>0</v>
      </c>
      <c r="W579" s="352">
        <f t="shared" si="193"/>
        <v>0</v>
      </c>
      <c r="X579" s="352">
        <f t="shared" si="193"/>
        <v>0</v>
      </c>
      <c r="Y579" s="352">
        <f t="shared" si="193"/>
        <v>0</v>
      </c>
      <c r="AQ579" s="3"/>
    </row>
    <row r="580" spans="5:43" x14ac:dyDescent="0.25">
      <c r="E580" s="340"/>
      <c r="F580" s="2" t="s">
        <v>982</v>
      </c>
      <c r="G580" t="s">
        <v>207</v>
      </c>
      <c r="J580" s="91">
        <f>J133</f>
        <v>0</v>
      </c>
      <c r="K580" s="91">
        <f t="shared" ref="K580:Y580" si="194">K133</f>
        <v>0</v>
      </c>
      <c r="L580" s="91">
        <f t="shared" si="194"/>
        <v>651.09430922787283</v>
      </c>
      <c r="M580" s="91">
        <f t="shared" si="194"/>
        <v>0</v>
      </c>
      <c r="N580" s="91">
        <f t="shared" si="194"/>
        <v>2852.2179600347808</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40"/>
      <c r="F581" s="2" t="s">
        <v>981</v>
      </c>
      <c r="G581" t="s">
        <v>207</v>
      </c>
      <c r="J581" s="91">
        <f>J142</f>
        <v>0</v>
      </c>
      <c r="K581" s="91">
        <f t="shared" ref="K581:Y581" si="195">K142</f>
        <v>0</v>
      </c>
      <c r="L581" s="91">
        <f t="shared" si="195"/>
        <v>2173.4361237759613</v>
      </c>
      <c r="M581" s="91">
        <f t="shared" si="195"/>
        <v>0</v>
      </c>
      <c r="N581" s="91">
        <f t="shared" si="195"/>
        <v>2814.3108466565441</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249</v>
      </c>
      <c r="F582" s="2"/>
      <c r="J582" s="22"/>
      <c r="K582" s="22"/>
      <c r="L582" s="22"/>
      <c r="M582" s="22"/>
      <c r="N582" s="22"/>
      <c r="O582" s="22"/>
      <c r="P582" s="22"/>
      <c r="Q582" s="22"/>
      <c r="R582" s="22"/>
      <c r="S582" s="22"/>
      <c r="T582" s="22"/>
      <c r="U582" s="22"/>
      <c r="V582" s="22"/>
      <c r="W582" s="22"/>
      <c r="X582" s="22"/>
      <c r="Y582" s="22"/>
      <c r="AQ582" s="3"/>
    </row>
    <row r="583" spans="5:43" x14ac:dyDescent="0.25">
      <c r="E583" s="340"/>
      <c r="F583" s="2" t="s">
        <v>978</v>
      </c>
      <c r="G583" t="s">
        <v>207</v>
      </c>
      <c r="J583" s="121">
        <f>J107</f>
        <v>0</v>
      </c>
      <c r="K583" s="121">
        <f t="shared" ref="K583:Y583" si="196">K107</f>
        <v>0</v>
      </c>
      <c r="L583" s="121">
        <f t="shared" si="196"/>
        <v>0</v>
      </c>
      <c r="M583" s="121">
        <f t="shared" si="196"/>
        <v>0</v>
      </c>
      <c r="N583" s="121">
        <f t="shared" si="196"/>
        <v>0</v>
      </c>
      <c r="O583" s="121">
        <f t="shared" si="196"/>
        <v>0</v>
      </c>
      <c r="P583" s="121">
        <f t="shared" si="196"/>
        <v>0</v>
      </c>
      <c r="Q583" s="121">
        <f t="shared" si="196"/>
        <v>0</v>
      </c>
      <c r="R583" s="121">
        <f t="shared" si="196"/>
        <v>10.408381166123906</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40"/>
      <c r="F584" s="2" t="s">
        <v>979</v>
      </c>
      <c r="G584" t="s">
        <v>207</v>
      </c>
      <c r="J584" s="352">
        <f>J116</f>
        <v>56000</v>
      </c>
      <c r="K584" s="352">
        <f t="shared" ref="K584:Y584" si="197">K116</f>
        <v>0</v>
      </c>
      <c r="L584" s="352">
        <f t="shared" si="197"/>
        <v>137.96965750332501</v>
      </c>
      <c r="M584" s="352">
        <f t="shared" si="197"/>
        <v>0</v>
      </c>
      <c r="N584" s="352">
        <f t="shared" si="197"/>
        <v>4811.7617142317686</v>
      </c>
      <c r="O584" s="352">
        <f t="shared" si="197"/>
        <v>0</v>
      </c>
      <c r="P584" s="352">
        <f t="shared" si="197"/>
        <v>0</v>
      </c>
      <c r="Q584" s="352">
        <f t="shared" si="197"/>
        <v>406.83426130782453</v>
      </c>
      <c r="R584" s="352">
        <f t="shared" si="197"/>
        <v>0</v>
      </c>
      <c r="S584" s="352">
        <f t="shared" si="197"/>
        <v>0</v>
      </c>
      <c r="T584" s="352">
        <f t="shared" si="197"/>
        <v>0</v>
      </c>
      <c r="U584" s="352">
        <f t="shared" si="197"/>
        <v>0</v>
      </c>
      <c r="V584" s="352">
        <f t="shared" si="197"/>
        <v>0</v>
      </c>
      <c r="W584" s="352">
        <f t="shared" si="197"/>
        <v>0</v>
      </c>
      <c r="X584" s="352">
        <f t="shared" si="197"/>
        <v>0</v>
      </c>
      <c r="Y584" s="352">
        <f t="shared" si="197"/>
        <v>0</v>
      </c>
      <c r="AQ584" s="3"/>
    </row>
    <row r="585" spans="5:43" x14ac:dyDescent="0.25">
      <c r="E585" s="340"/>
      <c r="F585" s="2" t="s">
        <v>980</v>
      </c>
      <c r="G585" t="s">
        <v>207</v>
      </c>
      <c r="J585" s="352">
        <f>J125</f>
        <v>0</v>
      </c>
      <c r="K585" s="352">
        <f t="shared" ref="K585:Y585" si="198">K125</f>
        <v>0</v>
      </c>
      <c r="L585" s="352">
        <f t="shared" si="198"/>
        <v>517.2463197694251</v>
      </c>
      <c r="M585" s="352">
        <f t="shared" si="198"/>
        <v>0</v>
      </c>
      <c r="N585" s="352">
        <f t="shared" si="198"/>
        <v>7263.0231715146301</v>
      </c>
      <c r="O585" s="352">
        <f t="shared" si="198"/>
        <v>0</v>
      </c>
      <c r="P585" s="352">
        <f t="shared" si="198"/>
        <v>0</v>
      </c>
      <c r="Q585" s="352">
        <f t="shared" si="198"/>
        <v>0</v>
      </c>
      <c r="R585" s="352">
        <f t="shared" si="198"/>
        <v>0</v>
      </c>
      <c r="S585" s="352">
        <f t="shared" si="198"/>
        <v>0</v>
      </c>
      <c r="T585" s="352">
        <f t="shared" si="198"/>
        <v>0</v>
      </c>
      <c r="U585" s="352">
        <f t="shared" si="198"/>
        <v>0</v>
      </c>
      <c r="V585" s="352">
        <f t="shared" si="198"/>
        <v>0</v>
      </c>
      <c r="W585" s="352">
        <f t="shared" si="198"/>
        <v>0</v>
      </c>
      <c r="X585" s="352">
        <f t="shared" si="198"/>
        <v>0</v>
      </c>
      <c r="Y585" s="352">
        <f t="shared" si="198"/>
        <v>0</v>
      </c>
      <c r="AQ585" s="3"/>
    </row>
    <row r="586" spans="5:43" x14ac:dyDescent="0.25">
      <c r="E586" s="340"/>
      <c r="F586" s="2" t="s">
        <v>982</v>
      </c>
      <c r="G586" t="s">
        <v>207</v>
      </c>
      <c r="J586" s="91">
        <f>J134</f>
        <v>0</v>
      </c>
      <c r="K586" s="91">
        <f t="shared" ref="K586:Y586" si="199">K134</f>
        <v>0</v>
      </c>
      <c r="L586" s="91">
        <f t="shared" si="199"/>
        <v>644.74471935150109</v>
      </c>
      <c r="M586" s="91">
        <f t="shared" si="199"/>
        <v>0</v>
      </c>
      <c r="N586" s="91">
        <f t="shared" si="199"/>
        <v>3989.1160280206727</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40"/>
      <c r="F587" s="2" t="s">
        <v>981</v>
      </c>
      <c r="G587" t="s">
        <v>207</v>
      </c>
      <c r="J587" s="91">
        <f>J143</f>
        <v>0</v>
      </c>
      <c r="K587" s="91">
        <f t="shared" ref="K587:Y587" si="200">K143</f>
        <v>0</v>
      </c>
      <c r="L587" s="91">
        <f t="shared" si="200"/>
        <v>2152.2403802210306</v>
      </c>
      <c r="M587" s="91">
        <f t="shared" si="200"/>
        <v>0</v>
      </c>
      <c r="N587" s="91">
        <f t="shared" si="200"/>
        <v>3936.0990862329286</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212</v>
      </c>
      <c r="F588" s="2"/>
      <c r="J588" s="22"/>
      <c r="K588" s="22"/>
      <c r="L588" s="22"/>
      <c r="M588" s="22"/>
      <c r="N588" s="22"/>
      <c r="O588" s="22"/>
      <c r="P588" s="22"/>
      <c r="Q588" s="22"/>
      <c r="R588" s="22"/>
      <c r="S588" s="22"/>
      <c r="T588" s="22"/>
      <c r="U588" s="22"/>
      <c r="V588" s="22"/>
      <c r="W588" s="22"/>
      <c r="X588" s="22"/>
      <c r="Y588" s="22"/>
      <c r="AQ588" s="3"/>
    </row>
    <row r="589" spans="5:43" x14ac:dyDescent="0.25">
      <c r="E589" s="340"/>
      <c r="F589" s="2" t="s">
        <v>978</v>
      </c>
      <c r="G589" t="s">
        <v>212</v>
      </c>
      <c r="J589" s="121">
        <f>J108</f>
        <v>0</v>
      </c>
      <c r="K589" s="121">
        <f t="shared" ref="K589:Y589" si="201">K108</f>
        <v>0</v>
      </c>
      <c r="L589" s="121">
        <f t="shared" si="201"/>
        <v>0</v>
      </c>
      <c r="M589" s="121">
        <f t="shared" si="201"/>
        <v>0</v>
      </c>
      <c r="N589" s="121">
        <f t="shared" si="201"/>
        <v>0</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40"/>
      <c r="F590" s="2" t="s">
        <v>979</v>
      </c>
      <c r="G590" t="s">
        <v>212</v>
      </c>
      <c r="J590" s="352">
        <f>J117</f>
        <v>37574.316939890712</v>
      </c>
      <c r="K590" s="352">
        <f t="shared" ref="K590:Y590" si="202">K117</f>
        <v>0</v>
      </c>
      <c r="L590" s="352">
        <f t="shared" si="202"/>
        <v>172.96524592468162</v>
      </c>
      <c r="M590" s="352">
        <f t="shared" si="202"/>
        <v>0</v>
      </c>
      <c r="N590" s="352">
        <f t="shared" si="202"/>
        <v>53.908180822924486</v>
      </c>
      <c r="O590" s="352">
        <f t="shared" si="202"/>
        <v>0</v>
      </c>
      <c r="P590" s="352">
        <f t="shared" si="202"/>
        <v>0</v>
      </c>
      <c r="Q590" s="352">
        <f t="shared" si="202"/>
        <v>0</v>
      </c>
      <c r="R590" s="352">
        <f t="shared" si="202"/>
        <v>0</v>
      </c>
      <c r="S590" s="352">
        <f t="shared" si="202"/>
        <v>0</v>
      </c>
      <c r="T590" s="352">
        <f t="shared" si="202"/>
        <v>0</v>
      </c>
      <c r="U590" s="352">
        <f t="shared" si="202"/>
        <v>0</v>
      </c>
      <c r="V590" s="352">
        <f t="shared" si="202"/>
        <v>0</v>
      </c>
      <c r="W590" s="352">
        <f t="shared" si="202"/>
        <v>0</v>
      </c>
      <c r="X590" s="352">
        <f t="shared" si="202"/>
        <v>0</v>
      </c>
      <c r="Y590" s="352">
        <f t="shared" si="202"/>
        <v>0</v>
      </c>
      <c r="AQ590" s="3"/>
    </row>
    <row r="591" spans="5:43" x14ac:dyDescent="0.25">
      <c r="E591" s="340"/>
      <c r="F591" s="2" t="s">
        <v>980</v>
      </c>
      <c r="G591" t="s">
        <v>212</v>
      </c>
      <c r="J591" s="352">
        <f>J126</f>
        <v>0</v>
      </c>
      <c r="K591" s="352">
        <f t="shared" ref="K591:Y591" si="203">K126</f>
        <v>0</v>
      </c>
      <c r="L591" s="352">
        <f t="shared" si="203"/>
        <v>130.20340689114636</v>
      </c>
      <c r="M591" s="352">
        <f t="shared" si="203"/>
        <v>0</v>
      </c>
      <c r="N591" s="352">
        <f t="shared" si="203"/>
        <v>43.279355249648667</v>
      </c>
      <c r="O591" s="352">
        <f t="shared" si="203"/>
        <v>0</v>
      </c>
      <c r="P591" s="352">
        <f t="shared" si="203"/>
        <v>0</v>
      </c>
      <c r="Q591" s="352">
        <f t="shared" si="203"/>
        <v>0</v>
      </c>
      <c r="R591" s="352">
        <f t="shared" si="203"/>
        <v>0</v>
      </c>
      <c r="S591" s="352">
        <f t="shared" si="203"/>
        <v>0</v>
      </c>
      <c r="T591" s="352">
        <f t="shared" si="203"/>
        <v>0</v>
      </c>
      <c r="U591" s="352">
        <f t="shared" si="203"/>
        <v>0</v>
      </c>
      <c r="V591" s="352">
        <f t="shared" si="203"/>
        <v>0</v>
      </c>
      <c r="W591" s="352">
        <f t="shared" si="203"/>
        <v>0</v>
      </c>
      <c r="X591" s="352">
        <f t="shared" si="203"/>
        <v>0</v>
      </c>
      <c r="Y591" s="352">
        <f t="shared" si="203"/>
        <v>0</v>
      </c>
      <c r="AQ591" s="3"/>
    </row>
    <row r="592" spans="5:43" x14ac:dyDescent="0.25">
      <c r="E592" s="340"/>
      <c r="F592" s="2" t="s">
        <v>982</v>
      </c>
      <c r="G592" t="s">
        <v>212</v>
      </c>
      <c r="J592" s="91">
        <f>J135</f>
        <v>0</v>
      </c>
      <c r="K592" s="91">
        <f t="shared" ref="K592:Y592" si="204">K135</f>
        <v>0</v>
      </c>
      <c r="L592" s="91">
        <f t="shared" si="204"/>
        <v>67.907505176178901</v>
      </c>
      <c r="M592" s="91">
        <f t="shared" si="204"/>
        <v>0</v>
      </c>
      <c r="N592" s="91">
        <f t="shared" si="204"/>
        <v>15.043353766649165</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40"/>
      <c r="F593" s="2" t="s">
        <v>981</v>
      </c>
      <c r="G593" t="s">
        <v>212</v>
      </c>
      <c r="J593" s="91">
        <f>J144</f>
        <v>0</v>
      </c>
      <c r="K593" s="91">
        <f t="shared" ref="K593:Y593" si="205">K144</f>
        <v>0</v>
      </c>
      <c r="L593" s="91">
        <f t="shared" si="205"/>
        <v>68.456173519832916</v>
      </c>
      <c r="M593" s="91">
        <f t="shared" si="205"/>
        <v>0</v>
      </c>
      <c r="N593" s="91">
        <f t="shared" si="205"/>
        <v>9.0582722737103047</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250</v>
      </c>
      <c r="F594" s="2"/>
      <c r="J594" s="22"/>
      <c r="K594" s="22"/>
      <c r="L594" s="22"/>
      <c r="M594" s="22"/>
      <c r="N594" s="22"/>
      <c r="O594" s="22"/>
      <c r="P594" s="22"/>
      <c r="Q594" s="22"/>
      <c r="R594" s="22"/>
      <c r="S594" s="22"/>
      <c r="T594" s="22"/>
      <c r="U594" s="22"/>
      <c r="V594" s="22"/>
      <c r="W594" s="22"/>
      <c r="X594" s="22"/>
      <c r="Y594" s="22"/>
      <c r="AQ594" s="3"/>
    </row>
    <row r="595" spans="5:43" x14ac:dyDescent="0.25">
      <c r="E595" s="340"/>
      <c r="F595" s="2" t="s">
        <v>978</v>
      </c>
      <c r="G595" t="s">
        <v>251</v>
      </c>
      <c r="J595" s="121">
        <f>J109</f>
        <v>0</v>
      </c>
      <c r="K595" s="121">
        <f t="shared" ref="K595:Y595" si="206">K109</f>
        <v>0</v>
      </c>
      <c r="L595" s="121">
        <f t="shared" si="206"/>
        <v>0</v>
      </c>
      <c r="M595" s="121">
        <f t="shared" si="206"/>
        <v>0</v>
      </c>
      <c r="N595" s="121">
        <f t="shared" si="206"/>
        <v>0</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40"/>
      <c r="F596" s="2" t="s">
        <v>979</v>
      </c>
      <c r="G596" t="s">
        <v>251</v>
      </c>
      <c r="J596" s="352">
        <f>J118</f>
        <v>0</v>
      </c>
      <c r="K596" s="352">
        <f t="shared" ref="K596:Y596" si="207">K118</f>
        <v>0</v>
      </c>
      <c r="L596" s="352">
        <f t="shared" si="207"/>
        <v>0</v>
      </c>
      <c r="M596" s="352">
        <f t="shared" si="207"/>
        <v>0</v>
      </c>
      <c r="N596" s="352">
        <f t="shared" si="207"/>
        <v>4295.3339766001109</v>
      </c>
      <c r="O596" s="352">
        <f t="shared" si="207"/>
        <v>0</v>
      </c>
      <c r="P596" s="352">
        <f t="shared" si="207"/>
        <v>0</v>
      </c>
      <c r="Q596" s="352">
        <f t="shared" si="207"/>
        <v>0</v>
      </c>
      <c r="R596" s="352">
        <f t="shared" si="207"/>
        <v>0</v>
      </c>
      <c r="S596" s="352">
        <f t="shared" si="207"/>
        <v>0</v>
      </c>
      <c r="T596" s="352">
        <f t="shared" si="207"/>
        <v>0</v>
      </c>
      <c r="U596" s="352">
        <f t="shared" si="207"/>
        <v>0</v>
      </c>
      <c r="V596" s="352">
        <f t="shared" si="207"/>
        <v>0</v>
      </c>
      <c r="W596" s="352">
        <f t="shared" si="207"/>
        <v>0</v>
      </c>
      <c r="X596" s="352">
        <f t="shared" si="207"/>
        <v>0</v>
      </c>
      <c r="Y596" s="352">
        <f t="shared" si="207"/>
        <v>0</v>
      </c>
      <c r="AQ596" s="3"/>
    </row>
    <row r="597" spans="5:43" x14ac:dyDescent="0.25">
      <c r="E597" s="340"/>
      <c r="F597" s="2" t="s">
        <v>980</v>
      </c>
      <c r="G597" t="s">
        <v>251</v>
      </c>
      <c r="J597" s="352">
        <f>J127</f>
        <v>0</v>
      </c>
      <c r="K597" s="352">
        <f t="shared" ref="K597:Y597" si="208">K127</f>
        <v>0</v>
      </c>
      <c r="L597" s="352">
        <f t="shared" si="208"/>
        <v>0</v>
      </c>
      <c r="M597" s="352">
        <f t="shared" si="208"/>
        <v>0</v>
      </c>
      <c r="N597" s="352">
        <f t="shared" si="208"/>
        <v>8343.1829877400141</v>
      </c>
      <c r="O597" s="352">
        <f t="shared" si="208"/>
        <v>0</v>
      </c>
      <c r="P597" s="352">
        <f t="shared" si="208"/>
        <v>0</v>
      </c>
      <c r="Q597" s="352">
        <f t="shared" si="208"/>
        <v>0</v>
      </c>
      <c r="R597" s="352">
        <f t="shared" si="208"/>
        <v>0</v>
      </c>
      <c r="S597" s="352">
        <f t="shared" si="208"/>
        <v>0</v>
      </c>
      <c r="T597" s="352">
        <f t="shared" si="208"/>
        <v>0</v>
      </c>
      <c r="U597" s="352">
        <f t="shared" si="208"/>
        <v>0</v>
      </c>
      <c r="V597" s="352">
        <f t="shared" si="208"/>
        <v>0</v>
      </c>
      <c r="W597" s="352">
        <f t="shared" si="208"/>
        <v>0</v>
      </c>
      <c r="X597" s="352">
        <f t="shared" si="208"/>
        <v>0</v>
      </c>
      <c r="Y597" s="352">
        <f t="shared" si="208"/>
        <v>0</v>
      </c>
      <c r="AQ597" s="3"/>
    </row>
    <row r="598" spans="5:43" x14ac:dyDescent="0.25">
      <c r="E598" s="340"/>
      <c r="F598" s="2" t="s">
        <v>982</v>
      </c>
      <c r="G598" t="s">
        <v>251</v>
      </c>
      <c r="J598" s="91">
        <f>J136</f>
        <v>0</v>
      </c>
      <c r="K598" s="91">
        <f t="shared" ref="K598:Y598" si="209">K136</f>
        <v>0</v>
      </c>
      <c r="L598" s="91">
        <f t="shared" si="209"/>
        <v>0</v>
      </c>
      <c r="M598" s="91">
        <f t="shared" si="209"/>
        <v>0</v>
      </c>
      <c r="N598" s="91">
        <f t="shared" si="209"/>
        <v>4634.465227319045</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40"/>
      <c r="F599" s="2" t="s">
        <v>981</v>
      </c>
      <c r="G599" t="s">
        <v>251</v>
      </c>
      <c r="J599" s="91">
        <f>J145</f>
        <v>0</v>
      </c>
      <c r="K599" s="91">
        <f t="shared" ref="K599:Y599" si="210">K145</f>
        <v>0</v>
      </c>
      <c r="L599" s="91">
        <f t="shared" si="210"/>
        <v>0</v>
      </c>
      <c r="M599" s="91">
        <f t="shared" si="210"/>
        <v>0</v>
      </c>
      <c r="N599" s="91">
        <f t="shared" si="210"/>
        <v>4698.2291016013014</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252</v>
      </c>
      <c r="F600" s="2"/>
      <c r="J600" s="22"/>
      <c r="K600" s="22"/>
      <c r="L600" s="22"/>
      <c r="M600" s="22"/>
      <c r="N600" s="22"/>
      <c r="O600" s="22"/>
      <c r="P600" s="22"/>
      <c r="Q600" s="22"/>
      <c r="R600" s="22"/>
      <c r="S600" s="22"/>
      <c r="T600" s="22"/>
      <c r="U600" s="22"/>
      <c r="V600" s="22"/>
      <c r="W600" s="22"/>
      <c r="X600" s="22"/>
      <c r="Y600" s="22"/>
      <c r="AQ600" s="3"/>
    </row>
    <row r="601" spans="5:43" x14ac:dyDescent="0.25">
      <c r="E601" s="340"/>
      <c r="F601" s="2" t="s">
        <v>978</v>
      </c>
      <c r="G601" t="s">
        <v>251</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40"/>
      <c r="F602" s="2" t="s">
        <v>979</v>
      </c>
      <c r="G602" t="s">
        <v>251</v>
      </c>
      <c r="J602" s="352">
        <f>J119</f>
        <v>0</v>
      </c>
      <c r="K602" s="352">
        <f t="shared" ref="K602:Y602" si="212">K119</f>
        <v>0</v>
      </c>
      <c r="L602" s="352">
        <f t="shared" si="212"/>
        <v>0</v>
      </c>
      <c r="M602" s="352">
        <f t="shared" si="212"/>
        <v>0</v>
      </c>
      <c r="N602" s="352">
        <f t="shared" si="212"/>
        <v>5.4947726800825611</v>
      </c>
      <c r="O602" s="352">
        <f t="shared" si="212"/>
        <v>0</v>
      </c>
      <c r="P602" s="352">
        <f t="shared" si="212"/>
        <v>0</v>
      </c>
      <c r="Q602" s="352">
        <f t="shared" si="212"/>
        <v>0</v>
      </c>
      <c r="R602" s="352">
        <f t="shared" si="212"/>
        <v>0</v>
      </c>
      <c r="S602" s="352">
        <f t="shared" si="212"/>
        <v>0</v>
      </c>
      <c r="T602" s="352">
        <f t="shared" si="212"/>
        <v>0</v>
      </c>
      <c r="U602" s="352">
        <f t="shared" si="212"/>
        <v>0</v>
      </c>
      <c r="V602" s="352">
        <f t="shared" si="212"/>
        <v>0</v>
      </c>
      <c r="W602" s="352">
        <f t="shared" si="212"/>
        <v>0</v>
      </c>
      <c r="X602" s="352">
        <f t="shared" si="212"/>
        <v>0</v>
      </c>
      <c r="Y602" s="352">
        <f t="shared" si="212"/>
        <v>0</v>
      </c>
      <c r="AQ602" s="3"/>
    </row>
    <row r="603" spans="5:43" x14ac:dyDescent="0.25">
      <c r="E603" s="340"/>
      <c r="F603" s="2" t="s">
        <v>980</v>
      </c>
      <c r="G603" t="s">
        <v>251</v>
      </c>
      <c r="J603" s="352">
        <f>J128</f>
        <v>0</v>
      </c>
      <c r="K603" s="352">
        <f t="shared" ref="K603:Y603" si="213">K128</f>
        <v>0</v>
      </c>
      <c r="L603" s="352">
        <f t="shared" si="213"/>
        <v>0</v>
      </c>
      <c r="M603" s="352">
        <f t="shared" si="213"/>
        <v>0</v>
      </c>
      <c r="N603" s="352">
        <f t="shared" si="213"/>
        <v>10.672952137298129</v>
      </c>
      <c r="O603" s="352">
        <f t="shared" si="213"/>
        <v>0</v>
      </c>
      <c r="P603" s="352">
        <f t="shared" si="213"/>
        <v>0</v>
      </c>
      <c r="Q603" s="352">
        <f t="shared" si="213"/>
        <v>0</v>
      </c>
      <c r="R603" s="352">
        <f t="shared" si="213"/>
        <v>0</v>
      </c>
      <c r="S603" s="352">
        <f t="shared" si="213"/>
        <v>0</v>
      </c>
      <c r="T603" s="352">
        <f t="shared" si="213"/>
        <v>0</v>
      </c>
      <c r="U603" s="352">
        <f t="shared" si="213"/>
        <v>0</v>
      </c>
      <c r="V603" s="352">
        <f t="shared" si="213"/>
        <v>0</v>
      </c>
      <c r="W603" s="352">
        <f t="shared" si="213"/>
        <v>0</v>
      </c>
      <c r="X603" s="352">
        <f t="shared" si="213"/>
        <v>0</v>
      </c>
      <c r="Y603" s="352">
        <f t="shared" si="213"/>
        <v>0</v>
      </c>
      <c r="AQ603" s="3"/>
    </row>
    <row r="604" spans="5:43" x14ac:dyDescent="0.25">
      <c r="E604" s="340"/>
      <c r="F604" s="2" t="s">
        <v>982</v>
      </c>
      <c r="G604" t="s">
        <v>251</v>
      </c>
      <c r="J604" s="91">
        <f>J137</f>
        <v>0</v>
      </c>
      <c r="K604" s="91">
        <f t="shared" ref="K604:Y604" si="214">K137</f>
        <v>0</v>
      </c>
      <c r="L604" s="91">
        <f t="shared" si="214"/>
        <v>0</v>
      </c>
      <c r="M604" s="91">
        <f t="shared" si="214"/>
        <v>0</v>
      </c>
      <c r="N604" s="91">
        <f t="shared" si="214"/>
        <v>5.9286037026675853</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40"/>
      <c r="F605" s="2" t="s">
        <v>981</v>
      </c>
      <c r="G605" t="s">
        <v>251</v>
      </c>
      <c r="J605" s="91">
        <f>J146</f>
        <v>0</v>
      </c>
      <c r="K605" s="91">
        <f t="shared" ref="K605:Y605" si="215">K146</f>
        <v>0</v>
      </c>
      <c r="L605" s="91">
        <f t="shared" si="215"/>
        <v>0</v>
      </c>
      <c r="M605" s="91">
        <f t="shared" si="215"/>
        <v>0</v>
      </c>
      <c r="N605" s="91">
        <f t="shared" si="215"/>
        <v>6.0101731443666662</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40" t="s">
        <v>253</v>
      </c>
      <c r="F606" s="341"/>
      <c r="J606" s="22"/>
      <c r="K606" s="22"/>
      <c r="L606" s="22"/>
      <c r="M606" s="22"/>
      <c r="N606" s="22"/>
      <c r="O606" s="22"/>
      <c r="P606" s="22"/>
      <c r="Q606" s="22"/>
      <c r="R606" s="22"/>
      <c r="S606" s="22"/>
      <c r="T606" s="22"/>
      <c r="U606" s="22"/>
      <c r="V606" s="22"/>
      <c r="W606" s="22"/>
      <c r="X606" s="22"/>
      <c r="Y606" s="22"/>
      <c r="AQ606" s="3"/>
    </row>
    <row r="607" spans="5:43" x14ac:dyDescent="0.25">
      <c r="E607" s="340"/>
      <c r="F607" s="341" t="s">
        <v>978</v>
      </c>
      <c r="G607" t="s">
        <v>254</v>
      </c>
      <c r="J607" s="121">
        <f>J111</f>
        <v>0</v>
      </c>
      <c r="K607" s="121">
        <f t="shared" ref="K607:Y607" si="216">K111</f>
        <v>0</v>
      </c>
      <c r="L607" s="121">
        <f t="shared" si="216"/>
        <v>0</v>
      </c>
      <c r="M607" s="121">
        <f t="shared" si="216"/>
        <v>0</v>
      </c>
      <c r="N607" s="121">
        <f t="shared" si="216"/>
        <v>0</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40"/>
      <c r="F608" s="341" t="s">
        <v>979</v>
      </c>
      <c r="G608" t="s">
        <v>254</v>
      </c>
      <c r="J608" s="352">
        <f>J120</f>
        <v>0</v>
      </c>
      <c r="K608" s="352">
        <f t="shared" ref="K608:Y608" si="217">K120</f>
        <v>0</v>
      </c>
      <c r="L608" s="352">
        <f t="shared" si="217"/>
        <v>0</v>
      </c>
      <c r="M608" s="352">
        <f t="shared" si="217"/>
        <v>0</v>
      </c>
      <c r="N608" s="352">
        <f t="shared" si="217"/>
        <v>522.97973469705812</v>
      </c>
      <c r="O608" s="352">
        <f t="shared" si="217"/>
        <v>0</v>
      </c>
      <c r="P608" s="352">
        <f t="shared" si="217"/>
        <v>0</v>
      </c>
      <c r="Q608" s="352">
        <f t="shared" si="217"/>
        <v>0</v>
      </c>
      <c r="R608" s="352">
        <f t="shared" si="217"/>
        <v>0</v>
      </c>
      <c r="S608" s="352">
        <f t="shared" si="217"/>
        <v>0</v>
      </c>
      <c r="T608" s="352">
        <f t="shared" si="217"/>
        <v>0</v>
      </c>
      <c r="U608" s="352">
        <f t="shared" si="217"/>
        <v>0</v>
      </c>
      <c r="V608" s="352">
        <f t="shared" si="217"/>
        <v>0</v>
      </c>
      <c r="W608" s="352">
        <f t="shared" si="217"/>
        <v>0</v>
      </c>
      <c r="X608" s="352">
        <f t="shared" si="217"/>
        <v>0</v>
      </c>
      <c r="Y608" s="352">
        <f t="shared" si="217"/>
        <v>0</v>
      </c>
      <c r="AQ608" s="3"/>
    </row>
    <row r="609" spans="4:43" x14ac:dyDescent="0.25">
      <c r="E609" s="340"/>
      <c r="F609" s="341" t="s">
        <v>980</v>
      </c>
      <c r="G609" t="s">
        <v>254</v>
      </c>
      <c r="J609" s="352">
        <f>J129</f>
        <v>0</v>
      </c>
      <c r="K609" s="352">
        <f t="shared" ref="K609:Y609" si="218">K129</f>
        <v>0</v>
      </c>
      <c r="L609" s="352">
        <f t="shared" si="218"/>
        <v>0</v>
      </c>
      <c r="M609" s="352">
        <f t="shared" si="218"/>
        <v>0</v>
      </c>
      <c r="N609" s="352">
        <f t="shared" si="218"/>
        <v>789.40191907315807</v>
      </c>
      <c r="O609" s="352">
        <f t="shared" si="218"/>
        <v>0</v>
      </c>
      <c r="P609" s="352">
        <f t="shared" si="218"/>
        <v>0</v>
      </c>
      <c r="Q609" s="352">
        <f t="shared" si="218"/>
        <v>0</v>
      </c>
      <c r="R609" s="352">
        <f t="shared" si="218"/>
        <v>0</v>
      </c>
      <c r="S609" s="352">
        <f t="shared" si="218"/>
        <v>0</v>
      </c>
      <c r="T609" s="352">
        <f t="shared" si="218"/>
        <v>0</v>
      </c>
      <c r="U609" s="352">
        <f t="shared" si="218"/>
        <v>0</v>
      </c>
      <c r="V609" s="352">
        <f t="shared" si="218"/>
        <v>0</v>
      </c>
      <c r="W609" s="352">
        <f t="shared" si="218"/>
        <v>0</v>
      </c>
      <c r="X609" s="352">
        <f t="shared" si="218"/>
        <v>0</v>
      </c>
      <c r="Y609" s="352">
        <f t="shared" si="218"/>
        <v>0</v>
      </c>
      <c r="AQ609" s="3"/>
    </row>
    <row r="610" spans="4:43" x14ac:dyDescent="0.25">
      <c r="E610" s="340"/>
      <c r="F610" s="341" t="s">
        <v>982</v>
      </c>
      <c r="G610" t="s">
        <v>254</v>
      </c>
      <c r="J610" s="91">
        <f>J138</f>
        <v>0</v>
      </c>
      <c r="K610" s="91">
        <f t="shared" ref="K610:Y610" si="219">K138</f>
        <v>0</v>
      </c>
      <c r="L610" s="91">
        <f t="shared" si="219"/>
        <v>0</v>
      </c>
      <c r="M610" s="91">
        <f t="shared" si="219"/>
        <v>0</v>
      </c>
      <c r="N610" s="91">
        <f t="shared" si="219"/>
        <v>433.56819516635488</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42" t="s">
        <v>981</v>
      </c>
      <c r="G611" s="28" t="s">
        <v>254</v>
      </c>
      <c r="H611" s="28"/>
      <c r="I611" s="28"/>
      <c r="J611" s="352">
        <f>J147</f>
        <v>0</v>
      </c>
      <c r="K611" s="352">
        <f t="shared" ref="K611:Y611" si="220">K147</f>
        <v>0</v>
      </c>
      <c r="L611" s="352">
        <f t="shared" si="220"/>
        <v>0</v>
      </c>
      <c r="M611" s="352">
        <f t="shared" si="220"/>
        <v>0</v>
      </c>
      <c r="N611" s="352">
        <f t="shared" si="220"/>
        <v>427.80590106342868</v>
      </c>
      <c r="O611" s="352">
        <f t="shared" si="220"/>
        <v>0</v>
      </c>
      <c r="P611" s="352">
        <f t="shared" si="220"/>
        <v>0</v>
      </c>
      <c r="Q611" s="352">
        <f t="shared" si="220"/>
        <v>0</v>
      </c>
      <c r="R611" s="352">
        <f t="shared" si="220"/>
        <v>0</v>
      </c>
      <c r="S611" s="352">
        <f t="shared" si="220"/>
        <v>0</v>
      </c>
      <c r="T611" s="352">
        <f t="shared" si="220"/>
        <v>0</v>
      </c>
      <c r="U611" s="352">
        <f t="shared" si="220"/>
        <v>0</v>
      </c>
      <c r="V611" s="352">
        <f t="shared" si="220"/>
        <v>0</v>
      </c>
      <c r="W611" s="352">
        <f t="shared" si="220"/>
        <v>0</v>
      </c>
      <c r="X611" s="352">
        <f t="shared" si="220"/>
        <v>0</v>
      </c>
      <c r="Y611" s="352">
        <f t="shared" si="220"/>
        <v>0</v>
      </c>
      <c r="AQ611" s="3"/>
    </row>
    <row r="612" spans="4:43" x14ac:dyDescent="0.25">
      <c r="AQ612" s="3"/>
    </row>
    <row r="613" spans="4:43" x14ac:dyDescent="0.25">
      <c r="D613" s="27" t="s">
        <v>1132</v>
      </c>
      <c r="AQ613" s="3"/>
    </row>
    <row r="614" spans="4:43" x14ac:dyDescent="0.2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40"/>
      <c r="F615" s="2" t="s">
        <v>978</v>
      </c>
      <c r="G615" t="s">
        <v>207</v>
      </c>
      <c r="J615" s="121">
        <f>J152</f>
        <v>0</v>
      </c>
      <c r="K615" s="121">
        <f t="shared" ref="K615:Y615" si="221">K152</f>
        <v>0</v>
      </c>
      <c r="L615" s="121">
        <f t="shared" si="221"/>
        <v>0</v>
      </c>
      <c r="M615" s="121">
        <f t="shared" si="221"/>
        <v>0</v>
      </c>
      <c r="N615" s="121">
        <f t="shared" si="221"/>
        <v>0</v>
      </c>
      <c r="O615" s="121">
        <f t="shared" si="221"/>
        <v>0</v>
      </c>
      <c r="P615" s="121">
        <f t="shared" si="221"/>
        <v>0</v>
      </c>
      <c r="Q615" s="121">
        <f t="shared" si="221"/>
        <v>0</v>
      </c>
      <c r="R615" s="121">
        <f t="shared" si="221"/>
        <v>7.3769179825496217E-2</v>
      </c>
      <c r="S615" s="121">
        <f t="shared" si="221"/>
        <v>0</v>
      </c>
      <c r="T615" s="121">
        <f t="shared" si="221"/>
        <v>7.4176971777605809</v>
      </c>
      <c r="U615" s="121">
        <f t="shared" si="221"/>
        <v>0</v>
      </c>
      <c r="V615" s="121">
        <f t="shared" si="221"/>
        <v>0</v>
      </c>
      <c r="W615" s="121">
        <f t="shared" si="221"/>
        <v>0</v>
      </c>
      <c r="X615" s="121">
        <f t="shared" si="221"/>
        <v>7.2257999999999996</v>
      </c>
      <c r="Y615" s="121">
        <f t="shared" si="221"/>
        <v>0</v>
      </c>
      <c r="AQ615" s="3"/>
    </row>
    <row r="616" spans="4:43" x14ac:dyDescent="0.25">
      <c r="E616" s="340"/>
      <c r="F616" s="2" t="s">
        <v>979</v>
      </c>
      <c r="G616" t="s">
        <v>207</v>
      </c>
      <c r="J616" s="352">
        <f>J161</f>
        <v>25738.399300986101</v>
      </c>
      <c r="K616" s="352">
        <f t="shared" ref="K616:Y616" si="222">K161</f>
        <v>0</v>
      </c>
      <c r="L616" s="352">
        <f t="shared" si="222"/>
        <v>181.44733020302431</v>
      </c>
      <c r="M616" s="352">
        <f t="shared" si="222"/>
        <v>0</v>
      </c>
      <c r="N616" s="352">
        <f t="shared" si="222"/>
        <v>3680.9977113873028</v>
      </c>
      <c r="O616" s="352">
        <f t="shared" si="222"/>
        <v>54.267953996519928</v>
      </c>
      <c r="P616" s="352">
        <f t="shared" si="222"/>
        <v>1208.7761184082235</v>
      </c>
      <c r="Q616" s="352">
        <f t="shared" si="222"/>
        <v>6.2084614434936132</v>
      </c>
      <c r="R616" s="352">
        <f t="shared" si="222"/>
        <v>0</v>
      </c>
      <c r="S616" s="352">
        <f t="shared" si="222"/>
        <v>0</v>
      </c>
      <c r="T616" s="352">
        <f t="shared" si="222"/>
        <v>0</v>
      </c>
      <c r="U616" s="352">
        <f t="shared" si="222"/>
        <v>0</v>
      </c>
      <c r="V616" s="352">
        <f t="shared" si="222"/>
        <v>0</v>
      </c>
      <c r="W616" s="352">
        <f t="shared" si="222"/>
        <v>0</v>
      </c>
      <c r="X616" s="352">
        <f t="shared" si="222"/>
        <v>0</v>
      </c>
      <c r="Y616" s="352">
        <f t="shared" si="222"/>
        <v>0</v>
      </c>
      <c r="AQ616" s="3"/>
    </row>
    <row r="617" spans="4:43" x14ac:dyDescent="0.25">
      <c r="E617" s="340"/>
      <c r="F617" s="2" t="s">
        <v>980</v>
      </c>
      <c r="G617" t="s">
        <v>207</v>
      </c>
      <c r="J617" s="352">
        <f>J170</f>
        <v>0</v>
      </c>
      <c r="K617" s="352">
        <f t="shared" ref="K617:Y617" si="223">K170</f>
        <v>0</v>
      </c>
      <c r="L617" s="352">
        <f t="shared" si="223"/>
        <v>680.24350772371929</v>
      </c>
      <c r="M617" s="352">
        <f t="shared" si="223"/>
        <v>0</v>
      </c>
      <c r="N617" s="352">
        <f t="shared" si="223"/>
        <v>5556.2127262086915</v>
      </c>
      <c r="O617" s="352">
        <f t="shared" si="223"/>
        <v>82.083706822895948</v>
      </c>
      <c r="P617" s="352">
        <f t="shared" si="223"/>
        <v>2081.7527440737172</v>
      </c>
      <c r="Q617" s="352">
        <f t="shared" si="223"/>
        <v>0</v>
      </c>
      <c r="R617" s="352">
        <f t="shared" si="223"/>
        <v>0</v>
      </c>
      <c r="S617" s="352">
        <f t="shared" si="223"/>
        <v>0</v>
      </c>
      <c r="T617" s="352">
        <f t="shared" si="223"/>
        <v>0</v>
      </c>
      <c r="U617" s="352">
        <f t="shared" si="223"/>
        <v>0</v>
      </c>
      <c r="V617" s="352">
        <f t="shared" si="223"/>
        <v>0</v>
      </c>
      <c r="W617" s="352">
        <f t="shared" si="223"/>
        <v>0</v>
      </c>
      <c r="X617" s="352">
        <f t="shared" si="223"/>
        <v>0</v>
      </c>
      <c r="Y617" s="352">
        <f t="shared" si="223"/>
        <v>0</v>
      </c>
      <c r="AQ617" s="3"/>
    </row>
    <row r="618" spans="4:43" x14ac:dyDescent="0.25">
      <c r="E618" s="340"/>
      <c r="F618" s="2" t="s">
        <v>982</v>
      </c>
      <c r="G618" t="s">
        <v>207</v>
      </c>
      <c r="J618" s="91">
        <f>J179</f>
        <v>0</v>
      </c>
      <c r="K618" s="91">
        <f t="shared" ref="K618:Y618" si="224">K179</f>
        <v>0</v>
      </c>
      <c r="L618" s="91">
        <f t="shared" si="224"/>
        <v>847.91982603862527</v>
      </c>
      <c r="M618" s="91">
        <f t="shared" si="224"/>
        <v>0</v>
      </c>
      <c r="N618" s="91">
        <f t="shared" si="224"/>
        <v>3051.6737614358149</v>
      </c>
      <c r="O618" s="91">
        <f t="shared" si="224"/>
        <v>148.03386014597541</v>
      </c>
      <c r="P618" s="91">
        <f t="shared" si="224"/>
        <v>1137.8265710157095</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40"/>
      <c r="F619" s="2" t="s">
        <v>981</v>
      </c>
      <c r="G619" t="s">
        <v>207</v>
      </c>
      <c r="J619" s="91">
        <f>J188</f>
        <v>0</v>
      </c>
      <c r="K619" s="91">
        <f t="shared" ref="K619:Y619" si="225">K188</f>
        <v>0</v>
      </c>
      <c r="L619" s="91">
        <f t="shared" si="225"/>
        <v>2830.4648863597899</v>
      </c>
      <c r="M619" s="91">
        <f t="shared" si="225"/>
        <v>0</v>
      </c>
      <c r="N619" s="91">
        <f t="shared" si="225"/>
        <v>3011.1158009681903</v>
      </c>
      <c r="O619" s="91">
        <f t="shared" si="225"/>
        <v>1686.4314506658579</v>
      </c>
      <c r="P619" s="91">
        <f t="shared" si="225"/>
        <v>3567.4085163790546</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248</v>
      </c>
      <c r="F620" s="2"/>
      <c r="J620" s="22"/>
      <c r="K620" s="22"/>
      <c r="L620" s="22"/>
      <c r="M620" s="22"/>
      <c r="N620" s="22"/>
      <c r="O620" s="22"/>
      <c r="P620" s="22"/>
      <c r="Q620" s="22"/>
      <c r="R620" s="22"/>
      <c r="S620" s="22"/>
      <c r="T620" s="22"/>
      <c r="U620" s="22"/>
      <c r="V620" s="22"/>
      <c r="W620" s="22"/>
      <c r="X620" s="22"/>
      <c r="Y620" s="22"/>
      <c r="AQ620" s="3"/>
    </row>
    <row r="621" spans="4:43" x14ac:dyDescent="0.25">
      <c r="E621" s="340"/>
      <c r="F621" s="2" t="s">
        <v>978</v>
      </c>
      <c r="G621" t="s">
        <v>207</v>
      </c>
      <c r="J621" s="121">
        <f>J153</f>
        <v>0</v>
      </c>
      <c r="K621" s="121">
        <f t="shared" ref="K621:Y621" si="226">K153</f>
        <v>0</v>
      </c>
      <c r="L621" s="121">
        <f t="shared" si="226"/>
        <v>0</v>
      </c>
      <c r="M621" s="121">
        <f t="shared" si="226"/>
        <v>0</v>
      </c>
      <c r="N621" s="121">
        <f t="shared" si="226"/>
        <v>0</v>
      </c>
      <c r="O621" s="121">
        <f t="shared" si="226"/>
        <v>0</v>
      </c>
      <c r="P621" s="121">
        <f t="shared" si="226"/>
        <v>0</v>
      </c>
      <c r="Q621" s="121">
        <f t="shared" si="226"/>
        <v>0</v>
      </c>
      <c r="R621" s="121">
        <f t="shared" si="226"/>
        <v>0.31437484563728435</v>
      </c>
      <c r="S621" s="121">
        <f t="shared" si="226"/>
        <v>0</v>
      </c>
      <c r="T621" s="121">
        <f t="shared" si="226"/>
        <v>33.173331568660394</v>
      </c>
      <c r="U621" s="121">
        <f t="shared" si="226"/>
        <v>0</v>
      </c>
      <c r="V621" s="121">
        <f t="shared" si="226"/>
        <v>0</v>
      </c>
      <c r="W621" s="121">
        <f t="shared" si="226"/>
        <v>0</v>
      </c>
      <c r="X621" s="121">
        <f t="shared" si="226"/>
        <v>0.19575000000000001</v>
      </c>
      <c r="Y621" s="121">
        <f t="shared" si="226"/>
        <v>0</v>
      </c>
      <c r="AQ621" s="3"/>
    </row>
    <row r="622" spans="4:43" x14ac:dyDescent="0.25">
      <c r="E622" s="340"/>
      <c r="F622" s="2" t="s">
        <v>979</v>
      </c>
      <c r="G622" t="s">
        <v>207</v>
      </c>
      <c r="J622" s="352">
        <f>J162</f>
        <v>74000</v>
      </c>
      <c r="K622" s="352">
        <f t="shared" ref="K622:Y622" si="227">K162</f>
        <v>0</v>
      </c>
      <c r="L622" s="352">
        <f t="shared" si="227"/>
        <v>434.39647959469193</v>
      </c>
      <c r="M622" s="352">
        <f t="shared" si="227"/>
        <v>0</v>
      </c>
      <c r="N622" s="352">
        <f t="shared" si="227"/>
        <v>14194.697056983716</v>
      </c>
      <c r="O622" s="352">
        <f t="shared" si="227"/>
        <v>289.12553786860451</v>
      </c>
      <c r="P622" s="352">
        <f t="shared" si="227"/>
        <v>5403.7507943713044</v>
      </c>
      <c r="Q622" s="352">
        <f t="shared" si="227"/>
        <v>417.76530632165333</v>
      </c>
      <c r="R622" s="352">
        <f t="shared" si="227"/>
        <v>0</v>
      </c>
      <c r="S622" s="352">
        <f t="shared" si="227"/>
        <v>0</v>
      </c>
      <c r="T622" s="352">
        <f t="shared" si="227"/>
        <v>0</v>
      </c>
      <c r="U622" s="352">
        <f t="shared" si="227"/>
        <v>0</v>
      </c>
      <c r="V622" s="352">
        <f t="shared" si="227"/>
        <v>0</v>
      </c>
      <c r="W622" s="352">
        <f t="shared" si="227"/>
        <v>0</v>
      </c>
      <c r="X622" s="352">
        <f t="shared" si="227"/>
        <v>0</v>
      </c>
      <c r="Y622" s="352">
        <f t="shared" si="227"/>
        <v>0</v>
      </c>
      <c r="AQ622" s="3"/>
    </row>
    <row r="623" spans="4:43" x14ac:dyDescent="0.25">
      <c r="E623" s="340"/>
      <c r="F623" s="2" t="s">
        <v>980</v>
      </c>
      <c r="G623" t="s">
        <v>207</v>
      </c>
      <c r="J623" s="352">
        <f>J171</f>
        <v>0</v>
      </c>
      <c r="K623" s="352">
        <f t="shared" ref="K623:Y623" si="228">K171</f>
        <v>0</v>
      </c>
      <c r="L623" s="352">
        <f t="shared" si="228"/>
        <v>1628.5463373403941</v>
      </c>
      <c r="M623" s="352">
        <f t="shared" si="228"/>
        <v>0</v>
      </c>
      <c r="N623" s="352">
        <f t="shared" si="228"/>
        <v>21425.918355968159</v>
      </c>
      <c r="O623" s="352">
        <f t="shared" si="228"/>
        <v>437.32063101071657</v>
      </c>
      <c r="P623" s="352">
        <f t="shared" si="228"/>
        <v>9306.3329703159543</v>
      </c>
      <c r="Q623" s="352">
        <f t="shared" si="228"/>
        <v>0</v>
      </c>
      <c r="R623" s="352">
        <f t="shared" si="228"/>
        <v>0</v>
      </c>
      <c r="S623" s="352">
        <f t="shared" si="228"/>
        <v>0</v>
      </c>
      <c r="T623" s="352">
        <f t="shared" si="228"/>
        <v>0</v>
      </c>
      <c r="U623" s="352">
        <f t="shared" si="228"/>
        <v>0</v>
      </c>
      <c r="V623" s="352">
        <f t="shared" si="228"/>
        <v>0</v>
      </c>
      <c r="W623" s="352">
        <f t="shared" si="228"/>
        <v>0</v>
      </c>
      <c r="X623" s="352">
        <f t="shared" si="228"/>
        <v>0</v>
      </c>
      <c r="Y623" s="352">
        <f t="shared" si="228"/>
        <v>0</v>
      </c>
      <c r="AQ623" s="3"/>
    </row>
    <row r="624" spans="4:43" x14ac:dyDescent="0.25">
      <c r="E624" s="340"/>
      <c r="F624" s="2" t="s">
        <v>982</v>
      </c>
      <c r="G624" t="s">
        <v>207</v>
      </c>
      <c r="J624" s="91">
        <f>J180</f>
        <v>0</v>
      </c>
      <c r="K624" s="91">
        <f t="shared" ref="K624:Y624" si="229">K180</f>
        <v>0</v>
      </c>
      <c r="L624" s="91">
        <f t="shared" si="229"/>
        <v>2029.9741362829</v>
      </c>
      <c r="M624" s="91">
        <f t="shared" si="229"/>
        <v>0</v>
      </c>
      <c r="N624" s="91">
        <f t="shared" si="229"/>
        <v>11767.892282660985</v>
      </c>
      <c r="O624" s="91">
        <f t="shared" si="229"/>
        <v>788.68588707463721</v>
      </c>
      <c r="P624" s="91">
        <f t="shared" si="229"/>
        <v>5086.5757052510344</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40"/>
      <c r="F625" s="2" t="s">
        <v>981</v>
      </c>
      <c r="G625" t="s">
        <v>207</v>
      </c>
      <c r="J625" s="91">
        <f>J189</f>
        <v>0</v>
      </c>
      <c r="K625" s="91">
        <f t="shared" ref="K625:Y625" si="230">K189</f>
        <v>0</v>
      </c>
      <c r="L625" s="91">
        <f t="shared" si="230"/>
        <v>6776.3134396925334</v>
      </c>
      <c r="M625" s="91">
        <f t="shared" si="230"/>
        <v>0</v>
      </c>
      <c r="N625" s="91">
        <f t="shared" si="230"/>
        <v>11611.49230438714</v>
      </c>
      <c r="O625" s="91">
        <f t="shared" si="230"/>
        <v>8984.8679440460419</v>
      </c>
      <c r="P625" s="91">
        <f t="shared" si="230"/>
        <v>15947.85528160144</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249</v>
      </c>
      <c r="F626" s="2"/>
      <c r="J626" s="22"/>
      <c r="K626" s="22"/>
      <c r="L626" s="22"/>
      <c r="M626" s="22"/>
      <c r="N626" s="22"/>
      <c r="O626" s="22"/>
      <c r="P626" s="22"/>
      <c r="Q626" s="22"/>
      <c r="R626" s="22"/>
      <c r="S626" s="22"/>
      <c r="T626" s="22"/>
      <c r="U626" s="22"/>
      <c r="V626" s="22"/>
      <c r="W626" s="22"/>
      <c r="X626" s="22"/>
      <c r="Y626" s="22"/>
      <c r="AQ626" s="3"/>
    </row>
    <row r="627" spans="5:43" x14ac:dyDescent="0.25">
      <c r="E627" s="340"/>
      <c r="F627" s="2" t="s">
        <v>978</v>
      </c>
      <c r="G627" t="s">
        <v>207</v>
      </c>
      <c r="J627" s="121">
        <f>J154</f>
        <v>0</v>
      </c>
      <c r="K627" s="121">
        <f t="shared" ref="K627:Y627" si="231">K154</f>
        <v>0</v>
      </c>
      <c r="L627" s="121">
        <f t="shared" si="231"/>
        <v>0</v>
      </c>
      <c r="M627" s="121">
        <f t="shared" si="231"/>
        <v>0</v>
      </c>
      <c r="N627" s="121">
        <f t="shared" si="231"/>
        <v>0</v>
      </c>
      <c r="O627" s="121">
        <f t="shared" si="231"/>
        <v>0</v>
      </c>
      <c r="P627" s="121">
        <f t="shared" si="231"/>
        <v>0</v>
      </c>
      <c r="Q627" s="121">
        <f t="shared" si="231"/>
        <v>0</v>
      </c>
      <c r="R627" s="121">
        <f t="shared" si="231"/>
        <v>0.19335597453721937</v>
      </c>
      <c r="S627" s="121">
        <f t="shared" si="231"/>
        <v>0</v>
      </c>
      <c r="T627" s="121">
        <f t="shared" si="231"/>
        <v>74.160171253579037</v>
      </c>
      <c r="U627" s="121">
        <f t="shared" si="231"/>
        <v>0</v>
      </c>
      <c r="V627" s="121">
        <f t="shared" si="231"/>
        <v>0</v>
      </c>
      <c r="W627" s="121">
        <f t="shared" si="231"/>
        <v>0</v>
      </c>
      <c r="X627" s="121">
        <f t="shared" si="231"/>
        <v>9.5E-4</v>
      </c>
      <c r="Y627" s="121">
        <f t="shared" si="231"/>
        <v>0</v>
      </c>
      <c r="AQ627" s="3"/>
    </row>
    <row r="628" spans="5:43" x14ac:dyDescent="0.25">
      <c r="E628" s="340"/>
      <c r="F628" s="2" t="s">
        <v>979</v>
      </c>
      <c r="G628" t="s">
        <v>207</v>
      </c>
      <c r="J628" s="352">
        <f>J163</f>
        <v>105509.59147079231</v>
      </c>
      <c r="K628" s="352">
        <f t="shared" ref="K628:Y628" si="232">K163</f>
        <v>0</v>
      </c>
      <c r="L628" s="352">
        <f t="shared" si="232"/>
        <v>400.03868430666529</v>
      </c>
      <c r="M628" s="352">
        <f t="shared" si="232"/>
        <v>0</v>
      </c>
      <c r="N628" s="352">
        <f t="shared" si="232"/>
        <v>16313.843669269236</v>
      </c>
      <c r="O628" s="352">
        <f t="shared" si="232"/>
        <v>357.9649516468437</v>
      </c>
      <c r="P628" s="352">
        <f t="shared" si="232"/>
        <v>7263.1009479187333</v>
      </c>
      <c r="Q628" s="352">
        <f t="shared" si="232"/>
        <v>689.63075465360259</v>
      </c>
      <c r="R628" s="352">
        <f t="shared" si="232"/>
        <v>0</v>
      </c>
      <c r="S628" s="352">
        <f t="shared" si="232"/>
        <v>0</v>
      </c>
      <c r="T628" s="352">
        <f t="shared" si="232"/>
        <v>0</v>
      </c>
      <c r="U628" s="352">
        <f t="shared" si="232"/>
        <v>0</v>
      </c>
      <c r="V628" s="352">
        <f t="shared" si="232"/>
        <v>0</v>
      </c>
      <c r="W628" s="352">
        <f t="shared" si="232"/>
        <v>0</v>
      </c>
      <c r="X628" s="352">
        <f t="shared" si="232"/>
        <v>0</v>
      </c>
      <c r="Y628" s="352">
        <f t="shared" si="232"/>
        <v>0</v>
      </c>
      <c r="AQ628" s="3"/>
    </row>
    <row r="629" spans="5:43" x14ac:dyDescent="0.25">
      <c r="E629" s="340"/>
      <c r="F629" s="2" t="s">
        <v>980</v>
      </c>
      <c r="G629" t="s">
        <v>207</v>
      </c>
      <c r="J629" s="352">
        <f>J172</f>
        <v>0</v>
      </c>
      <c r="K629" s="352">
        <f t="shared" ref="K629:Y629" si="233">K172</f>
        <v>0</v>
      </c>
      <c r="L629" s="352">
        <f t="shared" si="233"/>
        <v>1499.7394424787844</v>
      </c>
      <c r="M629" s="352">
        <f t="shared" si="233"/>
        <v>0</v>
      </c>
      <c r="N629" s="352">
        <f t="shared" si="233"/>
        <v>24624.624331649207</v>
      </c>
      <c r="O629" s="352">
        <f t="shared" si="233"/>
        <v>541.44459077517286</v>
      </c>
      <c r="P629" s="352">
        <f t="shared" si="233"/>
        <v>12508.503517363481</v>
      </c>
      <c r="Q629" s="352">
        <f t="shared" si="233"/>
        <v>0</v>
      </c>
      <c r="R629" s="352">
        <f t="shared" si="233"/>
        <v>0</v>
      </c>
      <c r="S629" s="352">
        <f t="shared" si="233"/>
        <v>0</v>
      </c>
      <c r="T629" s="352">
        <f t="shared" si="233"/>
        <v>0</v>
      </c>
      <c r="U629" s="352">
        <f t="shared" si="233"/>
        <v>0</v>
      </c>
      <c r="V629" s="352">
        <f t="shared" si="233"/>
        <v>0</v>
      </c>
      <c r="W629" s="352">
        <f t="shared" si="233"/>
        <v>0</v>
      </c>
      <c r="X629" s="352">
        <f t="shared" si="233"/>
        <v>0</v>
      </c>
      <c r="Y629" s="352">
        <f t="shared" si="233"/>
        <v>0</v>
      </c>
      <c r="AQ629" s="3"/>
    </row>
    <row r="630" spans="5:43" x14ac:dyDescent="0.25">
      <c r="E630" s="340"/>
      <c r="F630" s="2" t="s">
        <v>982</v>
      </c>
      <c r="G630" t="s">
        <v>207</v>
      </c>
      <c r="J630" s="91">
        <f>J181</f>
        <v>0</v>
      </c>
      <c r="K630" s="91">
        <f t="shared" ref="K630:Y630" si="234">K181</f>
        <v>0</v>
      </c>
      <c r="L630" s="91">
        <f t="shared" si="234"/>
        <v>1869.4170436483748</v>
      </c>
      <c r="M630" s="91">
        <f t="shared" si="234"/>
        <v>0</v>
      </c>
      <c r="N630" s="91">
        <f t="shared" si="234"/>
        <v>13524.737741527091</v>
      </c>
      <c r="O630" s="91">
        <f t="shared" si="234"/>
        <v>976.46824114002698</v>
      </c>
      <c r="P630" s="91">
        <f t="shared" si="234"/>
        <v>6836.7906353030567</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40"/>
      <c r="F631" s="2" t="s">
        <v>981</v>
      </c>
      <c r="G631" t="s">
        <v>207</v>
      </c>
      <c r="J631" s="91">
        <f>J190</f>
        <v>0</v>
      </c>
      <c r="K631" s="91">
        <f t="shared" ref="K631:Y631" si="235">K190</f>
        <v>0</v>
      </c>
      <c r="L631" s="91">
        <f t="shared" si="235"/>
        <v>6240.353318225415</v>
      </c>
      <c r="M631" s="91">
        <f t="shared" si="235"/>
        <v>0</v>
      </c>
      <c r="N631" s="91">
        <f t="shared" si="235"/>
        <v>13344.988586952404</v>
      </c>
      <c r="O631" s="91">
        <f t="shared" si="235"/>
        <v>11124.122216437956</v>
      </c>
      <c r="P631" s="91">
        <f t="shared" si="235"/>
        <v>21435.274723202045</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212</v>
      </c>
      <c r="F632" s="2"/>
      <c r="J632" s="22"/>
      <c r="K632" s="22"/>
      <c r="L632" s="22"/>
      <c r="M632" s="22"/>
      <c r="N632" s="22"/>
      <c r="O632" s="22"/>
      <c r="P632" s="22"/>
      <c r="Q632" s="22"/>
      <c r="R632" s="22"/>
      <c r="S632" s="22"/>
      <c r="T632" s="22"/>
      <c r="U632" s="22"/>
      <c r="V632" s="22"/>
      <c r="W632" s="22"/>
      <c r="X632" s="22"/>
      <c r="Y632" s="22"/>
      <c r="AQ632" s="3"/>
    </row>
    <row r="633" spans="5:43" x14ac:dyDescent="0.25">
      <c r="E633" s="340"/>
      <c r="F633" s="2" t="s">
        <v>978</v>
      </c>
      <c r="G633" t="s">
        <v>212</v>
      </c>
      <c r="J633" s="121">
        <f>J155</f>
        <v>0</v>
      </c>
      <c r="K633" s="121">
        <f t="shared" ref="K633:Y633" si="236">K155</f>
        <v>0</v>
      </c>
      <c r="L633" s="121">
        <f t="shared" si="236"/>
        <v>0</v>
      </c>
      <c r="M633" s="121">
        <f t="shared" si="236"/>
        <v>0</v>
      </c>
      <c r="N633" s="121">
        <f t="shared" si="236"/>
        <v>0</v>
      </c>
      <c r="O633" s="121">
        <f t="shared" si="236"/>
        <v>0</v>
      </c>
      <c r="P633" s="121">
        <f t="shared" si="236"/>
        <v>0</v>
      </c>
      <c r="Q633" s="121">
        <f t="shared" si="236"/>
        <v>0</v>
      </c>
      <c r="R633" s="121">
        <f t="shared" si="236"/>
        <v>0</v>
      </c>
      <c r="S633" s="121">
        <f t="shared" si="236"/>
        <v>0</v>
      </c>
      <c r="T633" s="121">
        <f t="shared" si="236"/>
        <v>3</v>
      </c>
      <c r="U633" s="121">
        <f t="shared" si="236"/>
        <v>0</v>
      </c>
      <c r="V633" s="121">
        <f t="shared" si="236"/>
        <v>0</v>
      </c>
      <c r="W633" s="121">
        <f t="shared" si="236"/>
        <v>0</v>
      </c>
      <c r="X633" s="121">
        <f t="shared" si="236"/>
        <v>2</v>
      </c>
      <c r="Y633" s="121">
        <f t="shared" si="236"/>
        <v>0</v>
      </c>
      <c r="AQ633" s="3"/>
    </row>
    <row r="634" spans="5:43" x14ac:dyDescent="0.25">
      <c r="E634" s="340"/>
      <c r="F634" s="2" t="s">
        <v>979</v>
      </c>
      <c r="G634" t="s">
        <v>212</v>
      </c>
      <c r="J634" s="352">
        <f>J164</f>
        <v>77790.633879781424</v>
      </c>
      <c r="K634" s="352">
        <f t="shared" ref="K634:Y634" si="237">K164</f>
        <v>0</v>
      </c>
      <c r="L634" s="352">
        <f t="shared" si="237"/>
        <v>831.62906930409486</v>
      </c>
      <c r="M634" s="352">
        <f t="shared" si="237"/>
        <v>0</v>
      </c>
      <c r="N634" s="352">
        <f t="shared" si="237"/>
        <v>299.76418401943096</v>
      </c>
      <c r="O634" s="352">
        <f t="shared" si="237"/>
        <v>2.2252963866356574</v>
      </c>
      <c r="P634" s="352">
        <f t="shared" si="237"/>
        <v>29.491740654989822</v>
      </c>
      <c r="Q634" s="352">
        <f t="shared" si="237"/>
        <v>0</v>
      </c>
      <c r="R634" s="352">
        <f t="shared" si="237"/>
        <v>0</v>
      </c>
      <c r="S634" s="352">
        <f t="shared" si="237"/>
        <v>0</v>
      </c>
      <c r="T634" s="352">
        <f t="shared" si="237"/>
        <v>0</v>
      </c>
      <c r="U634" s="352">
        <f t="shared" si="237"/>
        <v>0</v>
      </c>
      <c r="V634" s="352">
        <f t="shared" si="237"/>
        <v>0</v>
      </c>
      <c r="W634" s="352">
        <f t="shared" si="237"/>
        <v>0</v>
      </c>
      <c r="X634" s="352">
        <f t="shared" si="237"/>
        <v>0</v>
      </c>
      <c r="Y634" s="352">
        <f t="shared" si="237"/>
        <v>0</v>
      </c>
      <c r="AQ634" s="3"/>
    </row>
    <row r="635" spans="5:43" x14ac:dyDescent="0.25">
      <c r="E635" s="340"/>
      <c r="F635" s="2" t="s">
        <v>980</v>
      </c>
      <c r="G635" t="s">
        <v>212</v>
      </c>
      <c r="J635" s="352">
        <f>J173</f>
        <v>0</v>
      </c>
      <c r="K635" s="352">
        <f t="shared" ref="K635:Y635" si="238">K173</f>
        <v>0</v>
      </c>
      <c r="L635" s="352">
        <f t="shared" si="238"/>
        <v>626.02713923384226</v>
      </c>
      <c r="M635" s="352">
        <f t="shared" si="238"/>
        <v>0</v>
      </c>
      <c r="N635" s="352">
        <f t="shared" si="238"/>
        <v>240.6610724615841</v>
      </c>
      <c r="O635" s="352">
        <f t="shared" si="238"/>
        <v>2.5431958704407509</v>
      </c>
      <c r="P635" s="352">
        <f t="shared" si="238"/>
        <v>15.79539846468316</v>
      </c>
      <c r="Q635" s="352">
        <f t="shared" si="238"/>
        <v>0</v>
      </c>
      <c r="R635" s="352">
        <f t="shared" si="238"/>
        <v>0</v>
      </c>
      <c r="S635" s="352">
        <f t="shared" si="238"/>
        <v>0</v>
      </c>
      <c r="T635" s="352">
        <f t="shared" si="238"/>
        <v>0</v>
      </c>
      <c r="U635" s="352">
        <f t="shared" si="238"/>
        <v>0</v>
      </c>
      <c r="V635" s="352">
        <f t="shared" si="238"/>
        <v>0</v>
      </c>
      <c r="W635" s="352">
        <f t="shared" si="238"/>
        <v>0</v>
      </c>
      <c r="X635" s="352">
        <f t="shared" si="238"/>
        <v>0</v>
      </c>
      <c r="Y635" s="352">
        <f t="shared" si="238"/>
        <v>0</v>
      </c>
      <c r="AQ635" s="3"/>
    </row>
    <row r="636" spans="5:43" x14ac:dyDescent="0.25">
      <c r="E636" s="340"/>
      <c r="F636" s="2" t="s">
        <v>982</v>
      </c>
      <c r="G636" t="s">
        <v>212</v>
      </c>
      <c r="J636" s="91">
        <f>J182</f>
        <v>0</v>
      </c>
      <c r="K636" s="91">
        <f t="shared" ref="K636:Y636" si="239">K182</f>
        <v>0</v>
      </c>
      <c r="L636" s="91">
        <f t="shared" si="239"/>
        <v>326.50406170624831</v>
      </c>
      <c r="M636" s="91">
        <f t="shared" si="239"/>
        <v>0</v>
      </c>
      <c r="N636" s="91">
        <f t="shared" si="239"/>
        <v>83.650729776760883</v>
      </c>
      <c r="O636" s="91">
        <f t="shared" si="239"/>
        <v>3.0730283434492409</v>
      </c>
      <c r="P636" s="91">
        <f t="shared" si="239"/>
        <v>3.8701350058816715</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40"/>
      <c r="F637" s="2" t="s">
        <v>981</v>
      </c>
      <c r="G637" t="s">
        <v>212</v>
      </c>
      <c r="J637" s="91">
        <f>J191</f>
        <v>0</v>
      </c>
      <c r="K637" s="91">
        <f t="shared" ref="K637:Y637" si="240">K191</f>
        <v>0</v>
      </c>
      <c r="L637" s="91">
        <f t="shared" si="240"/>
        <v>329.14209769752659</v>
      </c>
      <c r="M637" s="91">
        <f t="shared" si="240"/>
        <v>0</v>
      </c>
      <c r="N637" s="91">
        <f t="shared" si="240"/>
        <v>50.369824306887061</v>
      </c>
      <c r="O637" s="91">
        <f t="shared" si="240"/>
        <v>22.78279633936506</v>
      </c>
      <c r="P637" s="91">
        <f t="shared" si="240"/>
        <v>3.883254107596525</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250</v>
      </c>
      <c r="F638" s="2"/>
      <c r="J638" s="22"/>
      <c r="K638" s="22"/>
      <c r="L638" s="22"/>
      <c r="M638" s="22"/>
      <c r="N638" s="22"/>
      <c r="O638" s="22"/>
      <c r="P638" s="22"/>
      <c r="Q638" s="22"/>
      <c r="R638" s="22"/>
      <c r="S638" s="22"/>
      <c r="T638" s="22"/>
      <c r="U638" s="22"/>
      <c r="V638" s="22"/>
      <c r="W638" s="22"/>
      <c r="X638" s="22"/>
      <c r="Y638" s="22"/>
      <c r="AQ638" s="3"/>
    </row>
    <row r="639" spans="5:43" x14ac:dyDescent="0.25">
      <c r="E639" s="340"/>
      <c r="F639" s="2" t="s">
        <v>978</v>
      </c>
      <c r="G639" t="s">
        <v>251</v>
      </c>
      <c r="J639" s="121">
        <f>J156</f>
        <v>0</v>
      </c>
      <c r="K639" s="121">
        <f t="shared" ref="K639:Y639" si="241">K156</f>
        <v>0</v>
      </c>
      <c r="L639" s="121">
        <f t="shared" si="241"/>
        <v>0</v>
      </c>
      <c r="M639" s="121">
        <f t="shared" si="241"/>
        <v>0</v>
      </c>
      <c r="N639" s="121">
        <f t="shared" si="241"/>
        <v>0</v>
      </c>
      <c r="O639" s="121">
        <f t="shared" si="241"/>
        <v>0</v>
      </c>
      <c r="P639" s="121">
        <f t="shared" si="241"/>
        <v>0</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40"/>
      <c r="F640" s="2" t="s">
        <v>979</v>
      </c>
      <c r="G640" t="s">
        <v>251</v>
      </c>
      <c r="J640" s="352">
        <f>J165</f>
        <v>0</v>
      </c>
      <c r="K640" s="352">
        <f t="shared" ref="K640:Y640" si="242">K165</f>
        <v>0</v>
      </c>
      <c r="L640" s="352">
        <f t="shared" si="242"/>
        <v>0</v>
      </c>
      <c r="M640" s="352">
        <f t="shared" si="242"/>
        <v>0</v>
      </c>
      <c r="N640" s="352">
        <f t="shared" si="242"/>
        <v>28626.04191477604</v>
      </c>
      <c r="O640" s="352">
        <f t="shared" si="242"/>
        <v>743.2573085348148</v>
      </c>
      <c r="P640" s="352">
        <f t="shared" si="242"/>
        <v>10782.319617154546</v>
      </c>
      <c r="Q640" s="352">
        <f t="shared" si="242"/>
        <v>0</v>
      </c>
      <c r="R640" s="352">
        <f t="shared" si="242"/>
        <v>0</v>
      </c>
      <c r="S640" s="352">
        <f t="shared" si="242"/>
        <v>0</v>
      </c>
      <c r="T640" s="352">
        <f t="shared" si="242"/>
        <v>0</v>
      </c>
      <c r="U640" s="352">
        <f t="shared" si="242"/>
        <v>0</v>
      </c>
      <c r="V640" s="352">
        <f t="shared" si="242"/>
        <v>0</v>
      </c>
      <c r="W640" s="352">
        <f t="shared" si="242"/>
        <v>0</v>
      </c>
      <c r="X640" s="352">
        <f t="shared" si="242"/>
        <v>0</v>
      </c>
      <c r="Y640" s="352">
        <f t="shared" si="242"/>
        <v>0</v>
      </c>
      <c r="AQ640" s="3"/>
    </row>
    <row r="641" spans="5:43" x14ac:dyDescent="0.25">
      <c r="E641" s="340"/>
      <c r="F641" s="2" t="s">
        <v>980</v>
      </c>
      <c r="G641" t="s">
        <v>251</v>
      </c>
      <c r="J641" s="352">
        <f>J174</f>
        <v>0</v>
      </c>
      <c r="K641" s="352">
        <f t="shared" ref="K641:Y641" si="243">K174</f>
        <v>0</v>
      </c>
      <c r="L641" s="352">
        <f t="shared" si="243"/>
        <v>0</v>
      </c>
      <c r="M641" s="352">
        <f t="shared" si="243"/>
        <v>0</v>
      </c>
      <c r="N641" s="352">
        <f t="shared" si="243"/>
        <v>55602.732455913749</v>
      </c>
      <c r="O641" s="352">
        <f t="shared" si="243"/>
        <v>423.70302286953483</v>
      </c>
      <c r="P641" s="352">
        <f t="shared" si="243"/>
        <v>16886.903846424768</v>
      </c>
      <c r="Q641" s="352">
        <f t="shared" si="243"/>
        <v>0</v>
      </c>
      <c r="R641" s="352">
        <f t="shared" si="243"/>
        <v>0</v>
      </c>
      <c r="S641" s="352">
        <f t="shared" si="243"/>
        <v>0</v>
      </c>
      <c r="T641" s="352">
        <f t="shared" si="243"/>
        <v>0</v>
      </c>
      <c r="U641" s="352">
        <f t="shared" si="243"/>
        <v>0</v>
      </c>
      <c r="V641" s="352">
        <f t="shared" si="243"/>
        <v>0</v>
      </c>
      <c r="W641" s="352">
        <f t="shared" si="243"/>
        <v>0</v>
      </c>
      <c r="X641" s="352">
        <f t="shared" si="243"/>
        <v>0</v>
      </c>
      <c r="Y641" s="352">
        <f t="shared" si="243"/>
        <v>0</v>
      </c>
      <c r="AQ641" s="3"/>
    </row>
    <row r="642" spans="5:43" x14ac:dyDescent="0.25">
      <c r="E642" s="340"/>
      <c r="F642" s="2" t="s">
        <v>982</v>
      </c>
      <c r="G642" t="s">
        <v>251</v>
      </c>
      <c r="J642" s="91">
        <f>J183</f>
        <v>0</v>
      </c>
      <c r="K642" s="91">
        <f t="shared" ref="K642:Y642" si="244">K183</f>
        <v>0</v>
      </c>
      <c r="L642" s="91">
        <f t="shared" si="244"/>
        <v>0</v>
      </c>
      <c r="M642" s="91">
        <f t="shared" si="244"/>
        <v>0</v>
      </c>
      <c r="N642" s="91">
        <f t="shared" si="244"/>
        <v>30886.165446631134</v>
      </c>
      <c r="O642" s="91">
        <f t="shared" si="244"/>
        <v>800.58547100184524</v>
      </c>
      <c r="P642" s="91">
        <f t="shared" si="244"/>
        <v>8853.9347517362585</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40"/>
      <c r="F643" s="2" t="s">
        <v>981</v>
      </c>
      <c r="G643" t="s">
        <v>251</v>
      </c>
      <c r="J643" s="91">
        <f>J192</f>
        <v>0</v>
      </c>
      <c r="K643" s="91">
        <f t="shared" ref="K643:Y643" si="245">K192</f>
        <v>0</v>
      </c>
      <c r="L643" s="91">
        <f t="shared" si="245"/>
        <v>0</v>
      </c>
      <c r="M643" s="91">
        <f t="shared" si="245"/>
        <v>0</v>
      </c>
      <c r="N643" s="91">
        <f t="shared" si="245"/>
        <v>31311.11664898145</v>
      </c>
      <c r="O643" s="91">
        <f t="shared" si="245"/>
        <v>15492.665490854277</v>
      </c>
      <c r="P643" s="91">
        <f t="shared" si="245"/>
        <v>26066.370017835598</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252</v>
      </c>
      <c r="F644" s="2"/>
      <c r="J644" s="22"/>
      <c r="K644" s="22"/>
      <c r="L644" s="22"/>
      <c r="M644" s="22"/>
      <c r="N644" s="22"/>
      <c r="O644" s="22"/>
      <c r="P644" s="22"/>
      <c r="Q644" s="22"/>
      <c r="R644" s="22"/>
      <c r="S644" s="22"/>
      <c r="T644" s="22"/>
      <c r="U644" s="22"/>
      <c r="V644" s="22"/>
      <c r="W644" s="22"/>
      <c r="X644" s="22"/>
      <c r="Y644" s="22"/>
      <c r="AQ644" s="3"/>
    </row>
    <row r="645" spans="5:43" x14ac:dyDescent="0.25">
      <c r="E645" s="340"/>
      <c r="F645" s="2" t="s">
        <v>978</v>
      </c>
      <c r="G645" t="s">
        <v>251</v>
      </c>
      <c r="J645" s="121">
        <f>J157</f>
        <v>0</v>
      </c>
      <c r="K645" s="121">
        <f t="shared" ref="K645:Y645" si="246">K157</f>
        <v>0</v>
      </c>
      <c r="L645" s="121">
        <f t="shared" si="246"/>
        <v>0</v>
      </c>
      <c r="M645" s="121">
        <f t="shared" si="246"/>
        <v>0</v>
      </c>
      <c r="N645" s="121">
        <f t="shared" si="246"/>
        <v>0</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40"/>
      <c r="F646" s="2" t="s">
        <v>979</v>
      </c>
      <c r="G646" t="s">
        <v>251</v>
      </c>
      <c r="J646" s="352">
        <f>J166</f>
        <v>0</v>
      </c>
      <c r="K646" s="352">
        <f t="shared" ref="K646:Y646" si="247">K166</f>
        <v>0</v>
      </c>
      <c r="L646" s="352">
        <f t="shared" si="247"/>
        <v>0</v>
      </c>
      <c r="M646" s="352">
        <f t="shared" si="247"/>
        <v>0</v>
      </c>
      <c r="N646" s="352">
        <f t="shared" si="247"/>
        <v>71.801972487517077</v>
      </c>
      <c r="O646" s="352">
        <f t="shared" si="247"/>
        <v>4.6167300992256761</v>
      </c>
      <c r="P646" s="352">
        <f t="shared" si="247"/>
        <v>120.84775639698513</v>
      </c>
      <c r="Q646" s="352">
        <f t="shared" si="247"/>
        <v>0</v>
      </c>
      <c r="R646" s="352">
        <f t="shared" si="247"/>
        <v>0</v>
      </c>
      <c r="S646" s="352">
        <f t="shared" si="247"/>
        <v>0</v>
      </c>
      <c r="T646" s="352">
        <f t="shared" si="247"/>
        <v>0</v>
      </c>
      <c r="U646" s="352">
        <f t="shared" si="247"/>
        <v>0</v>
      </c>
      <c r="V646" s="352">
        <f t="shared" si="247"/>
        <v>0</v>
      </c>
      <c r="W646" s="352">
        <f t="shared" si="247"/>
        <v>0</v>
      </c>
      <c r="X646" s="352">
        <f t="shared" si="247"/>
        <v>0</v>
      </c>
      <c r="Y646" s="352">
        <f t="shared" si="247"/>
        <v>0</v>
      </c>
      <c r="AQ646" s="3"/>
    </row>
    <row r="647" spans="5:43" x14ac:dyDescent="0.25">
      <c r="E647" s="340"/>
      <c r="F647" s="2" t="s">
        <v>980</v>
      </c>
      <c r="G647" t="s">
        <v>251</v>
      </c>
      <c r="J647" s="352">
        <f>J175</f>
        <v>0</v>
      </c>
      <c r="K647" s="352">
        <f t="shared" ref="K647:Y647" si="248">K175</f>
        <v>0</v>
      </c>
      <c r="L647" s="352">
        <f t="shared" si="248"/>
        <v>0</v>
      </c>
      <c r="M647" s="352">
        <f t="shared" si="248"/>
        <v>0</v>
      </c>
      <c r="N647" s="352">
        <f t="shared" si="248"/>
        <v>139.46691889560614</v>
      </c>
      <c r="O647" s="352">
        <f t="shared" si="248"/>
        <v>2.6318241023028701</v>
      </c>
      <c r="P647" s="352">
        <f t="shared" si="248"/>
        <v>189.2676636189907</v>
      </c>
      <c r="Q647" s="352">
        <f t="shared" si="248"/>
        <v>0</v>
      </c>
      <c r="R647" s="352">
        <f t="shared" si="248"/>
        <v>0</v>
      </c>
      <c r="S647" s="352">
        <f t="shared" si="248"/>
        <v>0</v>
      </c>
      <c r="T647" s="352">
        <f t="shared" si="248"/>
        <v>0</v>
      </c>
      <c r="U647" s="352">
        <f t="shared" si="248"/>
        <v>0</v>
      </c>
      <c r="V647" s="352">
        <f t="shared" si="248"/>
        <v>0</v>
      </c>
      <c r="W647" s="352">
        <f t="shared" si="248"/>
        <v>0</v>
      </c>
      <c r="X647" s="352">
        <f t="shared" si="248"/>
        <v>0</v>
      </c>
      <c r="Y647" s="352">
        <f t="shared" si="248"/>
        <v>0</v>
      </c>
      <c r="AQ647" s="3"/>
    </row>
    <row r="648" spans="5:43" x14ac:dyDescent="0.25">
      <c r="E648" s="340"/>
      <c r="F648" s="2" t="s">
        <v>982</v>
      </c>
      <c r="G648" t="s">
        <v>251</v>
      </c>
      <c r="J648" s="91">
        <f>J184</f>
        <v>0</v>
      </c>
      <c r="K648" s="91">
        <f t="shared" ref="K648:Y648" si="249">K184</f>
        <v>0</v>
      </c>
      <c r="L648" s="91">
        <f t="shared" si="249"/>
        <v>0</v>
      </c>
      <c r="M648" s="91">
        <f t="shared" si="249"/>
        <v>0</v>
      </c>
      <c r="N648" s="91">
        <f t="shared" si="249"/>
        <v>77.470982829071971</v>
      </c>
      <c r="O648" s="91">
        <f t="shared" si="249"/>
        <v>4.9728230029289451</v>
      </c>
      <c r="P648" s="91">
        <f t="shared" si="249"/>
        <v>99.234505006724291</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40"/>
      <c r="F649" s="2" t="s">
        <v>981</v>
      </c>
      <c r="G649" t="s">
        <v>251</v>
      </c>
      <c r="J649" s="91">
        <f>J193</f>
        <v>0</v>
      </c>
      <c r="K649" s="91">
        <f t="shared" ref="K649:Y649" si="250">K193</f>
        <v>0</v>
      </c>
      <c r="L649" s="91">
        <f t="shared" si="250"/>
        <v>0</v>
      </c>
      <c r="M649" s="91">
        <f t="shared" si="250"/>
        <v>0</v>
      </c>
      <c r="N649" s="91">
        <f t="shared" si="250"/>
        <v>78.536877116187682</v>
      </c>
      <c r="O649" s="91">
        <f t="shared" si="250"/>
        <v>96.232427542300513</v>
      </c>
      <c r="P649" s="91">
        <f t="shared" si="250"/>
        <v>292.15071022911991</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40" t="s">
        <v>253</v>
      </c>
      <c r="F650" s="341"/>
      <c r="J650" s="22"/>
      <c r="K650" s="22"/>
      <c r="L650" s="22"/>
      <c r="M650" s="22"/>
      <c r="N650" s="22"/>
      <c r="O650" s="22"/>
      <c r="P650" s="22"/>
      <c r="Q650" s="22"/>
      <c r="R650" s="22"/>
      <c r="S650" s="22"/>
      <c r="T650" s="22"/>
      <c r="U650" s="22"/>
      <c r="V650" s="22"/>
      <c r="W650" s="22"/>
      <c r="X650" s="22"/>
      <c r="Y650" s="22"/>
      <c r="AQ650" s="3"/>
    </row>
    <row r="651" spans="5:43" x14ac:dyDescent="0.25">
      <c r="E651" s="340"/>
      <c r="F651" s="341" t="s">
        <v>978</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5.0198499999999999</v>
      </c>
      <c r="U651" s="121">
        <f t="shared" si="251"/>
        <v>0</v>
      </c>
      <c r="V651" s="121">
        <f t="shared" si="251"/>
        <v>0</v>
      </c>
      <c r="W651" s="121">
        <f t="shared" si="251"/>
        <v>0</v>
      </c>
      <c r="X651" s="121">
        <f t="shared" si="251"/>
        <v>3.266</v>
      </c>
      <c r="Y651" s="121">
        <f t="shared" si="251"/>
        <v>0</v>
      </c>
      <c r="AQ651" s="3"/>
    </row>
    <row r="652" spans="5:43" x14ac:dyDescent="0.25">
      <c r="E652" s="340"/>
      <c r="F652" s="341" t="s">
        <v>979</v>
      </c>
      <c r="G652" t="s">
        <v>254</v>
      </c>
      <c r="J652" s="352">
        <f>J167</f>
        <v>0</v>
      </c>
      <c r="K652" s="352">
        <f t="shared" ref="K652:Y652" si="252">K167</f>
        <v>0</v>
      </c>
      <c r="L652" s="352">
        <f t="shared" si="252"/>
        <v>0</v>
      </c>
      <c r="M652" s="352">
        <f t="shared" si="252"/>
        <v>0</v>
      </c>
      <c r="N652" s="352">
        <f t="shared" si="252"/>
        <v>2466.8641386709055</v>
      </c>
      <c r="O652" s="352">
        <f t="shared" si="252"/>
        <v>41.931984146569206</v>
      </c>
      <c r="P652" s="352">
        <f t="shared" si="252"/>
        <v>176.83311188776653</v>
      </c>
      <c r="Q652" s="352">
        <f t="shared" si="252"/>
        <v>0</v>
      </c>
      <c r="R652" s="352">
        <f t="shared" si="252"/>
        <v>0</v>
      </c>
      <c r="S652" s="352">
        <f t="shared" si="252"/>
        <v>0</v>
      </c>
      <c r="T652" s="352">
        <f t="shared" si="252"/>
        <v>0</v>
      </c>
      <c r="U652" s="352">
        <f t="shared" si="252"/>
        <v>0</v>
      </c>
      <c r="V652" s="352">
        <f t="shared" si="252"/>
        <v>0</v>
      </c>
      <c r="W652" s="352">
        <f t="shared" si="252"/>
        <v>0</v>
      </c>
      <c r="X652" s="352">
        <f t="shared" si="252"/>
        <v>0</v>
      </c>
      <c r="Y652" s="352">
        <f t="shared" si="252"/>
        <v>0</v>
      </c>
      <c r="AQ652" s="3"/>
    </row>
    <row r="653" spans="5:43" x14ac:dyDescent="0.25">
      <c r="E653" s="340"/>
      <c r="F653" s="341" t="s">
        <v>980</v>
      </c>
      <c r="G653" t="s">
        <v>254</v>
      </c>
      <c r="J653" s="352">
        <f>J176</f>
        <v>0</v>
      </c>
      <c r="K653" s="352">
        <f t="shared" ref="K653:Y653" si="253">K176</f>
        <v>0</v>
      </c>
      <c r="L653" s="352">
        <f t="shared" si="253"/>
        <v>0</v>
      </c>
      <c r="M653" s="352">
        <f t="shared" si="253"/>
        <v>0</v>
      </c>
      <c r="N653" s="352">
        <f t="shared" si="253"/>
        <v>3723.5616525133405</v>
      </c>
      <c r="O653" s="352">
        <f t="shared" si="253"/>
        <v>63.424773548861452</v>
      </c>
      <c r="P653" s="352">
        <f t="shared" si="253"/>
        <v>304.54176775118219</v>
      </c>
      <c r="Q653" s="352">
        <f t="shared" si="253"/>
        <v>0</v>
      </c>
      <c r="R653" s="352">
        <f t="shared" si="253"/>
        <v>0</v>
      </c>
      <c r="S653" s="352">
        <f t="shared" si="253"/>
        <v>0</v>
      </c>
      <c r="T653" s="352">
        <f t="shared" si="253"/>
        <v>0</v>
      </c>
      <c r="U653" s="352">
        <f t="shared" si="253"/>
        <v>0</v>
      </c>
      <c r="V653" s="352">
        <f t="shared" si="253"/>
        <v>0</v>
      </c>
      <c r="W653" s="352">
        <f t="shared" si="253"/>
        <v>0</v>
      </c>
      <c r="X653" s="352">
        <f t="shared" si="253"/>
        <v>0</v>
      </c>
      <c r="Y653" s="352">
        <f t="shared" si="253"/>
        <v>0</v>
      </c>
      <c r="AQ653" s="3"/>
    </row>
    <row r="654" spans="5:43" x14ac:dyDescent="0.25">
      <c r="E654" s="340"/>
      <c r="F654" s="341" t="s">
        <v>982</v>
      </c>
      <c r="G654" t="s">
        <v>254</v>
      </c>
      <c r="J654" s="91">
        <f>J185</f>
        <v>0</v>
      </c>
      <c r="K654" s="91">
        <f t="shared" ref="K654:Y654" si="254">K185</f>
        <v>0</v>
      </c>
      <c r="L654" s="91">
        <f t="shared" si="254"/>
        <v>0</v>
      </c>
      <c r="M654" s="91">
        <f t="shared" si="254"/>
        <v>0</v>
      </c>
      <c r="N654" s="91">
        <f t="shared" si="254"/>
        <v>2045.1152527806842</v>
      </c>
      <c r="O654" s="91">
        <f t="shared" si="254"/>
        <v>114.38340714290698</v>
      </c>
      <c r="P654" s="91">
        <f t="shared" si="254"/>
        <v>166.45382902356806</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42" t="s">
        <v>981</v>
      </c>
      <c r="G655" s="28" t="s">
        <v>254</v>
      </c>
      <c r="H655" s="28"/>
      <c r="I655" s="28"/>
      <c r="J655" s="352">
        <f>J194</f>
        <v>0</v>
      </c>
      <c r="K655" s="352">
        <f t="shared" ref="K655:Y655" si="255">K194</f>
        <v>0</v>
      </c>
      <c r="L655" s="352">
        <f t="shared" si="255"/>
        <v>0</v>
      </c>
      <c r="M655" s="352">
        <f t="shared" si="255"/>
        <v>0</v>
      </c>
      <c r="N655" s="352">
        <f t="shared" si="255"/>
        <v>2017.9348560350672</v>
      </c>
      <c r="O655" s="352">
        <f t="shared" si="255"/>
        <v>1303.0787351616623</v>
      </c>
      <c r="P655" s="352">
        <f t="shared" si="255"/>
        <v>521.8798913374834</v>
      </c>
      <c r="Q655" s="352">
        <f t="shared" si="255"/>
        <v>0</v>
      </c>
      <c r="R655" s="352">
        <f t="shared" si="255"/>
        <v>0</v>
      </c>
      <c r="S655" s="352">
        <f t="shared" si="255"/>
        <v>0</v>
      </c>
      <c r="T655" s="352">
        <f t="shared" si="255"/>
        <v>0</v>
      </c>
      <c r="U655" s="352">
        <f t="shared" si="255"/>
        <v>0</v>
      </c>
      <c r="V655" s="352">
        <f t="shared" si="255"/>
        <v>0</v>
      </c>
      <c r="W655" s="352">
        <f t="shared" si="255"/>
        <v>0</v>
      </c>
      <c r="X655" s="352">
        <f t="shared" si="255"/>
        <v>0</v>
      </c>
      <c r="Y655" s="352">
        <f t="shared" si="255"/>
        <v>0</v>
      </c>
      <c r="AQ655" s="3"/>
    </row>
    <row r="656" spans="5:43" x14ac:dyDescent="0.25">
      <c r="AQ656" s="3"/>
    </row>
    <row r="657" spans="3:43" x14ac:dyDescent="0.25">
      <c r="C657" s="26" t="str">
        <f ca="1">INDEX('Version control'!$H$36:$H$59,MATCH($A$1,'Version control'!$F$36:$F$59,0),1)&amp;"-K: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154</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73" t="s">
        <v>978</v>
      </c>
      <c r="K664" s="373" t="s">
        <v>983</v>
      </c>
      <c r="L664" s="373" t="s">
        <v>984</v>
      </c>
      <c r="M664" s="373" t="s">
        <v>985</v>
      </c>
      <c r="N664" s="373" t="s">
        <v>986</v>
      </c>
      <c r="AQ664" s="3"/>
    </row>
    <row r="665" spans="3:43" x14ac:dyDescent="0.25">
      <c r="E665" s="27"/>
      <c r="F665" s="19" t="s">
        <v>247</v>
      </c>
      <c r="G665" s="19" t="s">
        <v>167</v>
      </c>
      <c r="H665" s="19"/>
      <c r="I665" s="19"/>
      <c r="J665" s="331">
        <f>'Inputs by customer type'!J169</f>
        <v>0</v>
      </c>
      <c r="K665" s="331">
        <f>'Inputs by customer type'!K169</f>
        <v>3.996570722045123E-2</v>
      </c>
      <c r="L665" s="331">
        <f>'Inputs by customer type'!L169</f>
        <v>0.14983087840355441</v>
      </c>
      <c r="M665" s="331">
        <f>'Inputs by customer type'!M169</f>
        <v>0.1867633735693886</v>
      </c>
      <c r="N665" s="331">
        <f>'Inputs by customer type'!N169</f>
        <v>0.62344004080660564</v>
      </c>
      <c r="AQ665" s="3"/>
    </row>
    <row r="666" spans="3:43" x14ac:dyDescent="0.25">
      <c r="E666" s="27"/>
      <c r="F666" s="300" t="s">
        <v>248</v>
      </c>
      <c r="G666" s="300" t="s">
        <v>167</v>
      </c>
      <c r="H666" s="300"/>
      <c r="I666" s="300"/>
      <c r="J666" s="332">
        <f>'Inputs by customer type'!J170</f>
        <v>0</v>
      </c>
      <c r="K666" s="332">
        <f>'Inputs by customer type'!K170</f>
        <v>3.996570722045123E-2</v>
      </c>
      <c r="L666" s="332">
        <f>'Inputs by customer type'!L170</f>
        <v>0.14983087840355441</v>
      </c>
      <c r="M666" s="332">
        <f>'Inputs by customer type'!M170</f>
        <v>0.1867633735693886</v>
      </c>
      <c r="N666" s="332">
        <f>'Inputs by customer type'!N170</f>
        <v>0.62344004080660564</v>
      </c>
      <c r="AQ666" s="3"/>
    </row>
    <row r="667" spans="3:43" x14ac:dyDescent="0.25">
      <c r="E667" s="27"/>
      <c r="F667" s="28" t="s">
        <v>249</v>
      </c>
      <c r="G667" s="28" t="s">
        <v>167</v>
      </c>
      <c r="H667" s="28"/>
      <c r="I667" s="28"/>
      <c r="J667" s="333">
        <f>'Inputs by customer type'!J171</f>
        <v>0</v>
      </c>
      <c r="K667" s="333">
        <f>'Inputs by customer type'!K171</f>
        <v>3.996570722045123E-2</v>
      </c>
      <c r="L667" s="333">
        <f>'Inputs by customer type'!L171</f>
        <v>0.14983087840355441</v>
      </c>
      <c r="M667" s="333">
        <f>'Inputs by customer type'!M171</f>
        <v>0.1867633735693886</v>
      </c>
      <c r="N667" s="333">
        <f>'Inputs by customer type'!N171</f>
        <v>0.62344004080660564</v>
      </c>
      <c r="AQ667" s="3"/>
    </row>
    <row r="668" spans="3:43" x14ac:dyDescent="0.25">
      <c r="E668" s="27"/>
      <c r="AQ668" s="3"/>
    </row>
    <row r="669" spans="3:43" x14ac:dyDescent="0.25">
      <c r="E669" s="27" t="s">
        <v>988</v>
      </c>
      <c r="J669" s="373" t="s">
        <v>978</v>
      </c>
      <c r="K669" s="373" t="s">
        <v>983</v>
      </c>
      <c r="L669" s="373" t="s">
        <v>984</v>
      </c>
      <c r="M669" s="373" t="s">
        <v>985</v>
      </c>
      <c r="N669" s="373" t="s">
        <v>986</v>
      </c>
      <c r="AQ669" s="3"/>
    </row>
    <row r="670" spans="3:43" x14ac:dyDescent="0.25">
      <c r="E670" s="27"/>
      <c r="F670" s="19" t="s">
        <v>247</v>
      </c>
      <c r="G670" s="19" t="s">
        <v>167</v>
      </c>
      <c r="H670" s="19"/>
      <c r="I670" s="19"/>
      <c r="J670" s="331">
        <f>'Inputs by customer type'!J174</f>
        <v>0</v>
      </c>
      <c r="K670" s="331">
        <f>'Inputs by customer type'!K174</f>
        <v>3.996570722045123E-2</v>
      </c>
      <c r="L670" s="331">
        <f>'Inputs by customer type'!L174</f>
        <v>0.14983087840355441</v>
      </c>
      <c r="M670" s="331">
        <f>'Inputs by customer type'!M174</f>
        <v>0.1867633735693886</v>
      </c>
      <c r="N670" s="331">
        <f>'Inputs by customer type'!N174</f>
        <v>0.62344004080660564</v>
      </c>
      <c r="AQ670" s="3"/>
    </row>
    <row r="671" spans="3:43" x14ac:dyDescent="0.25">
      <c r="E671" s="27"/>
      <c r="F671" s="300" t="s">
        <v>248</v>
      </c>
      <c r="G671" s="300" t="s">
        <v>167</v>
      </c>
      <c r="H671" s="300"/>
      <c r="I671" s="300"/>
      <c r="J671" s="332">
        <f>'Inputs by customer type'!J175</f>
        <v>0</v>
      </c>
      <c r="K671" s="332">
        <f>'Inputs by customer type'!K175</f>
        <v>3.996570722045123E-2</v>
      </c>
      <c r="L671" s="332">
        <f>'Inputs by customer type'!L175</f>
        <v>0.14983087840355441</v>
      </c>
      <c r="M671" s="332">
        <f>'Inputs by customer type'!M175</f>
        <v>0.1867633735693886</v>
      </c>
      <c r="N671" s="332">
        <f>'Inputs by customer type'!N175</f>
        <v>0.62344004080660564</v>
      </c>
      <c r="AQ671" s="3"/>
    </row>
    <row r="672" spans="3:43" x14ac:dyDescent="0.25">
      <c r="E672" s="27"/>
      <c r="F672" s="28" t="s">
        <v>249</v>
      </c>
      <c r="G672" s="28" t="s">
        <v>167</v>
      </c>
      <c r="H672" s="28"/>
      <c r="I672" s="28"/>
      <c r="J672" s="333">
        <f>'Inputs by customer type'!J176</f>
        <v>0</v>
      </c>
      <c r="K672" s="333">
        <f>'Inputs by customer type'!K176</f>
        <v>3.996570722045123E-2</v>
      </c>
      <c r="L672" s="333">
        <f>'Inputs by customer type'!L176</f>
        <v>0.14983087840355441</v>
      </c>
      <c r="M672" s="333">
        <f>'Inputs by customer type'!M176</f>
        <v>0.1867633735693886</v>
      </c>
      <c r="N672" s="333">
        <f>'Inputs by customer type'!N176</f>
        <v>0.62344004080660564</v>
      </c>
      <c r="AQ672" s="3"/>
    </row>
    <row r="673" spans="5:43" x14ac:dyDescent="0.25">
      <c r="E673" s="27"/>
      <c r="AQ673" s="3"/>
    </row>
    <row r="674" spans="5:43" x14ac:dyDescent="0.25">
      <c r="E674" s="27" t="s">
        <v>989</v>
      </c>
      <c r="J674" s="373" t="s">
        <v>978</v>
      </c>
      <c r="K674" s="373" t="s">
        <v>983</v>
      </c>
      <c r="L674" s="373" t="s">
        <v>984</v>
      </c>
      <c r="M674" s="373" t="s">
        <v>985</v>
      </c>
      <c r="N674" s="373" t="s">
        <v>986</v>
      </c>
      <c r="AQ674" s="3"/>
    </row>
    <row r="675" spans="5:43" x14ac:dyDescent="0.25">
      <c r="F675" s="19" t="s">
        <v>247</v>
      </c>
      <c r="G675" s="19" t="s">
        <v>167</v>
      </c>
      <c r="H675" s="19"/>
      <c r="I675" s="19"/>
      <c r="J675" s="331">
        <f>'Inputs by customer type'!J179</f>
        <v>0</v>
      </c>
      <c r="K675" s="331">
        <f>'Inputs by customer type'!K179</f>
        <v>3.996570722045123E-2</v>
      </c>
      <c r="L675" s="331">
        <f>'Inputs by customer type'!L179</f>
        <v>0.14983087840355441</v>
      </c>
      <c r="M675" s="331">
        <f>'Inputs by customer type'!M179</f>
        <v>0.1867633735693886</v>
      </c>
      <c r="N675" s="331">
        <f>'Inputs by customer type'!N179</f>
        <v>0.62344004080660564</v>
      </c>
      <c r="AQ675" s="3"/>
    </row>
    <row r="676" spans="5:43" x14ac:dyDescent="0.25">
      <c r="F676" s="300" t="s">
        <v>248</v>
      </c>
      <c r="G676" s="300" t="s">
        <v>167</v>
      </c>
      <c r="H676" s="300"/>
      <c r="I676" s="300"/>
      <c r="J676" s="332">
        <f>'Inputs by customer type'!J180</f>
        <v>0</v>
      </c>
      <c r="K676" s="332">
        <f>'Inputs by customer type'!K180</f>
        <v>3.996570722045123E-2</v>
      </c>
      <c r="L676" s="332">
        <f>'Inputs by customer type'!L180</f>
        <v>0.14983087840355441</v>
      </c>
      <c r="M676" s="332">
        <f>'Inputs by customer type'!M180</f>
        <v>0.1867633735693886</v>
      </c>
      <c r="N676" s="332">
        <f>'Inputs by customer type'!N180</f>
        <v>0.62344004080660564</v>
      </c>
      <c r="AQ676" s="3"/>
    </row>
    <row r="677" spans="5:43" x14ac:dyDescent="0.25">
      <c r="F677" s="28" t="s">
        <v>249</v>
      </c>
      <c r="G677" s="28" t="s">
        <v>167</v>
      </c>
      <c r="H677" s="28"/>
      <c r="I677" s="28"/>
      <c r="J677" s="333">
        <f>'Inputs by customer type'!J181</f>
        <v>0</v>
      </c>
      <c r="K677" s="333">
        <f>'Inputs by customer type'!K181</f>
        <v>3.996570722045123E-2</v>
      </c>
      <c r="L677" s="333">
        <f>'Inputs by customer type'!L181</f>
        <v>0.14983087840355441</v>
      </c>
      <c r="M677" s="333">
        <f>'Inputs by customer type'!M181</f>
        <v>0.1867633735693886</v>
      </c>
      <c r="N677" s="333">
        <f>'Inputs by customer type'!N181</f>
        <v>0.62344004080660564</v>
      </c>
      <c r="AQ677" s="3"/>
    </row>
    <row r="678" spans="5:43" x14ac:dyDescent="0.25">
      <c r="AQ678" s="3"/>
    </row>
    <row r="679" spans="5:43" x14ac:dyDescent="0.25">
      <c r="E679" s="27" t="s">
        <v>991</v>
      </c>
      <c r="J679" s="373" t="s">
        <v>978</v>
      </c>
      <c r="K679" s="373" t="s">
        <v>983</v>
      </c>
      <c r="L679" s="373" t="s">
        <v>984</v>
      </c>
      <c r="M679" s="373" t="s">
        <v>985</v>
      </c>
      <c r="N679" s="373" t="s">
        <v>986</v>
      </c>
      <c r="AQ679" s="3"/>
    </row>
    <row r="680" spans="5:43" x14ac:dyDescent="0.25">
      <c r="F680" s="19" t="s">
        <v>247</v>
      </c>
      <c r="G680" s="19" t="s">
        <v>207</v>
      </c>
      <c r="H680" s="19"/>
      <c r="I680" s="19"/>
      <c r="J680" s="354">
        <f t="shared" ref="J680:N682" si="256" xml:space="preserve"> $M58 * J665  + $M105 * J670 + $M152 * J675</f>
        <v>0</v>
      </c>
      <c r="K680" s="354">
        <f t="shared" si="256"/>
        <v>4.5402509867252929</v>
      </c>
      <c r="L680" s="354">
        <f t="shared" si="256"/>
        <v>17.021337562257575</v>
      </c>
      <c r="M680" s="354">
        <f t="shared" si="256"/>
        <v>21.217004529789659</v>
      </c>
      <c r="N680" s="354">
        <f t="shared" si="256"/>
        <v>70.825076229047383</v>
      </c>
      <c r="AQ680" s="3"/>
    </row>
    <row r="681" spans="5:43" x14ac:dyDescent="0.25">
      <c r="F681" s="300" t="s">
        <v>248</v>
      </c>
      <c r="G681" s="300" t="s">
        <v>207</v>
      </c>
      <c r="H681" s="300"/>
      <c r="I681" s="300"/>
      <c r="J681" s="353">
        <f t="shared" si="256"/>
        <v>0</v>
      </c>
      <c r="K681" s="353">
        <f t="shared" si="256"/>
        <v>37.091571374496418</v>
      </c>
      <c r="L681" s="353">
        <f t="shared" si="256"/>
        <v>139.05578324321684</v>
      </c>
      <c r="M681" s="353">
        <f t="shared" si="256"/>
        <v>173.33227616064445</v>
      </c>
      <c r="N681" s="353">
        <f t="shared" si="256"/>
        <v>578.60531889859772</v>
      </c>
      <c r="AQ681" s="3"/>
    </row>
    <row r="682" spans="5:43" x14ac:dyDescent="0.25">
      <c r="F682" s="28" t="s">
        <v>249</v>
      </c>
      <c r="G682" s="28" t="s">
        <v>207</v>
      </c>
      <c r="H682" s="28"/>
      <c r="I682" s="28"/>
      <c r="J682" s="355">
        <f t="shared" si="256"/>
        <v>0</v>
      </c>
      <c r="K682" s="355">
        <f t="shared" si="256"/>
        <v>96.15177654060227</v>
      </c>
      <c r="L682" s="355">
        <f t="shared" si="256"/>
        <v>360.47166786450924</v>
      </c>
      <c r="M682" s="355">
        <f t="shared" si="256"/>
        <v>449.32596994614443</v>
      </c>
      <c r="N682" s="355">
        <f t="shared" si="256"/>
        <v>1499.9075872583521</v>
      </c>
      <c r="AQ682" s="3"/>
    </row>
    <row r="683" spans="5:43" x14ac:dyDescent="0.25">
      <c r="J683" s="79"/>
      <c r="K683" s="79"/>
      <c r="L683" s="79"/>
      <c r="M683" s="79"/>
      <c r="N683" s="79"/>
      <c r="AQ683" s="3"/>
    </row>
    <row r="684" spans="5:43" x14ac:dyDescent="0.25">
      <c r="J684" s="374" t="s">
        <v>978</v>
      </c>
      <c r="K684" s="374" t="s">
        <v>983</v>
      </c>
      <c r="L684" s="374" t="s">
        <v>984</v>
      </c>
      <c r="M684" s="374" t="s">
        <v>985</v>
      </c>
      <c r="N684" s="374" t="s">
        <v>986</v>
      </c>
      <c r="AQ684" s="3"/>
    </row>
    <row r="685" spans="5:43" x14ac:dyDescent="0.25">
      <c r="E685" s="20" t="s">
        <v>992</v>
      </c>
      <c r="G685" t="s">
        <v>207</v>
      </c>
      <c r="J685" s="79">
        <f>SUM(J680:J682)</f>
        <v>0</v>
      </c>
      <c r="K685" s="79">
        <f>SUM(K680:K682)</f>
        <v>137.78359890182398</v>
      </c>
      <c r="L685" s="79">
        <f t="shared" ref="L685:N685" si="257">SUM(L680:L682)</f>
        <v>516.54878866998365</v>
      </c>
      <c r="M685" s="79">
        <f t="shared" si="257"/>
        <v>643.87525063657858</v>
      </c>
      <c r="N685" s="79">
        <f t="shared" si="257"/>
        <v>2149.3379823859973</v>
      </c>
      <c r="AQ685" s="3"/>
    </row>
    <row r="686" spans="5:43" x14ac:dyDescent="0.25">
      <c r="J686" s="79"/>
      <c r="K686" s="79"/>
      <c r="L686" s="79"/>
      <c r="M686" s="79"/>
      <c r="N686" s="79"/>
      <c r="AQ686" s="3"/>
    </row>
    <row r="687" spans="5:43" x14ac:dyDescent="0.25">
      <c r="E687" t="s">
        <v>1036</v>
      </c>
      <c r="G687" t="s">
        <v>207</v>
      </c>
      <c r="H687" s="79">
        <f>SUM(J685:N685)</f>
        <v>3447.5456205943838</v>
      </c>
      <c r="AQ687" s="3"/>
    </row>
    <row r="688" spans="5:43" x14ac:dyDescent="0.25">
      <c r="J688" s="374" t="s">
        <v>978</v>
      </c>
      <c r="K688" s="374" t="s">
        <v>983</v>
      </c>
      <c r="L688" s="374" t="s">
        <v>984</v>
      </c>
      <c r="M688" s="374" t="s">
        <v>985</v>
      </c>
      <c r="N688" s="374" t="s">
        <v>986</v>
      </c>
      <c r="AQ688" s="3"/>
    </row>
    <row r="689" spans="2:43" x14ac:dyDescent="0.25">
      <c r="E689" s="20" t="s">
        <v>991</v>
      </c>
      <c r="G689" t="s">
        <v>167</v>
      </c>
      <c r="J689" s="101">
        <f>IF($H687 &lt;&gt; 0, J685/$H687, 0)</f>
        <v>0</v>
      </c>
      <c r="K689" s="101">
        <f>IF($H687 &lt;&gt; 0, K685/$H687, 0)</f>
        <v>3.996570722045123E-2</v>
      </c>
      <c r="L689" s="101">
        <f>IF($H687 &lt;&gt; 0, L685/$H687, 0)</f>
        <v>0.14983087840355441</v>
      </c>
      <c r="M689" s="101">
        <f>IF($H687 &lt;&gt; 0, M685/$H687, 0)</f>
        <v>0.1867633735693886</v>
      </c>
      <c r="N689" s="101">
        <f>IF($H687 &lt;&gt; 0, N685/$H687, 0)</f>
        <v>0.62344004080660564</v>
      </c>
      <c r="AQ689" s="3"/>
    </row>
    <row r="690" spans="2:43" x14ac:dyDescent="0.25">
      <c r="AQ690" s="3"/>
    </row>
    <row r="691" spans="2:43" x14ac:dyDescent="0.2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232</v>
      </c>
      <c r="G693" s="6" t="s">
        <v>55</v>
      </c>
      <c r="H693" s="93">
        <f t="array" ref="H693">SUM(IF(ISERROR(H22:Y309), 1))</f>
        <v>0</v>
      </c>
    </row>
    <row r="695" spans="2:43" x14ac:dyDescent="0.2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2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154</v>
      </c>
      <c r="AA15" t="s">
        <v>860</v>
      </c>
    </row>
    <row r="16" spans="1:27" x14ac:dyDescent="0.25">
      <c r="C16" s="24" t="s">
        <v>458</v>
      </c>
    </row>
    <row r="18" spans="3:27" x14ac:dyDescent="0.25">
      <c r="C18" s="26" t="str">
        <f ca="1">INDEX('Version control'!$H$36:$H$59,MATCH($A$1,'Version control'!$F$36:$F$59,0),1)&amp;"-A: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s="300" customFormat="1" x14ac:dyDescent="0.25">
      <c r="E20" s="301" t="s">
        <v>459</v>
      </c>
      <c r="F20" s="302"/>
      <c r="G20" s="302" t="s">
        <v>460</v>
      </c>
      <c r="J20" s="303" t="b">
        <f>'Fixed inputs'!J127</f>
        <v>0</v>
      </c>
      <c r="K20" s="303" t="b">
        <f>'Fixed inputs'!K127</f>
        <v>0</v>
      </c>
      <c r="L20" s="303" t="b">
        <f>'Fixed inputs'!L127</f>
        <v>0</v>
      </c>
      <c r="M20" s="303" t="b">
        <f>'Fixed inputs'!M127</f>
        <v>0</v>
      </c>
      <c r="N20" s="303" t="b">
        <f>'Fixed inputs'!N127</f>
        <v>0</v>
      </c>
      <c r="O20" s="303" t="b">
        <f>'Fixed inputs'!O127</f>
        <v>0</v>
      </c>
      <c r="P20" s="303" t="b">
        <f>'Fixed inputs'!P127</f>
        <v>0</v>
      </c>
      <c r="Q20" s="303" t="b">
        <f>'Fixed inputs'!Q127</f>
        <v>1</v>
      </c>
      <c r="R20" s="303" t="b">
        <f>'Fixed inputs'!R127</f>
        <v>0</v>
      </c>
      <c r="S20" s="303" t="b">
        <f>'Fixed inputs'!S127</f>
        <v>0</v>
      </c>
      <c r="T20" s="303" t="b">
        <f>'Fixed inputs'!T127</f>
        <v>0</v>
      </c>
      <c r="U20" s="303" t="b">
        <f>'Fixed inputs'!U127</f>
        <v>0</v>
      </c>
      <c r="V20" s="303" t="b">
        <f>'Fixed inputs'!V127</f>
        <v>0</v>
      </c>
      <c r="W20" s="303" t="b">
        <f>'Fixed inputs'!W127</f>
        <v>0</v>
      </c>
      <c r="X20" s="303" t="b">
        <f>'Fixed inputs'!X127</f>
        <v>0</v>
      </c>
      <c r="Y20" s="303" t="b">
        <f>'Fixed inputs'!Y127</f>
        <v>0</v>
      </c>
    </row>
    <row r="22" spans="3:27" x14ac:dyDescent="0.25">
      <c r="E22" s="27" t="s">
        <v>461</v>
      </c>
      <c r="I22" t="s">
        <v>154</v>
      </c>
      <c r="AA22" t="s">
        <v>462</v>
      </c>
    </row>
    <row r="23" spans="3:27" x14ac:dyDescent="0.25">
      <c r="E23" s="24" t="s">
        <v>463</v>
      </c>
      <c r="F23" s="24"/>
    </row>
    <row r="24" spans="3:27" x14ac:dyDescent="0.25">
      <c r="F24" s="54" t="s">
        <v>464</v>
      </c>
      <c r="G24" s="54" t="s">
        <v>147</v>
      </c>
      <c r="H24" s="139"/>
      <c r="I24" s="139"/>
      <c r="J24" s="114">
        <f>IF(J$20, 'General inputs'!$H16, 'General inputs'!$H21)</f>
        <v>780</v>
      </c>
      <c r="K24" s="114">
        <f>IF(K$20, 'General inputs'!$H16, 'General inputs'!$H21)</f>
        <v>780</v>
      </c>
      <c r="L24" s="114">
        <f>IF(L$20, 'General inputs'!$H16, 'General inputs'!$H21)</f>
        <v>780</v>
      </c>
      <c r="M24" s="114">
        <f>IF(M$20, 'General inputs'!$H16, 'General inputs'!$H21)</f>
        <v>780</v>
      </c>
      <c r="N24" s="114">
        <f>IF(N$20, 'General inputs'!$H16, 'General inputs'!$H21)</f>
        <v>780</v>
      </c>
      <c r="O24" s="114">
        <f>IF(O$20, 'General inputs'!$H16, 'General inputs'!$H21)</f>
        <v>780</v>
      </c>
      <c r="P24" s="114">
        <f>IF(P$20, 'General inputs'!$H16, 'General inputs'!$H21)</f>
        <v>780</v>
      </c>
      <c r="Q24" s="114">
        <f>IF(Q$20, 'General inputs'!$H16, 'General inputs'!$H21)</f>
        <v>261</v>
      </c>
      <c r="R24" s="114">
        <f>IF(R$20, 'General inputs'!$H16, 'General inputs'!$H21)</f>
        <v>780</v>
      </c>
      <c r="S24" s="114">
        <f>IF(S$20, 'General inputs'!$H16, 'General inputs'!$H21)</f>
        <v>780</v>
      </c>
      <c r="T24" s="114">
        <f>IF(T$20, 'General inputs'!$H16, 'General inputs'!$H21)</f>
        <v>780</v>
      </c>
      <c r="U24" s="114">
        <f>IF(U$20, 'General inputs'!$H16, 'General inputs'!$H21)</f>
        <v>780</v>
      </c>
      <c r="V24" s="114">
        <f>IF(V$20, 'General inputs'!$H16, 'General inputs'!$H21)</f>
        <v>780</v>
      </c>
      <c r="W24" s="114">
        <f>IF(W$20, 'General inputs'!$H16, 'General inputs'!$H21)</f>
        <v>780</v>
      </c>
      <c r="X24" s="114">
        <f>IF(X$20, 'General inputs'!$H16, 'General inputs'!$H21)</f>
        <v>780</v>
      </c>
      <c r="Y24" s="114">
        <f>IF(Y$20, 'General inputs'!$H16, 'General inputs'!$H21)</f>
        <v>780</v>
      </c>
    </row>
    <row r="25" spans="3:27" x14ac:dyDescent="0.25">
      <c r="F25" s="23" t="s">
        <v>465</v>
      </c>
      <c r="G25" t="s">
        <v>147</v>
      </c>
      <c r="H25" s="140"/>
      <c r="I25" s="140"/>
      <c r="J25" s="110">
        <f>IF(J$20, 'General inputs'!$H17, 'General inputs'!$H22)</f>
        <v>2730</v>
      </c>
      <c r="K25" s="110">
        <f>IF(K$20, 'General inputs'!$H17, 'General inputs'!$H22)</f>
        <v>2730</v>
      </c>
      <c r="L25" s="110">
        <f>IF(L$20, 'General inputs'!$H17, 'General inputs'!$H22)</f>
        <v>2730</v>
      </c>
      <c r="M25" s="110">
        <f>IF(M$20, 'General inputs'!$H17, 'General inputs'!$H22)</f>
        <v>2730</v>
      </c>
      <c r="N25" s="110">
        <f>IF(N$20, 'General inputs'!$H17, 'General inputs'!$H22)</f>
        <v>2730</v>
      </c>
      <c r="O25" s="110">
        <f>IF(O$20, 'General inputs'!$H17, 'General inputs'!$H22)</f>
        <v>2730</v>
      </c>
      <c r="P25" s="110">
        <f>IF(P$20, 'General inputs'!$H17, 'General inputs'!$H22)</f>
        <v>2730</v>
      </c>
      <c r="Q25" s="110">
        <f>IF(Q$20, 'General inputs'!$H17, 'General inputs'!$H22)</f>
        <v>3249</v>
      </c>
      <c r="R25" s="110">
        <f>IF(R$20, 'General inputs'!$H17, 'General inputs'!$H22)</f>
        <v>2730</v>
      </c>
      <c r="S25" s="110">
        <f>IF(S$20, 'General inputs'!$H17, 'General inputs'!$H22)</f>
        <v>2730</v>
      </c>
      <c r="T25" s="110">
        <f>IF(T$20, 'General inputs'!$H17, 'General inputs'!$H22)</f>
        <v>2730</v>
      </c>
      <c r="U25" s="110">
        <f>IF(U$20, 'General inputs'!$H17, 'General inputs'!$H22)</f>
        <v>2730</v>
      </c>
      <c r="V25" s="110">
        <f>IF(V$20, 'General inputs'!$H17, 'General inputs'!$H22)</f>
        <v>2730</v>
      </c>
      <c r="W25" s="110">
        <f>IF(W$20, 'General inputs'!$H17, 'General inputs'!$H22)</f>
        <v>2730</v>
      </c>
      <c r="X25" s="110">
        <f>IF(X$20, 'General inputs'!$H17, 'General inputs'!$H22)</f>
        <v>2730</v>
      </c>
      <c r="Y25" s="110">
        <f>IF(Y$20, 'General inputs'!$H17, 'General inputs'!$H22)</f>
        <v>2730</v>
      </c>
    </row>
    <row r="26" spans="3:27" x14ac:dyDescent="0.25">
      <c r="F26" s="57" t="s">
        <v>257</v>
      </c>
      <c r="G26" s="28" t="s">
        <v>147</v>
      </c>
      <c r="H26" s="141"/>
      <c r="I26" s="141"/>
      <c r="J26" s="115">
        <f>IF(J$20, 'General inputs'!$H18, 'General inputs'!$H23)</f>
        <v>5274</v>
      </c>
      <c r="K26" s="115">
        <f>IF(K$20, 'General inputs'!$H18, 'General inputs'!$H23)</f>
        <v>5274</v>
      </c>
      <c r="L26" s="115">
        <f>IF(L$20, 'General inputs'!$H18, 'General inputs'!$H23)</f>
        <v>5274</v>
      </c>
      <c r="M26" s="115">
        <f>IF(M$20, 'General inputs'!$H18, 'General inputs'!$H23)</f>
        <v>5274</v>
      </c>
      <c r="N26" s="115">
        <f>IF(N$20, 'General inputs'!$H18, 'General inputs'!$H23)</f>
        <v>5274</v>
      </c>
      <c r="O26" s="115">
        <f>IF(O$20, 'General inputs'!$H18, 'General inputs'!$H23)</f>
        <v>5274</v>
      </c>
      <c r="P26" s="115">
        <f>IF(P$20, 'General inputs'!$H18, 'General inputs'!$H23)</f>
        <v>5274</v>
      </c>
      <c r="Q26" s="115">
        <f>IF(Q$20, 'General inputs'!$H18, 'General inputs'!$H23)</f>
        <v>5274</v>
      </c>
      <c r="R26" s="115">
        <f>IF(R$20, 'General inputs'!$H18, 'General inputs'!$H23)</f>
        <v>5274</v>
      </c>
      <c r="S26" s="115">
        <f>IF(S$20, 'General inputs'!$H18, 'General inputs'!$H23)</f>
        <v>5274</v>
      </c>
      <c r="T26" s="115">
        <f>IF(T$20, 'General inputs'!$H18, 'General inputs'!$H23)</f>
        <v>5274</v>
      </c>
      <c r="U26" s="115">
        <f>IF(U$20, 'General inputs'!$H18, 'General inputs'!$H23)</f>
        <v>5274</v>
      </c>
      <c r="V26" s="115">
        <f>IF(V$20, 'General inputs'!$H18, 'General inputs'!$H23)</f>
        <v>5274</v>
      </c>
      <c r="W26" s="115">
        <f>IF(W$20, 'General inputs'!$H18, 'General inputs'!$H23)</f>
        <v>5274</v>
      </c>
      <c r="X26" s="115">
        <f>IF(X$20, 'General inputs'!$H18, 'General inputs'!$H23)</f>
        <v>5274</v>
      </c>
      <c r="Y26" s="115">
        <f>IF(Y$20, 'General inputs'!$H18, 'General inputs'!$H23)</f>
        <v>5274</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control'!$H$36:$H$59,MATCH($A$1,'Version control'!$F$36:$F$59,0),1)&amp;"-B: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156</v>
      </c>
      <c r="G31" s="54" t="s">
        <v>207</v>
      </c>
      <c r="H31" s="19"/>
      <c r="I31" s="19"/>
      <c r="J31" s="114">
        <f>'Volume adjustments'!J238</f>
        <v>982339.25157892017</v>
      </c>
      <c r="K31" s="114">
        <f>'Volume adjustments'!K238</f>
        <v>97.101998282967941</v>
      </c>
      <c r="L31" s="114">
        <f>'Volume adjustments'!L238</f>
        <v>297838.78565687669</v>
      </c>
      <c r="M31" s="114">
        <f>'Volume adjustments'!M238</f>
        <v>113.60366930781993</v>
      </c>
      <c r="N31" s="114">
        <f>'Volume adjustments'!N238</f>
        <v>254502.78465135122</v>
      </c>
      <c r="O31" s="114">
        <f>'Volume adjustments'!O238</f>
        <v>21136.46161702837</v>
      </c>
      <c r="P31" s="114">
        <f>'Volume adjustments'!P238</f>
        <v>666816.19495708751</v>
      </c>
      <c r="Q31" s="114">
        <f>'Volume adjustments'!Q238</f>
        <v>10819.160910698545</v>
      </c>
      <c r="R31" s="114">
        <f>'Volume adjustments'!R238</f>
        <v>407.10202278917717</v>
      </c>
      <c r="S31" s="114">
        <f>'Volume adjustments'!S238</f>
        <v>0</v>
      </c>
      <c r="T31" s="114">
        <f>'Volume adjustments'!T238</f>
        <v>4588.4979110785662</v>
      </c>
      <c r="U31" s="114">
        <f>'Volume adjustments'!U238</f>
        <v>0</v>
      </c>
      <c r="V31" s="114">
        <f>'Volume adjustments'!V238</f>
        <v>1000.7714870643234</v>
      </c>
      <c r="W31" s="114">
        <f>'Volume adjustments'!W238</f>
        <v>0</v>
      </c>
      <c r="X31" s="114">
        <f>'Volume adjustments'!X238</f>
        <v>112520.57829750761</v>
      </c>
      <c r="Y31" s="114">
        <f>'Volume adjustments'!Y238</f>
        <v>0</v>
      </c>
    </row>
    <row r="32" spans="3:27" x14ac:dyDescent="0.25">
      <c r="F32" s="23" t="s">
        <v>157</v>
      </c>
      <c r="G32" s="23" t="s">
        <v>207</v>
      </c>
      <c r="J32" s="110">
        <f>'Volume adjustments'!J249</f>
        <v>2791486.3824818004</v>
      </c>
      <c r="K32" s="110">
        <f>'Volume adjustments'!K249</f>
        <v>2610.0714903095482</v>
      </c>
      <c r="L32" s="110">
        <f>'Volume adjustments'!L249</f>
        <v>1227215.9902417455</v>
      </c>
      <c r="M32" s="110">
        <f>'Volume adjustments'!M249</f>
        <v>928.08494967695549</v>
      </c>
      <c r="N32" s="110">
        <f>'Volume adjustments'!N249</f>
        <v>1095939.8341887172</v>
      </c>
      <c r="O32" s="110">
        <f>'Volume adjustments'!O249</f>
        <v>82408.37622439125</v>
      </c>
      <c r="P32" s="110">
        <f>'Volume adjustments'!P249</f>
        <v>2656431.1374182492</v>
      </c>
      <c r="Q32" s="110">
        <f>'Volume adjustments'!Q249</f>
        <v>47234.121959902513</v>
      </c>
      <c r="R32" s="110">
        <f>'Volume adjustments'!R249</f>
        <v>1833.5949051998</v>
      </c>
      <c r="S32" s="110">
        <f>'Volume adjustments'!S249</f>
        <v>0</v>
      </c>
      <c r="T32" s="110">
        <f>'Volume adjustments'!T249</f>
        <v>20525.605245333853</v>
      </c>
      <c r="U32" s="110">
        <f>'Volume adjustments'!U249</f>
        <v>0</v>
      </c>
      <c r="V32" s="110">
        <f>'Volume adjustments'!V249</f>
        <v>3996.1654558994287</v>
      </c>
      <c r="W32" s="110">
        <f>'Volume adjustments'!W249</f>
        <v>0</v>
      </c>
      <c r="X32" s="110">
        <f>'Volume adjustments'!X249</f>
        <v>328225.11344676261</v>
      </c>
      <c r="Y32" s="110">
        <f>'Volume adjustments'!Y249</f>
        <v>0</v>
      </c>
    </row>
    <row r="33" spans="3:27" x14ac:dyDescent="0.25">
      <c r="F33" s="23" t="s">
        <v>158</v>
      </c>
      <c r="G33" s="23" t="s">
        <v>207</v>
      </c>
      <c r="J33" s="110">
        <f>'Volume adjustments'!J260</f>
        <v>4975114.6920176791</v>
      </c>
      <c r="K33" s="110">
        <f>'Volume adjustments'!K260</f>
        <v>10855.114741116735</v>
      </c>
      <c r="L33" s="110">
        <f>'Volume adjustments'!L260</f>
        <v>1348736.0248486968</v>
      </c>
      <c r="M33" s="110">
        <f>'Volume adjustments'!M260</f>
        <v>2405.8570016096082</v>
      </c>
      <c r="N33" s="110">
        <f>'Volume adjustments'!N260</f>
        <v>1565295.2576125518</v>
      </c>
      <c r="O33" s="110">
        <f>'Volume adjustments'!O260</f>
        <v>101587.27539164439</v>
      </c>
      <c r="P33" s="110">
        <f>'Volume adjustments'!P260</f>
        <v>3714151.2016741722</v>
      </c>
      <c r="Q33" s="110">
        <f>'Volume adjustments'!Q260</f>
        <v>180790.04896787592</v>
      </c>
      <c r="R33" s="110">
        <f>'Volume adjustments'!R260</f>
        <v>1022.9660720110227</v>
      </c>
      <c r="S33" s="110">
        <f>'Volume adjustments'!S260</f>
        <v>0</v>
      </c>
      <c r="T33" s="110">
        <f>'Volume adjustments'!T260</f>
        <v>19225.931376920918</v>
      </c>
      <c r="U33" s="110">
        <f>'Volume adjustments'!U260</f>
        <v>0</v>
      </c>
      <c r="V33" s="110">
        <f>'Volume adjustments'!V260</f>
        <v>6019.197723702915</v>
      </c>
      <c r="W33" s="110">
        <f>'Volume adjustments'!W260</f>
        <v>0</v>
      </c>
      <c r="X33" s="110">
        <f>'Volume adjustments'!X260</f>
        <v>370994.99308906303</v>
      </c>
      <c r="Y33" s="110">
        <f>'Volume adjustments'!Y260</f>
        <v>0</v>
      </c>
    </row>
    <row r="34" spans="3:27" x14ac:dyDescent="0.25">
      <c r="F34" s="142" t="s">
        <v>454</v>
      </c>
      <c r="G34" s="142" t="s">
        <v>207</v>
      </c>
      <c r="H34" s="98"/>
      <c r="I34" s="98"/>
      <c r="J34" s="143">
        <f t="shared" ref="J34:Y34" si="0">SUM(J31:J33)</f>
        <v>8748940.3260784</v>
      </c>
      <c r="K34" s="143">
        <f t="shared" si="0"/>
        <v>13562.288229709251</v>
      </c>
      <c r="L34" s="143">
        <f t="shared" si="0"/>
        <v>2873790.8007473191</v>
      </c>
      <c r="M34" s="143">
        <f t="shared" si="0"/>
        <v>3447.5456205943838</v>
      </c>
      <c r="N34" s="143">
        <f t="shared" si="0"/>
        <v>2915737.8764526201</v>
      </c>
      <c r="O34" s="143">
        <f t="shared" si="0"/>
        <v>205132.11323306401</v>
      </c>
      <c r="P34" s="143">
        <f t="shared" si="0"/>
        <v>7037398.5340495091</v>
      </c>
      <c r="Q34" s="143">
        <f t="shared" si="0"/>
        <v>238843.331838477</v>
      </c>
      <c r="R34" s="143">
        <f t="shared" si="0"/>
        <v>3263.663</v>
      </c>
      <c r="S34" s="143">
        <f t="shared" si="0"/>
        <v>0</v>
      </c>
      <c r="T34" s="143">
        <f t="shared" si="0"/>
        <v>44340.034533333339</v>
      </c>
      <c r="U34" s="143">
        <f t="shared" si="0"/>
        <v>0</v>
      </c>
      <c r="V34" s="143">
        <f t="shared" si="0"/>
        <v>11016.134666666667</v>
      </c>
      <c r="W34" s="143">
        <f t="shared" si="0"/>
        <v>0</v>
      </c>
      <c r="X34" s="143">
        <f t="shared" si="0"/>
        <v>811740.68483333325</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control'!$H$36:$H$59,MATCH($A$1,'Version control'!$F$36:$F$59,0),1)&amp;"-C: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149</v>
      </c>
      <c r="I38" s="309" t="s">
        <v>154</v>
      </c>
      <c r="J38" s="304">
        <f>'Fixed inputs'!J149</f>
        <v>1</v>
      </c>
      <c r="K38" s="304">
        <f>'Fixed inputs'!K149</f>
        <v>1</v>
      </c>
      <c r="L38" s="304">
        <f>'Fixed inputs'!L149</f>
        <v>2</v>
      </c>
      <c r="M38" s="304">
        <f>'Fixed inputs'!M149</f>
        <v>2</v>
      </c>
      <c r="N38" s="304">
        <f>'Fixed inputs'!N149</f>
        <v>3</v>
      </c>
      <c r="O38" s="304">
        <f>'Fixed inputs'!O149</f>
        <v>4</v>
      </c>
      <c r="P38" s="304">
        <f>'Fixed inputs'!P149</f>
        <v>5</v>
      </c>
      <c r="Q38" s="305"/>
      <c r="R38" s="305"/>
      <c r="S38" s="305"/>
      <c r="T38" s="305"/>
      <c r="U38" s="305"/>
      <c r="V38" s="305"/>
      <c r="W38" s="305"/>
      <c r="X38" s="305"/>
      <c r="Y38" s="305"/>
      <c r="AA38" s="309"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167</v>
      </c>
      <c r="H42" s="19"/>
      <c r="I42" s="19"/>
      <c r="J42" s="144">
        <f t="shared" ref="J42:P44" si="1">SUMIF($J$38:$Y$38, J$38, $J31:$Y31) / SUMIF($J$38:$Y$38, J$38, $J$34:$Y$34)</f>
        <v>0.11211823799892545</v>
      </c>
      <c r="K42" s="144">
        <f t="shared" si="1"/>
        <v>0.11211823799892545</v>
      </c>
      <c r="L42" s="144">
        <f t="shared" si="1"/>
        <v>0.10355499039636575</v>
      </c>
      <c r="M42" s="144">
        <f t="shared" si="1"/>
        <v>0.10355499039636575</v>
      </c>
      <c r="N42" s="144">
        <f t="shared" si="1"/>
        <v>8.7285893120470567E-2</v>
      </c>
      <c r="O42" s="144">
        <f t="shared" si="1"/>
        <v>0.10303828729641104</v>
      </c>
      <c r="P42" s="144">
        <f t="shared" si="1"/>
        <v>9.4753223329727146E-2</v>
      </c>
      <c r="Q42" s="306"/>
      <c r="R42" s="306"/>
      <c r="S42" s="306"/>
      <c r="T42" s="306"/>
      <c r="U42" s="306"/>
      <c r="V42" s="306"/>
      <c r="W42" s="306"/>
      <c r="X42" s="306"/>
      <c r="Y42" s="306"/>
    </row>
    <row r="43" spans="3:27" x14ac:dyDescent="0.25">
      <c r="F43" s="23" t="s">
        <v>465</v>
      </c>
      <c r="G43" s="23" t="s">
        <v>167</v>
      </c>
      <c r="J43" s="135">
        <f t="shared" si="1"/>
        <v>0.31886968563178375</v>
      </c>
      <c r="K43" s="135">
        <f t="shared" si="1"/>
        <v>0.31886968563178375</v>
      </c>
      <c r="L43" s="135">
        <f t="shared" si="1"/>
        <v>0.42684822296413927</v>
      </c>
      <c r="M43" s="135">
        <f t="shared" si="1"/>
        <v>0.42684822296413927</v>
      </c>
      <c r="N43" s="135">
        <f t="shared" si="1"/>
        <v>0.37587049337990308</v>
      </c>
      <c r="O43" s="135">
        <f t="shared" si="1"/>
        <v>0.40173318026886268</v>
      </c>
      <c r="P43" s="135">
        <f t="shared" si="1"/>
        <v>0.37747345479518651</v>
      </c>
      <c r="Q43" s="60"/>
      <c r="R43" s="60"/>
      <c r="S43" s="60"/>
      <c r="T43" s="60"/>
      <c r="U43" s="60"/>
      <c r="V43" s="60"/>
      <c r="W43" s="60"/>
      <c r="X43" s="60"/>
      <c r="Y43" s="60"/>
    </row>
    <row r="44" spans="3:27" x14ac:dyDescent="0.25">
      <c r="F44" s="57" t="s">
        <v>257</v>
      </c>
      <c r="G44" s="57" t="s">
        <v>167</v>
      </c>
      <c r="H44" s="28"/>
      <c r="I44" s="28"/>
      <c r="J44" s="145">
        <f t="shared" si="1"/>
        <v>0.56901207636929074</v>
      </c>
      <c r="K44" s="145">
        <f t="shared" si="1"/>
        <v>0.56901207636929074</v>
      </c>
      <c r="L44" s="145">
        <f t="shared" si="1"/>
        <v>0.469596786639495</v>
      </c>
      <c r="M44" s="145">
        <f t="shared" si="1"/>
        <v>0.469596786639495</v>
      </c>
      <c r="N44" s="145">
        <f t="shared" si="1"/>
        <v>0.53684361349962639</v>
      </c>
      <c r="O44" s="145">
        <f t="shared" si="1"/>
        <v>0.49522853243472631</v>
      </c>
      <c r="P44" s="145">
        <f t="shared" si="1"/>
        <v>0.5277733218750863</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167</v>
      </c>
      <c r="H48" s="19"/>
      <c r="I48" s="19"/>
      <c r="J48" s="144">
        <f>IF(ISNUMBER(J$38), J42, IF(J$34 = 0, 0, J31 / J$34))</f>
        <v>0.11211823799892545</v>
      </c>
      <c r="K48" s="144">
        <f t="shared" ref="K48:Y48" si="2">IF(ISNUMBER(K$38), K42, IF(K$34 = 0, 0, K31 / K$34))</f>
        <v>0.11211823799892545</v>
      </c>
      <c r="L48" s="144">
        <f t="shared" si="2"/>
        <v>0.10355499039636575</v>
      </c>
      <c r="M48" s="144">
        <f t="shared" si="2"/>
        <v>0.10355499039636575</v>
      </c>
      <c r="N48" s="144">
        <f t="shared" si="2"/>
        <v>8.7285893120470567E-2</v>
      </c>
      <c r="O48" s="144">
        <f t="shared" si="2"/>
        <v>0.10303828729641104</v>
      </c>
      <c r="P48" s="144">
        <f t="shared" si="2"/>
        <v>9.4753223329727146E-2</v>
      </c>
      <c r="Q48" s="144">
        <f t="shared" si="2"/>
        <v>4.5298149324157135E-2</v>
      </c>
      <c r="R48" s="144">
        <f t="shared" si="2"/>
        <v>0.12473776330128973</v>
      </c>
      <c r="S48" s="144">
        <f t="shared" si="2"/>
        <v>0</v>
      </c>
      <c r="T48" s="144">
        <f t="shared" si="2"/>
        <v>0.10348431072215536</v>
      </c>
      <c r="U48" s="144">
        <f t="shared" si="2"/>
        <v>0</v>
      </c>
      <c r="V48" s="144">
        <f t="shared" si="2"/>
        <v>9.0845974322783338E-2</v>
      </c>
      <c r="W48" s="144">
        <f t="shared" si="2"/>
        <v>0</v>
      </c>
      <c r="X48" s="144">
        <f t="shared" si="2"/>
        <v>0.13861640841694459</v>
      </c>
      <c r="Y48" s="144">
        <f t="shared" si="2"/>
        <v>0</v>
      </c>
    </row>
    <row r="49" spans="2:27" x14ac:dyDescent="0.25">
      <c r="F49" s="23" t="s">
        <v>465</v>
      </c>
      <c r="G49" s="23" t="s">
        <v>167</v>
      </c>
      <c r="J49" s="135">
        <f t="shared" ref="J49:Y49" si="3">IF(ISNUMBER(J$38), J43, IF(J$34 = 0, 0, J32 / J$34))</f>
        <v>0.31886968563178375</v>
      </c>
      <c r="K49" s="135">
        <f t="shared" si="3"/>
        <v>0.31886968563178375</v>
      </c>
      <c r="L49" s="135">
        <f t="shared" si="3"/>
        <v>0.42684822296413927</v>
      </c>
      <c r="M49" s="135">
        <f t="shared" si="3"/>
        <v>0.42684822296413927</v>
      </c>
      <c r="N49" s="135">
        <f t="shared" si="3"/>
        <v>0.37587049337990308</v>
      </c>
      <c r="O49" s="135">
        <f t="shared" si="3"/>
        <v>0.40173318026886268</v>
      </c>
      <c r="P49" s="135">
        <f t="shared" si="3"/>
        <v>0.37747345479518651</v>
      </c>
      <c r="Q49" s="135">
        <f t="shared" si="3"/>
        <v>0.19776194544064399</v>
      </c>
      <c r="R49" s="135">
        <f t="shared" si="3"/>
        <v>0.56182115163232238</v>
      </c>
      <c r="S49" s="135">
        <f t="shared" si="3"/>
        <v>0</v>
      </c>
      <c r="T49" s="135">
        <f t="shared" si="3"/>
        <v>0.46291360530861553</v>
      </c>
      <c r="U49" s="135">
        <f t="shared" si="3"/>
        <v>0</v>
      </c>
      <c r="V49" s="135">
        <f t="shared" si="3"/>
        <v>0.36275568307922784</v>
      </c>
      <c r="W49" s="135">
        <f t="shared" si="3"/>
        <v>0</v>
      </c>
      <c r="X49" s="135">
        <f t="shared" si="3"/>
        <v>0.40434724977984055</v>
      </c>
      <c r="Y49" s="135">
        <f t="shared" si="3"/>
        <v>0</v>
      </c>
    </row>
    <row r="50" spans="2:27" x14ac:dyDescent="0.25">
      <c r="F50" s="57" t="s">
        <v>257</v>
      </c>
      <c r="G50" s="57" t="s">
        <v>167</v>
      </c>
      <c r="H50" s="28"/>
      <c r="I50" s="28"/>
      <c r="J50" s="145">
        <f t="shared" ref="J50:Y50" si="4">IF(ISNUMBER(J$38), J44, IF(J$34 = 0, 0, J33 / J$34))</f>
        <v>0.56901207636929074</v>
      </c>
      <c r="K50" s="145">
        <f t="shared" si="4"/>
        <v>0.56901207636929074</v>
      </c>
      <c r="L50" s="145">
        <f t="shared" si="4"/>
        <v>0.469596786639495</v>
      </c>
      <c r="M50" s="145">
        <f t="shared" si="4"/>
        <v>0.469596786639495</v>
      </c>
      <c r="N50" s="145">
        <f t="shared" si="4"/>
        <v>0.53684361349962639</v>
      </c>
      <c r="O50" s="145">
        <f t="shared" si="4"/>
        <v>0.49522853243472631</v>
      </c>
      <c r="P50" s="145">
        <f t="shared" si="4"/>
        <v>0.5277733218750863</v>
      </c>
      <c r="Q50" s="145">
        <f t="shared" si="4"/>
        <v>0.75693990523519883</v>
      </c>
      <c r="R50" s="145">
        <f t="shared" si="4"/>
        <v>0.3134410850663879</v>
      </c>
      <c r="S50" s="145">
        <f t="shared" si="4"/>
        <v>0</v>
      </c>
      <c r="T50" s="145">
        <f t="shared" si="4"/>
        <v>0.43360208396922906</v>
      </c>
      <c r="U50" s="145">
        <f t="shared" si="4"/>
        <v>0</v>
      </c>
      <c r="V50" s="145">
        <f t="shared" si="4"/>
        <v>0.54639834259798881</v>
      </c>
      <c r="W50" s="145">
        <f t="shared" si="4"/>
        <v>0</v>
      </c>
      <c r="X50" s="145">
        <f t="shared" si="4"/>
        <v>0.4570363418032149</v>
      </c>
      <c r="Y50" s="145">
        <f t="shared" si="4"/>
        <v>0</v>
      </c>
    </row>
    <row r="52" spans="2:27" x14ac:dyDescent="0.25">
      <c r="C52" s="26" t="str">
        <f ca="1">INDEX('Version control'!$H$36:$H$59,MATCH($A$1,'Version control'!$F$36:$F$59,0),1)&amp;"-D: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283</v>
      </c>
      <c r="H54" s="79"/>
      <c r="I54" s="79"/>
      <c r="J54" s="79">
        <f t="shared" ref="J54:Y54" si="5">J48 * hours_in_year / J24</f>
        <v>1.2626238494648221</v>
      </c>
      <c r="K54" s="79">
        <f t="shared" si="5"/>
        <v>1.2626238494648221</v>
      </c>
      <c r="L54" s="79">
        <f t="shared" si="5"/>
        <v>1.1661885072329188</v>
      </c>
      <c r="M54" s="79">
        <f t="shared" si="5"/>
        <v>1.1661885072329188</v>
      </c>
      <c r="N54" s="79">
        <f t="shared" si="5"/>
        <v>0.98297344252591468</v>
      </c>
      <c r="O54" s="79">
        <f t="shared" si="5"/>
        <v>1.1603696353995829</v>
      </c>
      <c r="P54" s="79">
        <f t="shared" si="5"/>
        <v>1.0670670688824657</v>
      </c>
      <c r="Q54" s="79">
        <f t="shared" si="5"/>
        <v>1.5245170255302538</v>
      </c>
      <c r="R54" s="79">
        <f t="shared" si="5"/>
        <v>1.4047391190237553</v>
      </c>
      <c r="S54" s="79">
        <f t="shared" si="5"/>
        <v>0</v>
      </c>
      <c r="T54" s="79">
        <f t="shared" si="5"/>
        <v>1.1653925453633496</v>
      </c>
      <c r="U54" s="79">
        <f t="shared" si="5"/>
        <v>0</v>
      </c>
      <c r="V54" s="79">
        <f t="shared" si="5"/>
        <v>1.02306543391196</v>
      </c>
      <c r="W54" s="79">
        <f t="shared" si="5"/>
        <v>0</v>
      </c>
      <c r="X54" s="79">
        <f t="shared" si="5"/>
        <v>1.5610340147877453</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control'!$H$36:$H$59,MATCH($A$1,'Version control'!$F$36:$F$59,0),1)&amp;"-E: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241</v>
      </c>
      <c r="G62" s="23" t="s">
        <v>167</v>
      </c>
      <c r="J62" s="21">
        <f>'Inputs by customer type'!J15</f>
        <v>0.44857405474776341</v>
      </c>
      <c r="K62" s="21">
        <f>'Inputs by customer type'!K15</f>
        <v>0.1748351266724493</v>
      </c>
      <c r="L62" s="21">
        <f>'Inputs by customer type'!L15</f>
        <v>0.43521251972530556</v>
      </c>
      <c r="M62" s="21">
        <f>'Inputs by customer type'!M15</f>
        <v>0.22587469012119213</v>
      </c>
      <c r="N62" s="21">
        <f>'Inputs by customer type'!N15</f>
        <v>0.51315854386695225</v>
      </c>
      <c r="O62" s="21">
        <f>'Inputs by customer type'!O15</f>
        <v>0.54364034444239728</v>
      </c>
      <c r="P62" s="21">
        <f>'Inputs by customer type'!P15</f>
        <v>0.65603085887430934</v>
      </c>
      <c r="Q62" s="21">
        <f>'Inputs by customer type'!Q15</f>
        <v>0.52219367636607006</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243</v>
      </c>
      <c r="G63" s="23" t="s">
        <v>167</v>
      </c>
      <c r="J63" s="21">
        <f>'Inputs by customer type'!J16</f>
        <v>0.8881535281350722</v>
      </c>
      <c r="K63" s="21">
        <f>'Inputs by customer type'!K16</f>
        <v>0</v>
      </c>
      <c r="L63" s="21">
        <f>'Inputs by customer type'!L16</f>
        <v>0.73761112454347311</v>
      </c>
      <c r="M63" s="21">
        <f>'Inputs by customer type'!M16</f>
        <v>0</v>
      </c>
      <c r="N63" s="21">
        <f>'Inputs by customer type'!N16</f>
        <v>0.74491934742064247</v>
      </c>
      <c r="O63" s="21">
        <f>'Inputs by customer type'!O16</f>
        <v>0.8199402968305064</v>
      </c>
      <c r="P63" s="21">
        <f>'Inputs by customer type'!P16</f>
        <v>0.75690448048376402</v>
      </c>
      <c r="Q63" s="21">
        <f>'Inputs by customer type'!Q16</f>
        <v>0.9593677930964063</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control'!$H$36:$H$59,MATCH($A$1,'Version control'!$F$36:$F$59,0),1)&amp;"-F: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172</v>
      </c>
      <c r="J69" s="79">
        <f t="shared" ref="J69:P69" si="6">J34 / hours_in_year</f>
        <v>996.00868921657559</v>
      </c>
      <c r="K69" s="79">
        <f t="shared" si="6"/>
        <v>1.5439763467337491</v>
      </c>
      <c r="L69" s="79">
        <f t="shared" si="6"/>
        <v>327.1619764056602</v>
      </c>
      <c r="M69" s="79">
        <f t="shared" si="6"/>
        <v>0.39248014806402365</v>
      </c>
      <c r="N69" s="79">
        <f t="shared" si="6"/>
        <v>331.93737209160065</v>
      </c>
      <c r="O69" s="79">
        <f t="shared" si="6"/>
        <v>23.35292728063115</v>
      </c>
      <c r="P69" s="79">
        <f t="shared" si="6"/>
        <v>801.16103529707527</v>
      </c>
      <c r="Q69" s="305"/>
      <c r="R69" s="305"/>
      <c r="S69" s="305"/>
      <c r="T69" s="305"/>
      <c r="U69" s="305"/>
      <c r="V69" s="305"/>
      <c r="W69" s="305"/>
      <c r="X69" s="305"/>
      <c r="Y69" s="305"/>
    </row>
    <row r="70" spans="3:27" x14ac:dyDescent="0.25">
      <c r="D70" s="27"/>
      <c r="E70" s="23"/>
      <c r="F70" s="23"/>
      <c r="G70" s="23"/>
    </row>
    <row r="71" spans="3:27" x14ac:dyDescent="0.25">
      <c r="D71" s="27"/>
      <c r="E71" s="23" t="s">
        <v>470</v>
      </c>
      <c r="F71" s="23"/>
      <c r="G71" s="23" t="s">
        <v>172</v>
      </c>
      <c r="J71" s="79">
        <f t="shared" ref="J71:P71" si="7">IF(J62 = 0, 0, J34 / (J62 * hours_in_year))</f>
        <v>2220.3885371315978</v>
      </c>
      <c r="K71" s="79">
        <f t="shared" si="7"/>
        <v>8.8310420000802416</v>
      </c>
      <c r="L71" s="79">
        <f t="shared" si="7"/>
        <v>751.72923934301343</v>
      </c>
      <c r="M71" s="79">
        <f t="shared" si="7"/>
        <v>1.7376012684441982</v>
      </c>
      <c r="N71" s="79">
        <f t="shared" si="7"/>
        <v>646.8514965964647</v>
      </c>
      <c r="O71" s="79">
        <f t="shared" si="7"/>
        <v>42.956575094852184</v>
      </c>
      <c r="P71" s="79">
        <f t="shared" si="7"/>
        <v>1221.2246184147441</v>
      </c>
      <c r="Q71" s="305"/>
      <c r="R71" s="305"/>
      <c r="S71" s="305"/>
      <c r="T71" s="305"/>
      <c r="U71" s="305"/>
      <c r="V71" s="305"/>
      <c r="W71" s="305"/>
      <c r="X71" s="305"/>
      <c r="Y71" s="305"/>
    </row>
    <row r="72" spans="3:27" x14ac:dyDescent="0.25">
      <c r="D72" s="27"/>
      <c r="E72" s="23"/>
      <c r="F72" s="23"/>
      <c r="G72" s="23"/>
    </row>
    <row r="73" spans="3:27" x14ac:dyDescent="0.25">
      <c r="D73" s="27"/>
      <c r="E73" s="23" t="s">
        <v>851</v>
      </c>
      <c r="F73" s="23"/>
      <c r="G73" s="23" t="s">
        <v>172</v>
      </c>
      <c r="J73" s="79">
        <f>J71 * J63</f>
        <v>1972.0459130841004</v>
      </c>
      <c r="K73" s="79">
        <f t="shared" ref="K73:M73" si="8">K71 * K63</f>
        <v>0</v>
      </c>
      <c r="L73" s="79">
        <f t="shared" si="8"/>
        <v>554.48384958400982</v>
      </c>
      <c r="M73" s="79">
        <f t="shared" si="8"/>
        <v>0</v>
      </c>
      <c r="N73" s="79">
        <f t="shared" ref="N73:P73" si="9">N71 * N63</f>
        <v>481.85219472270444</v>
      </c>
      <c r="O73" s="79">
        <f t="shared" si="9"/>
        <v>35.221826934095041</v>
      </c>
      <c r="P73" s="79">
        <f t="shared" si="9"/>
        <v>924.35038535519482</v>
      </c>
      <c r="Q73" s="305"/>
      <c r="R73" s="305"/>
      <c r="S73" s="305"/>
      <c r="T73" s="305"/>
      <c r="U73" s="305"/>
      <c r="V73" s="305"/>
      <c r="W73" s="305"/>
      <c r="X73" s="305"/>
      <c r="Y73" s="305"/>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241</v>
      </c>
      <c r="F77" s="23"/>
      <c r="G77" s="23" t="s">
        <v>167</v>
      </c>
      <c r="J77" s="135">
        <f t="shared" ref="J77:P77" si="10">SUMIF($J$38:$Y$38, J$38, $J$69:$Y$69) / SUMIF($J$38:$Y$38, J$38, $J$71:$Y$71)</f>
        <v>0.44748963937947933</v>
      </c>
      <c r="K77" s="135">
        <f t="shared" si="10"/>
        <v>0.44748963937947933</v>
      </c>
      <c r="L77" s="135">
        <f t="shared" si="10"/>
        <v>0.43472975703603012</v>
      </c>
      <c r="M77" s="135">
        <f t="shared" si="10"/>
        <v>0.43472975703603012</v>
      </c>
      <c r="N77" s="135">
        <f t="shared" si="10"/>
        <v>0.51315854386695225</v>
      </c>
      <c r="O77" s="135">
        <f t="shared" si="10"/>
        <v>0.54364034444239739</v>
      </c>
      <c r="P77" s="135">
        <f t="shared" si="10"/>
        <v>0.65603085887430934</v>
      </c>
      <c r="Q77" s="305"/>
      <c r="R77" s="305"/>
      <c r="S77" s="305"/>
      <c r="T77" s="305"/>
      <c r="U77" s="305"/>
      <c r="V77" s="305"/>
      <c r="W77" s="305"/>
      <c r="X77" s="305"/>
      <c r="Y77" s="305"/>
    </row>
    <row r="78" spans="3:27" x14ac:dyDescent="0.25">
      <c r="D78" s="27"/>
      <c r="E78" s="23"/>
      <c r="F78" s="23"/>
      <c r="G78" s="23"/>
    </row>
    <row r="79" spans="3:27" x14ac:dyDescent="0.25">
      <c r="D79" s="27"/>
      <c r="E79" s="23" t="s">
        <v>243</v>
      </c>
      <c r="F79" s="23"/>
      <c r="G79" s="23" t="s">
        <v>167</v>
      </c>
      <c r="J79" s="135">
        <f t="shared" ref="J79:P79" si="11">SUMIF($J$38:$Y$38, J$38, $J$73:$Y$73) / SUMIF($J$38:$Y$38, J$38, $J$71:$Y$71)</f>
        <v>0.88463511246041027</v>
      </c>
      <c r="K79" s="135">
        <f t="shared" si="11"/>
        <v>0.88463511246041027</v>
      </c>
      <c r="L79" s="135">
        <f t="shared" si="11"/>
        <v>0.73591008880235786</v>
      </c>
      <c r="M79" s="135">
        <f t="shared" si="11"/>
        <v>0.73591008880235786</v>
      </c>
      <c r="N79" s="135">
        <f t="shared" si="11"/>
        <v>0.74491934742064247</v>
      </c>
      <c r="O79" s="135">
        <f t="shared" si="11"/>
        <v>0.81994029683050651</v>
      </c>
      <c r="P79" s="135">
        <f t="shared" si="11"/>
        <v>0.75690448048376402</v>
      </c>
      <c r="Q79" s="305"/>
      <c r="R79" s="305"/>
      <c r="S79" s="305"/>
      <c r="T79" s="305"/>
      <c r="U79" s="305"/>
      <c r="V79" s="305"/>
      <c r="W79" s="305"/>
      <c r="X79" s="305"/>
      <c r="Y79" s="305"/>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241</v>
      </c>
      <c r="F83" s="23"/>
      <c r="G83" s="23" t="s">
        <v>167</v>
      </c>
      <c r="J83" s="135">
        <f>IF(J$38 = 0, J62, J77)</f>
        <v>0.44748963937947933</v>
      </c>
      <c r="K83" s="135">
        <f t="shared" ref="K83:Y83" si="12">IF(K$38 = 0, K62, K77)</f>
        <v>0.44748963937947933</v>
      </c>
      <c r="L83" s="135">
        <f t="shared" si="12"/>
        <v>0.43472975703603012</v>
      </c>
      <c r="M83" s="135">
        <f>IF(M$38 = 0, M62, M77)</f>
        <v>0.43472975703603012</v>
      </c>
      <c r="N83" s="135">
        <f t="shared" si="12"/>
        <v>0.51315854386695225</v>
      </c>
      <c r="O83" s="135">
        <f t="shared" si="12"/>
        <v>0.54364034444239739</v>
      </c>
      <c r="P83" s="135">
        <f t="shared" si="12"/>
        <v>0.65603085887430934</v>
      </c>
      <c r="Q83" s="135">
        <f t="shared" si="12"/>
        <v>0.52219367636607006</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243</v>
      </c>
      <c r="F85" s="23"/>
      <c r="G85" s="23" t="s">
        <v>167</v>
      </c>
      <c r="J85" s="135">
        <f>IF(J38 = 0, J63, J79)</f>
        <v>0.88463511246041027</v>
      </c>
      <c r="K85" s="135">
        <f t="shared" ref="K85:Y85" si="13">IF(K38 = 0, K63, K79)</f>
        <v>0.88463511246041027</v>
      </c>
      <c r="L85" s="135">
        <f t="shared" si="13"/>
        <v>0.73591008880235786</v>
      </c>
      <c r="M85" s="135">
        <f t="shared" si="13"/>
        <v>0.73591008880235786</v>
      </c>
      <c r="N85" s="135">
        <f t="shared" si="13"/>
        <v>0.74491934742064247</v>
      </c>
      <c r="O85" s="135">
        <f t="shared" si="13"/>
        <v>0.81994029683050651</v>
      </c>
      <c r="P85" s="135">
        <f t="shared" si="13"/>
        <v>0.75690448048376402</v>
      </c>
      <c r="Q85" s="135">
        <f t="shared" si="13"/>
        <v>0.9593677930964063</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control'!$H$36:$H$59,MATCH($A$1,'Version control'!$F$36:$F$59,0),1)&amp;"-G: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283</v>
      </c>
      <c r="J89" s="79">
        <f t="shared" ref="J89:Y89" si="14">IF(AND(J62 = 0, J63 = 0), 1, J63 / J62)</f>
        <v>1.9799485028943273</v>
      </c>
      <c r="K89" s="79">
        <f t="shared" si="14"/>
        <v>0</v>
      </c>
      <c r="L89" s="79">
        <f t="shared" si="14"/>
        <v>1.6948297466466118</v>
      </c>
      <c r="M89" s="79">
        <f t="shared" si="14"/>
        <v>0</v>
      </c>
      <c r="N89" s="79">
        <f t="shared" si="14"/>
        <v>1.4516358663878728</v>
      </c>
      <c r="O89" s="79">
        <f t="shared" si="14"/>
        <v>1.5082403379600264</v>
      </c>
      <c r="P89" s="79">
        <f t="shared" si="14"/>
        <v>1.1537635314633596</v>
      </c>
      <c r="Q89" s="79">
        <f t="shared" si="14"/>
        <v>1.8371876882397689</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283</v>
      </c>
      <c r="I91" s="309" t="s">
        <v>154</v>
      </c>
      <c r="J91" s="79">
        <f>IF(AND(J83 = 0, J85 = 0), 1, J85 / J83)</f>
        <v>1.9768840093976425</v>
      </c>
      <c r="K91" s="79">
        <f t="shared" ref="K91:Y91" si="15">IF(AND(K83 = 0, K85 = 0), 1, K85 / K83)</f>
        <v>1.9768840093976425</v>
      </c>
      <c r="L91" s="79">
        <f t="shared" si="15"/>
        <v>1.6927989788869366</v>
      </c>
      <c r="M91" s="79">
        <f t="shared" si="15"/>
        <v>1.6927989788869366</v>
      </c>
      <c r="N91" s="79">
        <f>IF(AND(N83 = 0, N85 = 0), 1, N85 / N83)</f>
        <v>1.4516358663878728</v>
      </c>
      <c r="O91" s="79">
        <f t="shared" si="15"/>
        <v>1.5082403379600262</v>
      </c>
      <c r="P91" s="79">
        <f t="shared" si="15"/>
        <v>1.1537635314633596</v>
      </c>
      <c r="Q91" s="79">
        <f t="shared" si="15"/>
        <v>1.8371876882397689</v>
      </c>
      <c r="R91" s="79">
        <f t="shared" si="15"/>
        <v>1</v>
      </c>
      <c r="S91" s="79">
        <f t="shared" si="15"/>
        <v>1</v>
      </c>
      <c r="T91" s="79">
        <f t="shared" si="15"/>
        <v>1</v>
      </c>
      <c r="U91" s="79">
        <f t="shared" si="15"/>
        <v>1</v>
      </c>
      <c r="V91" s="79">
        <f t="shared" si="15"/>
        <v>1</v>
      </c>
      <c r="W91" s="79">
        <f t="shared" si="15"/>
        <v>1</v>
      </c>
      <c r="X91" s="79">
        <f t="shared" si="15"/>
        <v>1</v>
      </c>
      <c r="Y91" s="79">
        <f t="shared" si="15"/>
        <v>1</v>
      </c>
      <c r="Z91" s="79"/>
      <c r="AA91" s="309"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283</v>
      </c>
      <c r="I93" t="s">
        <v>154</v>
      </c>
      <c r="J93" s="79">
        <f>IF(OR(J54 = 0, J85 = 0), 1, J91 / J54)</f>
        <v>1.5656951278368201</v>
      </c>
      <c r="K93" s="79">
        <f t="shared" ref="K93:Y93" si="16">IF(OR(K54 = 0, K85 = 0), 1, K91 / K54)</f>
        <v>1.5656951278368201</v>
      </c>
      <c r="L93" s="79">
        <f t="shared" si="16"/>
        <v>1.4515654788122858</v>
      </c>
      <c r="M93" s="79">
        <f t="shared" si="16"/>
        <v>1.4515654788122858</v>
      </c>
      <c r="N93" s="79">
        <f>IF(OR(N54 = 0, N85 = 0), 1, N91 / N54)</f>
        <v>1.4767803519265501</v>
      </c>
      <c r="O93" s="79">
        <f t="shared" si="16"/>
        <v>1.299793007286554</v>
      </c>
      <c r="P93" s="79">
        <f t="shared" si="16"/>
        <v>1.0812474352448067</v>
      </c>
      <c r="Q93" s="79">
        <f t="shared" si="16"/>
        <v>1.2050948972516478</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154</v>
      </c>
      <c r="AA97" t="s">
        <v>475</v>
      </c>
    </row>
    <row r="98" spans="3:27" x14ac:dyDescent="0.25">
      <c r="C98" s="24" t="s">
        <v>477</v>
      </c>
    </row>
    <row r="100" spans="3:27" x14ac:dyDescent="0.25">
      <c r="C100" s="26" t="str">
        <f ca="1">INDEX('Version control'!$H$36:$H$59,MATCH($A$1,'Version control'!$F$36:$F$59,0),1)&amp;"-H: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294</v>
      </c>
      <c r="G103" s="54" t="s">
        <v>167</v>
      </c>
      <c r="H103" s="97">
        <f>'Inputs by network level'!K40</f>
        <v>0.80138586782665089</v>
      </c>
    </row>
    <row r="104" spans="3:27" x14ac:dyDescent="0.25">
      <c r="F104" s="62" t="s">
        <v>295</v>
      </c>
      <c r="G104" s="23" t="s">
        <v>167</v>
      </c>
      <c r="H104" s="21">
        <f>'Inputs by network level'!K41</f>
        <v>0.19861413217334903</v>
      </c>
    </row>
    <row r="105" spans="3:27" x14ac:dyDescent="0.25">
      <c r="F105" s="70" t="s">
        <v>257</v>
      </c>
      <c r="G105" s="57" t="s">
        <v>167</v>
      </c>
      <c r="H105" s="131">
        <f>'Inputs by network level'!K42</f>
        <v>0</v>
      </c>
    </row>
    <row r="106" spans="3:27" x14ac:dyDescent="0.25">
      <c r="F106" s="68" t="s">
        <v>296</v>
      </c>
      <c r="G106" s="54" t="s">
        <v>167</v>
      </c>
      <c r="H106" s="97">
        <f>'Inputs by network level'!K43</f>
        <v>0.75258519802029278</v>
      </c>
    </row>
    <row r="107" spans="3:27" x14ac:dyDescent="0.25">
      <c r="F107" s="62" t="s">
        <v>305</v>
      </c>
      <c r="G107" s="23" t="s">
        <v>167</v>
      </c>
      <c r="H107" s="146">
        <f>SUM(H103:H104) - H106</f>
        <v>0.24741480197970711</v>
      </c>
    </row>
    <row r="108" spans="3:27" x14ac:dyDescent="0.25">
      <c r="F108" s="70" t="s">
        <v>257</v>
      </c>
      <c r="G108" s="57" t="s">
        <v>167</v>
      </c>
      <c r="H108" s="147">
        <f>H105</f>
        <v>0</v>
      </c>
    </row>
    <row r="109" spans="3:27" x14ac:dyDescent="0.25">
      <c r="F109" s="24"/>
      <c r="G109" s="23"/>
    </row>
    <row r="110" spans="3:27" x14ac:dyDescent="0.25">
      <c r="E110" s="27" t="s">
        <v>479</v>
      </c>
      <c r="G110" s="23"/>
    </row>
    <row r="111" spans="3:27" x14ac:dyDescent="0.25">
      <c r="F111" s="68" t="s">
        <v>464</v>
      </c>
      <c r="G111" s="54" t="s">
        <v>167</v>
      </c>
      <c r="H111" s="97">
        <f>'Inputs by network level'!L40</f>
        <v>0.53080630647635507</v>
      </c>
    </row>
    <row r="112" spans="3:27" x14ac:dyDescent="0.25">
      <c r="F112" s="62" t="s">
        <v>465</v>
      </c>
      <c r="G112" s="23" t="s">
        <v>167</v>
      </c>
      <c r="H112" s="21">
        <f>'Inputs by network level'!L41</f>
        <v>0.40381137907243758</v>
      </c>
    </row>
    <row r="113" spans="5:8" x14ac:dyDescent="0.25">
      <c r="F113" s="70" t="s">
        <v>257</v>
      </c>
      <c r="G113" s="57" t="s">
        <v>167</v>
      </c>
      <c r="H113" s="131">
        <f>'Inputs by network level'!L42</f>
        <v>6.5382314451207277E-2</v>
      </c>
    </row>
    <row r="114" spans="5:8" x14ac:dyDescent="0.25">
      <c r="F114" s="68" t="s">
        <v>296</v>
      </c>
      <c r="G114" s="54" t="s">
        <v>167</v>
      </c>
      <c r="H114" s="97">
        <f>'Inputs by network level'!L43</f>
        <v>0.50667755760103239</v>
      </c>
    </row>
    <row r="115" spans="5:8" x14ac:dyDescent="0.25">
      <c r="F115" s="62" t="s">
        <v>305</v>
      </c>
      <c r="G115" s="23" t="s">
        <v>167</v>
      </c>
      <c r="H115" s="146">
        <f>SUM(H111:H112) - H114</f>
        <v>0.42794012794776026</v>
      </c>
    </row>
    <row r="116" spans="5:8" x14ac:dyDescent="0.25">
      <c r="F116" s="70" t="s">
        <v>257</v>
      </c>
      <c r="G116" s="57" t="s">
        <v>167</v>
      </c>
      <c r="H116" s="147">
        <f>H113</f>
        <v>6.5382314451207277E-2</v>
      </c>
    </row>
    <row r="117" spans="5:8" x14ac:dyDescent="0.25">
      <c r="F117" s="24"/>
      <c r="G117" s="23"/>
    </row>
    <row r="118" spans="5:8" x14ac:dyDescent="0.25">
      <c r="E118" s="27" t="s">
        <v>480</v>
      </c>
      <c r="G118" s="23"/>
    </row>
    <row r="119" spans="5:8" x14ac:dyDescent="0.25">
      <c r="F119" s="68" t="s">
        <v>464</v>
      </c>
      <c r="G119" s="54" t="s">
        <v>167</v>
      </c>
      <c r="H119" s="97">
        <f>'Inputs by network level'!M40</f>
        <v>0.53080630647635507</v>
      </c>
    </row>
    <row r="120" spans="5:8" x14ac:dyDescent="0.25">
      <c r="F120" s="62" t="s">
        <v>465</v>
      </c>
      <c r="G120" s="23" t="s">
        <v>167</v>
      </c>
      <c r="H120" s="21">
        <f>'Inputs by network level'!M41</f>
        <v>0.40381137907243758</v>
      </c>
    </row>
    <row r="121" spans="5:8" x14ac:dyDescent="0.25">
      <c r="F121" s="70" t="s">
        <v>257</v>
      </c>
      <c r="G121" s="57" t="s">
        <v>167</v>
      </c>
      <c r="H121" s="131">
        <f>'Inputs by network level'!M42</f>
        <v>6.5382314451207277E-2</v>
      </c>
    </row>
    <row r="122" spans="5:8" x14ac:dyDescent="0.25">
      <c r="F122" s="68" t="s">
        <v>296</v>
      </c>
      <c r="G122" s="54" t="s">
        <v>167</v>
      </c>
      <c r="H122" s="97">
        <f>'Inputs by network level'!M43</f>
        <v>0.50667755760103239</v>
      </c>
    </row>
    <row r="123" spans="5:8" x14ac:dyDescent="0.25">
      <c r="F123" s="62" t="s">
        <v>305</v>
      </c>
      <c r="G123" s="23" t="s">
        <v>167</v>
      </c>
      <c r="H123" s="146">
        <f>SUM(H119:H120) - H122</f>
        <v>0.42794012794776026</v>
      </c>
    </row>
    <row r="124" spans="5:8" x14ac:dyDescent="0.25">
      <c r="F124" s="70" t="s">
        <v>257</v>
      </c>
      <c r="G124" s="57" t="s">
        <v>167</v>
      </c>
      <c r="H124" s="147">
        <f>H121</f>
        <v>6.5382314451207277E-2</v>
      </c>
    </row>
    <row r="125" spans="5:8" x14ac:dyDescent="0.25">
      <c r="F125" s="24"/>
      <c r="G125" s="23"/>
    </row>
    <row r="126" spans="5:8" x14ac:dyDescent="0.25">
      <c r="E126" s="27" t="s">
        <v>481</v>
      </c>
      <c r="G126" s="23"/>
    </row>
    <row r="127" spans="5:8" x14ac:dyDescent="0.25">
      <c r="F127" s="68" t="s">
        <v>464</v>
      </c>
      <c r="G127" s="54" t="s">
        <v>167</v>
      </c>
      <c r="H127" s="97">
        <f>'Inputs by network level'!N40</f>
        <v>0.56672841997802437</v>
      </c>
    </row>
    <row r="128" spans="5:8" x14ac:dyDescent="0.25">
      <c r="F128" s="62" t="s">
        <v>465</v>
      </c>
      <c r="G128" s="23" t="s">
        <v>167</v>
      </c>
      <c r="H128" s="21">
        <f>'Inputs by network level'!N41</f>
        <v>0.34095948258592967</v>
      </c>
    </row>
    <row r="129" spans="5:8" x14ac:dyDescent="0.25">
      <c r="F129" s="70" t="s">
        <v>257</v>
      </c>
      <c r="G129" s="57" t="s">
        <v>167</v>
      </c>
      <c r="H129" s="131">
        <f>'Inputs by network level'!N42</f>
        <v>9.2312097436045848E-2</v>
      </c>
    </row>
    <row r="130" spans="5:8" x14ac:dyDescent="0.25">
      <c r="F130" s="68" t="s">
        <v>296</v>
      </c>
      <c r="G130" s="54" t="s">
        <v>167</v>
      </c>
      <c r="H130" s="97">
        <f>'Inputs by network level'!N43</f>
        <v>0.55070546890745764</v>
      </c>
    </row>
    <row r="131" spans="5:8" x14ac:dyDescent="0.25">
      <c r="F131" s="62" t="s">
        <v>305</v>
      </c>
      <c r="G131" s="23" t="s">
        <v>167</v>
      </c>
      <c r="H131" s="146">
        <f>SUM(H127:H128) - H130</f>
        <v>0.3569824336564964</v>
      </c>
    </row>
    <row r="132" spans="5:8" x14ac:dyDescent="0.25">
      <c r="F132" s="70" t="s">
        <v>257</v>
      </c>
      <c r="G132" s="57" t="s">
        <v>167</v>
      </c>
      <c r="H132" s="147">
        <f>H129</f>
        <v>9.2312097436045848E-2</v>
      </c>
    </row>
    <row r="133" spans="5:8" x14ac:dyDescent="0.25">
      <c r="F133" s="24"/>
      <c r="G133" s="23"/>
    </row>
    <row r="134" spans="5:8" x14ac:dyDescent="0.25">
      <c r="E134" s="27" t="s">
        <v>482</v>
      </c>
      <c r="G134" s="23"/>
    </row>
    <row r="135" spans="5:8" x14ac:dyDescent="0.25">
      <c r="F135" s="68" t="s">
        <v>464</v>
      </c>
      <c r="G135" s="54" t="s">
        <v>167</v>
      </c>
      <c r="H135" s="97">
        <f>'Inputs by network level'!O40</f>
        <v>0.56672841997802437</v>
      </c>
    </row>
    <row r="136" spans="5:8" x14ac:dyDescent="0.25">
      <c r="F136" s="62" t="s">
        <v>465</v>
      </c>
      <c r="G136" s="23" t="s">
        <v>167</v>
      </c>
      <c r="H136" s="21">
        <f>'Inputs by network level'!O41</f>
        <v>0.34095948258592967</v>
      </c>
    </row>
    <row r="137" spans="5:8" x14ac:dyDescent="0.25">
      <c r="F137" s="70" t="s">
        <v>257</v>
      </c>
      <c r="G137" s="57" t="s">
        <v>167</v>
      </c>
      <c r="H137" s="131">
        <f>'Inputs by network level'!O42</f>
        <v>9.2312097436045848E-2</v>
      </c>
    </row>
    <row r="138" spans="5:8" x14ac:dyDescent="0.25">
      <c r="F138" s="68" t="s">
        <v>296</v>
      </c>
      <c r="G138" s="54" t="s">
        <v>167</v>
      </c>
      <c r="H138" s="97">
        <f>'Inputs by network level'!O43</f>
        <v>0.55070546890745764</v>
      </c>
    </row>
    <row r="139" spans="5:8" x14ac:dyDescent="0.25">
      <c r="F139" s="62" t="s">
        <v>305</v>
      </c>
      <c r="G139" s="23" t="s">
        <v>167</v>
      </c>
      <c r="H139" s="146">
        <f>SUM(H135:H136) - H138</f>
        <v>0.3569824336564964</v>
      </c>
    </row>
    <row r="140" spans="5:8" x14ac:dyDescent="0.25">
      <c r="F140" s="70" t="s">
        <v>257</v>
      </c>
      <c r="G140" s="57" t="s">
        <v>167</v>
      </c>
      <c r="H140" s="147">
        <f>H137</f>
        <v>9.2312097436045848E-2</v>
      </c>
    </row>
    <row r="141" spans="5:8" x14ac:dyDescent="0.25">
      <c r="F141" s="24"/>
      <c r="G141" s="23"/>
    </row>
    <row r="142" spans="5:8" x14ac:dyDescent="0.25">
      <c r="E142" s="27" t="s">
        <v>483</v>
      </c>
      <c r="G142" s="23"/>
    </row>
    <row r="143" spans="5:8" x14ac:dyDescent="0.25">
      <c r="F143" s="68" t="s">
        <v>464</v>
      </c>
      <c r="G143" s="54" t="s">
        <v>167</v>
      </c>
      <c r="H143" s="97">
        <f>'Inputs by network level'!P40</f>
        <v>0.53080630647635507</v>
      </c>
    </row>
    <row r="144" spans="5:8" x14ac:dyDescent="0.25">
      <c r="F144" s="62" t="s">
        <v>465</v>
      </c>
      <c r="G144" s="23" t="s">
        <v>167</v>
      </c>
      <c r="H144" s="21">
        <f>'Inputs by network level'!P41</f>
        <v>0.40381137907243758</v>
      </c>
    </row>
    <row r="145" spans="5:8" x14ac:dyDescent="0.25">
      <c r="F145" s="70" t="s">
        <v>257</v>
      </c>
      <c r="G145" s="57" t="s">
        <v>167</v>
      </c>
      <c r="H145" s="131">
        <f>'Inputs by network level'!P42</f>
        <v>6.5382314451207277E-2</v>
      </c>
    </row>
    <row r="146" spans="5:8" x14ac:dyDescent="0.25">
      <c r="F146" s="68" t="s">
        <v>296</v>
      </c>
      <c r="G146" s="54" t="s">
        <v>167</v>
      </c>
      <c r="H146" s="97">
        <f>'Inputs by network level'!P43</f>
        <v>0.50667755760103239</v>
      </c>
    </row>
    <row r="147" spans="5:8" x14ac:dyDescent="0.25">
      <c r="F147" s="62" t="s">
        <v>305</v>
      </c>
      <c r="G147" s="23" t="s">
        <v>167</v>
      </c>
      <c r="H147" s="146">
        <f>SUM(H143:H144) - H146</f>
        <v>0.42794012794776026</v>
      </c>
    </row>
    <row r="148" spans="5:8" x14ac:dyDescent="0.25">
      <c r="F148" s="70" t="s">
        <v>257</v>
      </c>
      <c r="G148" s="57" t="s">
        <v>167</v>
      </c>
      <c r="H148" s="147">
        <f>H145</f>
        <v>6.5382314451207277E-2</v>
      </c>
    </row>
    <row r="149" spans="5:8" x14ac:dyDescent="0.25">
      <c r="F149" s="24"/>
      <c r="G149" s="23"/>
    </row>
    <row r="150" spans="5:8" x14ac:dyDescent="0.25">
      <c r="E150" s="27" t="s">
        <v>484</v>
      </c>
      <c r="G150" s="23"/>
    </row>
    <row r="151" spans="5:8" x14ac:dyDescent="0.25">
      <c r="F151" s="68" t="s">
        <v>464</v>
      </c>
      <c r="G151" s="54" t="s">
        <v>167</v>
      </c>
      <c r="H151" s="97">
        <f>'Inputs by network level'!Q40</f>
        <v>0.56672841997802437</v>
      </c>
    </row>
    <row r="152" spans="5:8" x14ac:dyDescent="0.25">
      <c r="F152" s="62" t="s">
        <v>465</v>
      </c>
      <c r="G152" s="23" t="s">
        <v>167</v>
      </c>
      <c r="H152" s="21">
        <f>'Inputs by network level'!Q41</f>
        <v>0.34095948258592967</v>
      </c>
    </row>
    <row r="153" spans="5:8" x14ac:dyDescent="0.25">
      <c r="F153" s="70" t="s">
        <v>257</v>
      </c>
      <c r="G153" s="57" t="s">
        <v>167</v>
      </c>
      <c r="H153" s="131">
        <f>'Inputs by network level'!Q42</f>
        <v>9.2312097436045848E-2</v>
      </c>
    </row>
    <row r="154" spans="5:8" x14ac:dyDescent="0.25">
      <c r="F154" s="68" t="s">
        <v>296</v>
      </c>
      <c r="G154" s="54" t="s">
        <v>167</v>
      </c>
      <c r="H154" s="97">
        <f>'Inputs by network level'!Q43</f>
        <v>0.55070546890745764</v>
      </c>
    </row>
    <row r="155" spans="5:8" x14ac:dyDescent="0.25">
      <c r="F155" s="62" t="s">
        <v>305</v>
      </c>
      <c r="G155" s="23" t="s">
        <v>167</v>
      </c>
      <c r="H155" s="146">
        <f>SUM(H151:H152) - H154</f>
        <v>0.3569824336564964</v>
      </c>
    </row>
    <row r="156" spans="5:8" x14ac:dyDescent="0.25">
      <c r="F156" s="70" t="s">
        <v>257</v>
      </c>
      <c r="G156" s="57" t="s">
        <v>167</v>
      </c>
      <c r="H156" s="147">
        <f>H153</f>
        <v>9.2312097436045848E-2</v>
      </c>
    </row>
    <row r="157" spans="5:8" x14ac:dyDescent="0.25">
      <c r="F157" s="24"/>
      <c r="G157" s="23"/>
    </row>
    <row r="158" spans="5:8" x14ac:dyDescent="0.25">
      <c r="E158" s="27" t="s">
        <v>485</v>
      </c>
      <c r="G158" s="23"/>
    </row>
    <row r="159" spans="5:8" x14ac:dyDescent="0.25">
      <c r="F159" s="68" t="s">
        <v>464</v>
      </c>
      <c r="G159" s="54" t="s">
        <v>167</v>
      </c>
      <c r="H159" s="97">
        <f>'Inputs by network level'!R40</f>
        <v>0.56672841997802437</v>
      </c>
    </row>
    <row r="160" spans="5:8" x14ac:dyDescent="0.25">
      <c r="F160" s="62" t="s">
        <v>465</v>
      </c>
      <c r="G160" s="23" t="s">
        <v>167</v>
      </c>
      <c r="H160" s="21">
        <f>'Inputs by network level'!R41</f>
        <v>0.34095948258592967</v>
      </c>
    </row>
    <row r="161" spans="3:27" x14ac:dyDescent="0.25">
      <c r="F161" s="70" t="s">
        <v>257</v>
      </c>
      <c r="G161" s="57" t="s">
        <v>167</v>
      </c>
      <c r="H161" s="131">
        <f>'Inputs by network level'!R42</f>
        <v>9.2312097436045848E-2</v>
      </c>
    </row>
    <row r="162" spans="3:27" x14ac:dyDescent="0.25">
      <c r="F162" s="68" t="s">
        <v>296</v>
      </c>
      <c r="G162" s="54" t="s">
        <v>167</v>
      </c>
      <c r="H162" s="97">
        <f>'Inputs by network level'!R43</f>
        <v>0.55070546890745764</v>
      </c>
    </row>
    <row r="163" spans="3:27" x14ac:dyDescent="0.25">
      <c r="F163" s="62" t="s">
        <v>305</v>
      </c>
      <c r="G163" s="23" t="s">
        <v>167</v>
      </c>
      <c r="H163" s="146">
        <f>SUM(H159:H160) - H162</f>
        <v>0.3569824336564964</v>
      </c>
    </row>
    <row r="164" spans="3:27" x14ac:dyDescent="0.25">
      <c r="F164" s="70" t="s">
        <v>257</v>
      </c>
      <c r="G164" s="57" t="s">
        <v>167</v>
      </c>
      <c r="H164" s="147">
        <f>H161</f>
        <v>9.2312097436045848E-2</v>
      </c>
    </row>
    <row r="165" spans="3:27" x14ac:dyDescent="0.25">
      <c r="F165" s="24"/>
      <c r="G165" s="23"/>
    </row>
    <row r="166" spans="3:27" x14ac:dyDescent="0.25">
      <c r="E166" s="27" t="s">
        <v>486</v>
      </c>
      <c r="G166" s="23"/>
    </row>
    <row r="167" spans="3:27" x14ac:dyDescent="0.25">
      <c r="F167" s="68" t="s">
        <v>464</v>
      </c>
      <c r="G167" s="54" t="s">
        <v>167</v>
      </c>
      <c r="H167" s="97">
        <f>'Inputs by network level'!S40</f>
        <v>0.56672841997802437</v>
      </c>
    </row>
    <row r="168" spans="3:27" x14ac:dyDescent="0.25">
      <c r="F168" s="62" t="s">
        <v>465</v>
      </c>
      <c r="G168" s="23" t="s">
        <v>167</v>
      </c>
      <c r="H168" s="21">
        <f>'Inputs by network level'!S41</f>
        <v>0.34095948258592967</v>
      </c>
    </row>
    <row r="169" spans="3:27" x14ac:dyDescent="0.25">
      <c r="F169" s="70" t="s">
        <v>257</v>
      </c>
      <c r="G169" s="57" t="s">
        <v>167</v>
      </c>
      <c r="H169" s="131">
        <f>'Inputs by network level'!S42</f>
        <v>9.2312097436045848E-2</v>
      </c>
    </row>
    <row r="170" spans="3:27" x14ac:dyDescent="0.25">
      <c r="F170" s="68" t="s">
        <v>296</v>
      </c>
      <c r="G170" s="54" t="s">
        <v>167</v>
      </c>
      <c r="H170" s="97">
        <f>'Inputs by network level'!S43</f>
        <v>0.55070546890745764</v>
      </c>
    </row>
    <row r="171" spans="3:27" x14ac:dyDescent="0.25">
      <c r="F171" s="62" t="s">
        <v>305</v>
      </c>
      <c r="G171" s="23" t="s">
        <v>167</v>
      </c>
      <c r="H171" s="146">
        <f>SUM(H167:H168) - H170</f>
        <v>0.3569824336564964</v>
      </c>
    </row>
    <row r="172" spans="3:27" x14ac:dyDescent="0.25">
      <c r="F172" s="70" t="s">
        <v>257</v>
      </c>
      <c r="G172" s="57" t="s">
        <v>167</v>
      </c>
      <c r="H172" s="147">
        <f>H169</f>
        <v>9.2312097436045848E-2</v>
      </c>
    </row>
    <row r="173" spans="3:27" x14ac:dyDescent="0.25">
      <c r="E173" s="24"/>
      <c r="F173" s="23"/>
      <c r="G173" s="23"/>
    </row>
    <row r="174" spans="3:27" x14ac:dyDescent="0.25">
      <c r="C174" s="26" t="str">
        <f ca="1">INDEX('Version control'!$H$36:$H$59,MATCH($A$1,'Version control'!$F$36:$F$59,0),1)&amp;"-I: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167</v>
      </c>
      <c r="H177" s="97"/>
      <c r="I177" s="19"/>
      <c r="J177" s="144">
        <f t="shared" ref="J177:K177" si="17">IF(J$20, $H106, $H103)</f>
        <v>0.80138586782665089</v>
      </c>
      <c r="K177" s="144">
        <f t="shared" si="17"/>
        <v>0.80138586782665089</v>
      </c>
      <c r="L177" s="144">
        <f t="shared" ref="L177:M177" si="18">IF(L$20, $H106, $H103)</f>
        <v>0.80138586782665089</v>
      </c>
      <c r="M177" s="144">
        <f t="shared" si="18"/>
        <v>0.80138586782665089</v>
      </c>
      <c r="N177" s="144">
        <f t="shared" ref="N177:P177" si="19">IF(N$20, $H106, $H103)</f>
        <v>0.80138586782665089</v>
      </c>
      <c r="O177" s="144">
        <f t="shared" si="19"/>
        <v>0.80138586782665089</v>
      </c>
      <c r="P177" s="144">
        <f t="shared" si="19"/>
        <v>0.80138586782665089</v>
      </c>
      <c r="Q177" s="144">
        <f t="shared" ref="Q177:S177" si="20">IF(Q$20, $H106, $H103)</f>
        <v>0.75258519802029278</v>
      </c>
      <c r="R177" s="144">
        <f t="shared" si="20"/>
        <v>0.80138586782665089</v>
      </c>
      <c r="S177" s="144">
        <f t="shared" si="20"/>
        <v>0.80138586782665089</v>
      </c>
      <c r="T177" s="144">
        <f t="shared" ref="T177:U177" si="21">IF(T$20, $H106, $H103)</f>
        <v>0.80138586782665089</v>
      </c>
      <c r="U177" s="144">
        <f t="shared" si="21"/>
        <v>0.80138586782665089</v>
      </c>
      <c r="V177" s="144">
        <f t="shared" ref="V177:W177" si="22">IF(V$20, $H106, $H103)</f>
        <v>0.80138586782665089</v>
      </c>
      <c r="W177" s="144">
        <f t="shared" si="22"/>
        <v>0.80138586782665089</v>
      </c>
      <c r="X177" s="144">
        <f t="shared" ref="X177:Y177" si="23">IF(X$20, $H106, $H103)</f>
        <v>0.80138586782665089</v>
      </c>
      <c r="Y177" s="144">
        <f t="shared" si="23"/>
        <v>0.80138586782665089</v>
      </c>
    </row>
    <row r="178" spans="5:25" x14ac:dyDescent="0.25">
      <c r="E178" s="24"/>
      <c r="F178" s="62" t="s">
        <v>465</v>
      </c>
      <c r="G178" s="23" t="s">
        <v>167</v>
      </c>
      <c r="H178" s="21"/>
      <c r="J178" s="135">
        <f t="shared" ref="J178:K178" si="24">IF(J$20, $H107, $H104)</f>
        <v>0.19861413217334903</v>
      </c>
      <c r="K178" s="135">
        <f t="shared" si="24"/>
        <v>0.19861413217334903</v>
      </c>
      <c r="L178" s="135">
        <f t="shared" ref="L178:M178" si="25">IF(L$20, $H107, $H104)</f>
        <v>0.19861413217334903</v>
      </c>
      <c r="M178" s="135">
        <f t="shared" si="25"/>
        <v>0.19861413217334903</v>
      </c>
      <c r="N178" s="135">
        <f t="shared" ref="N178:P178" si="26">IF(N$20, $H107, $H104)</f>
        <v>0.19861413217334903</v>
      </c>
      <c r="O178" s="135">
        <f t="shared" si="26"/>
        <v>0.19861413217334903</v>
      </c>
      <c r="P178" s="135">
        <f t="shared" si="26"/>
        <v>0.19861413217334903</v>
      </c>
      <c r="Q178" s="135">
        <f t="shared" ref="Q178:S178" si="27">IF(Q$20, $H107, $H104)</f>
        <v>0.24741480197970711</v>
      </c>
      <c r="R178" s="135">
        <f t="shared" si="27"/>
        <v>0.19861413217334903</v>
      </c>
      <c r="S178" s="135">
        <f t="shared" si="27"/>
        <v>0.19861413217334903</v>
      </c>
      <c r="T178" s="135">
        <f t="shared" ref="T178:U178" si="28">IF(T$20, $H107, $H104)</f>
        <v>0.19861413217334903</v>
      </c>
      <c r="U178" s="135">
        <f t="shared" si="28"/>
        <v>0.19861413217334903</v>
      </c>
      <c r="V178" s="135">
        <f t="shared" ref="V178:W178" si="29">IF(V$20, $H107, $H104)</f>
        <v>0.19861413217334903</v>
      </c>
      <c r="W178" s="135">
        <f t="shared" si="29"/>
        <v>0.19861413217334903</v>
      </c>
      <c r="X178" s="135">
        <f t="shared" ref="X178:Y178" si="30">IF(X$20, $H107, $H104)</f>
        <v>0.19861413217334903</v>
      </c>
      <c r="Y178" s="135">
        <f t="shared" si="30"/>
        <v>0.19861413217334903</v>
      </c>
    </row>
    <row r="179" spans="5:25" x14ac:dyDescent="0.25">
      <c r="E179" s="24"/>
      <c r="F179" s="70" t="s">
        <v>257</v>
      </c>
      <c r="G179" s="57" t="s">
        <v>167</v>
      </c>
      <c r="H179" s="131"/>
      <c r="I179" s="28"/>
      <c r="J179" s="145">
        <f t="shared" ref="J179:K179" si="31">IF(J$20, $H108, $H105)</f>
        <v>0</v>
      </c>
      <c r="K179" s="145">
        <f t="shared" si="31"/>
        <v>0</v>
      </c>
      <c r="L179" s="145">
        <f t="shared" ref="L179:M179" si="32">IF(L$20, $H108, $H105)</f>
        <v>0</v>
      </c>
      <c r="M179" s="145">
        <f t="shared" si="32"/>
        <v>0</v>
      </c>
      <c r="N179" s="145">
        <f t="shared" ref="N179:P179" si="33">IF(N$20, $H108, $H105)</f>
        <v>0</v>
      </c>
      <c r="O179" s="145">
        <f t="shared" si="33"/>
        <v>0</v>
      </c>
      <c r="P179" s="145">
        <f t="shared" si="33"/>
        <v>0</v>
      </c>
      <c r="Q179" s="145">
        <f t="shared" ref="Q179:S179" si="34">IF(Q$20, $H108, $H105)</f>
        <v>0</v>
      </c>
      <c r="R179" s="145">
        <f t="shared" si="34"/>
        <v>0</v>
      </c>
      <c r="S179" s="145">
        <f t="shared" si="34"/>
        <v>0</v>
      </c>
      <c r="T179" s="145">
        <f t="shared" ref="T179:U179" si="35">IF(T$20, $H108, $H105)</f>
        <v>0</v>
      </c>
      <c r="U179" s="145">
        <f t="shared" si="35"/>
        <v>0</v>
      </c>
      <c r="V179" s="145">
        <f t="shared" ref="V179:W179" si="36">IF(V$20, $H108, $H105)</f>
        <v>0</v>
      </c>
      <c r="W179" s="145">
        <f t="shared" si="36"/>
        <v>0</v>
      </c>
      <c r="X179" s="145">
        <f t="shared" ref="X179:Y179" si="37">IF(X$20, $H108, $H105)</f>
        <v>0</v>
      </c>
      <c r="Y179" s="145">
        <f t="shared" si="37"/>
        <v>0</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167</v>
      </c>
      <c r="H182" s="97"/>
      <c r="I182" s="19"/>
      <c r="J182" s="144">
        <f t="shared" ref="J182:K182" si="38">IF(J$20, $H114, $H111)</f>
        <v>0.53080630647635507</v>
      </c>
      <c r="K182" s="144">
        <f t="shared" si="38"/>
        <v>0.53080630647635507</v>
      </c>
      <c r="L182" s="144">
        <f t="shared" ref="L182:M182" si="39">IF(L$20, $H114, $H111)</f>
        <v>0.53080630647635507</v>
      </c>
      <c r="M182" s="144">
        <f t="shared" si="39"/>
        <v>0.53080630647635507</v>
      </c>
      <c r="N182" s="144">
        <f t="shared" ref="N182:P182" si="40">IF(N$20, $H114, $H111)</f>
        <v>0.53080630647635507</v>
      </c>
      <c r="O182" s="144">
        <f t="shared" si="40"/>
        <v>0.53080630647635507</v>
      </c>
      <c r="P182" s="144">
        <f t="shared" si="40"/>
        <v>0.53080630647635507</v>
      </c>
      <c r="Q182" s="144">
        <f t="shared" ref="Q182:S182" si="41">IF(Q$20, $H114, $H111)</f>
        <v>0.50667755760103239</v>
      </c>
      <c r="R182" s="144">
        <f t="shared" si="41"/>
        <v>0.53080630647635507</v>
      </c>
      <c r="S182" s="144">
        <f t="shared" si="41"/>
        <v>0.53080630647635507</v>
      </c>
      <c r="T182" s="144">
        <f t="shared" ref="T182:U182" si="42">IF(T$20, $H114, $H111)</f>
        <v>0.53080630647635507</v>
      </c>
      <c r="U182" s="144">
        <f t="shared" si="42"/>
        <v>0.53080630647635507</v>
      </c>
      <c r="V182" s="144">
        <f t="shared" ref="V182:W182" si="43">IF(V$20, $H114, $H111)</f>
        <v>0.53080630647635507</v>
      </c>
      <c r="W182" s="144">
        <f t="shared" si="43"/>
        <v>0.53080630647635507</v>
      </c>
      <c r="X182" s="144">
        <f t="shared" ref="X182:Y182" si="44">IF(X$20, $H114, $H111)</f>
        <v>0.53080630647635507</v>
      </c>
      <c r="Y182" s="144">
        <f t="shared" si="44"/>
        <v>0.53080630647635507</v>
      </c>
    </row>
    <row r="183" spans="5:25" x14ac:dyDescent="0.25">
      <c r="E183" s="24"/>
      <c r="F183" s="62" t="s">
        <v>465</v>
      </c>
      <c r="G183" s="23" t="s">
        <v>167</v>
      </c>
      <c r="H183" s="21"/>
      <c r="J183" s="135">
        <f t="shared" ref="J183:K183" si="45">IF(J$20, $H115, $H112)</f>
        <v>0.40381137907243758</v>
      </c>
      <c r="K183" s="135">
        <f t="shared" si="45"/>
        <v>0.40381137907243758</v>
      </c>
      <c r="L183" s="135">
        <f t="shared" ref="L183:M183" si="46">IF(L$20, $H115, $H112)</f>
        <v>0.40381137907243758</v>
      </c>
      <c r="M183" s="135">
        <f t="shared" si="46"/>
        <v>0.40381137907243758</v>
      </c>
      <c r="N183" s="135">
        <f t="shared" ref="N183:P183" si="47">IF(N$20, $H115, $H112)</f>
        <v>0.40381137907243758</v>
      </c>
      <c r="O183" s="135">
        <f t="shared" si="47"/>
        <v>0.40381137907243758</v>
      </c>
      <c r="P183" s="135">
        <f t="shared" si="47"/>
        <v>0.40381137907243758</v>
      </c>
      <c r="Q183" s="135">
        <f t="shared" ref="Q183:S183" si="48">IF(Q$20, $H115, $H112)</f>
        <v>0.42794012794776026</v>
      </c>
      <c r="R183" s="135">
        <f t="shared" si="48"/>
        <v>0.40381137907243758</v>
      </c>
      <c r="S183" s="135">
        <f t="shared" si="48"/>
        <v>0.40381137907243758</v>
      </c>
      <c r="T183" s="135">
        <f t="shared" ref="T183:U183" si="49">IF(T$20, $H115, $H112)</f>
        <v>0.40381137907243758</v>
      </c>
      <c r="U183" s="135">
        <f t="shared" si="49"/>
        <v>0.40381137907243758</v>
      </c>
      <c r="V183" s="135">
        <f t="shared" ref="V183:W183" si="50">IF(V$20, $H115, $H112)</f>
        <v>0.40381137907243758</v>
      </c>
      <c r="W183" s="135">
        <f t="shared" si="50"/>
        <v>0.40381137907243758</v>
      </c>
      <c r="X183" s="135">
        <f t="shared" ref="X183:Y183" si="51">IF(X$20, $H115, $H112)</f>
        <v>0.40381137907243758</v>
      </c>
      <c r="Y183" s="135">
        <f t="shared" si="51"/>
        <v>0.40381137907243758</v>
      </c>
    </row>
    <row r="184" spans="5:25" x14ac:dyDescent="0.25">
      <c r="E184" s="24"/>
      <c r="F184" s="70" t="s">
        <v>257</v>
      </c>
      <c r="G184" s="57" t="s">
        <v>167</v>
      </c>
      <c r="H184" s="131"/>
      <c r="I184" s="28"/>
      <c r="J184" s="145">
        <f t="shared" ref="J184:K184" si="52">IF(J$20, $H116, $H113)</f>
        <v>6.5382314451207277E-2</v>
      </c>
      <c r="K184" s="145">
        <f t="shared" si="52"/>
        <v>6.5382314451207277E-2</v>
      </c>
      <c r="L184" s="145">
        <f t="shared" ref="L184:M184" si="53">IF(L$20, $H116, $H113)</f>
        <v>6.5382314451207277E-2</v>
      </c>
      <c r="M184" s="145">
        <f t="shared" si="53"/>
        <v>6.5382314451207277E-2</v>
      </c>
      <c r="N184" s="145">
        <f t="shared" ref="N184:P184" si="54">IF(N$20, $H116, $H113)</f>
        <v>6.5382314451207277E-2</v>
      </c>
      <c r="O184" s="145">
        <f t="shared" si="54"/>
        <v>6.5382314451207277E-2</v>
      </c>
      <c r="P184" s="145">
        <f t="shared" si="54"/>
        <v>6.5382314451207277E-2</v>
      </c>
      <c r="Q184" s="145">
        <f t="shared" ref="Q184:S184" si="55">IF(Q$20, $H116, $H113)</f>
        <v>6.5382314451207277E-2</v>
      </c>
      <c r="R184" s="145">
        <f t="shared" si="55"/>
        <v>6.5382314451207277E-2</v>
      </c>
      <c r="S184" s="145">
        <f t="shared" si="55"/>
        <v>6.5382314451207277E-2</v>
      </c>
      <c r="T184" s="145">
        <f t="shared" ref="T184:U184" si="56">IF(T$20, $H116, $H113)</f>
        <v>6.5382314451207277E-2</v>
      </c>
      <c r="U184" s="145">
        <f t="shared" si="56"/>
        <v>6.5382314451207277E-2</v>
      </c>
      <c r="V184" s="145">
        <f t="shared" ref="V184:W184" si="57">IF(V$20, $H116, $H113)</f>
        <v>6.5382314451207277E-2</v>
      </c>
      <c r="W184" s="145">
        <f t="shared" si="57"/>
        <v>6.5382314451207277E-2</v>
      </c>
      <c r="X184" s="145">
        <f t="shared" ref="X184:Y184" si="58">IF(X$20, $H116, $H113)</f>
        <v>6.5382314451207277E-2</v>
      </c>
      <c r="Y184" s="145">
        <f t="shared" si="58"/>
        <v>6.5382314451207277E-2</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167</v>
      </c>
      <c r="H187" s="97"/>
      <c r="I187" s="19"/>
      <c r="J187" s="144">
        <f t="shared" ref="J187:K187" si="59">IF(J$20, $H122, $H119)</f>
        <v>0.53080630647635507</v>
      </c>
      <c r="K187" s="144">
        <f t="shared" si="59"/>
        <v>0.53080630647635507</v>
      </c>
      <c r="L187" s="144">
        <f t="shared" ref="L187:M187" si="60">IF(L$20, $H122, $H119)</f>
        <v>0.53080630647635507</v>
      </c>
      <c r="M187" s="144">
        <f t="shared" si="60"/>
        <v>0.53080630647635507</v>
      </c>
      <c r="N187" s="144">
        <f t="shared" ref="N187:P187" si="61">IF(N$20, $H122, $H119)</f>
        <v>0.53080630647635507</v>
      </c>
      <c r="O187" s="144">
        <f t="shared" si="61"/>
        <v>0.53080630647635507</v>
      </c>
      <c r="P187" s="144">
        <f t="shared" si="61"/>
        <v>0.53080630647635507</v>
      </c>
      <c r="Q187" s="144">
        <f t="shared" ref="Q187:S187" si="62">IF(Q$20, $H122, $H119)</f>
        <v>0.50667755760103239</v>
      </c>
      <c r="R187" s="144">
        <f t="shared" si="62"/>
        <v>0.53080630647635507</v>
      </c>
      <c r="S187" s="144">
        <f t="shared" si="62"/>
        <v>0.53080630647635507</v>
      </c>
      <c r="T187" s="144">
        <f t="shared" ref="T187:U187" si="63">IF(T$20, $H122, $H119)</f>
        <v>0.53080630647635507</v>
      </c>
      <c r="U187" s="144">
        <f t="shared" si="63"/>
        <v>0.53080630647635507</v>
      </c>
      <c r="V187" s="144">
        <f t="shared" ref="V187:W187" si="64">IF(V$20, $H122, $H119)</f>
        <v>0.53080630647635507</v>
      </c>
      <c r="W187" s="144">
        <f t="shared" si="64"/>
        <v>0.53080630647635507</v>
      </c>
      <c r="X187" s="144">
        <f t="shared" ref="X187:Y187" si="65">IF(X$20, $H122, $H119)</f>
        <v>0.53080630647635507</v>
      </c>
      <c r="Y187" s="144">
        <f t="shared" si="65"/>
        <v>0.53080630647635507</v>
      </c>
    </row>
    <row r="188" spans="5:25" x14ac:dyDescent="0.25">
      <c r="E188" s="24"/>
      <c r="F188" s="62" t="s">
        <v>465</v>
      </c>
      <c r="G188" s="23" t="s">
        <v>167</v>
      </c>
      <c r="H188" s="21"/>
      <c r="J188" s="135">
        <f t="shared" ref="J188:K188" si="66">IF(J$20, $H123, $H120)</f>
        <v>0.40381137907243758</v>
      </c>
      <c r="K188" s="135">
        <f t="shared" si="66"/>
        <v>0.40381137907243758</v>
      </c>
      <c r="L188" s="135">
        <f t="shared" ref="L188:M188" si="67">IF(L$20, $H123, $H120)</f>
        <v>0.40381137907243758</v>
      </c>
      <c r="M188" s="135">
        <f t="shared" si="67"/>
        <v>0.40381137907243758</v>
      </c>
      <c r="N188" s="135">
        <f t="shared" ref="N188:P188" si="68">IF(N$20, $H123, $H120)</f>
        <v>0.40381137907243758</v>
      </c>
      <c r="O188" s="135">
        <f t="shared" si="68"/>
        <v>0.40381137907243758</v>
      </c>
      <c r="P188" s="135">
        <f t="shared" si="68"/>
        <v>0.40381137907243758</v>
      </c>
      <c r="Q188" s="135">
        <f t="shared" ref="Q188:S188" si="69">IF(Q$20, $H123, $H120)</f>
        <v>0.42794012794776026</v>
      </c>
      <c r="R188" s="135">
        <f t="shared" si="69"/>
        <v>0.40381137907243758</v>
      </c>
      <c r="S188" s="135">
        <f t="shared" si="69"/>
        <v>0.40381137907243758</v>
      </c>
      <c r="T188" s="135">
        <f t="shared" ref="T188:U188" si="70">IF(T$20, $H123, $H120)</f>
        <v>0.40381137907243758</v>
      </c>
      <c r="U188" s="135">
        <f t="shared" si="70"/>
        <v>0.40381137907243758</v>
      </c>
      <c r="V188" s="135">
        <f t="shared" ref="V188:W188" si="71">IF(V$20, $H123, $H120)</f>
        <v>0.40381137907243758</v>
      </c>
      <c r="W188" s="135">
        <f t="shared" si="71"/>
        <v>0.40381137907243758</v>
      </c>
      <c r="X188" s="135">
        <f t="shared" ref="X188:Y188" si="72">IF(X$20, $H123, $H120)</f>
        <v>0.40381137907243758</v>
      </c>
      <c r="Y188" s="135">
        <f t="shared" si="72"/>
        <v>0.40381137907243758</v>
      </c>
    </row>
    <row r="189" spans="5:25" x14ac:dyDescent="0.25">
      <c r="E189" s="24"/>
      <c r="F189" s="70" t="s">
        <v>257</v>
      </c>
      <c r="G189" s="57" t="s">
        <v>167</v>
      </c>
      <c r="H189" s="131"/>
      <c r="I189" s="28"/>
      <c r="J189" s="145">
        <f t="shared" ref="J189:K189" si="73">IF(J$20, $H124, $H121)</f>
        <v>6.5382314451207277E-2</v>
      </c>
      <c r="K189" s="145">
        <f t="shared" si="73"/>
        <v>6.5382314451207277E-2</v>
      </c>
      <c r="L189" s="145">
        <f t="shared" ref="L189:M189" si="74">IF(L$20, $H124, $H121)</f>
        <v>6.5382314451207277E-2</v>
      </c>
      <c r="M189" s="145">
        <f t="shared" si="74"/>
        <v>6.5382314451207277E-2</v>
      </c>
      <c r="N189" s="145">
        <f t="shared" ref="N189:P189" si="75">IF(N$20, $H124, $H121)</f>
        <v>6.5382314451207277E-2</v>
      </c>
      <c r="O189" s="145">
        <f t="shared" si="75"/>
        <v>6.5382314451207277E-2</v>
      </c>
      <c r="P189" s="145">
        <f t="shared" si="75"/>
        <v>6.5382314451207277E-2</v>
      </c>
      <c r="Q189" s="145">
        <f t="shared" ref="Q189:S189" si="76">IF(Q$20, $H124, $H121)</f>
        <v>6.5382314451207277E-2</v>
      </c>
      <c r="R189" s="145">
        <f t="shared" si="76"/>
        <v>6.5382314451207277E-2</v>
      </c>
      <c r="S189" s="145">
        <f t="shared" si="76"/>
        <v>6.5382314451207277E-2</v>
      </c>
      <c r="T189" s="145">
        <f t="shared" ref="T189:U189" si="77">IF(T$20, $H124, $H121)</f>
        <v>6.5382314451207277E-2</v>
      </c>
      <c r="U189" s="145">
        <f t="shared" si="77"/>
        <v>6.5382314451207277E-2</v>
      </c>
      <c r="V189" s="145">
        <f t="shared" ref="V189:W189" si="78">IF(V$20, $H124, $H121)</f>
        <v>6.5382314451207277E-2</v>
      </c>
      <c r="W189" s="145">
        <f t="shared" si="78"/>
        <v>6.5382314451207277E-2</v>
      </c>
      <c r="X189" s="145">
        <f t="shared" ref="X189:Y189" si="79">IF(X$20, $H124, $H121)</f>
        <v>6.5382314451207277E-2</v>
      </c>
      <c r="Y189" s="145">
        <f t="shared" si="79"/>
        <v>6.5382314451207277E-2</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167</v>
      </c>
      <c r="H192" s="97"/>
      <c r="I192" s="19"/>
      <c r="J192" s="144">
        <f t="shared" ref="J192:K192" si="80">IF(J$20, $H130, $H127)</f>
        <v>0.56672841997802437</v>
      </c>
      <c r="K192" s="144">
        <f t="shared" si="80"/>
        <v>0.56672841997802437</v>
      </c>
      <c r="L192" s="144">
        <f t="shared" ref="L192:M192" si="81">IF(L$20, $H130, $H127)</f>
        <v>0.56672841997802437</v>
      </c>
      <c r="M192" s="144">
        <f t="shared" si="81"/>
        <v>0.56672841997802437</v>
      </c>
      <c r="N192" s="144">
        <f t="shared" ref="N192:P192" si="82">IF(N$20, $H130, $H127)</f>
        <v>0.56672841997802437</v>
      </c>
      <c r="O192" s="144">
        <f t="shared" si="82"/>
        <v>0.56672841997802437</v>
      </c>
      <c r="P192" s="144">
        <f t="shared" si="82"/>
        <v>0.56672841997802437</v>
      </c>
      <c r="Q192" s="144">
        <f t="shared" ref="Q192:S192" si="83">IF(Q$20, $H130, $H127)</f>
        <v>0.55070546890745764</v>
      </c>
      <c r="R192" s="144">
        <f t="shared" si="83"/>
        <v>0.56672841997802437</v>
      </c>
      <c r="S192" s="144">
        <f t="shared" si="83"/>
        <v>0.56672841997802437</v>
      </c>
      <c r="T192" s="144">
        <f t="shared" ref="T192:U192" si="84">IF(T$20, $H130, $H127)</f>
        <v>0.56672841997802437</v>
      </c>
      <c r="U192" s="144">
        <f t="shared" si="84"/>
        <v>0.56672841997802437</v>
      </c>
      <c r="V192" s="144">
        <f t="shared" ref="V192:W192" si="85">IF(V$20, $H130, $H127)</f>
        <v>0.56672841997802437</v>
      </c>
      <c r="W192" s="144">
        <f t="shared" si="85"/>
        <v>0.56672841997802437</v>
      </c>
      <c r="X192" s="144">
        <f t="shared" ref="X192:Y192" si="86">IF(X$20, $H130, $H127)</f>
        <v>0.56672841997802437</v>
      </c>
      <c r="Y192" s="144">
        <f t="shared" si="86"/>
        <v>0.56672841997802437</v>
      </c>
    </row>
    <row r="193" spans="5:25" x14ac:dyDescent="0.25">
      <c r="E193" s="24"/>
      <c r="F193" s="62" t="s">
        <v>465</v>
      </c>
      <c r="G193" s="23" t="s">
        <v>167</v>
      </c>
      <c r="H193" s="21"/>
      <c r="J193" s="135">
        <f t="shared" ref="J193:K193" si="87">IF(J$20, $H131, $H128)</f>
        <v>0.34095948258592967</v>
      </c>
      <c r="K193" s="135">
        <f t="shared" si="87"/>
        <v>0.34095948258592967</v>
      </c>
      <c r="L193" s="135">
        <f t="shared" ref="L193:M193" si="88">IF(L$20, $H131, $H128)</f>
        <v>0.34095948258592967</v>
      </c>
      <c r="M193" s="135">
        <f t="shared" si="88"/>
        <v>0.34095948258592967</v>
      </c>
      <c r="N193" s="135">
        <f t="shared" ref="N193:P193" si="89">IF(N$20, $H131, $H128)</f>
        <v>0.34095948258592967</v>
      </c>
      <c r="O193" s="135">
        <f t="shared" si="89"/>
        <v>0.34095948258592967</v>
      </c>
      <c r="P193" s="135">
        <f t="shared" si="89"/>
        <v>0.34095948258592967</v>
      </c>
      <c r="Q193" s="135">
        <f t="shared" ref="Q193:S193" si="90">IF(Q$20, $H131, $H128)</f>
        <v>0.3569824336564964</v>
      </c>
      <c r="R193" s="135">
        <f t="shared" si="90"/>
        <v>0.34095948258592967</v>
      </c>
      <c r="S193" s="135">
        <f t="shared" si="90"/>
        <v>0.34095948258592967</v>
      </c>
      <c r="T193" s="135">
        <f t="shared" ref="T193:U193" si="91">IF(T$20, $H131, $H128)</f>
        <v>0.34095948258592967</v>
      </c>
      <c r="U193" s="135">
        <f t="shared" si="91"/>
        <v>0.34095948258592967</v>
      </c>
      <c r="V193" s="135">
        <f t="shared" ref="V193:W193" si="92">IF(V$20, $H131, $H128)</f>
        <v>0.34095948258592967</v>
      </c>
      <c r="W193" s="135">
        <f t="shared" si="92"/>
        <v>0.34095948258592967</v>
      </c>
      <c r="X193" s="135">
        <f t="shared" ref="X193:Y193" si="93">IF(X$20, $H131, $H128)</f>
        <v>0.34095948258592967</v>
      </c>
      <c r="Y193" s="135">
        <f t="shared" si="93"/>
        <v>0.34095948258592967</v>
      </c>
    </row>
    <row r="194" spans="5:25" x14ac:dyDescent="0.25">
      <c r="E194" s="24"/>
      <c r="F194" s="70" t="s">
        <v>257</v>
      </c>
      <c r="G194" s="57" t="s">
        <v>167</v>
      </c>
      <c r="H194" s="131"/>
      <c r="I194" s="28"/>
      <c r="J194" s="145">
        <f t="shared" ref="J194:K194" si="94">IF(J$20, $H132, $H129)</f>
        <v>9.2312097436045848E-2</v>
      </c>
      <c r="K194" s="145">
        <f t="shared" si="94"/>
        <v>9.2312097436045848E-2</v>
      </c>
      <c r="L194" s="145">
        <f t="shared" ref="L194:M194" si="95">IF(L$20, $H132, $H129)</f>
        <v>9.2312097436045848E-2</v>
      </c>
      <c r="M194" s="145">
        <f t="shared" si="95"/>
        <v>9.2312097436045848E-2</v>
      </c>
      <c r="N194" s="145">
        <f t="shared" ref="N194:P194" si="96">IF(N$20, $H132, $H129)</f>
        <v>9.2312097436045848E-2</v>
      </c>
      <c r="O194" s="145">
        <f t="shared" si="96"/>
        <v>9.2312097436045848E-2</v>
      </c>
      <c r="P194" s="145">
        <f t="shared" si="96"/>
        <v>9.2312097436045848E-2</v>
      </c>
      <c r="Q194" s="145">
        <f t="shared" ref="Q194:S194" si="97">IF(Q$20, $H132, $H129)</f>
        <v>9.2312097436045848E-2</v>
      </c>
      <c r="R194" s="145">
        <f t="shared" si="97"/>
        <v>9.2312097436045848E-2</v>
      </c>
      <c r="S194" s="145">
        <f t="shared" si="97"/>
        <v>9.2312097436045848E-2</v>
      </c>
      <c r="T194" s="145">
        <f t="shared" ref="T194:U194" si="98">IF(T$20, $H132, $H129)</f>
        <v>9.2312097436045848E-2</v>
      </c>
      <c r="U194" s="145">
        <f t="shared" si="98"/>
        <v>9.2312097436045848E-2</v>
      </c>
      <c r="V194" s="145">
        <f t="shared" ref="V194:W194" si="99">IF(V$20, $H132, $H129)</f>
        <v>9.2312097436045848E-2</v>
      </c>
      <c r="W194" s="145">
        <f t="shared" si="99"/>
        <v>9.2312097436045848E-2</v>
      </c>
      <c r="X194" s="145">
        <f t="shared" ref="X194:Y194" si="100">IF(X$20, $H132, $H129)</f>
        <v>9.2312097436045848E-2</v>
      </c>
      <c r="Y194" s="145">
        <f t="shared" si="100"/>
        <v>9.2312097436045848E-2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167</v>
      </c>
      <c r="H197" s="97"/>
      <c r="I197" s="19"/>
      <c r="J197" s="144">
        <f t="shared" ref="J197:K197" si="101">IF(J$20, $H138, $H135)</f>
        <v>0.56672841997802437</v>
      </c>
      <c r="K197" s="144">
        <f t="shared" si="101"/>
        <v>0.56672841997802437</v>
      </c>
      <c r="L197" s="144">
        <f t="shared" ref="L197:M197" si="102">IF(L$20, $H138, $H135)</f>
        <v>0.56672841997802437</v>
      </c>
      <c r="M197" s="144">
        <f t="shared" si="102"/>
        <v>0.56672841997802437</v>
      </c>
      <c r="N197" s="144">
        <f t="shared" ref="N197:P197" si="103">IF(N$20, $H138, $H135)</f>
        <v>0.56672841997802437</v>
      </c>
      <c r="O197" s="144">
        <f t="shared" si="103"/>
        <v>0.56672841997802437</v>
      </c>
      <c r="P197" s="144">
        <f t="shared" si="103"/>
        <v>0.56672841997802437</v>
      </c>
      <c r="Q197" s="144">
        <f t="shared" ref="Q197:S197" si="104">IF(Q$20, $H138, $H135)</f>
        <v>0.55070546890745764</v>
      </c>
      <c r="R197" s="144">
        <f t="shared" si="104"/>
        <v>0.56672841997802437</v>
      </c>
      <c r="S197" s="144">
        <f t="shared" si="104"/>
        <v>0.56672841997802437</v>
      </c>
      <c r="T197" s="144">
        <f t="shared" ref="T197:U197" si="105">IF(T$20, $H138, $H135)</f>
        <v>0.56672841997802437</v>
      </c>
      <c r="U197" s="144">
        <f t="shared" si="105"/>
        <v>0.56672841997802437</v>
      </c>
      <c r="V197" s="144">
        <f t="shared" ref="V197:W197" si="106">IF(V$20, $H138, $H135)</f>
        <v>0.56672841997802437</v>
      </c>
      <c r="W197" s="144">
        <f t="shared" si="106"/>
        <v>0.56672841997802437</v>
      </c>
      <c r="X197" s="144">
        <f t="shared" ref="X197:Y197" si="107">IF(X$20, $H138, $H135)</f>
        <v>0.56672841997802437</v>
      </c>
      <c r="Y197" s="144">
        <f t="shared" si="107"/>
        <v>0.56672841997802437</v>
      </c>
    </row>
    <row r="198" spans="5:25" x14ac:dyDescent="0.25">
      <c r="E198" s="24"/>
      <c r="F198" s="62" t="s">
        <v>465</v>
      </c>
      <c r="G198" s="23" t="s">
        <v>167</v>
      </c>
      <c r="H198" s="21"/>
      <c r="J198" s="135">
        <f t="shared" ref="J198:K198" si="108">IF(J$20, $H139, $H136)</f>
        <v>0.34095948258592967</v>
      </c>
      <c r="K198" s="135">
        <f t="shared" si="108"/>
        <v>0.34095948258592967</v>
      </c>
      <c r="L198" s="135">
        <f t="shared" ref="L198:M198" si="109">IF(L$20, $H139, $H136)</f>
        <v>0.34095948258592967</v>
      </c>
      <c r="M198" s="135">
        <f t="shared" si="109"/>
        <v>0.34095948258592967</v>
      </c>
      <c r="N198" s="135">
        <f t="shared" ref="N198:P198" si="110">IF(N$20, $H139, $H136)</f>
        <v>0.34095948258592967</v>
      </c>
      <c r="O198" s="135">
        <f t="shared" si="110"/>
        <v>0.34095948258592967</v>
      </c>
      <c r="P198" s="135">
        <f t="shared" si="110"/>
        <v>0.34095948258592967</v>
      </c>
      <c r="Q198" s="135">
        <f t="shared" ref="Q198:S198" si="111">IF(Q$20, $H139, $H136)</f>
        <v>0.3569824336564964</v>
      </c>
      <c r="R198" s="135">
        <f t="shared" si="111"/>
        <v>0.34095948258592967</v>
      </c>
      <c r="S198" s="135">
        <f t="shared" si="111"/>
        <v>0.34095948258592967</v>
      </c>
      <c r="T198" s="135">
        <f t="shared" ref="T198:U198" si="112">IF(T$20, $H139, $H136)</f>
        <v>0.34095948258592967</v>
      </c>
      <c r="U198" s="135">
        <f t="shared" si="112"/>
        <v>0.34095948258592967</v>
      </c>
      <c r="V198" s="135">
        <f t="shared" ref="V198:W198" si="113">IF(V$20, $H139, $H136)</f>
        <v>0.34095948258592967</v>
      </c>
      <c r="W198" s="135">
        <f t="shared" si="113"/>
        <v>0.34095948258592967</v>
      </c>
      <c r="X198" s="135">
        <f t="shared" ref="X198:Y198" si="114">IF(X$20, $H139, $H136)</f>
        <v>0.34095948258592967</v>
      </c>
      <c r="Y198" s="135">
        <f t="shared" si="114"/>
        <v>0.34095948258592967</v>
      </c>
    </row>
    <row r="199" spans="5:25" x14ac:dyDescent="0.25">
      <c r="E199" s="24"/>
      <c r="F199" s="70" t="s">
        <v>257</v>
      </c>
      <c r="G199" s="57" t="s">
        <v>167</v>
      </c>
      <c r="H199" s="131"/>
      <c r="I199" s="28"/>
      <c r="J199" s="145">
        <f t="shared" ref="J199:K199" si="115">IF(J$20, $H140, $H137)</f>
        <v>9.2312097436045848E-2</v>
      </c>
      <c r="K199" s="145">
        <f t="shared" si="115"/>
        <v>9.2312097436045848E-2</v>
      </c>
      <c r="L199" s="145">
        <f t="shared" ref="L199:M199" si="116">IF(L$20, $H140, $H137)</f>
        <v>9.2312097436045848E-2</v>
      </c>
      <c r="M199" s="145">
        <f t="shared" si="116"/>
        <v>9.2312097436045848E-2</v>
      </c>
      <c r="N199" s="145">
        <f t="shared" ref="N199:P199" si="117">IF(N$20, $H140, $H137)</f>
        <v>9.2312097436045848E-2</v>
      </c>
      <c r="O199" s="145">
        <f t="shared" si="117"/>
        <v>9.2312097436045848E-2</v>
      </c>
      <c r="P199" s="145">
        <f t="shared" si="117"/>
        <v>9.2312097436045848E-2</v>
      </c>
      <c r="Q199" s="145">
        <f t="shared" ref="Q199:S199" si="118">IF(Q$20, $H140, $H137)</f>
        <v>9.2312097436045848E-2</v>
      </c>
      <c r="R199" s="145">
        <f t="shared" si="118"/>
        <v>9.2312097436045848E-2</v>
      </c>
      <c r="S199" s="145">
        <f t="shared" si="118"/>
        <v>9.2312097436045848E-2</v>
      </c>
      <c r="T199" s="145">
        <f t="shared" ref="T199:U199" si="119">IF(T$20, $H140, $H137)</f>
        <v>9.2312097436045848E-2</v>
      </c>
      <c r="U199" s="145">
        <f t="shared" si="119"/>
        <v>9.2312097436045848E-2</v>
      </c>
      <c r="V199" s="145">
        <f t="shared" ref="V199:W199" si="120">IF(V$20, $H140, $H137)</f>
        <v>9.2312097436045848E-2</v>
      </c>
      <c r="W199" s="145">
        <f t="shared" si="120"/>
        <v>9.2312097436045848E-2</v>
      </c>
      <c r="X199" s="145">
        <f t="shared" ref="X199:Y199" si="121">IF(X$20, $H140, $H137)</f>
        <v>9.2312097436045848E-2</v>
      </c>
      <c r="Y199" s="145">
        <f t="shared" si="121"/>
        <v>9.2312097436045848E-2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167</v>
      </c>
      <c r="H202" s="97"/>
      <c r="I202" s="19"/>
      <c r="J202" s="144">
        <f t="shared" ref="J202:K202" si="122">IF(J$20, $H146, $H143)</f>
        <v>0.53080630647635507</v>
      </c>
      <c r="K202" s="144">
        <f t="shared" si="122"/>
        <v>0.53080630647635507</v>
      </c>
      <c r="L202" s="144">
        <f t="shared" ref="L202:M202" si="123">IF(L$20, $H146, $H143)</f>
        <v>0.53080630647635507</v>
      </c>
      <c r="M202" s="144">
        <f t="shared" si="123"/>
        <v>0.53080630647635507</v>
      </c>
      <c r="N202" s="144">
        <f t="shared" ref="N202:P202" si="124">IF(N$20, $H146, $H143)</f>
        <v>0.53080630647635507</v>
      </c>
      <c r="O202" s="144">
        <f t="shared" si="124"/>
        <v>0.53080630647635507</v>
      </c>
      <c r="P202" s="144">
        <f t="shared" si="124"/>
        <v>0.53080630647635507</v>
      </c>
      <c r="Q202" s="144">
        <f t="shared" ref="Q202:S202" si="125">IF(Q$20, $H146, $H143)</f>
        <v>0.50667755760103239</v>
      </c>
      <c r="R202" s="144">
        <f t="shared" si="125"/>
        <v>0.53080630647635507</v>
      </c>
      <c r="S202" s="144">
        <f t="shared" si="125"/>
        <v>0.53080630647635507</v>
      </c>
      <c r="T202" s="144">
        <f t="shared" ref="T202:U202" si="126">IF(T$20, $H146, $H143)</f>
        <v>0.53080630647635507</v>
      </c>
      <c r="U202" s="144">
        <f t="shared" si="126"/>
        <v>0.53080630647635507</v>
      </c>
      <c r="V202" s="144">
        <f t="shared" ref="V202:W202" si="127">IF(V$20, $H146, $H143)</f>
        <v>0.53080630647635507</v>
      </c>
      <c r="W202" s="144">
        <f t="shared" si="127"/>
        <v>0.53080630647635507</v>
      </c>
      <c r="X202" s="144">
        <f t="shared" ref="X202:Y202" si="128">IF(X$20, $H146, $H143)</f>
        <v>0.53080630647635507</v>
      </c>
      <c r="Y202" s="144">
        <f t="shared" si="128"/>
        <v>0.53080630647635507</v>
      </c>
    </row>
    <row r="203" spans="5:25" x14ac:dyDescent="0.25">
      <c r="E203" s="24"/>
      <c r="F203" s="62" t="s">
        <v>465</v>
      </c>
      <c r="G203" s="23" t="s">
        <v>167</v>
      </c>
      <c r="H203" s="21"/>
      <c r="J203" s="135">
        <f t="shared" ref="J203:K203" si="129">IF(J$20, $H147, $H144)</f>
        <v>0.40381137907243758</v>
      </c>
      <c r="K203" s="135">
        <f t="shared" si="129"/>
        <v>0.40381137907243758</v>
      </c>
      <c r="L203" s="135">
        <f t="shared" ref="L203:M203" si="130">IF(L$20, $H147, $H144)</f>
        <v>0.40381137907243758</v>
      </c>
      <c r="M203" s="135">
        <f t="shared" si="130"/>
        <v>0.40381137907243758</v>
      </c>
      <c r="N203" s="135">
        <f t="shared" ref="N203:P203" si="131">IF(N$20, $H147, $H144)</f>
        <v>0.40381137907243758</v>
      </c>
      <c r="O203" s="135">
        <f t="shared" si="131"/>
        <v>0.40381137907243758</v>
      </c>
      <c r="P203" s="135">
        <f t="shared" si="131"/>
        <v>0.40381137907243758</v>
      </c>
      <c r="Q203" s="135">
        <f t="shared" ref="Q203:S203" si="132">IF(Q$20, $H147, $H144)</f>
        <v>0.42794012794776026</v>
      </c>
      <c r="R203" s="135">
        <f t="shared" si="132"/>
        <v>0.40381137907243758</v>
      </c>
      <c r="S203" s="135">
        <f t="shared" si="132"/>
        <v>0.40381137907243758</v>
      </c>
      <c r="T203" s="135">
        <f t="shared" ref="T203:U203" si="133">IF(T$20, $H147, $H144)</f>
        <v>0.40381137907243758</v>
      </c>
      <c r="U203" s="135">
        <f t="shared" si="133"/>
        <v>0.40381137907243758</v>
      </c>
      <c r="V203" s="135">
        <f t="shared" ref="V203:W203" si="134">IF(V$20, $H147, $H144)</f>
        <v>0.40381137907243758</v>
      </c>
      <c r="W203" s="135">
        <f t="shared" si="134"/>
        <v>0.40381137907243758</v>
      </c>
      <c r="X203" s="135">
        <f t="shared" ref="X203:Y203" si="135">IF(X$20, $H147, $H144)</f>
        <v>0.40381137907243758</v>
      </c>
      <c r="Y203" s="135">
        <f t="shared" si="135"/>
        <v>0.40381137907243758</v>
      </c>
    </row>
    <row r="204" spans="5:25" x14ac:dyDescent="0.25">
      <c r="E204" s="24"/>
      <c r="F204" s="70" t="s">
        <v>257</v>
      </c>
      <c r="G204" s="57" t="s">
        <v>167</v>
      </c>
      <c r="H204" s="131"/>
      <c r="I204" s="28"/>
      <c r="J204" s="145">
        <f t="shared" ref="J204:K204" si="136">IF(J$20, $H148, $H145)</f>
        <v>6.5382314451207277E-2</v>
      </c>
      <c r="K204" s="145">
        <f t="shared" si="136"/>
        <v>6.5382314451207277E-2</v>
      </c>
      <c r="L204" s="145">
        <f t="shared" ref="L204:M204" si="137">IF(L$20, $H148, $H145)</f>
        <v>6.5382314451207277E-2</v>
      </c>
      <c r="M204" s="145">
        <f t="shared" si="137"/>
        <v>6.5382314451207277E-2</v>
      </c>
      <c r="N204" s="145">
        <f t="shared" ref="N204:P204" si="138">IF(N$20, $H148, $H145)</f>
        <v>6.5382314451207277E-2</v>
      </c>
      <c r="O204" s="145">
        <f t="shared" si="138"/>
        <v>6.5382314451207277E-2</v>
      </c>
      <c r="P204" s="145">
        <f t="shared" si="138"/>
        <v>6.5382314451207277E-2</v>
      </c>
      <c r="Q204" s="145">
        <f t="shared" ref="Q204:S204" si="139">IF(Q$20, $H148, $H145)</f>
        <v>6.5382314451207277E-2</v>
      </c>
      <c r="R204" s="145">
        <f t="shared" si="139"/>
        <v>6.5382314451207277E-2</v>
      </c>
      <c r="S204" s="145">
        <f t="shared" si="139"/>
        <v>6.5382314451207277E-2</v>
      </c>
      <c r="T204" s="145">
        <f t="shared" ref="T204:U204" si="140">IF(T$20, $H148, $H145)</f>
        <v>6.5382314451207277E-2</v>
      </c>
      <c r="U204" s="145">
        <f t="shared" si="140"/>
        <v>6.5382314451207277E-2</v>
      </c>
      <c r="V204" s="145">
        <f t="shared" ref="V204:W204" si="141">IF(V$20, $H148, $H145)</f>
        <v>6.5382314451207277E-2</v>
      </c>
      <c r="W204" s="145">
        <f t="shared" si="141"/>
        <v>6.5382314451207277E-2</v>
      </c>
      <c r="X204" s="145">
        <f t="shared" ref="X204:Y204" si="142">IF(X$20, $H148, $H145)</f>
        <v>6.5382314451207277E-2</v>
      </c>
      <c r="Y204" s="145">
        <f t="shared" si="142"/>
        <v>6.5382314451207277E-2</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167</v>
      </c>
      <c r="H207" s="97"/>
      <c r="I207" s="19"/>
      <c r="J207" s="144">
        <f t="shared" ref="J207:K207" si="143">IF(J$20, $H154, $H151)</f>
        <v>0.56672841997802437</v>
      </c>
      <c r="K207" s="144">
        <f t="shared" si="143"/>
        <v>0.56672841997802437</v>
      </c>
      <c r="L207" s="144">
        <f t="shared" ref="L207:M207" si="144">IF(L$20, $H154, $H151)</f>
        <v>0.56672841997802437</v>
      </c>
      <c r="M207" s="144">
        <f t="shared" si="144"/>
        <v>0.56672841997802437</v>
      </c>
      <c r="N207" s="144">
        <f t="shared" ref="N207:P207" si="145">IF(N$20, $H154, $H151)</f>
        <v>0.56672841997802437</v>
      </c>
      <c r="O207" s="144">
        <f t="shared" si="145"/>
        <v>0.56672841997802437</v>
      </c>
      <c r="P207" s="144">
        <f t="shared" si="145"/>
        <v>0.56672841997802437</v>
      </c>
      <c r="Q207" s="144">
        <f t="shared" ref="Q207:S207" si="146">IF(Q$20, $H154, $H151)</f>
        <v>0.55070546890745764</v>
      </c>
      <c r="R207" s="144">
        <f t="shared" si="146"/>
        <v>0.56672841997802437</v>
      </c>
      <c r="S207" s="144">
        <f t="shared" si="146"/>
        <v>0.56672841997802437</v>
      </c>
      <c r="T207" s="144">
        <f t="shared" ref="T207:U207" si="147">IF(T$20, $H154, $H151)</f>
        <v>0.56672841997802437</v>
      </c>
      <c r="U207" s="144">
        <f t="shared" si="147"/>
        <v>0.56672841997802437</v>
      </c>
      <c r="V207" s="144">
        <f t="shared" ref="V207:W207" si="148">IF(V$20, $H154, $H151)</f>
        <v>0.56672841997802437</v>
      </c>
      <c r="W207" s="144">
        <f t="shared" si="148"/>
        <v>0.56672841997802437</v>
      </c>
      <c r="X207" s="144">
        <f t="shared" ref="X207:Y207" si="149">IF(X$20, $H154, $H151)</f>
        <v>0.56672841997802437</v>
      </c>
      <c r="Y207" s="144">
        <f t="shared" si="149"/>
        <v>0.56672841997802437</v>
      </c>
    </row>
    <row r="208" spans="5:25" x14ac:dyDescent="0.25">
      <c r="E208" s="24"/>
      <c r="F208" s="62" t="s">
        <v>465</v>
      </c>
      <c r="G208" s="23" t="s">
        <v>167</v>
      </c>
      <c r="H208" s="21"/>
      <c r="J208" s="135">
        <f t="shared" ref="J208:K208" si="150">IF(J$20, $H155, $H152)</f>
        <v>0.34095948258592967</v>
      </c>
      <c r="K208" s="135">
        <f t="shared" si="150"/>
        <v>0.34095948258592967</v>
      </c>
      <c r="L208" s="135">
        <f t="shared" ref="L208:M208" si="151">IF(L$20, $H155, $H152)</f>
        <v>0.34095948258592967</v>
      </c>
      <c r="M208" s="135">
        <f t="shared" si="151"/>
        <v>0.34095948258592967</v>
      </c>
      <c r="N208" s="135">
        <f t="shared" ref="N208:P208" si="152">IF(N$20, $H155, $H152)</f>
        <v>0.34095948258592967</v>
      </c>
      <c r="O208" s="135">
        <f t="shared" si="152"/>
        <v>0.34095948258592967</v>
      </c>
      <c r="P208" s="135">
        <f t="shared" si="152"/>
        <v>0.34095948258592967</v>
      </c>
      <c r="Q208" s="135">
        <f t="shared" ref="Q208:S208" si="153">IF(Q$20, $H155, $H152)</f>
        <v>0.3569824336564964</v>
      </c>
      <c r="R208" s="135">
        <f t="shared" si="153"/>
        <v>0.34095948258592967</v>
      </c>
      <c r="S208" s="135">
        <f t="shared" si="153"/>
        <v>0.34095948258592967</v>
      </c>
      <c r="T208" s="135">
        <f t="shared" ref="T208:U208" si="154">IF(T$20, $H155, $H152)</f>
        <v>0.34095948258592967</v>
      </c>
      <c r="U208" s="135">
        <f t="shared" si="154"/>
        <v>0.34095948258592967</v>
      </c>
      <c r="V208" s="135">
        <f t="shared" ref="V208:W208" si="155">IF(V$20, $H155, $H152)</f>
        <v>0.34095948258592967</v>
      </c>
      <c r="W208" s="135">
        <f t="shared" si="155"/>
        <v>0.34095948258592967</v>
      </c>
      <c r="X208" s="135">
        <f t="shared" ref="X208:Y208" si="156">IF(X$20, $H155, $H152)</f>
        <v>0.34095948258592967</v>
      </c>
      <c r="Y208" s="135">
        <f t="shared" si="156"/>
        <v>0.34095948258592967</v>
      </c>
    </row>
    <row r="209" spans="3:27" x14ac:dyDescent="0.25">
      <c r="E209" s="24"/>
      <c r="F209" s="70" t="s">
        <v>257</v>
      </c>
      <c r="G209" s="57" t="s">
        <v>167</v>
      </c>
      <c r="H209" s="131"/>
      <c r="I209" s="28"/>
      <c r="J209" s="145">
        <f t="shared" ref="J209:K209" si="157">IF(J$20, $H156, $H153)</f>
        <v>9.2312097436045848E-2</v>
      </c>
      <c r="K209" s="145">
        <f t="shared" si="157"/>
        <v>9.2312097436045848E-2</v>
      </c>
      <c r="L209" s="145">
        <f t="shared" ref="L209:M209" si="158">IF(L$20, $H156, $H153)</f>
        <v>9.2312097436045848E-2</v>
      </c>
      <c r="M209" s="145">
        <f t="shared" si="158"/>
        <v>9.2312097436045848E-2</v>
      </c>
      <c r="N209" s="145">
        <f t="shared" ref="N209:P209" si="159">IF(N$20, $H156, $H153)</f>
        <v>9.2312097436045848E-2</v>
      </c>
      <c r="O209" s="145">
        <f t="shared" si="159"/>
        <v>9.2312097436045848E-2</v>
      </c>
      <c r="P209" s="145">
        <f t="shared" si="159"/>
        <v>9.2312097436045848E-2</v>
      </c>
      <c r="Q209" s="145">
        <f t="shared" ref="Q209:S209" si="160">IF(Q$20, $H156, $H153)</f>
        <v>9.2312097436045848E-2</v>
      </c>
      <c r="R209" s="145">
        <f t="shared" si="160"/>
        <v>9.2312097436045848E-2</v>
      </c>
      <c r="S209" s="145">
        <f t="shared" si="160"/>
        <v>9.2312097436045848E-2</v>
      </c>
      <c r="T209" s="145">
        <f t="shared" ref="T209:U209" si="161">IF(T$20, $H156, $H153)</f>
        <v>9.2312097436045848E-2</v>
      </c>
      <c r="U209" s="145">
        <f t="shared" si="161"/>
        <v>9.2312097436045848E-2</v>
      </c>
      <c r="V209" s="145">
        <f t="shared" ref="V209:W209" si="162">IF(V$20, $H156, $H153)</f>
        <v>9.2312097436045848E-2</v>
      </c>
      <c r="W209" s="145">
        <f t="shared" si="162"/>
        <v>9.2312097436045848E-2</v>
      </c>
      <c r="X209" s="145">
        <f t="shared" ref="X209:Y209" si="163">IF(X$20, $H156, $H153)</f>
        <v>9.2312097436045848E-2</v>
      </c>
      <c r="Y209" s="145">
        <f t="shared" si="163"/>
        <v>9.2312097436045848E-2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167</v>
      </c>
      <c r="H212" s="97"/>
      <c r="I212" s="19"/>
      <c r="J212" s="144">
        <f t="shared" ref="J212:K212" si="164">IF(J$20, $H162, $H159)</f>
        <v>0.56672841997802437</v>
      </c>
      <c r="K212" s="144">
        <f t="shared" si="164"/>
        <v>0.56672841997802437</v>
      </c>
      <c r="L212" s="144">
        <f t="shared" ref="L212:M212" si="165">IF(L$20, $H162, $H159)</f>
        <v>0.56672841997802437</v>
      </c>
      <c r="M212" s="144">
        <f t="shared" si="165"/>
        <v>0.56672841997802437</v>
      </c>
      <c r="N212" s="144">
        <f t="shared" ref="N212:P212" si="166">IF(N$20, $H162, $H159)</f>
        <v>0.56672841997802437</v>
      </c>
      <c r="O212" s="144">
        <f t="shared" si="166"/>
        <v>0.56672841997802437</v>
      </c>
      <c r="P212" s="144">
        <f t="shared" si="166"/>
        <v>0.56672841997802437</v>
      </c>
      <c r="Q212" s="144">
        <f t="shared" ref="Q212:S212" si="167">IF(Q$20, $H162, $H159)</f>
        <v>0.55070546890745764</v>
      </c>
      <c r="R212" s="144">
        <f t="shared" si="167"/>
        <v>0.56672841997802437</v>
      </c>
      <c r="S212" s="144">
        <f t="shared" si="167"/>
        <v>0.56672841997802437</v>
      </c>
      <c r="T212" s="144">
        <f t="shared" ref="T212:U212" si="168">IF(T$20, $H162, $H159)</f>
        <v>0.56672841997802437</v>
      </c>
      <c r="U212" s="144">
        <f t="shared" si="168"/>
        <v>0.56672841997802437</v>
      </c>
      <c r="V212" s="144">
        <f t="shared" ref="V212:W212" si="169">IF(V$20, $H162, $H159)</f>
        <v>0.56672841997802437</v>
      </c>
      <c r="W212" s="144">
        <f t="shared" si="169"/>
        <v>0.56672841997802437</v>
      </c>
      <c r="X212" s="144">
        <f t="shared" ref="X212:Y212" si="170">IF(X$20, $H162, $H159)</f>
        <v>0.56672841997802437</v>
      </c>
      <c r="Y212" s="144">
        <f t="shared" si="170"/>
        <v>0.56672841997802437</v>
      </c>
    </row>
    <row r="213" spans="3:27" x14ac:dyDescent="0.25">
      <c r="E213" s="24"/>
      <c r="F213" s="62" t="s">
        <v>465</v>
      </c>
      <c r="G213" s="23" t="s">
        <v>167</v>
      </c>
      <c r="H213" s="21"/>
      <c r="J213" s="135">
        <f t="shared" ref="J213:K213" si="171">IF(J$20, $H163, $H160)</f>
        <v>0.34095948258592967</v>
      </c>
      <c r="K213" s="135">
        <f t="shared" si="171"/>
        <v>0.34095948258592967</v>
      </c>
      <c r="L213" s="135">
        <f t="shared" ref="L213:M213" si="172">IF(L$20, $H163, $H160)</f>
        <v>0.34095948258592967</v>
      </c>
      <c r="M213" s="135">
        <f t="shared" si="172"/>
        <v>0.34095948258592967</v>
      </c>
      <c r="N213" s="135">
        <f t="shared" ref="N213:P213" si="173">IF(N$20, $H163, $H160)</f>
        <v>0.34095948258592967</v>
      </c>
      <c r="O213" s="135">
        <f t="shared" si="173"/>
        <v>0.34095948258592967</v>
      </c>
      <c r="P213" s="135">
        <f t="shared" si="173"/>
        <v>0.34095948258592967</v>
      </c>
      <c r="Q213" s="135">
        <f t="shared" ref="Q213:S213" si="174">IF(Q$20, $H163, $H160)</f>
        <v>0.3569824336564964</v>
      </c>
      <c r="R213" s="135">
        <f t="shared" si="174"/>
        <v>0.34095948258592967</v>
      </c>
      <c r="S213" s="135">
        <f t="shared" si="174"/>
        <v>0.34095948258592967</v>
      </c>
      <c r="T213" s="135">
        <f t="shared" ref="T213:U213" si="175">IF(T$20, $H163, $H160)</f>
        <v>0.34095948258592967</v>
      </c>
      <c r="U213" s="135">
        <f t="shared" si="175"/>
        <v>0.34095948258592967</v>
      </c>
      <c r="V213" s="135">
        <f t="shared" ref="V213:W213" si="176">IF(V$20, $H163, $H160)</f>
        <v>0.34095948258592967</v>
      </c>
      <c r="W213" s="135">
        <f t="shared" si="176"/>
        <v>0.34095948258592967</v>
      </c>
      <c r="X213" s="135">
        <f t="shared" ref="X213:Y213" si="177">IF(X$20, $H163, $H160)</f>
        <v>0.34095948258592967</v>
      </c>
      <c r="Y213" s="135">
        <f t="shared" si="177"/>
        <v>0.34095948258592967</v>
      </c>
    </row>
    <row r="214" spans="3:27" x14ac:dyDescent="0.25">
      <c r="E214" s="24"/>
      <c r="F214" s="70" t="s">
        <v>257</v>
      </c>
      <c r="G214" s="57" t="s">
        <v>167</v>
      </c>
      <c r="H214" s="131"/>
      <c r="I214" s="28"/>
      <c r="J214" s="145">
        <f t="shared" ref="J214:K214" si="178">IF(J$20, $H164, $H161)</f>
        <v>9.2312097436045848E-2</v>
      </c>
      <c r="K214" s="145">
        <f t="shared" si="178"/>
        <v>9.2312097436045848E-2</v>
      </c>
      <c r="L214" s="145">
        <f t="shared" ref="L214:M214" si="179">IF(L$20, $H164, $H161)</f>
        <v>9.2312097436045848E-2</v>
      </c>
      <c r="M214" s="145">
        <f t="shared" si="179"/>
        <v>9.2312097436045848E-2</v>
      </c>
      <c r="N214" s="145">
        <f t="shared" ref="N214:P214" si="180">IF(N$20, $H164, $H161)</f>
        <v>9.2312097436045848E-2</v>
      </c>
      <c r="O214" s="145">
        <f t="shared" si="180"/>
        <v>9.2312097436045848E-2</v>
      </c>
      <c r="P214" s="145">
        <f t="shared" si="180"/>
        <v>9.2312097436045848E-2</v>
      </c>
      <c r="Q214" s="145">
        <f t="shared" ref="Q214:S214" si="181">IF(Q$20, $H164, $H161)</f>
        <v>9.2312097436045848E-2</v>
      </c>
      <c r="R214" s="145">
        <f t="shared" si="181"/>
        <v>9.2312097436045848E-2</v>
      </c>
      <c r="S214" s="145">
        <f t="shared" si="181"/>
        <v>9.2312097436045848E-2</v>
      </c>
      <c r="T214" s="145">
        <f t="shared" ref="T214:U214" si="182">IF(T$20, $H164, $H161)</f>
        <v>9.2312097436045848E-2</v>
      </c>
      <c r="U214" s="145">
        <f t="shared" si="182"/>
        <v>9.2312097436045848E-2</v>
      </c>
      <c r="V214" s="145">
        <f t="shared" ref="V214:W214" si="183">IF(V$20, $H164, $H161)</f>
        <v>9.2312097436045848E-2</v>
      </c>
      <c r="W214" s="145">
        <f t="shared" si="183"/>
        <v>9.2312097436045848E-2</v>
      </c>
      <c r="X214" s="145">
        <f t="shared" ref="X214:Y214" si="184">IF(X$20, $H164, $H161)</f>
        <v>9.2312097436045848E-2</v>
      </c>
      <c r="Y214" s="145">
        <f t="shared" si="184"/>
        <v>9.2312097436045848E-2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167</v>
      </c>
      <c r="H217" s="97"/>
      <c r="I217" s="19"/>
      <c r="J217" s="144">
        <f t="shared" ref="J217:K217" si="185">IF(J$20, $H170, $H167)</f>
        <v>0.56672841997802437</v>
      </c>
      <c r="K217" s="144">
        <f t="shared" si="185"/>
        <v>0.56672841997802437</v>
      </c>
      <c r="L217" s="144">
        <f t="shared" ref="L217:M217" si="186">IF(L$20, $H170, $H167)</f>
        <v>0.56672841997802437</v>
      </c>
      <c r="M217" s="144">
        <f t="shared" si="186"/>
        <v>0.56672841997802437</v>
      </c>
      <c r="N217" s="144">
        <f t="shared" ref="N217:P217" si="187">IF(N$20, $H170, $H167)</f>
        <v>0.56672841997802437</v>
      </c>
      <c r="O217" s="144">
        <f t="shared" si="187"/>
        <v>0.56672841997802437</v>
      </c>
      <c r="P217" s="144">
        <f t="shared" si="187"/>
        <v>0.56672841997802437</v>
      </c>
      <c r="Q217" s="144">
        <f t="shared" ref="Q217:S217" si="188">IF(Q$20, $H170, $H167)</f>
        <v>0.55070546890745764</v>
      </c>
      <c r="R217" s="144">
        <f t="shared" si="188"/>
        <v>0.56672841997802437</v>
      </c>
      <c r="S217" s="144">
        <f t="shared" si="188"/>
        <v>0.56672841997802437</v>
      </c>
      <c r="T217" s="144">
        <f t="shared" ref="T217:U217" si="189">IF(T$20, $H170, $H167)</f>
        <v>0.56672841997802437</v>
      </c>
      <c r="U217" s="144">
        <f t="shared" si="189"/>
        <v>0.56672841997802437</v>
      </c>
      <c r="V217" s="144">
        <f t="shared" ref="V217:W217" si="190">IF(V$20, $H170, $H167)</f>
        <v>0.56672841997802437</v>
      </c>
      <c r="W217" s="144">
        <f t="shared" si="190"/>
        <v>0.56672841997802437</v>
      </c>
      <c r="X217" s="144">
        <f t="shared" ref="X217:Y217" si="191">IF(X$20, $H170, $H167)</f>
        <v>0.56672841997802437</v>
      </c>
      <c r="Y217" s="144">
        <f t="shared" si="191"/>
        <v>0.56672841997802437</v>
      </c>
    </row>
    <row r="218" spans="3:27" x14ac:dyDescent="0.25">
      <c r="E218" s="24"/>
      <c r="F218" s="62" t="s">
        <v>465</v>
      </c>
      <c r="G218" s="23" t="s">
        <v>167</v>
      </c>
      <c r="H218" s="21"/>
      <c r="J218" s="135">
        <f t="shared" ref="J218:K218" si="192">IF(J$20, $H171, $H168)</f>
        <v>0.34095948258592967</v>
      </c>
      <c r="K218" s="135">
        <f t="shared" si="192"/>
        <v>0.34095948258592967</v>
      </c>
      <c r="L218" s="135">
        <f t="shared" ref="L218:M218" si="193">IF(L$20, $H171, $H168)</f>
        <v>0.34095948258592967</v>
      </c>
      <c r="M218" s="135">
        <f t="shared" si="193"/>
        <v>0.34095948258592967</v>
      </c>
      <c r="N218" s="135">
        <f t="shared" ref="N218:P218" si="194">IF(N$20, $H171, $H168)</f>
        <v>0.34095948258592967</v>
      </c>
      <c r="O218" s="135">
        <f t="shared" si="194"/>
        <v>0.34095948258592967</v>
      </c>
      <c r="P218" s="135">
        <f t="shared" si="194"/>
        <v>0.34095948258592967</v>
      </c>
      <c r="Q218" s="135">
        <f t="shared" ref="Q218:S218" si="195">IF(Q$20, $H171, $H168)</f>
        <v>0.3569824336564964</v>
      </c>
      <c r="R218" s="135">
        <f t="shared" si="195"/>
        <v>0.34095948258592967</v>
      </c>
      <c r="S218" s="135">
        <f t="shared" si="195"/>
        <v>0.34095948258592967</v>
      </c>
      <c r="T218" s="135">
        <f t="shared" ref="T218:U218" si="196">IF(T$20, $H171, $H168)</f>
        <v>0.34095948258592967</v>
      </c>
      <c r="U218" s="135">
        <f t="shared" si="196"/>
        <v>0.34095948258592967</v>
      </c>
      <c r="V218" s="135">
        <f t="shared" ref="V218:W218" si="197">IF(V$20, $H171, $H168)</f>
        <v>0.34095948258592967</v>
      </c>
      <c r="W218" s="135">
        <f t="shared" si="197"/>
        <v>0.34095948258592967</v>
      </c>
      <c r="X218" s="135">
        <f t="shared" ref="X218:Y218" si="198">IF(X$20, $H171, $H168)</f>
        <v>0.34095948258592967</v>
      </c>
      <c r="Y218" s="135">
        <f t="shared" si="198"/>
        <v>0.34095948258592967</v>
      </c>
    </row>
    <row r="219" spans="3:27" x14ac:dyDescent="0.25">
      <c r="E219" s="24"/>
      <c r="F219" s="70" t="s">
        <v>257</v>
      </c>
      <c r="G219" s="57" t="s">
        <v>167</v>
      </c>
      <c r="H219" s="131"/>
      <c r="I219" s="28"/>
      <c r="J219" s="145">
        <f t="shared" ref="J219:K219" si="199">IF(J$20, $H172, $H169)</f>
        <v>9.2312097436045848E-2</v>
      </c>
      <c r="K219" s="145">
        <f t="shared" si="199"/>
        <v>9.2312097436045848E-2</v>
      </c>
      <c r="L219" s="145">
        <f t="shared" ref="L219:M219" si="200">IF(L$20, $H172, $H169)</f>
        <v>9.2312097436045848E-2</v>
      </c>
      <c r="M219" s="145">
        <f t="shared" si="200"/>
        <v>9.2312097436045848E-2</v>
      </c>
      <c r="N219" s="145">
        <f t="shared" ref="N219:P219" si="201">IF(N$20, $H172, $H169)</f>
        <v>9.2312097436045848E-2</v>
      </c>
      <c r="O219" s="145">
        <f t="shared" si="201"/>
        <v>9.2312097436045848E-2</v>
      </c>
      <c r="P219" s="145">
        <f t="shared" si="201"/>
        <v>9.2312097436045848E-2</v>
      </c>
      <c r="Q219" s="145">
        <f t="shared" ref="Q219:S219" si="202">IF(Q$20, $H172, $H169)</f>
        <v>9.2312097436045848E-2</v>
      </c>
      <c r="R219" s="145">
        <f t="shared" si="202"/>
        <v>9.2312097436045848E-2</v>
      </c>
      <c r="S219" s="145">
        <f t="shared" si="202"/>
        <v>9.2312097436045848E-2</v>
      </c>
      <c r="T219" s="145">
        <f t="shared" ref="T219:U219" si="203">IF(T$20, $H172, $H169)</f>
        <v>9.2312097436045848E-2</v>
      </c>
      <c r="U219" s="145">
        <f t="shared" si="203"/>
        <v>9.2312097436045848E-2</v>
      </c>
      <c r="V219" s="145">
        <f t="shared" ref="V219:W219" si="204">IF(V$20, $H172, $H169)</f>
        <v>9.2312097436045848E-2</v>
      </c>
      <c r="W219" s="145">
        <f t="shared" si="204"/>
        <v>9.2312097436045848E-2</v>
      </c>
      <c r="X219" s="145">
        <f t="shared" ref="X219:Y219" si="205">IF(X$20, $H172, $H169)</f>
        <v>9.2312097436045848E-2</v>
      </c>
      <c r="Y219" s="145">
        <f t="shared" si="205"/>
        <v>9.2312097436045848E-2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control'!$H$36:$H$59,MATCH($A$1,'Version control'!$F$36:$F$59,0),1)&amp;"-J: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1.2820512820512821E-3</v>
      </c>
      <c r="K224" s="148">
        <f t="shared" si="206"/>
        <v>1.2820512820512821E-3</v>
      </c>
      <c r="L224" s="148">
        <f t="shared" si="206"/>
        <v>1.2820512820512821E-3</v>
      </c>
      <c r="M224" s="148">
        <f t="shared" si="206"/>
        <v>1.2820512820512821E-3</v>
      </c>
      <c r="N224" s="148">
        <f t="shared" si="206"/>
        <v>1.2820512820512821E-3</v>
      </c>
      <c r="O224" s="148">
        <f t="shared" si="206"/>
        <v>1.2820512820512821E-3</v>
      </c>
      <c r="P224" s="148">
        <f t="shared" si="206"/>
        <v>1.2820512820512821E-3</v>
      </c>
      <c r="Q224" s="148">
        <f t="shared" si="206"/>
        <v>3.8314176245210726E-3</v>
      </c>
      <c r="R224" s="148">
        <f t="shared" si="206"/>
        <v>1.2820512820512821E-3</v>
      </c>
      <c r="S224" s="148">
        <f t="shared" si="206"/>
        <v>1.2820512820512821E-3</v>
      </c>
      <c r="T224" s="148">
        <f t="shared" si="206"/>
        <v>1.2820512820512821E-3</v>
      </c>
      <c r="U224" s="148">
        <f t="shared" si="206"/>
        <v>1.2820512820512821E-3</v>
      </c>
      <c r="V224" s="148">
        <f t="shared" si="206"/>
        <v>1.2820512820512821E-3</v>
      </c>
      <c r="W224" s="148">
        <f t="shared" si="206"/>
        <v>1.2820512820512821E-3</v>
      </c>
      <c r="X224" s="148">
        <f t="shared" si="206"/>
        <v>1.2820512820512821E-3</v>
      </c>
      <c r="Y224" s="148">
        <f t="shared" si="206"/>
        <v>1.2820512820512821E-3</v>
      </c>
    </row>
    <row r="225" spans="5:25" x14ac:dyDescent="0.25">
      <c r="F225" s="23" t="s">
        <v>465</v>
      </c>
      <c r="G225" s="23" t="s">
        <v>488</v>
      </c>
      <c r="J225" s="79">
        <f t="shared" ref="J225:Y225" si="207">1 / J25</f>
        <v>3.663003663003663E-4</v>
      </c>
      <c r="K225" s="79">
        <f t="shared" si="207"/>
        <v>3.663003663003663E-4</v>
      </c>
      <c r="L225" s="79">
        <f t="shared" si="207"/>
        <v>3.663003663003663E-4</v>
      </c>
      <c r="M225" s="79">
        <f t="shared" si="207"/>
        <v>3.663003663003663E-4</v>
      </c>
      <c r="N225" s="79">
        <f t="shared" si="207"/>
        <v>3.663003663003663E-4</v>
      </c>
      <c r="O225" s="79">
        <f t="shared" si="207"/>
        <v>3.663003663003663E-4</v>
      </c>
      <c r="P225" s="79">
        <f t="shared" si="207"/>
        <v>3.663003663003663E-4</v>
      </c>
      <c r="Q225" s="79">
        <f t="shared" si="207"/>
        <v>3.0778701138811941E-4</v>
      </c>
      <c r="R225" s="79">
        <f t="shared" si="207"/>
        <v>3.663003663003663E-4</v>
      </c>
      <c r="S225" s="79">
        <f t="shared" si="207"/>
        <v>3.663003663003663E-4</v>
      </c>
      <c r="T225" s="79">
        <f t="shared" si="207"/>
        <v>3.663003663003663E-4</v>
      </c>
      <c r="U225" s="79">
        <f t="shared" si="207"/>
        <v>3.663003663003663E-4</v>
      </c>
      <c r="V225" s="79">
        <f t="shared" si="207"/>
        <v>3.663003663003663E-4</v>
      </c>
      <c r="W225" s="79">
        <f t="shared" si="207"/>
        <v>3.663003663003663E-4</v>
      </c>
      <c r="X225" s="79">
        <f t="shared" si="207"/>
        <v>3.663003663003663E-4</v>
      </c>
      <c r="Y225" s="79">
        <f t="shared" si="207"/>
        <v>3.663003663003663E-4</v>
      </c>
    </row>
    <row r="226" spans="5:25" x14ac:dyDescent="0.25">
      <c r="F226" s="57" t="s">
        <v>257</v>
      </c>
      <c r="G226" s="57" t="s">
        <v>488</v>
      </c>
      <c r="H226" s="28"/>
      <c r="I226" s="28"/>
      <c r="J226" s="72">
        <f t="shared" ref="J226:Y226" si="208">1 / J26</f>
        <v>1.8960940462646946E-4</v>
      </c>
      <c r="K226" s="72">
        <f t="shared" si="208"/>
        <v>1.8960940462646946E-4</v>
      </c>
      <c r="L226" s="72">
        <f t="shared" si="208"/>
        <v>1.8960940462646946E-4</v>
      </c>
      <c r="M226" s="72">
        <f t="shared" si="208"/>
        <v>1.8960940462646946E-4</v>
      </c>
      <c r="N226" s="72">
        <f t="shared" si="208"/>
        <v>1.8960940462646946E-4</v>
      </c>
      <c r="O226" s="72">
        <f t="shared" si="208"/>
        <v>1.8960940462646946E-4</v>
      </c>
      <c r="P226" s="72">
        <f t="shared" si="208"/>
        <v>1.8960940462646946E-4</v>
      </c>
      <c r="Q226" s="72">
        <f t="shared" si="208"/>
        <v>1.8960940462646946E-4</v>
      </c>
      <c r="R226" s="72">
        <f t="shared" si="208"/>
        <v>1.8960940462646946E-4</v>
      </c>
      <c r="S226" s="72">
        <f t="shared" si="208"/>
        <v>1.8960940462646946E-4</v>
      </c>
      <c r="T226" s="72">
        <f t="shared" si="208"/>
        <v>1.8960940462646946E-4</v>
      </c>
      <c r="U226" s="72">
        <f t="shared" si="208"/>
        <v>1.8960940462646946E-4</v>
      </c>
      <c r="V226" s="72">
        <f t="shared" si="208"/>
        <v>1.8960940462646946E-4</v>
      </c>
      <c r="W226" s="72">
        <f t="shared" si="208"/>
        <v>1.8960940462646946E-4</v>
      </c>
      <c r="X226" s="72">
        <f t="shared" si="208"/>
        <v>1.8960940462646946E-4</v>
      </c>
      <c r="Y226" s="72">
        <f t="shared" si="208"/>
        <v>1.8960940462646946E-4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156</v>
      </c>
      <c r="G228" s="23"/>
      <c r="J228" s="79"/>
      <c r="K228" s="79"/>
      <c r="L228" s="79"/>
      <c r="M228" s="79"/>
      <c r="N228" s="79"/>
      <c r="O228" s="79"/>
      <c r="P228" s="79"/>
      <c r="Q228" s="79"/>
      <c r="R228" s="79"/>
      <c r="S228" s="79"/>
      <c r="T228" s="79"/>
      <c r="U228" s="79"/>
      <c r="V228" s="79"/>
      <c r="W228" s="79"/>
      <c r="X228" s="79"/>
      <c r="Y228" s="79"/>
    </row>
    <row r="229" spans="5:25" x14ac:dyDescent="0.25">
      <c r="F229" s="149" t="s">
        <v>191</v>
      </c>
      <c r="G229" s="54" t="s">
        <v>283</v>
      </c>
      <c r="H229" s="19"/>
      <c r="I229" s="19"/>
      <c r="J229" s="143">
        <f>J177 * J$224 * hours_in_year</f>
        <v>9.0248377730632061</v>
      </c>
      <c r="K229" s="143">
        <f t="shared" ref="K229:Y229" si="209">K177 * K$224 * hours_in_year</f>
        <v>9.0248377730632061</v>
      </c>
      <c r="L229" s="143">
        <f t="shared" si="209"/>
        <v>9.0248377730632061</v>
      </c>
      <c r="M229" s="143">
        <f t="shared" si="209"/>
        <v>9.0248377730632061</v>
      </c>
      <c r="N229" s="143">
        <f t="shared" si="209"/>
        <v>9.0248377730632061</v>
      </c>
      <c r="O229" s="143">
        <f t="shared" si="209"/>
        <v>9.0248377730632061</v>
      </c>
      <c r="P229" s="143">
        <f t="shared" si="209"/>
        <v>9.0248377730632061</v>
      </c>
      <c r="Q229" s="143">
        <f t="shared" si="209"/>
        <v>25.328384595441577</v>
      </c>
      <c r="R229" s="143">
        <f t="shared" si="209"/>
        <v>9.0248377730632061</v>
      </c>
      <c r="S229" s="143">
        <f t="shared" si="209"/>
        <v>9.0248377730632061</v>
      </c>
      <c r="T229" s="143">
        <f t="shared" si="209"/>
        <v>9.0248377730632061</v>
      </c>
      <c r="U229" s="143">
        <f t="shared" si="209"/>
        <v>9.0248377730632061</v>
      </c>
      <c r="V229" s="143">
        <f t="shared" si="209"/>
        <v>9.0248377730632061</v>
      </c>
      <c r="W229" s="143">
        <f t="shared" si="209"/>
        <v>9.0248377730632061</v>
      </c>
      <c r="X229" s="143">
        <f t="shared" si="209"/>
        <v>9.0248377730632061</v>
      </c>
      <c r="Y229" s="143">
        <f t="shared" si="209"/>
        <v>9.0248377730632061</v>
      </c>
    </row>
    <row r="230" spans="5:25" x14ac:dyDescent="0.25">
      <c r="F230" s="150" t="s">
        <v>192</v>
      </c>
      <c r="G230" s="23" t="s">
        <v>283</v>
      </c>
      <c r="J230" s="143">
        <f t="shared" ref="J230:Y230" si="210">J182 * J224 * hours_in_year</f>
        <v>5.9776956360106448</v>
      </c>
      <c r="K230" s="143">
        <f t="shared" si="210"/>
        <v>5.9776956360106448</v>
      </c>
      <c r="L230" s="143">
        <f t="shared" si="210"/>
        <v>5.9776956360106448</v>
      </c>
      <c r="M230" s="143">
        <f t="shared" si="210"/>
        <v>5.9776956360106448</v>
      </c>
      <c r="N230" s="143">
        <f t="shared" si="210"/>
        <v>5.9776956360106448</v>
      </c>
      <c r="O230" s="143">
        <f t="shared" si="210"/>
        <v>5.9776956360106448</v>
      </c>
      <c r="P230" s="143">
        <f t="shared" si="210"/>
        <v>5.9776956360106448</v>
      </c>
      <c r="Q230" s="143">
        <f t="shared" si="210"/>
        <v>17.052320559262331</v>
      </c>
      <c r="R230" s="143">
        <f t="shared" si="210"/>
        <v>5.9776956360106448</v>
      </c>
      <c r="S230" s="143">
        <f t="shared" si="210"/>
        <v>5.9776956360106448</v>
      </c>
      <c r="T230" s="143">
        <f t="shared" si="210"/>
        <v>5.9776956360106448</v>
      </c>
      <c r="U230" s="143">
        <f t="shared" si="210"/>
        <v>5.9776956360106448</v>
      </c>
      <c r="V230" s="143">
        <f t="shared" si="210"/>
        <v>5.9776956360106448</v>
      </c>
      <c r="W230" s="143">
        <f t="shared" si="210"/>
        <v>5.9776956360106448</v>
      </c>
      <c r="X230" s="143">
        <f t="shared" si="210"/>
        <v>5.9776956360106448</v>
      </c>
      <c r="Y230" s="143">
        <f t="shared" si="210"/>
        <v>5.9776956360106448</v>
      </c>
    </row>
    <row r="231" spans="5:25" x14ac:dyDescent="0.25">
      <c r="F231" s="150" t="s">
        <v>193</v>
      </c>
      <c r="G231" s="23" t="s">
        <v>283</v>
      </c>
      <c r="J231" s="143">
        <f t="shared" ref="J231:Y231" si="211">J187 * J224 * hours_in_year</f>
        <v>5.9776956360106448</v>
      </c>
      <c r="K231" s="143">
        <f t="shared" si="211"/>
        <v>5.9776956360106448</v>
      </c>
      <c r="L231" s="143">
        <f t="shared" si="211"/>
        <v>5.9776956360106448</v>
      </c>
      <c r="M231" s="143">
        <f t="shared" si="211"/>
        <v>5.9776956360106448</v>
      </c>
      <c r="N231" s="143">
        <f t="shared" si="211"/>
        <v>5.9776956360106448</v>
      </c>
      <c r="O231" s="143">
        <f t="shared" si="211"/>
        <v>5.9776956360106448</v>
      </c>
      <c r="P231" s="143">
        <f t="shared" si="211"/>
        <v>5.9776956360106448</v>
      </c>
      <c r="Q231" s="143">
        <f t="shared" si="211"/>
        <v>17.052320559262331</v>
      </c>
      <c r="R231" s="143">
        <f t="shared" si="211"/>
        <v>5.9776956360106448</v>
      </c>
      <c r="S231" s="143">
        <f t="shared" si="211"/>
        <v>5.9776956360106448</v>
      </c>
      <c r="T231" s="143">
        <f t="shared" si="211"/>
        <v>5.9776956360106448</v>
      </c>
      <c r="U231" s="143">
        <f t="shared" si="211"/>
        <v>5.9776956360106448</v>
      </c>
      <c r="V231" s="143">
        <f t="shared" si="211"/>
        <v>5.9776956360106448</v>
      </c>
      <c r="W231" s="143">
        <f t="shared" si="211"/>
        <v>5.9776956360106448</v>
      </c>
      <c r="X231" s="143">
        <f t="shared" si="211"/>
        <v>5.9776956360106448</v>
      </c>
      <c r="Y231" s="143">
        <f t="shared" si="211"/>
        <v>5.9776956360106448</v>
      </c>
    </row>
    <row r="232" spans="5:25" x14ac:dyDescent="0.25">
      <c r="F232" s="150" t="s">
        <v>194</v>
      </c>
      <c r="G232" s="23" t="s">
        <v>283</v>
      </c>
      <c r="J232" s="143">
        <f t="shared" ref="J232:Y232" si="212">J192 * J224 * hours_in_year</f>
        <v>6.382233898829444</v>
      </c>
      <c r="K232" s="143">
        <f t="shared" si="212"/>
        <v>6.382233898829444</v>
      </c>
      <c r="L232" s="143">
        <f t="shared" si="212"/>
        <v>6.382233898829444</v>
      </c>
      <c r="M232" s="143">
        <f t="shared" si="212"/>
        <v>6.382233898829444</v>
      </c>
      <c r="N232" s="143">
        <f t="shared" si="212"/>
        <v>6.382233898829444</v>
      </c>
      <c r="O232" s="143">
        <f t="shared" si="212"/>
        <v>6.382233898829444</v>
      </c>
      <c r="P232" s="143">
        <f t="shared" si="212"/>
        <v>6.382233898829444</v>
      </c>
      <c r="Q232" s="143">
        <f t="shared" si="212"/>
        <v>18.534087505299262</v>
      </c>
      <c r="R232" s="143">
        <f t="shared" si="212"/>
        <v>6.382233898829444</v>
      </c>
      <c r="S232" s="143">
        <f t="shared" si="212"/>
        <v>6.382233898829444</v>
      </c>
      <c r="T232" s="143">
        <f t="shared" si="212"/>
        <v>6.382233898829444</v>
      </c>
      <c r="U232" s="143">
        <f t="shared" si="212"/>
        <v>6.382233898829444</v>
      </c>
      <c r="V232" s="143">
        <f t="shared" si="212"/>
        <v>6.382233898829444</v>
      </c>
      <c r="W232" s="143">
        <f t="shared" si="212"/>
        <v>6.382233898829444</v>
      </c>
      <c r="X232" s="143">
        <f t="shared" si="212"/>
        <v>6.382233898829444</v>
      </c>
      <c r="Y232" s="143">
        <f t="shared" si="212"/>
        <v>6.382233898829444</v>
      </c>
    </row>
    <row r="233" spans="5:25" x14ac:dyDescent="0.25">
      <c r="F233" s="150" t="s">
        <v>195</v>
      </c>
      <c r="G233" s="23" t="s">
        <v>283</v>
      </c>
      <c r="J233" s="143">
        <f t="shared" ref="J233:Y233" si="213">J197 * J224 * hours_in_year</f>
        <v>6.382233898829444</v>
      </c>
      <c r="K233" s="143">
        <f t="shared" si="213"/>
        <v>6.382233898829444</v>
      </c>
      <c r="L233" s="143">
        <f t="shared" si="213"/>
        <v>6.382233898829444</v>
      </c>
      <c r="M233" s="143">
        <f t="shared" si="213"/>
        <v>6.382233898829444</v>
      </c>
      <c r="N233" s="143">
        <f t="shared" si="213"/>
        <v>6.382233898829444</v>
      </c>
      <c r="O233" s="143">
        <f t="shared" si="213"/>
        <v>6.382233898829444</v>
      </c>
      <c r="P233" s="143">
        <f t="shared" si="213"/>
        <v>6.382233898829444</v>
      </c>
      <c r="Q233" s="143">
        <f t="shared" si="213"/>
        <v>18.534087505299262</v>
      </c>
      <c r="R233" s="143">
        <f t="shared" si="213"/>
        <v>6.382233898829444</v>
      </c>
      <c r="S233" s="143">
        <f t="shared" si="213"/>
        <v>6.382233898829444</v>
      </c>
      <c r="T233" s="143">
        <f t="shared" si="213"/>
        <v>6.382233898829444</v>
      </c>
      <c r="U233" s="143">
        <f t="shared" si="213"/>
        <v>6.382233898829444</v>
      </c>
      <c r="V233" s="143">
        <f t="shared" si="213"/>
        <v>6.382233898829444</v>
      </c>
      <c r="W233" s="143">
        <f t="shared" si="213"/>
        <v>6.382233898829444</v>
      </c>
      <c r="X233" s="143">
        <f t="shared" si="213"/>
        <v>6.382233898829444</v>
      </c>
      <c r="Y233" s="143">
        <f t="shared" si="213"/>
        <v>6.382233898829444</v>
      </c>
    </row>
    <row r="234" spans="5:25" x14ac:dyDescent="0.25">
      <c r="F234" s="150" t="s">
        <v>196</v>
      </c>
      <c r="G234" s="23" t="s">
        <v>283</v>
      </c>
      <c r="J234" s="143">
        <f t="shared" ref="J234:Y234" si="214">J202 * J224 * hours_in_year</f>
        <v>5.9776956360106448</v>
      </c>
      <c r="K234" s="143">
        <f t="shared" si="214"/>
        <v>5.9776956360106448</v>
      </c>
      <c r="L234" s="143">
        <f t="shared" si="214"/>
        <v>5.9776956360106448</v>
      </c>
      <c r="M234" s="143">
        <f t="shared" si="214"/>
        <v>5.9776956360106448</v>
      </c>
      <c r="N234" s="143">
        <f t="shared" si="214"/>
        <v>5.9776956360106448</v>
      </c>
      <c r="O234" s="143">
        <f t="shared" si="214"/>
        <v>5.9776956360106448</v>
      </c>
      <c r="P234" s="143">
        <f t="shared" si="214"/>
        <v>5.9776956360106448</v>
      </c>
      <c r="Q234" s="143">
        <f t="shared" si="214"/>
        <v>17.052320559262331</v>
      </c>
      <c r="R234" s="143">
        <f t="shared" si="214"/>
        <v>5.9776956360106448</v>
      </c>
      <c r="S234" s="143">
        <f t="shared" si="214"/>
        <v>5.9776956360106448</v>
      </c>
      <c r="T234" s="143">
        <f t="shared" si="214"/>
        <v>5.9776956360106448</v>
      </c>
      <c r="U234" s="143">
        <f t="shared" si="214"/>
        <v>5.9776956360106448</v>
      </c>
      <c r="V234" s="143">
        <f t="shared" si="214"/>
        <v>5.9776956360106448</v>
      </c>
      <c r="W234" s="143">
        <f t="shared" si="214"/>
        <v>5.9776956360106448</v>
      </c>
      <c r="X234" s="143">
        <f t="shared" si="214"/>
        <v>5.9776956360106448</v>
      </c>
      <c r="Y234" s="143">
        <f t="shared" si="214"/>
        <v>5.9776956360106448</v>
      </c>
    </row>
    <row r="235" spans="5:25" x14ac:dyDescent="0.25">
      <c r="F235" s="150" t="s">
        <v>197</v>
      </c>
      <c r="G235" s="23" t="s">
        <v>283</v>
      </c>
      <c r="J235" s="143">
        <f t="shared" ref="J235:Y235" si="215">J207 * J224 * hours_in_year</f>
        <v>6.382233898829444</v>
      </c>
      <c r="K235" s="143">
        <f t="shared" si="215"/>
        <v>6.382233898829444</v>
      </c>
      <c r="L235" s="143">
        <f t="shared" si="215"/>
        <v>6.382233898829444</v>
      </c>
      <c r="M235" s="143">
        <f t="shared" si="215"/>
        <v>6.382233898829444</v>
      </c>
      <c r="N235" s="143">
        <f t="shared" si="215"/>
        <v>6.382233898829444</v>
      </c>
      <c r="O235" s="143">
        <f t="shared" si="215"/>
        <v>6.382233898829444</v>
      </c>
      <c r="P235" s="143">
        <f t="shared" si="215"/>
        <v>6.382233898829444</v>
      </c>
      <c r="Q235" s="143">
        <f t="shared" si="215"/>
        <v>18.534087505299262</v>
      </c>
      <c r="R235" s="143">
        <f t="shared" si="215"/>
        <v>6.382233898829444</v>
      </c>
      <c r="S235" s="143">
        <f t="shared" si="215"/>
        <v>6.382233898829444</v>
      </c>
      <c r="T235" s="143">
        <f t="shared" si="215"/>
        <v>6.382233898829444</v>
      </c>
      <c r="U235" s="143">
        <f t="shared" si="215"/>
        <v>6.382233898829444</v>
      </c>
      <c r="V235" s="143">
        <f t="shared" si="215"/>
        <v>6.382233898829444</v>
      </c>
      <c r="W235" s="143">
        <f t="shared" si="215"/>
        <v>6.382233898829444</v>
      </c>
      <c r="X235" s="143">
        <f t="shared" si="215"/>
        <v>6.382233898829444</v>
      </c>
      <c r="Y235" s="143">
        <f t="shared" si="215"/>
        <v>6.382233898829444</v>
      </c>
    </row>
    <row r="236" spans="5:25" x14ac:dyDescent="0.25">
      <c r="F236" s="150" t="s">
        <v>198</v>
      </c>
      <c r="G236" s="23" t="s">
        <v>283</v>
      </c>
      <c r="J236" s="143">
        <f t="shared" ref="J236:Y236" si="216">J212 * J224 * hours_in_year</f>
        <v>6.382233898829444</v>
      </c>
      <c r="K236" s="143">
        <f t="shared" si="216"/>
        <v>6.382233898829444</v>
      </c>
      <c r="L236" s="143">
        <f t="shared" si="216"/>
        <v>6.382233898829444</v>
      </c>
      <c r="M236" s="143">
        <f t="shared" si="216"/>
        <v>6.382233898829444</v>
      </c>
      <c r="N236" s="143">
        <f t="shared" si="216"/>
        <v>6.382233898829444</v>
      </c>
      <c r="O236" s="143">
        <f t="shared" si="216"/>
        <v>6.382233898829444</v>
      </c>
      <c r="P236" s="143">
        <f t="shared" si="216"/>
        <v>6.382233898829444</v>
      </c>
      <c r="Q236" s="143">
        <f t="shared" si="216"/>
        <v>18.534087505299262</v>
      </c>
      <c r="R236" s="143">
        <f t="shared" si="216"/>
        <v>6.382233898829444</v>
      </c>
      <c r="S236" s="143">
        <f t="shared" si="216"/>
        <v>6.382233898829444</v>
      </c>
      <c r="T236" s="143">
        <f t="shared" si="216"/>
        <v>6.382233898829444</v>
      </c>
      <c r="U236" s="143">
        <f t="shared" si="216"/>
        <v>6.382233898829444</v>
      </c>
      <c r="V236" s="143">
        <f t="shared" si="216"/>
        <v>6.382233898829444</v>
      </c>
      <c r="W236" s="143">
        <f t="shared" si="216"/>
        <v>6.382233898829444</v>
      </c>
      <c r="X236" s="143">
        <f t="shared" si="216"/>
        <v>6.382233898829444</v>
      </c>
      <c r="Y236" s="143">
        <f t="shared" si="216"/>
        <v>6.382233898829444</v>
      </c>
    </row>
    <row r="237" spans="5:25" x14ac:dyDescent="0.25">
      <c r="F237" s="151" t="s">
        <v>199</v>
      </c>
      <c r="G237" s="57" t="s">
        <v>283</v>
      </c>
      <c r="H237" s="28"/>
      <c r="I237" s="28"/>
      <c r="J237" s="143">
        <f t="shared" ref="J237:Y237" si="217">J217 * J224 * hours_in_year</f>
        <v>6.382233898829444</v>
      </c>
      <c r="K237" s="143">
        <f t="shared" si="217"/>
        <v>6.382233898829444</v>
      </c>
      <c r="L237" s="143">
        <f t="shared" si="217"/>
        <v>6.382233898829444</v>
      </c>
      <c r="M237" s="143">
        <f t="shared" si="217"/>
        <v>6.382233898829444</v>
      </c>
      <c r="N237" s="143">
        <f t="shared" si="217"/>
        <v>6.382233898829444</v>
      </c>
      <c r="O237" s="143">
        <f t="shared" si="217"/>
        <v>6.382233898829444</v>
      </c>
      <c r="P237" s="143">
        <f t="shared" si="217"/>
        <v>6.382233898829444</v>
      </c>
      <c r="Q237" s="143">
        <f t="shared" si="217"/>
        <v>18.534087505299262</v>
      </c>
      <c r="R237" s="143">
        <f t="shared" si="217"/>
        <v>6.382233898829444</v>
      </c>
      <c r="S237" s="143">
        <f t="shared" si="217"/>
        <v>6.382233898829444</v>
      </c>
      <c r="T237" s="143">
        <f t="shared" si="217"/>
        <v>6.382233898829444</v>
      </c>
      <c r="U237" s="143">
        <f t="shared" si="217"/>
        <v>6.382233898829444</v>
      </c>
      <c r="V237" s="143">
        <f t="shared" si="217"/>
        <v>6.382233898829444</v>
      </c>
      <c r="W237" s="143">
        <f t="shared" si="217"/>
        <v>6.382233898829444</v>
      </c>
      <c r="X237" s="143">
        <f t="shared" si="217"/>
        <v>6.382233898829444</v>
      </c>
      <c r="Y237" s="143">
        <f t="shared" si="217"/>
        <v>6.382233898829444</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157</v>
      </c>
      <c r="G239" s="23"/>
      <c r="J239" s="79"/>
      <c r="K239" s="79"/>
      <c r="L239" s="79"/>
      <c r="M239" s="79"/>
      <c r="N239" s="79"/>
      <c r="O239" s="79"/>
      <c r="P239" s="79"/>
      <c r="Q239" s="79"/>
      <c r="R239" s="79"/>
      <c r="S239" s="79"/>
      <c r="T239" s="79"/>
      <c r="U239" s="79"/>
      <c r="V239" s="79"/>
      <c r="W239" s="79"/>
      <c r="X239" s="79"/>
      <c r="Y239" s="79"/>
    </row>
    <row r="240" spans="5:25" x14ac:dyDescent="0.25">
      <c r="F240" s="54" t="s">
        <v>191</v>
      </c>
      <c r="G240" s="54" t="s">
        <v>283</v>
      </c>
      <c r="H240" s="19"/>
      <c r="I240" s="19"/>
      <c r="J240" s="143">
        <f t="shared" ref="J240:Y240" si="218">J178 * J225 * hours_in_year</f>
        <v>0.63905733956435817</v>
      </c>
      <c r="K240" s="143">
        <f t="shared" si="218"/>
        <v>0.63905733956435817</v>
      </c>
      <c r="L240" s="143">
        <f t="shared" si="218"/>
        <v>0.63905733956435817</v>
      </c>
      <c r="M240" s="143">
        <f t="shared" si="218"/>
        <v>0.63905733956435817</v>
      </c>
      <c r="N240" s="143">
        <f t="shared" si="218"/>
        <v>0.63905733956435817</v>
      </c>
      <c r="O240" s="143">
        <f t="shared" si="218"/>
        <v>0.63905733956435817</v>
      </c>
      <c r="P240" s="143">
        <f t="shared" si="218"/>
        <v>0.63905733956435817</v>
      </c>
      <c r="Q240" s="143">
        <f t="shared" si="218"/>
        <v>0.66891093277616098</v>
      </c>
      <c r="R240" s="143">
        <f t="shared" si="218"/>
        <v>0.63905733956435817</v>
      </c>
      <c r="S240" s="143">
        <f t="shared" si="218"/>
        <v>0.63905733956435817</v>
      </c>
      <c r="T240" s="143">
        <f t="shared" si="218"/>
        <v>0.63905733956435817</v>
      </c>
      <c r="U240" s="143">
        <f t="shared" si="218"/>
        <v>0.63905733956435817</v>
      </c>
      <c r="V240" s="143">
        <f t="shared" si="218"/>
        <v>0.63905733956435817</v>
      </c>
      <c r="W240" s="143">
        <f t="shared" si="218"/>
        <v>0.63905733956435817</v>
      </c>
      <c r="X240" s="143">
        <f t="shared" si="218"/>
        <v>0.63905733956435817</v>
      </c>
      <c r="Y240" s="143">
        <f t="shared" si="218"/>
        <v>0.63905733956435817</v>
      </c>
    </row>
    <row r="241" spans="5:25" x14ac:dyDescent="0.25">
      <c r="F241" s="23" t="s">
        <v>192</v>
      </c>
      <c r="G241" s="23" t="s">
        <v>283</v>
      </c>
      <c r="J241" s="143">
        <f t="shared" ref="J241:Y241" si="219">J183 * J225 * hours_in_year</f>
        <v>1.2992963933231838</v>
      </c>
      <c r="K241" s="143">
        <f t="shared" si="219"/>
        <v>1.2992963933231838</v>
      </c>
      <c r="L241" s="143">
        <f t="shared" si="219"/>
        <v>1.2992963933231838</v>
      </c>
      <c r="M241" s="143">
        <f t="shared" si="219"/>
        <v>1.2992963933231838</v>
      </c>
      <c r="N241" s="143">
        <f t="shared" si="219"/>
        <v>1.2992963933231838</v>
      </c>
      <c r="O241" s="143">
        <f t="shared" si="219"/>
        <v>1.2992963933231838</v>
      </c>
      <c r="P241" s="143">
        <f t="shared" si="219"/>
        <v>1.2992963933231838</v>
      </c>
      <c r="Q241" s="143">
        <f t="shared" si="219"/>
        <v>1.1569794040914516</v>
      </c>
      <c r="R241" s="143">
        <f t="shared" si="219"/>
        <v>1.2992963933231838</v>
      </c>
      <c r="S241" s="143">
        <f t="shared" si="219"/>
        <v>1.2992963933231838</v>
      </c>
      <c r="T241" s="143">
        <f t="shared" si="219"/>
        <v>1.2992963933231838</v>
      </c>
      <c r="U241" s="143">
        <f t="shared" si="219"/>
        <v>1.2992963933231838</v>
      </c>
      <c r="V241" s="143">
        <f t="shared" si="219"/>
        <v>1.2992963933231838</v>
      </c>
      <c r="W241" s="143">
        <f t="shared" si="219"/>
        <v>1.2992963933231838</v>
      </c>
      <c r="X241" s="143">
        <f t="shared" si="219"/>
        <v>1.2992963933231838</v>
      </c>
      <c r="Y241" s="143">
        <f t="shared" si="219"/>
        <v>1.2992963933231838</v>
      </c>
    </row>
    <row r="242" spans="5:25" x14ac:dyDescent="0.25">
      <c r="F242" s="23" t="s">
        <v>193</v>
      </c>
      <c r="G242" s="23" t="s">
        <v>283</v>
      </c>
      <c r="J242" s="143">
        <f t="shared" ref="J242:Y242" si="220">J188 * J225 * hours_in_year</f>
        <v>1.2992963933231838</v>
      </c>
      <c r="K242" s="143">
        <f t="shared" si="220"/>
        <v>1.2992963933231838</v>
      </c>
      <c r="L242" s="143">
        <f t="shared" si="220"/>
        <v>1.2992963933231838</v>
      </c>
      <c r="M242" s="143">
        <f t="shared" si="220"/>
        <v>1.2992963933231838</v>
      </c>
      <c r="N242" s="143">
        <f t="shared" si="220"/>
        <v>1.2992963933231838</v>
      </c>
      <c r="O242" s="143">
        <f t="shared" si="220"/>
        <v>1.2992963933231838</v>
      </c>
      <c r="P242" s="143">
        <f t="shared" si="220"/>
        <v>1.2992963933231838</v>
      </c>
      <c r="Q242" s="143">
        <f t="shared" si="220"/>
        <v>1.1569794040914516</v>
      </c>
      <c r="R242" s="143">
        <f t="shared" si="220"/>
        <v>1.2992963933231838</v>
      </c>
      <c r="S242" s="143">
        <f t="shared" si="220"/>
        <v>1.2992963933231838</v>
      </c>
      <c r="T242" s="143">
        <f t="shared" si="220"/>
        <v>1.2992963933231838</v>
      </c>
      <c r="U242" s="143">
        <f t="shared" si="220"/>
        <v>1.2992963933231838</v>
      </c>
      <c r="V242" s="143">
        <f t="shared" si="220"/>
        <v>1.2992963933231838</v>
      </c>
      <c r="W242" s="143">
        <f t="shared" si="220"/>
        <v>1.2992963933231838</v>
      </c>
      <c r="X242" s="143">
        <f t="shared" si="220"/>
        <v>1.2992963933231838</v>
      </c>
      <c r="Y242" s="143">
        <f t="shared" si="220"/>
        <v>1.2992963933231838</v>
      </c>
    </row>
    <row r="243" spans="5:25" x14ac:dyDescent="0.25">
      <c r="F243" s="23" t="s">
        <v>194</v>
      </c>
      <c r="G243" s="23" t="s">
        <v>283</v>
      </c>
      <c r="J243" s="143">
        <f t="shared" ref="J243:Y243" si="221">J193 * J225 * hours_in_year</f>
        <v>1.0970652362764857</v>
      </c>
      <c r="K243" s="143">
        <f t="shared" si="221"/>
        <v>1.0970652362764857</v>
      </c>
      <c r="L243" s="143">
        <f t="shared" si="221"/>
        <v>1.0970652362764857</v>
      </c>
      <c r="M243" s="143">
        <f t="shared" si="221"/>
        <v>1.0970652362764857</v>
      </c>
      <c r="N243" s="143">
        <f t="shared" si="221"/>
        <v>1.0970652362764857</v>
      </c>
      <c r="O243" s="143">
        <f t="shared" si="221"/>
        <v>1.0970652362764857</v>
      </c>
      <c r="P243" s="143">
        <f t="shared" si="221"/>
        <v>1.0970652362764857</v>
      </c>
      <c r="Q243" s="143">
        <f t="shared" si="221"/>
        <v>0.96513810318210658</v>
      </c>
      <c r="R243" s="143">
        <f t="shared" si="221"/>
        <v>1.0970652362764857</v>
      </c>
      <c r="S243" s="143">
        <f t="shared" si="221"/>
        <v>1.0970652362764857</v>
      </c>
      <c r="T243" s="143">
        <f t="shared" si="221"/>
        <v>1.0970652362764857</v>
      </c>
      <c r="U243" s="143">
        <f t="shared" si="221"/>
        <v>1.0970652362764857</v>
      </c>
      <c r="V243" s="143">
        <f t="shared" si="221"/>
        <v>1.0970652362764857</v>
      </c>
      <c r="W243" s="143">
        <f t="shared" si="221"/>
        <v>1.0970652362764857</v>
      </c>
      <c r="X243" s="143">
        <f t="shared" si="221"/>
        <v>1.0970652362764857</v>
      </c>
      <c r="Y243" s="143">
        <f t="shared" si="221"/>
        <v>1.0970652362764857</v>
      </c>
    </row>
    <row r="244" spans="5:25" x14ac:dyDescent="0.25">
      <c r="F244" s="23" t="s">
        <v>195</v>
      </c>
      <c r="G244" s="23" t="s">
        <v>283</v>
      </c>
      <c r="J244" s="143">
        <f t="shared" ref="J244:Y244" si="222">J198 * J225 * hours_in_year</f>
        <v>1.0970652362764857</v>
      </c>
      <c r="K244" s="143">
        <f t="shared" si="222"/>
        <v>1.0970652362764857</v>
      </c>
      <c r="L244" s="143">
        <f t="shared" si="222"/>
        <v>1.0970652362764857</v>
      </c>
      <c r="M244" s="143">
        <f t="shared" si="222"/>
        <v>1.0970652362764857</v>
      </c>
      <c r="N244" s="143">
        <f t="shared" si="222"/>
        <v>1.0970652362764857</v>
      </c>
      <c r="O244" s="143">
        <f t="shared" si="222"/>
        <v>1.0970652362764857</v>
      </c>
      <c r="P244" s="143">
        <f t="shared" si="222"/>
        <v>1.0970652362764857</v>
      </c>
      <c r="Q244" s="143">
        <f t="shared" si="222"/>
        <v>0.96513810318210658</v>
      </c>
      <c r="R244" s="143">
        <f t="shared" si="222"/>
        <v>1.0970652362764857</v>
      </c>
      <c r="S244" s="143">
        <f t="shared" si="222"/>
        <v>1.0970652362764857</v>
      </c>
      <c r="T244" s="143">
        <f t="shared" si="222"/>
        <v>1.0970652362764857</v>
      </c>
      <c r="U244" s="143">
        <f t="shared" si="222"/>
        <v>1.0970652362764857</v>
      </c>
      <c r="V244" s="143">
        <f t="shared" si="222"/>
        <v>1.0970652362764857</v>
      </c>
      <c r="W244" s="143">
        <f t="shared" si="222"/>
        <v>1.0970652362764857</v>
      </c>
      <c r="X244" s="143">
        <f t="shared" si="222"/>
        <v>1.0970652362764857</v>
      </c>
      <c r="Y244" s="143">
        <f t="shared" si="222"/>
        <v>1.0970652362764857</v>
      </c>
    </row>
    <row r="245" spans="5:25" x14ac:dyDescent="0.25">
      <c r="F245" s="23" t="s">
        <v>196</v>
      </c>
      <c r="G245" s="23" t="s">
        <v>283</v>
      </c>
      <c r="J245" s="143">
        <f t="shared" ref="J245:Y245" si="223">J203 * J225 * hours_in_year</f>
        <v>1.2992963933231838</v>
      </c>
      <c r="K245" s="143">
        <f t="shared" si="223"/>
        <v>1.2992963933231838</v>
      </c>
      <c r="L245" s="143">
        <f t="shared" si="223"/>
        <v>1.2992963933231838</v>
      </c>
      <c r="M245" s="143">
        <f t="shared" si="223"/>
        <v>1.2992963933231838</v>
      </c>
      <c r="N245" s="143">
        <f t="shared" si="223"/>
        <v>1.2992963933231838</v>
      </c>
      <c r="O245" s="143">
        <f t="shared" si="223"/>
        <v>1.2992963933231838</v>
      </c>
      <c r="P245" s="143">
        <f t="shared" si="223"/>
        <v>1.2992963933231838</v>
      </c>
      <c r="Q245" s="143">
        <f t="shared" si="223"/>
        <v>1.1569794040914516</v>
      </c>
      <c r="R245" s="143">
        <f t="shared" si="223"/>
        <v>1.2992963933231838</v>
      </c>
      <c r="S245" s="143">
        <f t="shared" si="223"/>
        <v>1.2992963933231838</v>
      </c>
      <c r="T245" s="143">
        <f t="shared" si="223"/>
        <v>1.2992963933231838</v>
      </c>
      <c r="U245" s="143">
        <f t="shared" si="223"/>
        <v>1.2992963933231838</v>
      </c>
      <c r="V245" s="143">
        <f t="shared" si="223"/>
        <v>1.2992963933231838</v>
      </c>
      <c r="W245" s="143">
        <f t="shared" si="223"/>
        <v>1.2992963933231838</v>
      </c>
      <c r="X245" s="143">
        <f t="shared" si="223"/>
        <v>1.2992963933231838</v>
      </c>
      <c r="Y245" s="143">
        <f t="shared" si="223"/>
        <v>1.2992963933231838</v>
      </c>
    </row>
    <row r="246" spans="5:25" x14ac:dyDescent="0.25">
      <c r="F246" s="23" t="s">
        <v>197</v>
      </c>
      <c r="G246" s="23" t="s">
        <v>283</v>
      </c>
      <c r="J246" s="143">
        <f t="shared" ref="J246:Y246" si="224">J208 * J225 * hours_in_year</f>
        <v>1.0970652362764857</v>
      </c>
      <c r="K246" s="143">
        <f t="shared" si="224"/>
        <v>1.0970652362764857</v>
      </c>
      <c r="L246" s="143">
        <f t="shared" si="224"/>
        <v>1.0970652362764857</v>
      </c>
      <c r="M246" s="143">
        <f t="shared" si="224"/>
        <v>1.0970652362764857</v>
      </c>
      <c r="N246" s="143">
        <f t="shared" si="224"/>
        <v>1.0970652362764857</v>
      </c>
      <c r="O246" s="143">
        <f t="shared" si="224"/>
        <v>1.0970652362764857</v>
      </c>
      <c r="P246" s="143">
        <f t="shared" si="224"/>
        <v>1.0970652362764857</v>
      </c>
      <c r="Q246" s="143">
        <f t="shared" si="224"/>
        <v>0.96513810318210658</v>
      </c>
      <c r="R246" s="143">
        <f t="shared" si="224"/>
        <v>1.0970652362764857</v>
      </c>
      <c r="S246" s="143">
        <f t="shared" si="224"/>
        <v>1.0970652362764857</v>
      </c>
      <c r="T246" s="143">
        <f t="shared" si="224"/>
        <v>1.0970652362764857</v>
      </c>
      <c r="U246" s="143">
        <f t="shared" si="224"/>
        <v>1.0970652362764857</v>
      </c>
      <c r="V246" s="143">
        <f t="shared" si="224"/>
        <v>1.0970652362764857</v>
      </c>
      <c r="W246" s="143">
        <f t="shared" si="224"/>
        <v>1.0970652362764857</v>
      </c>
      <c r="X246" s="143">
        <f t="shared" si="224"/>
        <v>1.0970652362764857</v>
      </c>
      <c r="Y246" s="143">
        <f t="shared" si="224"/>
        <v>1.0970652362764857</v>
      </c>
    </row>
    <row r="247" spans="5:25" x14ac:dyDescent="0.25">
      <c r="F247" s="23" t="s">
        <v>198</v>
      </c>
      <c r="G247" s="23" t="s">
        <v>283</v>
      </c>
      <c r="J247" s="143">
        <f t="shared" ref="J247:Y247" si="225">J213 * J225 * hours_in_year</f>
        <v>1.0970652362764857</v>
      </c>
      <c r="K247" s="143">
        <f t="shared" si="225"/>
        <v>1.0970652362764857</v>
      </c>
      <c r="L247" s="143">
        <f t="shared" si="225"/>
        <v>1.0970652362764857</v>
      </c>
      <c r="M247" s="143">
        <f t="shared" si="225"/>
        <v>1.0970652362764857</v>
      </c>
      <c r="N247" s="143">
        <f t="shared" si="225"/>
        <v>1.0970652362764857</v>
      </c>
      <c r="O247" s="143">
        <f t="shared" si="225"/>
        <v>1.0970652362764857</v>
      </c>
      <c r="P247" s="143">
        <f t="shared" si="225"/>
        <v>1.0970652362764857</v>
      </c>
      <c r="Q247" s="143">
        <f t="shared" si="225"/>
        <v>0.96513810318210658</v>
      </c>
      <c r="R247" s="143">
        <f t="shared" si="225"/>
        <v>1.0970652362764857</v>
      </c>
      <c r="S247" s="143">
        <f t="shared" si="225"/>
        <v>1.0970652362764857</v>
      </c>
      <c r="T247" s="143">
        <f t="shared" si="225"/>
        <v>1.0970652362764857</v>
      </c>
      <c r="U247" s="143">
        <f t="shared" si="225"/>
        <v>1.0970652362764857</v>
      </c>
      <c r="V247" s="143">
        <f t="shared" si="225"/>
        <v>1.0970652362764857</v>
      </c>
      <c r="W247" s="143">
        <f t="shared" si="225"/>
        <v>1.0970652362764857</v>
      </c>
      <c r="X247" s="143">
        <f t="shared" si="225"/>
        <v>1.0970652362764857</v>
      </c>
      <c r="Y247" s="143">
        <f t="shared" si="225"/>
        <v>1.0970652362764857</v>
      </c>
    </row>
    <row r="248" spans="5:25" x14ac:dyDescent="0.25">
      <c r="F248" s="57" t="s">
        <v>199</v>
      </c>
      <c r="G248" s="57" t="s">
        <v>283</v>
      </c>
      <c r="H248" s="28"/>
      <c r="I248" s="28"/>
      <c r="J248" s="143">
        <f t="shared" ref="J248:Y248" si="226">J218 * J225 * hours_in_year</f>
        <v>1.0970652362764857</v>
      </c>
      <c r="K248" s="143">
        <f t="shared" si="226"/>
        <v>1.0970652362764857</v>
      </c>
      <c r="L248" s="143">
        <f t="shared" si="226"/>
        <v>1.0970652362764857</v>
      </c>
      <c r="M248" s="143">
        <f t="shared" si="226"/>
        <v>1.0970652362764857</v>
      </c>
      <c r="N248" s="143">
        <f t="shared" si="226"/>
        <v>1.0970652362764857</v>
      </c>
      <c r="O248" s="143">
        <f t="shared" si="226"/>
        <v>1.0970652362764857</v>
      </c>
      <c r="P248" s="143">
        <f t="shared" si="226"/>
        <v>1.0970652362764857</v>
      </c>
      <c r="Q248" s="143">
        <f t="shared" si="226"/>
        <v>0.96513810318210658</v>
      </c>
      <c r="R248" s="143">
        <f t="shared" si="226"/>
        <v>1.0970652362764857</v>
      </c>
      <c r="S248" s="143">
        <f t="shared" si="226"/>
        <v>1.0970652362764857</v>
      </c>
      <c r="T248" s="143">
        <f t="shared" si="226"/>
        <v>1.0970652362764857</v>
      </c>
      <c r="U248" s="143">
        <f t="shared" si="226"/>
        <v>1.0970652362764857</v>
      </c>
      <c r="V248" s="143">
        <f t="shared" si="226"/>
        <v>1.0970652362764857</v>
      </c>
      <c r="W248" s="143">
        <f t="shared" si="226"/>
        <v>1.0970652362764857</v>
      </c>
      <c r="X248" s="143">
        <f t="shared" si="226"/>
        <v>1.0970652362764857</v>
      </c>
      <c r="Y248" s="143">
        <f t="shared" si="226"/>
        <v>1.0970652362764857</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158</v>
      </c>
      <c r="G250" s="23"/>
      <c r="J250" s="79"/>
      <c r="K250" s="79"/>
      <c r="L250" s="79"/>
      <c r="M250" s="79"/>
      <c r="N250" s="79"/>
      <c r="O250" s="79"/>
      <c r="P250" s="79"/>
      <c r="Q250" s="79"/>
      <c r="R250" s="79"/>
      <c r="S250" s="79"/>
      <c r="T250" s="79"/>
      <c r="U250" s="79"/>
      <c r="V250" s="79"/>
      <c r="W250" s="79"/>
      <c r="X250" s="79"/>
      <c r="Y250" s="79"/>
    </row>
    <row r="251" spans="5:25" x14ac:dyDescent="0.25">
      <c r="F251" s="54" t="s">
        <v>191</v>
      </c>
      <c r="G251" s="54" t="s">
        <v>283</v>
      </c>
      <c r="H251" s="19"/>
      <c r="I251" s="19"/>
      <c r="J251" s="143">
        <f t="shared" ref="J251:Y251" si="227">J179 * J226 * hours_in_year</f>
        <v>0</v>
      </c>
      <c r="K251" s="143">
        <f t="shared" si="227"/>
        <v>0</v>
      </c>
      <c r="L251" s="143">
        <f t="shared" si="227"/>
        <v>0</v>
      </c>
      <c r="M251" s="143">
        <f t="shared" si="227"/>
        <v>0</v>
      </c>
      <c r="N251" s="143">
        <f t="shared" si="227"/>
        <v>0</v>
      </c>
      <c r="O251" s="143">
        <f t="shared" si="227"/>
        <v>0</v>
      </c>
      <c r="P251" s="143">
        <f t="shared" si="227"/>
        <v>0</v>
      </c>
      <c r="Q251" s="143">
        <f t="shared" si="227"/>
        <v>0</v>
      </c>
      <c r="R251" s="143">
        <f t="shared" si="227"/>
        <v>0</v>
      </c>
      <c r="S251" s="143">
        <f t="shared" si="227"/>
        <v>0</v>
      </c>
      <c r="T251" s="143">
        <f t="shared" si="227"/>
        <v>0</v>
      </c>
      <c r="U251" s="143">
        <f t="shared" si="227"/>
        <v>0</v>
      </c>
      <c r="V251" s="143">
        <f t="shared" si="227"/>
        <v>0</v>
      </c>
      <c r="W251" s="143">
        <f t="shared" si="227"/>
        <v>0</v>
      </c>
      <c r="X251" s="143">
        <f t="shared" si="227"/>
        <v>0</v>
      </c>
      <c r="Y251" s="143">
        <f t="shared" si="227"/>
        <v>0</v>
      </c>
    </row>
    <row r="252" spans="5:25" x14ac:dyDescent="0.25">
      <c r="F252" s="23" t="s">
        <v>192</v>
      </c>
      <c r="G252" s="23" t="s">
        <v>283</v>
      </c>
      <c r="J252" s="143">
        <f t="shared" ref="J252:Y252" si="228">J184 * J226 * hours_in_year</f>
        <v>0.10889614147504829</v>
      </c>
      <c r="K252" s="143">
        <f t="shared" si="228"/>
        <v>0.10889614147504829</v>
      </c>
      <c r="L252" s="143">
        <f t="shared" si="228"/>
        <v>0.10889614147504829</v>
      </c>
      <c r="M252" s="143">
        <f t="shared" si="228"/>
        <v>0.10889614147504829</v>
      </c>
      <c r="N252" s="143">
        <f t="shared" si="228"/>
        <v>0.10889614147504829</v>
      </c>
      <c r="O252" s="143">
        <f t="shared" si="228"/>
        <v>0.10889614147504829</v>
      </c>
      <c r="P252" s="143">
        <f t="shared" si="228"/>
        <v>0.10889614147504829</v>
      </c>
      <c r="Q252" s="143">
        <f t="shared" si="228"/>
        <v>0.10889614147504829</v>
      </c>
      <c r="R252" s="143">
        <f t="shared" si="228"/>
        <v>0.10889614147504829</v>
      </c>
      <c r="S252" s="143">
        <f t="shared" si="228"/>
        <v>0.10889614147504829</v>
      </c>
      <c r="T252" s="143">
        <f t="shared" si="228"/>
        <v>0.10889614147504829</v>
      </c>
      <c r="U252" s="143">
        <f t="shared" si="228"/>
        <v>0.10889614147504829</v>
      </c>
      <c r="V252" s="143">
        <f t="shared" si="228"/>
        <v>0.10889614147504829</v>
      </c>
      <c r="W252" s="143">
        <f t="shared" si="228"/>
        <v>0.10889614147504829</v>
      </c>
      <c r="X252" s="143">
        <f t="shared" si="228"/>
        <v>0.10889614147504829</v>
      </c>
      <c r="Y252" s="143">
        <f t="shared" si="228"/>
        <v>0.10889614147504829</v>
      </c>
    </row>
    <row r="253" spans="5:25" x14ac:dyDescent="0.25">
      <c r="F253" s="23" t="s">
        <v>193</v>
      </c>
      <c r="G253" s="23" t="s">
        <v>283</v>
      </c>
      <c r="J253" s="143">
        <f t="shared" ref="J253:Y253" si="229">J189 * J226 * hours_in_year</f>
        <v>0.10889614147504829</v>
      </c>
      <c r="K253" s="143">
        <f t="shared" si="229"/>
        <v>0.10889614147504829</v>
      </c>
      <c r="L253" s="143">
        <f t="shared" si="229"/>
        <v>0.10889614147504829</v>
      </c>
      <c r="M253" s="143">
        <f t="shared" si="229"/>
        <v>0.10889614147504829</v>
      </c>
      <c r="N253" s="143">
        <f t="shared" si="229"/>
        <v>0.10889614147504829</v>
      </c>
      <c r="O253" s="143">
        <f t="shared" si="229"/>
        <v>0.10889614147504829</v>
      </c>
      <c r="P253" s="143">
        <f t="shared" si="229"/>
        <v>0.10889614147504829</v>
      </c>
      <c r="Q253" s="143">
        <f t="shared" si="229"/>
        <v>0.10889614147504829</v>
      </c>
      <c r="R253" s="143">
        <f t="shared" si="229"/>
        <v>0.10889614147504829</v>
      </c>
      <c r="S253" s="143">
        <f t="shared" si="229"/>
        <v>0.10889614147504829</v>
      </c>
      <c r="T253" s="143">
        <f t="shared" si="229"/>
        <v>0.10889614147504829</v>
      </c>
      <c r="U253" s="143">
        <f t="shared" si="229"/>
        <v>0.10889614147504829</v>
      </c>
      <c r="V253" s="143">
        <f t="shared" si="229"/>
        <v>0.10889614147504829</v>
      </c>
      <c r="W253" s="143">
        <f t="shared" si="229"/>
        <v>0.10889614147504829</v>
      </c>
      <c r="X253" s="143">
        <f t="shared" si="229"/>
        <v>0.10889614147504829</v>
      </c>
      <c r="Y253" s="143">
        <f t="shared" si="229"/>
        <v>0.10889614147504829</v>
      </c>
    </row>
    <row r="254" spans="5:25" x14ac:dyDescent="0.25">
      <c r="F254" s="23" t="s">
        <v>194</v>
      </c>
      <c r="G254" s="23" t="s">
        <v>283</v>
      </c>
      <c r="J254" s="143">
        <f t="shared" ref="J254:Y254" si="230">J194 * J226 * hours_in_year</f>
        <v>0.15374847627573507</v>
      </c>
      <c r="K254" s="143">
        <f t="shared" si="230"/>
        <v>0.15374847627573507</v>
      </c>
      <c r="L254" s="143">
        <f t="shared" si="230"/>
        <v>0.15374847627573507</v>
      </c>
      <c r="M254" s="143">
        <f t="shared" si="230"/>
        <v>0.15374847627573507</v>
      </c>
      <c r="N254" s="143">
        <f t="shared" si="230"/>
        <v>0.15374847627573507</v>
      </c>
      <c r="O254" s="143">
        <f t="shared" si="230"/>
        <v>0.15374847627573507</v>
      </c>
      <c r="P254" s="143">
        <f t="shared" si="230"/>
        <v>0.15374847627573507</v>
      </c>
      <c r="Q254" s="143">
        <f t="shared" si="230"/>
        <v>0.15374847627573507</v>
      </c>
      <c r="R254" s="143">
        <f t="shared" si="230"/>
        <v>0.15374847627573507</v>
      </c>
      <c r="S254" s="143">
        <f t="shared" si="230"/>
        <v>0.15374847627573507</v>
      </c>
      <c r="T254" s="143">
        <f t="shared" si="230"/>
        <v>0.15374847627573507</v>
      </c>
      <c r="U254" s="143">
        <f t="shared" si="230"/>
        <v>0.15374847627573507</v>
      </c>
      <c r="V254" s="143">
        <f t="shared" si="230"/>
        <v>0.15374847627573507</v>
      </c>
      <c r="W254" s="143">
        <f t="shared" si="230"/>
        <v>0.15374847627573507</v>
      </c>
      <c r="X254" s="143">
        <f t="shared" si="230"/>
        <v>0.15374847627573507</v>
      </c>
      <c r="Y254" s="143">
        <f t="shared" si="230"/>
        <v>0.15374847627573507</v>
      </c>
    </row>
    <row r="255" spans="5:25" x14ac:dyDescent="0.25">
      <c r="F255" s="23" t="s">
        <v>195</v>
      </c>
      <c r="G255" s="23" t="s">
        <v>283</v>
      </c>
      <c r="J255" s="143">
        <f t="shared" ref="J255:Y255" si="231">J199 * J226 * hours_in_year</f>
        <v>0.15374847627573507</v>
      </c>
      <c r="K255" s="143">
        <f t="shared" si="231"/>
        <v>0.15374847627573507</v>
      </c>
      <c r="L255" s="143">
        <f t="shared" si="231"/>
        <v>0.15374847627573507</v>
      </c>
      <c r="M255" s="143">
        <f t="shared" si="231"/>
        <v>0.15374847627573507</v>
      </c>
      <c r="N255" s="143">
        <f t="shared" si="231"/>
        <v>0.15374847627573507</v>
      </c>
      <c r="O255" s="143">
        <f t="shared" si="231"/>
        <v>0.15374847627573507</v>
      </c>
      <c r="P255" s="143">
        <f t="shared" si="231"/>
        <v>0.15374847627573507</v>
      </c>
      <c r="Q255" s="143">
        <f t="shared" si="231"/>
        <v>0.15374847627573507</v>
      </c>
      <c r="R255" s="143">
        <f t="shared" si="231"/>
        <v>0.15374847627573507</v>
      </c>
      <c r="S255" s="143">
        <f t="shared" si="231"/>
        <v>0.15374847627573507</v>
      </c>
      <c r="T255" s="143">
        <f t="shared" si="231"/>
        <v>0.15374847627573507</v>
      </c>
      <c r="U255" s="143">
        <f t="shared" si="231"/>
        <v>0.15374847627573507</v>
      </c>
      <c r="V255" s="143">
        <f t="shared" si="231"/>
        <v>0.15374847627573507</v>
      </c>
      <c r="W255" s="143">
        <f t="shared" si="231"/>
        <v>0.15374847627573507</v>
      </c>
      <c r="X255" s="143">
        <f t="shared" si="231"/>
        <v>0.15374847627573507</v>
      </c>
      <c r="Y255" s="143">
        <f t="shared" si="231"/>
        <v>0.15374847627573507</v>
      </c>
    </row>
    <row r="256" spans="5:25" x14ac:dyDescent="0.25">
      <c r="F256" s="23" t="s">
        <v>196</v>
      </c>
      <c r="G256" s="23" t="s">
        <v>283</v>
      </c>
      <c r="J256" s="143">
        <f t="shared" ref="J256:Y256" si="232">J204 * J226 * hours_in_year</f>
        <v>0.10889614147504829</v>
      </c>
      <c r="K256" s="143">
        <f t="shared" si="232"/>
        <v>0.10889614147504829</v>
      </c>
      <c r="L256" s="143">
        <f t="shared" si="232"/>
        <v>0.10889614147504829</v>
      </c>
      <c r="M256" s="143">
        <f t="shared" si="232"/>
        <v>0.10889614147504829</v>
      </c>
      <c r="N256" s="143">
        <f t="shared" si="232"/>
        <v>0.10889614147504829</v>
      </c>
      <c r="O256" s="143">
        <f t="shared" si="232"/>
        <v>0.10889614147504829</v>
      </c>
      <c r="P256" s="143">
        <f t="shared" si="232"/>
        <v>0.10889614147504829</v>
      </c>
      <c r="Q256" s="143">
        <f t="shared" si="232"/>
        <v>0.10889614147504829</v>
      </c>
      <c r="R256" s="143">
        <f t="shared" si="232"/>
        <v>0.10889614147504829</v>
      </c>
      <c r="S256" s="143">
        <f t="shared" si="232"/>
        <v>0.10889614147504829</v>
      </c>
      <c r="T256" s="143">
        <f t="shared" si="232"/>
        <v>0.10889614147504829</v>
      </c>
      <c r="U256" s="143">
        <f t="shared" si="232"/>
        <v>0.10889614147504829</v>
      </c>
      <c r="V256" s="143">
        <f t="shared" si="232"/>
        <v>0.10889614147504829</v>
      </c>
      <c r="W256" s="143">
        <f t="shared" si="232"/>
        <v>0.10889614147504829</v>
      </c>
      <c r="X256" s="143">
        <f t="shared" si="232"/>
        <v>0.10889614147504829</v>
      </c>
      <c r="Y256" s="143">
        <f t="shared" si="232"/>
        <v>0.10889614147504829</v>
      </c>
    </row>
    <row r="257" spans="2:27" x14ac:dyDescent="0.25">
      <c r="F257" s="23" t="s">
        <v>197</v>
      </c>
      <c r="G257" s="23" t="s">
        <v>283</v>
      </c>
      <c r="J257" s="143">
        <f t="shared" ref="J257:Y257" si="233">J209 * J226 * hours_in_year</f>
        <v>0.15374847627573507</v>
      </c>
      <c r="K257" s="143">
        <f t="shared" si="233"/>
        <v>0.15374847627573507</v>
      </c>
      <c r="L257" s="143">
        <f t="shared" si="233"/>
        <v>0.15374847627573507</v>
      </c>
      <c r="M257" s="143">
        <f t="shared" si="233"/>
        <v>0.15374847627573507</v>
      </c>
      <c r="N257" s="143">
        <f t="shared" si="233"/>
        <v>0.15374847627573507</v>
      </c>
      <c r="O257" s="143">
        <f t="shared" si="233"/>
        <v>0.15374847627573507</v>
      </c>
      <c r="P257" s="143">
        <f t="shared" si="233"/>
        <v>0.15374847627573507</v>
      </c>
      <c r="Q257" s="143">
        <f t="shared" si="233"/>
        <v>0.15374847627573507</v>
      </c>
      <c r="R257" s="143">
        <f t="shared" si="233"/>
        <v>0.15374847627573507</v>
      </c>
      <c r="S257" s="143">
        <f t="shared" si="233"/>
        <v>0.15374847627573507</v>
      </c>
      <c r="T257" s="143">
        <f t="shared" si="233"/>
        <v>0.15374847627573507</v>
      </c>
      <c r="U257" s="143">
        <f t="shared" si="233"/>
        <v>0.15374847627573507</v>
      </c>
      <c r="V257" s="143">
        <f t="shared" si="233"/>
        <v>0.15374847627573507</v>
      </c>
      <c r="W257" s="143">
        <f t="shared" si="233"/>
        <v>0.15374847627573507</v>
      </c>
      <c r="X257" s="143">
        <f t="shared" si="233"/>
        <v>0.15374847627573507</v>
      </c>
      <c r="Y257" s="143">
        <f t="shared" si="233"/>
        <v>0.15374847627573507</v>
      </c>
    </row>
    <row r="258" spans="2:27" x14ac:dyDescent="0.25">
      <c r="F258" s="23" t="s">
        <v>198</v>
      </c>
      <c r="G258" s="23" t="s">
        <v>283</v>
      </c>
      <c r="J258" s="143">
        <f t="shared" ref="J258:Y258" si="234">J214 * J226 * hours_in_year</f>
        <v>0.15374847627573507</v>
      </c>
      <c r="K258" s="143">
        <f t="shared" si="234"/>
        <v>0.15374847627573507</v>
      </c>
      <c r="L258" s="143">
        <f t="shared" si="234"/>
        <v>0.15374847627573507</v>
      </c>
      <c r="M258" s="143">
        <f t="shared" si="234"/>
        <v>0.15374847627573507</v>
      </c>
      <c r="N258" s="143">
        <f t="shared" si="234"/>
        <v>0.15374847627573507</v>
      </c>
      <c r="O258" s="143">
        <f t="shared" si="234"/>
        <v>0.15374847627573507</v>
      </c>
      <c r="P258" s="143">
        <f t="shared" si="234"/>
        <v>0.15374847627573507</v>
      </c>
      <c r="Q258" s="143">
        <f t="shared" si="234"/>
        <v>0.15374847627573507</v>
      </c>
      <c r="R258" s="143">
        <f t="shared" si="234"/>
        <v>0.15374847627573507</v>
      </c>
      <c r="S258" s="143">
        <f t="shared" si="234"/>
        <v>0.15374847627573507</v>
      </c>
      <c r="T258" s="143">
        <f t="shared" si="234"/>
        <v>0.15374847627573507</v>
      </c>
      <c r="U258" s="143">
        <f t="shared" si="234"/>
        <v>0.15374847627573507</v>
      </c>
      <c r="V258" s="143">
        <f t="shared" si="234"/>
        <v>0.15374847627573507</v>
      </c>
      <c r="W258" s="143">
        <f t="shared" si="234"/>
        <v>0.15374847627573507</v>
      </c>
      <c r="X258" s="143">
        <f t="shared" si="234"/>
        <v>0.15374847627573507</v>
      </c>
      <c r="Y258" s="143">
        <f t="shared" si="234"/>
        <v>0.15374847627573507</v>
      </c>
    </row>
    <row r="259" spans="2:27" x14ac:dyDescent="0.25">
      <c r="F259" s="57" t="s">
        <v>199</v>
      </c>
      <c r="G259" s="57" t="s">
        <v>283</v>
      </c>
      <c r="H259" s="28"/>
      <c r="I259" s="28"/>
      <c r="J259" s="143">
        <f t="shared" ref="J259:Y259" si="235">J219 * J226 * hours_in_year</f>
        <v>0.15374847627573507</v>
      </c>
      <c r="K259" s="143">
        <f t="shared" si="235"/>
        <v>0.15374847627573507</v>
      </c>
      <c r="L259" s="143">
        <f t="shared" si="235"/>
        <v>0.15374847627573507</v>
      </c>
      <c r="M259" s="143">
        <f t="shared" si="235"/>
        <v>0.15374847627573507</v>
      </c>
      <c r="N259" s="143">
        <f t="shared" si="235"/>
        <v>0.15374847627573507</v>
      </c>
      <c r="O259" s="143">
        <f t="shared" si="235"/>
        <v>0.15374847627573507</v>
      </c>
      <c r="P259" s="143">
        <f t="shared" si="235"/>
        <v>0.15374847627573507</v>
      </c>
      <c r="Q259" s="143">
        <f t="shared" si="235"/>
        <v>0.15374847627573507</v>
      </c>
      <c r="R259" s="143">
        <f t="shared" si="235"/>
        <v>0.15374847627573507</v>
      </c>
      <c r="S259" s="143">
        <f t="shared" si="235"/>
        <v>0.15374847627573507</v>
      </c>
      <c r="T259" s="143">
        <f t="shared" si="235"/>
        <v>0.15374847627573507</v>
      </c>
      <c r="U259" s="143">
        <f t="shared" si="235"/>
        <v>0.15374847627573507</v>
      </c>
      <c r="V259" s="143">
        <f t="shared" si="235"/>
        <v>0.15374847627573507</v>
      </c>
      <c r="W259" s="143">
        <f t="shared" si="235"/>
        <v>0.15374847627573507</v>
      </c>
      <c r="X259" s="143">
        <f t="shared" si="235"/>
        <v>0.15374847627573507</v>
      </c>
      <c r="Y259" s="143">
        <f t="shared" si="235"/>
        <v>0.15374847627573507</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control'!$H$36:$H$59,MATCH($A$1,'Version control'!$F$36:$F$59,0),1)&amp;"-K: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283</v>
      </c>
      <c r="J267" s="111">
        <f>J91</f>
        <v>1.9768840093976425</v>
      </c>
      <c r="K267" s="111">
        <f t="shared" ref="K267:Y267" si="236">K91</f>
        <v>1.9768840093976425</v>
      </c>
      <c r="L267" s="111">
        <f t="shared" si="236"/>
        <v>1.6927989788869366</v>
      </c>
      <c r="M267" s="111">
        <f t="shared" si="236"/>
        <v>1.6927989788869366</v>
      </c>
      <c r="N267" s="111">
        <f t="shared" si="236"/>
        <v>1.4516358663878728</v>
      </c>
      <c r="O267" s="111">
        <f t="shared" si="236"/>
        <v>1.5082403379600262</v>
      </c>
      <c r="P267" s="111">
        <f t="shared" si="236"/>
        <v>1.1537635314633596</v>
      </c>
      <c r="Q267" s="111">
        <f t="shared" si="236"/>
        <v>1.8371876882397689</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control'!$H$36:$H$59,MATCH($A$1,'Version control'!$F$36:$F$59,0),1)&amp;"-L: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156</v>
      </c>
      <c r="G271" s="23"/>
      <c r="J271" s="79"/>
      <c r="K271" s="79"/>
      <c r="L271" s="79"/>
      <c r="M271" s="79"/>
      <c r="N271" s="79"/>
      <c r="O271" s="79"/>
      <c r="P271" s="79"/>
      <c r="Q271" s="79"/>
      <c r="R271" s="79"/>
      <c r="S271" s="79"/>
      <c r="T271" s="79"/>
      <c r="U271" s="79"/>
      <c r="V271" s="79"/>
      <c r="W271" s="79"/>
      <c r="X271" s="79"/>
      <c r="Y271" s="79"/>
    </row>
    <row r="272" spans="2:27" x14ac:dyDescent="0.25">
      <c r="F272" s="54" t="s">
        <v>191</v>
      </c>
      <c r="G272" s="54" t="s">
        <v>283</v>
      </c>
      <c r="H272" s="19"/>
      <c r="I272" s="19"/>
      <c r="J272" s="91">
        <f>J229 * J$93</f>
        <v>14.13014453080276</v>
      </c>
      <c r="K272" s="91">
        <f t="shared" ref="K272:Y272" si="237">K229 * K$93</f>
        <v>14.13014453080276</v>
      </c>
      <c r="L272" s="91">
        <f t="shared" si="237"/>
        <v>13.100142963259696</v>
      </c>
      <c r="M272" s="91">
        <f t="shared" si="237"/>
        <v>13.100142963259696</v>
      </c>
      <c r="N272" s="91">
        <f t="shared" si="237"/>
        <v>13.327703102584305</v>
      </c>
      <c r="O272" s="91">
        <f t="shared" si="237"/>
        <v>11.730421029323111</v>
      </c>
      <c r="P272" s="91">
        <f t="shared" si="237"/>
        <v>9.7580826956250437</v>
      </c>
      <c r="Q272" s="91">
        <f t="shared" si="237"/>
        <v>30.523107031593884</v>
      </c>
      <c r="R272" s="91">
        <f t="shared" si="237"/>
        <v>9.0248377730632061</v>
      </c>
      <c r="S272" s="91">
        <f t="shared" si="237"/>
        <v>9.0248377730632061</v>
      </c>
      <c r="T272" s="91">
        <f t="shared" si="237"/>
        <v>9.0248377730632061</v>
      </c>
      <c r="U272" s="91">
        <f t="shared" si="237"/>
        <v>9.0248377730632061</v>
      </c>
      <c r="V272" s="91">
        <f t="shared" si="237"/>
        <v>9.0248377730632061</v>
      </c>
      <c r="W272" s="91">
        <f t="shared" si="237"/>
        <v>9.0248377730632061</v>
      </c>
      <c r="X272" s="91">
        <f t="shared" si="237"/>
        <v>9.0248377730632061</v>
      </c>
      <c r="Y272" s="91">
        <f t="shared" si="237"/>
        <v>9.0248377730632061</v>
      </c>
    </row>
    <row r="273" spans="5:25" x14ac:dyDescent="0.25">
      <c r="F273" s="23" t="s">
        <v>192</v>
      </c>
      <c r="G273" s="23" t="s">
        <v>283</v>
      </c>
      <c r="J273" s="111">
        <f t="shared" ref="J273:Y273" si="238">J230 * J$93</f>
        <v>9.3592489329932889</v>
      </c>
      <c r="K273" s="111">
        <f t="shared" si="238"/>
        <v>9.3592489329932889</v>
      </c>
      <c r="L273" s="111">
        <f t="shared" si="238"/>
        <v>8.6770166280799028</v>
      </c>
      <c r="M273" s="111">
        <f t="shared" si="238"/>
        <v>8.6770166280799028</v>
      </c>
      <c r="N273" s="111">
        <f t="shared" si="238"/>
        <v>8.827743465057603</v>
      </c>
      <c r="O273" s="111">
        <f t="shared" si="238"/>
        <v>7.7697669873739859</v>
      </c>
      <c r="P273" s="111">
        <f t="shared" si="238"/>
        <v>6.4633680751105835</v>
      </c>
      <c r="Q273" s="111">
        <f t="shared" si="238"/>
        <v>20.549664492266398</v>
      </c>
      <c r="R273" s="111">
        <f t="shared" si="238"/>
        <v>5.9776956360106448</v>
      </c>
      <c r="S273" s="111">
        <f t="shared" si="238"/>
        <v>5.9776956360106448</v>
      </c>
      <c r="T273" s="111">
        <f t="shared" si="238"/>
        <v>5.9776956360106448</v>
      </c>
      <c r="U273" s="111">
        <f t="shared" si="238"/>
        <v>5.9776956360106448</v>
      </c>
      <c r="V273" s="111">
        <f t="shared" si="238"/>
        <v>5.9776956360106448</v>
      </c>
      <c r="W273" s="111">
        <f t="shared" si="238"/>
        <v>5.9776956360106448</v>
      </c>
      <c r="X273" s="111">
        <f t="shared" si="238"/>
        <v>5.9776956360106448</v>
      </c>
      <c r="Y273" s="111">
        <f t="shared" si="238"/>
        <v>5.9776956360106448</v>
      </c>
    </row>
    <row r="274" spans="5:25" x14ac:dyDescent="0.25">
      <c r="F274" s="23" t="s">
        <v>193</v>
      </c>
      <c r="G274" s="23" t="s">
        <v>283</v>
      </c>
      <c r="J274" s="111">
        <f t="shared" ref="J274:Y274" si="239">J231 * J$93</f>
        <v>9.3592489329932889</v>
      </c>
      <c r="K274" s="111">
        <f t="shared" si="239"/>
        <v>9.3592489329932889</v>
      </c>
      <c r="L274" s="111">
        <f t="shared" si="239"/>
        <v>8.6770166280799028</v>
      </c>
      <c r="M274" s="111">
        <f t="shared" si="239"/>
        <v>8.6770166280799028</v>
      </c>
      <c r="N274" s="111">
        <f t="shared" si="239"/>
        <v>8.827743465057603</v>
      </c>
      <c r="O274" s="111">
        <f t="shared" si="239"/>
        <v>7.7697669873739859</v>
      </c>
      <c r="P274" s="111">
        <f t="shared" si="239"/>
        <v>6.4633680751105835</v>
      </c>
      <c r="Q274" s="111">
        <f t="shared" si="239"/>
        <v>20.549664492266398</v>
      </c>
      <c r="R274" s="111">
        <f t="shared" si="239"/>
        <v>5.9776956360106448</v>
      </c>
      <c r="S274" s="111">
        <f t="shared" si="239"/>
        <v>5.9776956360106448</v>
      </c>
      <c r="T274" s="111">
        <f t="shared" si="239"/>
        <v>5.9776956360106448</v>
      </c>
      <c r="U274" s="111">
        <f t="shared" si="239"/>
        <v>5.9776956360106448</v>
      </c>
      <c r="V274" s="111">
        <f t="shared" si="239"/>
        <v>5.9776956360106448</v>
      </c>
      <c r="W274" s="111">
        <f t="shared" si="239"/>
        <v>5.9776956360106448</v>
      </c>
      <c r="X274" s="111">
        <f t="shared" si="239"/>
        <v>5.9776956360106448</v>
      </c>
      <c r="Y274" s="111">
        <f t="shared" si="239"/>
        <v>5.9776956360106448</v>
      </c>
    </row>
    <row r="275" spans="5:25" x14ac:dyDescent="0.25">
      <c r="F275" s="23" t="s">
        <v>194</v>
      </c>
      <c r="G275" s="23" t="s">
        <v>283</v>
      </c>
      <c r="J275" s="111">
        <f t="shared" ref="J275:Y275" si="240">J232 * J$93</f>
        <v>9.9926325201122523</v>
      </c>
      <c r="K275" s="111">
        <f t="shared" si="240"/>
        <v>9.9926325201122523</v>
      </c>
      <c r="L275" s="111">
        <f t="shared" si="240"/>
        <v>9.264230405246364</v>
      </c>
      <c r="M275" s="111">
        <f t="shared" si="240"/>
        <v>9.264230405246364</v>
      </c>
      <c r="N275" s="111">
        <f t="shared" si="240"/>
        <v>9.4251576231909038</v>
      </c>
      <c r="O275" s="111">
        <f t="shared" si="240"/>
        <v>8.295582992565711</v>
      </c>
      <c r="P275" s="111">
        <f t="shared" si="240"/>
        <v>6.9007740342417998</v>
      </c>
      <c r="Q275" s="111">
        <f t="shared" si="240"/>
        <v>22.335334277851661</v>
      </c>
      <c r="R275" s="111">
        <f t="shared" si="240"/>
        <v>6.382233898829444</v>
      </c>
      <c r="S275" s="111">
        <f t="shared" si="240"/>
        <v>6.382233898829444</v>
      </c>
      <c r="T275" s="111">
        <f t="shared" si="240"/>
        <v>6.382233898829444</v>
      </c>
      <c r="U275" s="111">
        <f t="shared" si="240"/>
        <v>6.382233898829444</v>
      </c>
      <c r="V275" s="111">
        <f t="shared" si="240"/>
        <v>6.382233898829444</v>
      </c>
      <c r="W275" s="111">
        <f t="shared" si="240"/>
        <v>6.382233898829444</v>
      </c>
      <c r="X275" s="111">
        <f t="shared" si="240"/>
        <v>6.382233898829444</v>
      </c>
      <c r="Y275" s="111">
        <f t="shared" si="240"/>
        <v>6.382233898829444</v>
      </c>
    </row>
    <row r="276" spans="5:25" x14ac:dyDescent="0.25">
      <c r="F276" s="23" t="s">
        <v>195</v>
      </c>
      <c r="G276" s="23" t="s">
        <v>283</v>
      </c>
      <c r="J276" s="111">
        <f t="shared" ref="J276:Y276" si="241">J233 * J$93</f>
        <v>9.9926325201122523</v>
      </c>
      <c r="K276" s="111">
        <f t="shared" si="241"/>
        <v>9.9926325201122523</v>
      </c>
      <c r="L276" s="111">
        <f t="shared" si="241"/>
        <v>9.264230405246364</v>
      </c>
      <c r="M276" s="111">
        <f t="shared" si="241"/>
        <v>9.264230405246364</v>
      </c>
      <c r="N276" s="111">
        <f t="shared" si="241"/>
        <v>9.4251576231909038</v>
      </c>
      <c r="O276" s="111">
        <f t="shared" si="241"/>
        <v>8.295582992565711</v>
      </c>
      <c r="P276" s="111">
        <f t="shared" si="241"/>
        <v>6.9007740342417998</v>
      </c>
      <c r="Q276" s="111">
        <f t="shared" si="241"/>
        <v>22.335334277851661</v>
      </c>
      <c r="R276" s="111">
        <f t="shared" si="241"/>
        <v>6.382233898829444</v>
      </c>
      <c r="S276" s="111">
        <f t="shared" si="241"/>
        <v>6.382233898829444</v>
      </c>
      <c r="T276" s="111">
        <f t="shared" si="241"/>
        <v>6.382233898829444</v>
      </c>
      <c r="U276" s="111">
        <f t="shared" si="241"/>
        <v>6.382233898829444</v>
      </c>
      <c r="V276" s="111">
        <f t="shared" si="241"/>
        <v>6.382233898829444</v>
      </c>
      <c r="W276" s="111">
        <f t="shared" si="241"/>
        <v>6.382233898829444</v>
      </c>
      <c r="X276" s="111">
        <f t="shared" si="241"/>
        <v>6.382233898829444</v>
      </c>
      <c r="Y276" s="111">
        <f t="shared" si="241"/>
        <v>6.382233898829444</v>
      </c>
    </row>
    <row r="277" spans="5:25" x14ac:dyDescent="0.25">
      <c r="F277" s="23" t="s">
        <v>196</v>
      </c>
      <c r="G277" s="23" t="s">
        <v>283</v>
      </c>
      <c r="J277" s="111">
        <f t="shared" ref="J277:Y277" si="242">J234 * J$93</f>
        <v>9.3592489329932889</v>
      </c>
      <c r="K277" s="111">
        <f t="shared" si="242"/>
        <v>9.3592489329932889</v>
      </c>
      <c r="L277" s="111">
        <f t="shared" si="242"/>
        <v>8.6770166280799028</v>
      </c>
      <c r="M277" s="111">
        <f t="shared" si="242"/>
        <v>8.6770166280799028</v>
      </c>
      <c r="N277" s="111">
        <f t="shared" si="242"/>
        <v>8.827743465057603</v>
      </c>
      <c r="O277" s="111">
        <f t="shared" si="242"/>
        <v>7.7697669873739859</v>
      </c>
      <c r="P277" s="111">
        <f t="shared" si="242"/>
        <v>6.4633680751105835</v>
      </c>
      <c r="Q277" s="111">
        <f t="shared" si="242"/>
        <v>20.549664492266398</v>
      </c>
      <c r="R277" s="111">
        <f t="shared" si="242"/>
        <v>5.9776956360106448</v>
      </c>
      <c r="S277" s="111">
        <f t="shared" si="242"/>
        <v>5.9776956360106448</v>
      </c>
      <c r="T277" s="111">
        <f t="shared" si="242"/>
        <v>5.9776956360106448</v>
      </c>
      <c r="U277" s="111">
        <f t="shared" si="242"/>
        <v>5.9776956360106448</v>
      </c>
      <c r="V277" s="111">
        <f t="shared" si="242"/>
        <v>5.9776956360106448</v>
      </c>
      <c r="W277" s="111">
        <f t="shared" si="242"/>
        <v>5.9776956360106448</v>
      </c>
      <c r="X277" s="111">
        <f t="shared" si="242"/>
        <v>5.9776956360106448</v>
      </c>
      <c r="Y277" s="111">
        <f t="shared" si="242"/>
        <v>5.9776956360106448</v>
      </c>
    </row>
    <row r="278" spans="5:25" x14ac:dyDescent="0.25">
      <c r="F278" s="23" t="s">
        <v>197</v>
      </c>
      <c r="G278" s="23" t="s">
        <v>283</v>
      </c>
      <c r="J278" s="111">
        <f t="shared" ref="J278:Y278" si="243">J235 * J$93</f>
        <v>9.9926325201122523</v>
      </c>
      <c r="K278" s="111">
        <f t="shared" si="243"/>
        <v>9.9926325201122523</v>
      </c>
      <c r="L278" s="111">
        <f t="shared" si="243"/>
        <v>9.264230405246364</v>
      </c>
      <c r="M278" s="111">
        <f t="shared" si="243"/>
        <v>9.264230405246364</v>
      </c>
      <c r="N278" s="111">
        <f t="shared" si="243"/>
        <v>9.4251576231909038</v>
      </c>
      <c r="O278" s="111">
        <f t="shared" si="243"/>
        <v>8.295582992565711</v>
      </c>
      <c r="P278" s="111">
        <f t="shared" si="243"/>
        <v>6.9007740342417998</v>
      </c>
      <c r="Q278" s="111">
        <f t="shared" si="243"/>
        <v>22.335334277851661</v>
      </c>
      <c r="R278" s="111">
        <f t="shared" si="243"/>
        <v>6.382233898829444</v>
      </c>
      <c r="S278" s="111">
        <f t="shared" si="243"/>
        <v>6.382233898829444</v>
      </c>
      <c r="T278" s="111">
        <f t="shared" si="243"/>
        <v>6.382233898829444</v>
      </c>
      <c r="U278" s="111">
        <f t="shared" si="243"/>
        <v>6.382233898829444</v>
      </c>
      <c r="V278" s="111">
        <f t="shared" si="243"/>
        <v>6.382233898829444</v>
      </c>
      <c r="W278" s="111">
        <f t="shared" si="243"/>
        <v>6.382233898829444</v>
      </c>
      <c r="X278" s="111">
        <f t="shared" si="243"/>
        <v>6.382233898829444</v>
      </c>
      <c r="Y278" s="111">
        <f t="shared" si="243"/>
        <v>6.382233898829444</v>
      </c>
    </row>
    <row r="279" spans="5:25" x14ac:dyDescent="0.25">
      <c r="F279" s="23" t="s">
        <v>198</v>
      </c>
      <c r="G279" s="23" t="s">
        <v>283</v>
      </c>
      <c r="J279" s="111">
        <f t="shared" ref="J279:Y279" si="244">J236 * J$93</f>
        <v>9.9926325201122523</v>
      </c>
      <c r="K279" s="111">
        <f t="shared" si="244"/>
        <v>9.9926325201122523</v>
      </c>
      <c r="L279" s="111">
        <f t="shared" si="244"/>
        <v>9.264230405246364</v>
      </c>
      <c r="M279" s="111">
        <f t="shared" si="244"/>
        <v>9.264230405246364</v>
      </c>
      <c r="N279" s="111">
        <f t="shared" si="244"/>
        <v>9.4251576231909038</v>
      </c>
      <c r="O279" s="111">
        <f t="shared" si="244"/>
        <v>8.295582992565711</v>
      </c>
      <c r="P279" s="111">
        <f t="shared" si="244"/>
        <v>6.9007740342417998</v>
      </c>
      <c r="Q279" s="111">
        <f t="shared" si="244"/>
        <v>22.335334277851661</v>
      </c>
      <c r="R279" s="111">
        <f t="shared" si="244"/>
        <v>6.382233898829444</v>
      </c>
      <c r="S279" s="111">
        <f t="shared" si="244"/>
        <v>6.382233898829444</v>
      </c>
      <c r="T279" s="111">
        <f t="shared" si="244"/>
        <v>6.382233898829444</v>
      </c>
      <c r="U279" s="111">
        <f t="shared" si="244"/>
        <v>6.382233898829444</v>
      </c>
      <c r="V279" s="111">
        <f t="shared" si="244"/>
        <v>6.382233898829444</v>
      </c>
      <c r="W279" s="111">
        <f t="shared" si="244"/>
        <v>6.382233898829444</v>
      </c>
      <c r="X279" s="111">
        <f t="shared" si="244"/>
        <v>6.382233898829444</v>
      </c>
      <c r="Y279" s="111">
        <f t="shared" si="244"/>
        <v>6.382233898829444</v>
      </c>
    </row>
    <row r="280" spans="5:25" x14ac:dyDescent="0.25">
      <c r="F280" s="57" t="s">
        <v>199</v>
      </c>
      <c r="G280" s="57" t="s">
        <v>283</v>
      </c>
      <c r="H280" s="28"/>
      <c r="I280" s="28"/>
      <c r="J280" s="121">
        <f t="shared" ref="J280:Y280" si="245">J237 * J$93</f>
        <v>9.9926325201122523</v>
      </c>
      <c r="K280" s="121">
        <f t="shared" si="245"/>
        <v>9.9926325201122523</v>
      </c>
      <c r="L280" s="121">
        <f t="shared" si="245"/>
        <v>9.264230405246364</v>
      </c>
      <c r="M280" s="121">
        <f t="shared" si="245"/>
        <v>9.264230405246364</v>
      </c>
      <c r="N280" s="121">
        <f t="shared" si="245"/>
        <v>9.4251576231909038</v>
      </c>
      <c r="O280" s="121">
        <f t="shared" si="245"/>
        <v>8.295582992565711</v>
      </c>
      <c r="P280" s="121">
        <f t="shared" si="245"/>
        <v>6.9007740342417998</v>
      </c>
      <c r="Q280" s="121">
        <f t="shared" si="245"/>
        <v>22.335334277851661</v>
      </c>
      <c r="R280" s="121">
        <f t="shared" si="245"/>
        <v>6.382233898829444</v>
      </c>
      <c r="S280" s="121">
        <f t="shared" si="245"/>
        <v>6.382233898829444</v>
      </c>
      <c r="T280" s="121">
        <f t="shared" si="245"/>
        <v>6.382233898829444</v>
      </c>
      <c r="U280" s="121">
        <f t="shared" si="245"/>
        <v>6.382233898829444</v>
      </c>
      <c r="V280" s="121">
        <f t="shared" si="245"/>
        <v>6.382233898829444</v>
      </c>
      <c r="W280" s="121">
        <f t="shared" si="245"/>
        <v>6.382233898829444</v>
      </c>
      <c r="X280" s="121">
        <f t="shared" si="245"/>
        <v>6.382233898829444</v>
      </c>
      <c r="Y280" s="121">
        <f t="shared" si="245"/>
        <v>6.382233898829444</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157</v>
      </c>
      <c r="F282" s="23"/>
      <c r="G282" s="23"/>
      <c r="J282" s="79"/>
      <c r="K282" s="79"/>
      <c r="L282" s="79"/>
      <c r="M282" s="79"/>
      <c r="N282" s="79"/>
      <c r="O282" s="79"/>
      <c r="P282" s="79"/>
      <c r="Q282" s="79"/>
      <c r="R282" s="79"/>
      <c r="S282" s="79"/>
      <c r="T282" s="79"/>
      <c r="U282" s="79"/>
      <c r="V282" s="79"/>
      <c r="W282" s="79"/>
      <c r="X282" s="79"/>
      <c r="Y282" s="79"/>
    </row>
    <row r="283" spans="5:25" x14ac:dyDescent="0.25">
      <c r="F283" s="54" t="s">
        <v>191</v>
      </c>
      <c r="G283" s="54" t="s">
        <v>283</v>
      </c>
      <c r="H283" s="19"/>
      <c r="I283" s="19"/>
      <c r="J283" s="91">
        <f>J240 * J$93</f>
        <v>1.000568962964276</v>
      </c>
      <c r="K283" s="91">
        <f t="shared" ref="K283:Y283" si="246">K240 * K$93</f>
        <v>1.000568962964276</v>
      </c>
      <c r="L283" s="91">
        <f t="shared" si="246"/>
        <v>0.92763357309324312</v>
      </c>
      <c r="M283" s="91">
        <f t="shared" si="246"/>
        <v>0.92763357309324312</v>
      </c>
      <c r="N283" s="91">
        <f t="shared" si="246"/>
        <v>0.9437473228230977</v>
      </c>
      <c r="O283" s="91">
        <f t="shared" si="246"/>
        <v>0.83064226122090157</v>
      </c>
      <c r="P283" s="91">
        <f t="shared" si="246"/>
        <v>0.69097910937833185</v>
      </c>
      <c r="Q283" s="91">
        <f t="shared" si="246"/>
        <v>0.80610115180439157</v>
      </c>
      <c r="R283" s="91">
        <f t="shared" si="246"/>
        <v>0.63905733956435817</v>
      </c>
      <c r="S283" s="91">
        <f t="shared" si="246"/>
        <v>0.63905733956435817</v>
      </c>
      <c r="T283" s="91">
        <f t="shared" si="246"/>
        <v>0.63905733956435817</v>
      </c>
      <c r="U283" s="91">
        <f t="shared" si="246"/>
        <v>0.63905733956435817</v>
      </c>
      <c r="V283" s="91">
        <f t="shared" si="246"/>
        <v>0.63905733956435817</v>
      </c>
      <c r="W283" s="91">
        <f t="shared" si="246"/>
        <v>0.63905733956435817</v>
      </c>
      <c r="X283" s="91">
        <f t="shared" si="246"/>
        <v>0.63905733956435817</v>
      </c>
      <c r="Y283" s="91">
        <f t="shared" si="246"/>
        <v>0.63905733956435817</v>
      </c>
    </row>
    <row r="284" spans="5:25" x14ac:dyDescent="0.25">
      <c r="F284" s="23" t="s">
        <v>192</v>
      </c>
      <c r="G284" s="23" t="s">
        <v>283</v>
      </c>
      <c r="J284" s="111">
        <f t="shared" ref="J284:Y284" si="247">J241 * J$93</f>
        <v>2.0343020326420613</v>
      </c>
      <c r="K284" s="111">
        <f t="shared" si="247"/>
        <v>2.0343020326420613</v>
      </c>
      <c r="L284" s="111">
        <f t="shared" si="247"/>
        <v>1.8860137912932433</v>
      </c>
      <c r="M284" s="111">
        <f t="shared" si="247"/>
        <v>1.8860137912932433</v>
      </c>
      <c r="N284" s="111">
        <f t="shared" si="247"/>
        <v>1.9187753849887086</v>
      </c>
      <c r="O284" s="111">
        <f t="shared" si="247"/>
        <v>1.6888163664341145</v>
      </c>
      <c r="P284" s="111">
        <f t="shared" si="247"/>
        <v>1.40486089290352</v>
      </c>
      <c r="Q284" s="111">
        <f t="shared" si="247"/>
        <v>1.3942699760958606</v>
      </c>
      <c r="R284" s="111">
        <f t="shared" si="247"/>
        <v>1.2992963933231838</v>
      </c>
      <c r="S284" s="111">
        <f t="shared" si="247"/>
        <v>1.2992963933231838</v>
      </c>
      <c r="T284" s="111">
        <f t="shared" si="247"/>
        <v>1.2992963933231838</v>
      </c>
      <c r="U284" s="111">
        <f t="shared" si="247"/>
        <v>1.2992963933231838</v>
      </c>
      <c r="V284" s="111">
        <f t="shared" si="247"/>
        <v>1.2992963933231838</v>
      </c>
      <c r="W284" s="111">
        <f t="shared" si="247"/>
        <v>1.2992963933231838</v>
      </c>
      <c r="X284" s="111">
        <f t="shared" si="247"/>
        <v>1.2992963933231838</v>
      </c>
      <c r="Y284" s="111">
        <f t="shared" si="247"/>
        <v>1.2992963933231838</v>
      </c>
    </row>
    <row r="285" spans="5:25" x14ac:dyDescent="0.25">
      <c r="F285" s="23" t="s">
        <v>193</v>
      </c>
      <c r="G285" s="23" t="s">
        <v>283</v>
      </c>
      <c r="J285" s="111">
        <f t="shared" ref="J285:Y285" si="248">J242 * J$93</f>
        <v>2.0343020326420613</v>
      </c>
      <c r="K285" s="111">
        <f t="shared" si="248"/>
        <v>2.0343020326420613</v>
      </c>
      <c r="L285" s="111">
        <f t="shared" si="248"/>
        <v>1.8860137912932433</v>
      </c>
      <c r="M285" s="111">
        <f t="shared" si="248"/>
        <v>1.8860137912932433</v>
      </c>
      <c r="N285" s="111">
        <f t="shared" si="248"/>
        <v>1.9187753849887086</v>
      </c>
      <c r="O285" s="111">
        <f t="shared" si="248"/>
        <v>1.6888163664341145</v>
      </c>
      <c r="P285" s="111">
        <f t="shared" si="248"/>
        <v>1.40486089290352</v>
      </c>
      <c r="Q285" s="111">
        <f t="shared" si="248"/>
        <v>1.3942699760958606</v>
      </c>
      <c r="R285" s="111">
        <f t="shared" si="248"/>
        <v>1.2992963933231838</v>
      </c>
      <c r="S285" s="111">
        <f t="shared" si="248"/>
        <v>1.2992963933231838</v>
      </c>
      <c r="T285" s="111">
        <f t="shared" si="248"/>
        <v>1.2992963933231838</v>
      </c>
      <c r="U285" s="111">
        <f t="shared" si="248"/>
        <v>1.2992963933231838</v>
      </c>
      <c r="V285" s="111">
        <f t="shared" si="248"/>
        <v>1.2992963933231838</v>
      </c>
      <c r="W285" s="111">
        <f t="shared" si="248"/>
        <v>1.2992963933231838</v>
      </c>
      <c r="X285" s="111">
        <f t="shared" si="248"/>
        <v>1.2992963933231838</v>
      </c>
      <c r="Y285" s="111">
        <f t="shared" si="248"/>
        <v>1.2992963933231838</v>
      </c>
    </row>
    <row r="286" spans="5:25" x14ac:dyDescent="0.25">
      <c r="F286" s="23" t="s">
        <v>194</v>
      </c>
      <c r="G286" s="23" t="s">
        <v>283</v>
      </c>
      <c r="J286" s="111">
        <f t="shared" ref="J286:Y286" si="249">J243 * J$93</f>
        <v>1.7176696953572435</v>
      </c>
      <c r="K286" s="111">
        <f t="shared" si="249"/>
        <v>1.7176696953572435</v>
      </c>
      <c r="L286" s="111">
        <f t="shared" si="249"/>
        <v>1.5924620249839905</v>
      </c>
      <c r="M286" s="111">
        <f t="shared" si="249"/>
        <v>1.5924620249839905</v>
      </c>
      <c r="N286" s="111">
        <f t="shared" si="249"/>
        <v>1.6201243857147722</v>
      </c>
      <c r="O286" s="111">
        <f t="shared" si="249"/>
        <v>1.4259577226493472</v>
      </c>
      <c r="P286" s="111">
        <f t="shared" si="249"/>
        <v>1.1861989730201881</v>
      </c>
      <c r="Q286" s="111">
        <f t="shared" si="249"/>
        <v>1.1630830032878909</v>
      </c>
      <c r="R286" s="111">
        <f t="shared" si="249"/>
        <v>1.0970652362764857</v>
      </c>
      <c r="S286" s="111">
        <f t="shared" si="249"/>
        <v>1.0970652362764857</v>
      </c>
      <c r="T286" s="111">
        <f t="shared" si="249"/>
        <v>1.0970652362764857</v>
      </c>
      <c r="U286" s="111">
        <f t="shared" si="249"/>
        <v>1.0970652362764857</v>
      </c>
      <c r="V286" s="111">
        <f t="shared" si="249"/>
        <v>1.0970652362764857</v>
      </c>
      <c r="W286" s="111">
        <f t="shared" si="249"/>
        <v>1.0970652362764857</v>
      </c>
      <c r="X286" s="111">
        <f t="shared" si="249"/>
        <v>1.0970652362764857</v>
      </c>
      <c r="Y286" s="111">
        <f t="shared" si="249"/>
        <v>1.0970652362764857</v>
      </c>
    </row>
    <row r="287" spans="5:25" x14ac:dyDescent="0.25">
      <c r="F287" s="23" t="s">
        <v>195</v>
      </c>
      <c r="G287" s="23" t="s">
        <v>283</v>
      </c>
      <c r="J287" s="111">
        <f t="shared" ref="J287:Y287" si="250">J244 * J$93</f>
        <v>1.7176696953572435</v>
      </c>
      <c r="K287" s="111">
        <f t="shared" si="250"/>
        <v>1.7176696953572435</v>
      </c>
      <c r="L287" s="111">
        <f t="shared" si="250"/>
        <v>1.5924620249839905</v>
      </c>
      <c r="M287" s="111">
        <f t="shared" si="250"/>
        <v>1.5924620249839905</v>
      </c>
      <c r="N287" s="111">
        <f t="shared" si="250"/>
        <v>1.6201243857147722</v>
      </c>
      <c r="O287" s="111">
        <f t="shared" si="250"/>
        <v>1.4259577226493472</v>
      </c>
      <c r="P287" s="111">
        <f t="shared" si="250"/>
        <v>1.1861989730201881</v>
      </c>
      <c r="Q287" s="111">
        <f t="shared" si="250"/>
        <v>1.1630830032878909</v>
      </c>
      <c r="R287" s="111">
        <f t="shared" si="250"/>
        <v>1.0970652362764857</v>
      </c>
      <c r="S287" s="111">
        <f t="shared" si="250"/>
        <v>1.0970652362764857</v>
      </c>
      <c r="T287" s="111">
        <f t="shared" si="250"/>
        <v>1.0970652362764857</v>
      </c>
      <c r="U287" s="111">
        <f t="shared" si="250"/>
        <v>1.0970652362764857</v>
      </c>
      <c r="V287" s="111">
        <f t="shared" si="250"/>
        <v>1.0970652362764857</v>
      </c>
      <c r="W287" s="111">
        <f t="shared" si="250"/>
        <v>1.0970652362764857</v>
      </c>
      <c r="X287" s="111">
        <f t="shared" si="250"/>
        <v>1.0970652362764857</v>
      </c>
      <c r="Y287" s="111">
        <f t="shared" si="250"/>
        <v>1.0970652362764857</v>
      </c>
    </row>
    <row r="288" spans="5:25" x14ac:dyDescent="0.25">
      <c r="F288" s="23" t="s">
        <v>196</v>
      </c>
      <c r="G288" s="23" t="s">
        <v>283</v>
      </c>
      <c r="J288" s="111">
        <f t="shared" ref="J288:Y288" si="251">J245 * J$93</f>
        <v>2.0343020326420613</v>
      </c>
      <c r="K288" s="111">
        <f t="shared" si="251"/>
        <v>2.0343020326420613</v>
      </c>
      <c r="L288" s="111">
        <f t="shared" si="251"/>
        <v>1.8860137912932433</v>
      </c>
      <c r="M288" s="111">
        <f t="shared" si="251"/>
        <v>1.8860137912932433</v>
      </c>
      <c r="N288" s="111">
        <f t="shared" si="251"/>
        <v>1.9187753849887086</v>
      </c>
      <c r="O288" s="111">
        <f t="shared" si="251"/>
        <v>1.6888163664341145</v>
      </c>
      <c r="P288" s="111">
        <f t="shared" si="251"/>
        <v>1.40486089290352</v>
      </c>
      <c r="Q288" s="111">
        <f t="shared" si="251"/>
        <v>1.3942699760958606</v>
      </c>
      <c r="R288" s="111">
        <f t="shared" si="251"/>
        <v>1.2992963933231838</v>
      </c>
      <c r="S288" s="111">
        <f t="shared" si="251"/>
        <v>1.2992963933231838</v>
      </c>
      <c r="T288" s="111">
        <f t="shared" si="251"/>
        <v>1.2992963933231838</v>
      </c>
      <c r="U288" s="111">
        <f t="shared" si="251"/>
        <v>1.2992963933231838</v>
      </c>
      <c r="V288" s="111">
        <f t="shared" si="251"/>
        <v>1.2992963933231838</v>
      </c>
      <c r="W288" s="111">
        <f t="shared" si="251"/>
        <v>1.2992963933231838</v>
      </c>
      <c r="X288" s="111">
        <f t="shared" si="251"/>
        <v>1.2992963933231838</v>
      </c>
      <c r="Y288" s="111">
        <f t="shared" si="251"/>
        <v>1.2992963933231838</v>
      </c>
    </row>
    <row r="289" spans="2:27" x14ac:dyDescent="0.25">
      <c r="F289" s="23" t="s">
        <v>197</v>
      </c>
      <c r="G289" s="23" t="s">
        <v>283</v>
      </c>
      <c r="J289" s="111">
        <f t="shared" ref="J289:Y289" si="252">J246 * J$93</f>
        <v>1.7176696953572435</v>
      </c>
      <c r="K289" s="111">
        <f t="shared" si="252"/>
        <v>1.7176696953572435</v>
      </c>
      <c r="L289" s="111">
        <f t="shared" si="252"/>
        <v>1.5924620249839905</v>
      </c>
      <c r="M289" s="111">
        <f t="shared" si="252"/>
        <v>1.5924620249839905</v>
      </c>
      <c r="N289" s="111">
        <f t="shared" si="252"/>
        <v>1.6201243857147722</v>
      </c>
      <c r="O289" s="111">
        <f t="shared" si="252"/>
        <v>1.4259577226493472</v>
      </c>
      <c r="P289" s="111">
        <f t="shared" si="252"/>
        <v>1.1861989730201881</v>
      </c>
      <c r="Q289" s="111">
        <f t="shared" si="252"/>
        <v>1.1630830032878909</v>
      </c>
      <c r="R289" s="111">
        <f t="shared" si="252"/>
        <v>1.0970652362764857</v>
      </c>
      <c r="S289" s="111">
        <f t="shared" si="252"/>
        <v>1.0970652362764857</v>
      </c>
      <c r="T289" s="111">
        <f t="shared" si="252"/>
        <v>1.0970652362764857</v>
      </c>
      <c r="U289" s="111">
        <f t="shared" si="252"/>
        <v>1.0970652362764857</v>
      </c>
      <c r="V289" s="111">
        <f t="shared" si="252"/>
        <v>1.0970652362764857</v>
      </c>
      <c r="W289" s="111">
        <f t="shared" si="252"/>
        <v>1.0970652362764857</v>
      </c>
      <c r="X289" s="111">
        <f t="shared" si="252"/>
        <v>1.0970652362764857</v>
      </c>
      <c r="Y289" s="111">
        <f t="shared" si="252"/>
        <v>1.0970652362764857</v>
      </c>
    </row>
    <row r="290" spans="2:27" x14ac:dyDescent="0.25">
      <c r="F290" s="23" t="s">
        <v>198</v>
      </c>
      <c r="G290" s="23" t="s">
        <v>283</v>
      </c>
      <c r="J290" s="111">
        <f t="shared" ref="J290:Y290" si="253">J247 * J$93</f>
        <v>1.7176696953572435</v>
      </c>
      <c r="K290" s="111">
        <f t="shared" si="253"/>
        <v>1.7176696953572435</v>
      </c>
      <c r="L290" s="111">
        <f t="shared" si="253"/>
        <v>1.5924620249839905</v>
      </c>
      <c r="M290" s="111">
        <f t="shared" si="253"/>
        <v>1.5924620249839905</v>
      </c>
      <c r="N290" s="111">
        <f t="shared" si="253"/>
        <v>1.6201243857147722</v>
      </c>
      <c r="O290" s="111">
        <f t="shared" si="253"/>
        <v>1.4259577226493472</v>
      </c>
      <c r="P290" s="111">
        <f t="shared" si="253"/>
        <v>1.1861989730201881</v>
      </c>
      <c r="Q290" s="111">
        <f t="shared" si="253"/>
        <v>1.1630830032878909</v>
      </c>
      <c r="R290" s="111">
        <f t="shared" si="253"/>
        <v>1.0970652362764857</v>
      </c>
      <c r="S290" s="111">
        <f t="shared" si="253"/>
        <v>1.0970652362764857</v>
      </c>
      <c r="T290" s="111">
        <f t="shared" si="253"/>
        <v>1.0970652362764857</v>
      </c>
      <c r="U290" s="111">
        <f t="shared" si="253"/>
        <v>1.0970652362764857</v>
      </c>
      <c r="V290" s="111">
        <f t="shared" si="253"/>
        <v>1.0970652362764857</v>
      </c>
      <c r="W290" s="111">
        <f t="shared" si="253"/>
        <v>1.0970652362764857</v>
      </c>
      <c r="X290" s="111">
        <f t="shared" si="253"/>
        <v>1.0970652362764857</v>
      </c>
      <c r="Y290" s="111">
        <f t="shared" si="253"/>
        <v>1.0970652362764857</v>
      </c>
    </row>
    <row r="291" spans="2:27" x14ac:dyDescent="0.25">
      <c r="F291" s="57" t="s">
        <v>199</v>
      </c>
      <c r="G291" s="57" t="s">
        <v>283</v>
      </c>
      <c r="H291" s="28"/>
      <c r="I291" s="28"/>
      <c r="J291" s="121">
        <f t="shared" ref="J291:Y291" si="254">J248 * J$93</f>
        <v>1.7176696953572435</v>
      </c>
      <c r="K291" s="121">
        <f t="shared" si="254"/>
        <v>1.7176696953572435</v>
      </c>
      <c r="L291" s="121">
        <f t="shared" si="254"/>
        <v>1.5924620249839905</v>
      </c>
      <c r="M291" s="121">
        <f t="shared" si="254"/>
        <v>1.5924620249839905</v>
      </c>
      <c r="N291" s="121">
        <f t="shared" si="254"/>
        <v>1.6201243857147722</v>
      </c>
      <c r="O291" s="121">
        <f t="shared" si="254"/>
        <v>1.4259577226493472</v>
      </c>
      <c r="P291" s="121">
        <f t="shared" si="254"/>
        <v>1.1861989730201881</v>
      </c>
      <c r="Q291" s="121">
        <f t="shared" si="254"/>
        <v>1.1630830032878909</v>
      </c>
      <c r="R291" s="121">
        <f t="shared" si="254"/>
        <v>1.0970652362764857</v>
      </c>
      <c r="S291" s="121">
        <f t="shared" si="254"/>
        <v>1.0970652362764857</v>
      </c>
      <c r="T291" s="121">
        <f t="shared" si="254"/>
        <v>1.0970652362764857</v>
      </c>
      <c r="U291" s="121">
        <f t="shared" si="254"/>
        <v>1.0970652362764857</v>
      </c>
      <c r="V291" s="121">
        <f t="shared" si="254"/>
        <v>1.0970652362764857</v>
      </c>
      <c r="W291" s="121">
        <f t="shared" si="254"/>
        <v>1.0970652362764857</v>
      </c>
      <c r="X291" s="121">
        <f t="shared" si="254"/>
        <v>1.0970652362764857</v>
      </c>
      <c r="Y291" s="121">
        <f t="shared" si="254"/>
        <v>1.0970652362764857</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158</v>
      </c>
      <c r="F293" s="23"/>
      <c r="G293" s="23"/>
      <c r="J293" s="79"/>
      <c r="K293" s="79"/>
      <c r="L293" s="79"/>
      <c r="M293" s="79"/>
      <c r="N293" s="79"/>
      <c r="O293" s="79"/>
      <c r="P293" s="79"/>
      <c r="Q293" s="79"/>
      <c r="R293" s="79"/>
      <c r="S293" s="79"/>
      <c r="T293" s="79"/>
      <c r="U293" s="79"/>
      <c r="V293" s="79"/>
      <c r="W293" s="79"/>
      <c r="X293" s="79"/>
      <c r="Y293" s="79"/>
    </row>
    <row r="294" spans="2:27" x14ac:dyDescent="0.25">
      <c r="F294" s="54" t="s">
        <v>191</v>
      </c>
      <c r="G294" s="54" t="s">
        <v>283</v>
      </c>
      <c r="H294" s="19"/>
      <c r="I294" s="19"/>
      <c r="J294" s="91">
        <f>J251 * J$93</f>
        <v>0</v>
      </c>
      <c r="K294" s="91">
        <f t="shared" ref="K294:Y294" si="255">K251 * K$93</f>
        <v>0</v>
      </c>
      <c r="L294" s="91">
        <f t="shared" si="255"/>
        <v>0</v>
      </c>
      <c r="M294" s="91">
        <f t="shared" si="255"/>
        <v>0</v>
      </c>
      <c r="N294" s="91">
        <f t="shared" si="255"/>
        <v>0</v>
      </c>
      <c r="O294" s="91">
        <f t="shared" si="255"/>
        <v>0</v>
      </c>
      <c r="P294" s="91">
        <f t="shared" si="255"/>
        <v>0</v>
      </c>
      <c r="Q294" s="91">
        <f t="shared" si="255"/>
        <v>0</v>
      </c>
      <c r="R294" s="91">
        <f t="shared" si="255"/>
        <v>0</v>
      </c>
      <c r="S294" s="91">
        <f t="shared" si="255"/>
        <v>0</v>
      </c>
      <c r="T294" s="91">
        <f t="shared" si="255"/>
        <v>0</v>
      </c>
      <c r="U294" s="91">
        <f t="shared" si="255"/>
        <v>0</v>
      </c>
      <c r="V294" s="91">
        <f t="shared" si="255"/>
        <v>0</v>
      </c>
      <c r="W294" s="91">
        <f t="shared" si="255"/>
        <v>0</v>
      </c>
      <c r="X294" s="91">
        <f t="shared" si="255"/>
        <v>0</v>
      </c>
      <c r="Y294" s="91">
        <f t="shared" si="255"/>
        <v>0</v>
      </c>
    </row>
    <row r="295" spans="2:27" x14ac:dyDescent="0.25">
      <c r="F295" s="23" t="s">
        <v>192</v>
      </c>
      <c r="G295" s="23" t="s">
        <v>283</v>
      </c>
      <c r="J295" s="111">
        <f t="shared" ref="J295:Y295" si="256">J252 * J$93</f>
        <v>0.17049815814771219</v>
      </c>
      <c r="K295" s="111">
        <f t="shared" si="256"/>
        <v>0.17049815814771219</v>
      </c>
      <c r="L295" s="111">
        <f t="shared" si="256"/>
        <v>0.15806987974103889</v>
      </c>
      <c r="M295" s="111">
        <f t="shared" si="256"/>
        <v>0.15806987974103889</v>
      </c>
      <c r="N295" s="111">
        <f t="shared" si="256"/>
        <v>0.1608156821309652</v>
      </c>
      <c r="O295" s="111">
        <f t="shared" si="256"/>
        <v>0.14154244320975506</v>
      </c>
      <c r="P295" s="111">
        <f t="shared" si="256"/>
        <v>0.11774367367795159</v>
      </c>
      <c r="Q295" s="111">
        <f t="shared" si="256"/>
        <v>0.13123018442197423</v>
      </c>
      <c r="R295" s="111">
        <f t="shared" si="256"/>
        <v>0.10889614147504829</v>
      </c>
      <c r="S295" s="111">
        <f t="shared" si="256"/>
        <v>0.10889614147504829</v>
      </c>
      <c r="T295" s="111">
        <f t="shared" si="256"/>
        <v>0.10889614147504829</v>
      </c>
      <c r="U295" s="111">
        <f t="shared" si="256"/>
        <v>0.10889614147504829</v>
      </c>
      <c r="V295" s="111">
        <f t="shared" si="256"/>
        <v>0.10889614147504829</v>
      </c>
      <c r="W295" s="111">
        <f t="shared" si="256"/>
        <v>0.10889614147504829</v>
      </c>
      <c r="X295" s="111">
        <f t="shared" si="256"/>
        <v>0.10889614147504829</v>
      </c>
      <c r="Y295" s="111">
        <f t="shared" si="256"/>
        <v>0.10889614147504829</v>
      </c>
    </row>
    <row r="296" spans="2:27" x14ac:dyDescent="0.25">
      <c r="F296" s="23" t="s">
        <v>193</v>
      </c>
      <c r="G296" s="23" t="s">
        <v>283</v>
      </c>
      <c r="J296" s="111">
        <f t="shared" ref="J296:Y296" si="257">J253 * J$93</f>
        <v>0.17049815814771219</v>
      </c>
      <c r="K296" s="111">
        <f t="shared" si="257"/>
        <v>0.17049815814771219</v>
      </c>
      <c r="L296" s="111">
        <f t="shared" si="257"/>
        <v>0.15806987974103889</v>
      </c>
      <c r="M296" s="111">
        <f t="shared" si="257"/>
        <v>0.15806987974103889</v>
      </c>
      <c r="N296" s="111">
        <f t="shared" si="257"/>
        <v>0.1608156821309652</v>
      </c>
      <c r="O296" s="111">
        <f t="shared" si="257"/>
        <v>0.14154244320975506</v>
      </c>
      <c r="P296" s="111">
        <f t="shared" si="257"/>
        <v>0.11774367367795159</v>
      </c>
      <c r="Q296" s="111">
        <f t="shared" si="257"/>
        <v>0.13123018442197423</v>
      </c>
      <c r="R296" s="111">
        <f t="shared" si="257"/>
        <v>0.10889614147504829</v>
      </c>
      <c r="S296" s="111">
        <f t="shared" si="257"/>
        <v>0.10889614147504829</v>
      </c>
      <c r="T296" s="111">
        <f t="shared" si="257"/>
        <v>0.10889614147504829</v>
      </c>
      <c r="U296" s="111">
        <f t="shared" si="257"/>
        <v>0.10889614147504829</v>
      </c>
      <c r="V296" s="111">
        <f t="shared" si="257"/>
        <v>0.10889614147504829</v>
      </c>
      <c r="W296" s="111">
        <f t="shared" si="257"/>
        <v>0.10889614147504829</v>
      </c>
      <c r="X296" s="111">
        <f t="shared" si="257"/>
        <v>0.10889614147504829</v>
      </c>
      <c r="Y296" s="111">
        <f t="shared" si="257"/>
        <v>0.10889614147504829</v>
      </c>
    </row>
    <row r="297" spans="2:27" x14ac:dyDescent="0.25">
      <c r="F297" s="23" t="s">
        <v>194</v>
      </c>
      <c r="G297" s="23" t="s">
        <v>283</v>
      </c>
      <c r="J297" s="111">
        <f t="shared" ref="J297:Y297" si="258">J254 * J$93</f>
        <v>0.2407232402172533</v>
      </c>
      <c r="K297" s="111">
        <f t="shared" si="258"/>
        <v>0.2407232402172533</v>
      </c>
      <c r="L297" s="111">
        <f t="shared" si="258"/>
        <v>0.22317598058184673</v>
      </c>
      <c r="M297" s="111">
        <f t="shared" si="258"/>
        <v>0.22317598058184673</v>
      </c>
      <c r="N297" s="111">
        <f t="shared" si="258"/>
        <v>0.22705272890265088</v>
      </c>
      <c r="O297" s="111">
        <f t="shared" si="258"/>
        <v>0.19984119434416309</v>
      </c>
      <c r="P297" s="111">
        <f t="shared" si="258"/>
        <v>0.16624014564593556</v>
      </c>
      <c r="Q297" s="111">
        <f t="shared" si="258"/>
        <v>0.18528150422010436</v>
      </c>
      <c r="R297" s="111">
        <f t="shared" si="258"/>
        <v>0.15374847627573507</v>
      </c>
      <c r="S297" s="111">
        <f t="shared" si="258"/>
        <v>0.15374847627573507</v>
      </c>
      <c r="T297" s="111">
        <f t="shared" si="258"/>
        <v>0.15374847627573507</v>
      </c>
      <c r="U297" s="111">
        <f t="shared" si="258"/>
        <v>0.15374847627573507</v>
      </c>
      <c r="V297" s="111">
        <f t="shared" si="258"/>
        <v>0.15374847627573507</v>
      </c>
      <c r="W297" s="111">
        <f t="shared" si="258"/>
        <v>0.15374847627573507</v>
      </c>
      <c r="X297" s="111">
        <f t="shared" si="258"/>
        <v>0.15374847627573507</v>
      </c>
      <c r="Y297" s="111">
        <f t="shared" si="258"/>
        <v>0.15374847627573507</v>
      </c>
    </row>
    <row r="298" spans="2:27" x14ac:dyDescent="0.25">
      <c r="F298" s="23" t="s">
        <v>195</v>
      </c>
      <c r="G298" s="23" t="s">
        <v>283</v>
      </c>
      <c r="J298" s="111">
        <f t="shared" ref="J298:Y298" si="259">J255 * J$93</f>
        <v>0.2407232402172533</v>
      </c>
      <c r="K298" s="111">
        <f t="shared" si="259"/>
        <v>0.2407232402172533</v>
      </c>
      <c r="L298" s="111">
        <f t="shared" si="259"/>
        <v>0.22317598058184673</v>
      </c>
      <c r="M298" s="111">
        <f t="shared" si="259"/>
        <v>0.22317598058184673</v>
      </c>
      <c r="N298" s="111">
        <f t="shared" si="259"/>
        <v>0.22705272890265088</v>
      </c>
      <c r="O298" s="111">
        <f t="shared" si="259"/>
        <v>0.19984119434416309</v>
      </c>
      <c r="P298" s="111">
        <f t="shared" si="259"/>
        <v>0.16624014564593556</v>
      </c>
      <c r="Q298" s="111">
        <f t="shared" si="259"/>
        <v>0.18528150422010436</v>
      </c>
      <c r="R298" s="111">
        <f t="shared" si="259"/>
        <v>0.15374847627573507</v>
      </c>
      <c r="S298" s="111">
        <f t="shared" si="259"/>
        <v>0.15374847627573507</v>
      </c>
      <c r="T298" s="111">
        <f t="shared" si="259"/>
        <v>0.15374847627573507</v>
      </c>
      <c r="U298" s="111">
        <f t="shared" si="259"/>
        <v>0.15374847627573507</v>
      </c>
      <c r="V298" s="111">
        <f t="shared" si="259"/>
        <v>0.15374847627573507</v>
      </c>
      <c r="W298" s="111">
        <f t="shared" si="259"/>
        <v>0.15374847627573507</v>
      </c>
      <c r="X298" s="111">
        <f t="shared" si="259"/>
        <v>0.15374847627573507</v>
      </c>
      <c r="Y298" s="111">
        <f t="shared" si="259"/>
        <v>0.15374847627573507</v>
      </c>
    </row>
    <row r="299" spans="2:27" x14ac:dyDescent="0.25">
      <c r="F299" s="23" t="s">
        <v>196</v>
      </c>
      <c r="G299" s="23" t="s">
        <v>283</v>
      </c>
      <c r="J299" s="111">
        <f t="shared" ref="J299:Y299" si="260">J256 * J$93</f>
        <v>0.17049815814771219</v>
      </c>
      <c r="K299" s="111">
        <f t="shared" si="260"/>
        <v>0.17049815814771219</v>
      </c>
      <c r="L299" s="111">
        <f t="shared" si="260"/>
        <v>0.15806987974103889</v>
      </c>
      <c r="M299" s="111">
        <f t="shared" si="260"/>
        <v>0.15806987974103889</v>
      </c>
      <c r="N299" s="111">
        <f t="shared" si="260"/>
        <v>0.1608156821309652</v>
      </c>
      <c r="O299" s="111">
        <f t="shared" si="260"/>
        <v>0.14154244320975506</v>
      </c>
      <c r="P299" s="111">
        <f t="shared" si="260"/>
        <v>0.11774367367795159</v>
      </c>
      <c r="Q299" s="111">
        <f t="shared" si="260"/>
        <v>0.13123018442197423</v>
      </c>
      <c r="R299" s="111">
        <f t="shared" si="260"/>
        <v>0.10889614147504829</v>
      </c>
      <c r="S299" s="111">
        <f t="shared" si="260"/>
        <v>0.10889614147504829</v>
      </c>
      <c r="T299" s="111">
        <f t="shared" si="260"/>
        <v>0.10889614147504829</v>
      </c>
      <c r="U299" s="111">
        <f t="shared" si="260"/>
        <v>0.10889614147504829</v>
      </c>
      <c r="V299" s="111">
        <f t="shared" si="260"/>
        <v>0.10889614147504829</v>
      </c>
      <c r="W299" s="111">
        <f t="shared" si="260"/>
        <v>0.10889614147504829</v>
      </c>
      <c r="X299" s="111">
        <f t="shared" si="260"/>
        <v>0.10889614147504829</v>
      </c>
      <c r="Y299" s="111">
        <f t="shared" si="260"/>
        <v>0.10889614147504829</v>
      </c>
    </row>
    <row r="300" spans="2:27" x14ac:dyDescent="0.25">
      <c r="F300" s="23" t="s">
        <v>197</v>
      </c>
      <c r="G300" s="23" t="s">
        <v>283</v>
      </c>
      <c r="J300" s="111">
        <f t="shared" ref="J300:Y300" si="261">J257 * J$93</f>
        <v>0.2407232402172533</v>
      </c>
      <c r="K300" s="111">
        <f t="shared" si="261"/>
        <v>0.2407232402172533</v>
      </c>
      <c r="L300" s="111">
        <f t="shared" si="261"/>
        <v>0.22317598058184673</v>
      </c>
      <c r="M300" s="111">
        <f t="shared" si="261"/>
        <v>0.22317598058184673</v>
      </c>
      <c r="N300" s="111">
        <f t="shared" si="261"/>
        <v>0.22705272890265088</v>
      </c>
      <c r="O300" s="111">
        <f t="shared" si="261"/>
        <v>0.19984119434416309</v>
      </c>
      <c r="P300" s="111">
        <f t="shared" si="261"/>
        <v>0.16624014564593556</v>
      </c>
      <c r="Q300" s="111">
        <f t="shared" si="261"/>
        <v>0.18528150422010436</v>
      </c>
      <c r="R300" s="111">
        <f t="shared" si="261"/>
        <v>0.15374847627573507</v>
      </c>
      <c r="S300" s="111">
        <f t="shared" si="261"/>
        <v>0.15374847627573507</v>
      </c>
      <c r="T300" s="111">
        <f t="shared" si="261"/>
        <v>0.15374847627573507</v>
      </c>
      <c r="U300" s="111">
        <f t="shared" si="261"/>
        <v>0.15374847627573507</v>
      </c>
      <c r="V300" s="111">
        <f t="shared" si="261"/>
        <v>0.15374847627573507</v>
      </c>
      <c r="W300" s="111">
        <f t="shared" si="261"/>
        <v>0.15374847627573507</v>
      </c>
      <c r="X300" s="111">
        <f t="shared" si="261"/>
        <v>0.15374847627573507</v>
      </c>
      <c r="Y300" s="111">
        <f t="shared" si="261"/>
        <v>0.15374847627573507</v>
      </c>
    </row>
    <row r="301" spans="2:27" x14ac:dyDescent="0.25">
      <c r="F301" s="23" t="s">
        <v>198</v>
      </c>
      <c r="G301" s="23" t="s">
        <v>283</v>
      </c>
      <c r="J301" s="111">
        <f t="shared" ref="J301:Y301" si="262">J258 * J$93</f>
        <v>0.2407232402172533</v>
      </c>
      <c r="K301" s="111">
        <f t="shared" si="262"/>
        <v>0.2407232402172533</v>
      </c>
      <c r="L301" s="111">
        <f t="shared" si="262"/>
        <v>0.22317598058184673</v>
      </c>
      <c r="M301" s="111">
        <f t="shared" si="262"/>
        <v>0.22317598058184673</v>
      </c>
      <c r="N301" s="111">
        <f t="shared" si="262"/>
        <v>0.22705272890265088</v>
      </c>
      <c r="O301" s="111">
        <f t="shared" si="262"/>
        <v>0.19984119434416309</v>
      </c>
      <c r="P301" s="111">
        <f t="shared" si="262"/>
        <v>0.16624014564593556</v>
      </c>
      <c r="Q301" s="111">
        <f t="shared" si="262"/>
        <v>0.18528150422010436</v>
      </c>
      <c r="R301" s="111">
        <f t="shared" si="262"/>
        <v>0.15374847627573507</v>
      </c>
      <c r="S301" s="111">
        <f t="shared" si="262"/>
        <v>0.15374847627573507</v>
      </c>
      <c r="T301" s="111">
        <f t="shared" si="262"/>
        <v>0.15374847627573507</v>
      </c>
      <c r="U301" s="111">
        <f t="shared" si="262"/>
        <v>0.15374847627573507</v>
      </c>
      <c r="V301" s="111">
        <f t="shared" si="262"/>
        <v>0.15374847627573507</v>
      </c>
      <c r="W301" s="111">
        <f t="shared" si="262"/>
        <v>0.15374847627573507</v>
      </c>
      <c r="X301" s="111">
        <f t="shared" si="262"/>
        <v>0.15374847627573507</v>
      </c>
      <c r="Y301" s="111">
        <f t="shared" si="262"/>
        <v>0.15374847627573507</v>
      </c>
    </row>
    <row r="302" spans="2:27" x14ac:dyDescent="0.25">
      <c r="F302" s="57" t="s">
        <v>199</v>
      </c>
      <c r="G302" s="57" t="s">
        <v>283</v>
      </c>
      <c r="H302" s="28"/>
      <c r="I302" s="28"/>
      <c r="J302" s="121">
        <f t="shared" ref="J302:Y302" si="263">J259 * J$93</f>
        <v>0.2407232402172533</v>
      </c>
      <c r="K302" s="121">
        <f t="shared" si="263"/>
        <v>0.2407232402172533</v>
      </c>
      <c r="L302" s="121">
        <f t="shared" si="263"/>
        <v>0.22317598058184673</v>
      </c>
      <c r="M302" s="121">
        <f t="shared" si="263"/>
        <v>0.22317598058184673</v>
      </c>
      <c r="N302" s="121">
        <f t="shared" si="263"/>
        <v>0.22705272890265088</v>
      </c>
      <c r="O302" s="121">
        <f t="shared" si="263"/>
        <v>0.19984119434416309</v>
      </c>
      <c r="P302" s="121">
        <f t="shared" si="263"/>
        <v>0.16624014564593556</v>
      </c>
      <c r="Q302" s="121">
        <f t="shared" si="263"/>
        <v>0.18528150422010436</v>
      </c>
      <c r="R302" s="121">
        <f t="shared" si="263"/>
        <v>0.15374847627573507</v>
      </c>
      <c r="S302" s="121">
        <f t="shared" si="263"/>
        <v>0.15374847627573507</v>
      </c>
      <c r="T302" s="121">
        <f t="shared" si="263"/>
        <v>0.15374847627573507</v>
      </c>
      <c r="U302" s="121">
        <f t="shared" si="263"/>
        <v>0.15374847627573507</v>
      </c>
      <c r="V302" s="121">
        <f t="shared" si="263"/>
        <v>0.15374847627573507</v>
      </c>
      <c r="W302" s="121">
        <f t="shared" si="263"/>
        <v>0.15374847627573507</v>
      </c>
      <c r="X302" s="121">
        <f t="shared" si="263"/>
        <v>0.15374847627573507</v>
      </c>
      <c r="Y302" s="121">
        <f t="shared" si="263"/>
        <v>0.15374847627573507</v>
      </c>
    </row>
    <row r="304" spans="2:27" x14ac:dyDescent="0.2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232</v>
      </c>
      <c r="G306" s="6" t="s">
        <v>55</v>
      </c>
      <c r="H306" s="93">
        <f t="array" ref="H306">SUM(IF(ISERROR(H20:Y302), 1))</f>
        <v>0</v>
      </c>
    </row>
    <row r="308" spans="2:27" x14ac:dyDescent="0.2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control'!$H$36:$H$59,MATCH($A$1,'Version control'!$F$36:$F$59,0),1)&amp;"-A: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0.13851312583363759</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25">
      <c r="E34" s="27"/>
      <c r="F34" s="19" t="s">
        <v>191</v>
      </c>
      <c r="G34" s="19" t="s">
        <v>283</v>
      </c>
      <c r="H34" s="148"/>
      <c r="I34" s="148"/>
      <c r="J34" s="114">
        <f t="array" ref="J34:Y42">TRANSPOSE('Load &amp; loss characteristics'!K145:S160)</f>
        <v>1.093</v>
      </c>
      <c r="K34" s="114">
        <v>1.093</v>
      </c>
      <c r="L34" s="114">
        <v>1.093</v>
      </c>
      <c r="M34" s="114">
        <v>1.093</v>
      </c>
      <c r="N34" s="114">
        <v>1.093</v>
      </c>
      <c r="O34" s="114">
        <v>1.071</v>
      </c>
      <c r="P34" s="114">
        <v>1.054</v>
      </c>
      <c r="Q34" s="114">
        <v>1.093</v>
      </c>
      <c r="R34" s="114">
        <v>-1.093</v>
      </c>
      <c r="S34" s="114">
        <v>-1.071</v>
      </c>
      <c r="T34" s="114">
        <v>-1.093</v>
      </c>
      <c r="U34" s="114">
        <v>-1.093</v>
      </c>
      <c r="V34" s="114">
        <v>-1.071</v>
      </c>
      <c r="W34" s="114">
        <v>-1.071</v>
      </c>
      <c r="X34" s="114">
        <v>-1.054</v>
      </c>
      <c r="Y34" s="114">
        <v>-1.054</v>
      </c>
      <c r="AQ34" s="3"/>
    </row>
    <row r="35" spans="5:43" x14ac:dyDescent="0.25">
      <c r="E35" s="27"/>
      <c r="F35" t="s">
        <v>192</v>
      </c>
      <c r="G35" t="s">
        <v>283</v>
      </c>
      <c r="H35" s="79"/>
      <c r="I35" s="79"/>
      <c r="J35" s="110">
        <v>1.093</v>
      </c>
      <c r="K35" s="110">
        <v>1.093</v>
      </c>
      <c r="L35" s="110">
        <v>1.093</v>
      </c>
      <c r="M35" s="110">
        <v>1.093</v>
      </c>
      <c r="N35" s="110">
        <v>1.093</v>
      </c>
      <c r="O35" s="110">
        <v>1.071</v>
      </c>
      <c r="P35" s="110">
        <v>1.054</v>
      </c>
      <c r="Q35" s="110">
        <v>1.093</v>
      </c>
      <c r="R35" s="110">
        <v>-1.093</v>
      </c>
      <c r="S35" s="110">
        <v>-1.071</v>
      </c>
      <c r="T35" s="110">
        <v>-1.093</v>
      </c>
      <c r="U35" s="110">
        <v>-1.093</v>
      </c>
      <c r="V35" s="110">
        <v>-1.071</v>
      </c>
      <c r="W35" s="110">
        <v>-1.071</v>
      </c>
      <c r="X35" s="110">
        <v>-1.054</v>
      </c>
      <c r="Y35" s="110">
        <v>-1.054</v>
      </c>
      <c r="AQ35" s="3"/>
    </row>
    <row r="36" spans="5:43" x14ac:dyDescent="0.25">
      <c r="E36" s="27"/>
      <c r="F36" t="s">
        <v>193</v>
      </c>
      <c r="G36" t="s">
        <v>283</v>
      </c>
      <c r="H36" s="79"/>
      <c r="I36" s="79"/>
      <c r="J36" s="110">
        <v>0.33602576731917067</v>
      </c>
      <c r="K36" s="110">
        <v>0.33602576731917067</v>
      </c>
      <c r="L36" s="110">
        <v>0.33602576731917067</v>
      </c>
      <c r="M36" s="110">
        <v>0.33602576731917067</v>
      </c>
      <c r="N36" s="110">
        <v>0.33602576731917067</v>
      </c>
      <c r="O36" s="110">
        <v>0.32926221116087079</v>
      </c>
      <c r="P36" s="110">
        <v>0.32403582685672999</v>
      </c>
      <c r="Q36" s="110">
        <v>0.33602576731917067</v>
      </c>
      <c r="R36" s="110">
        <v>-0.33602576731917067</v>
      </c>
      <c r="S36" s="110">
        <v>-0.32926221116087079</v>
      </c>
      <c r="T36" s="110">
        <v>-0.33602576731917067</v>
      </c>
      <c r="U36" s="110">
        <v>-0.33602576731917067</v>
      </c>
      <c r="V36" s="110">
        <v>-0.32926221116087079</v>
      </c>
      <c r="W36" s="110">
        <v>-0.32926221116087079</v>
      </c>
      <c r="X36" s="110">
        <v>-0.32403582685672999</v>
      </c>
      <c r="Y36" s="110">
        <v>-0.32403582685672999</v>
      </c>
      <c r="AQ36" s="3"/>
    </row>
    <row r="37" spans="5:43" x14ac:dyDescent="0.25">
      <c r="E37" s="27"/>
      <c r="F37" t="s">
        <v>194</v>
      </c>
      <c r="G37" t="s">
        <v>283</v>
      </c>
      <c r="H37" s="79"/>
      <c r="I37" s="79"/>
      <c r="J37" s="110">
        <v>0.33602576731917067</v>
      </c>
      <c r="K37" s="110">
        <v>0.33602576731917067</v>
      </c>
      <c r="L37" s="110">
        <v>0.33602576731917067</v>
      </c>
      <c r="M37" s="110">
        <v>0.33602576731917067</v>
      </c>
      <c r="N37" s="110">
        <v>0.33602576731917067</v>
      </c>
      <c r="O37" s="110">
        <v>0.32926221116087079</v>
      </c>
      <c r="P37" s="110">
        <v>0.32403582685672999</v>
      </c>
      <c r="Q37" s="110">
        <v>0.33602576731917067</v>
      </c>
      <c r="R37" s="110">
        <v>-0.33602576731917067</v>
      </c>
      <c r="S37" s="110">
        <v>-0.32926221116087079</v>
      </c>
      <c r="T37" s="110">
        <v>-0.33602576731917067</v>
      </c>
      <c r="U37" s="110">
        <v>-0.33602576731917067</v>
      </c>
      <c r="V37" s="110">
        <v>-0.32926221116087079</v>
      </c>
      <c r="W37" s="110">
        <v>-0.32926221116087079</v>
      </c>
      <c r="X37" s="110">
        <v>-0.32403582685672999</v>
      </c>
      <c r="Y37" s="110">
        <v>-0.32403582685672999</v>
      </c>
      <c r="AQ37" s="3"/>
    </row>
    <row r="38" spans="5:43" x14ac:dyDescent="0.25">
      <c r="E38" s="27"/>
      <c r="F38" t="s">
        <v>195</v>
      </c>
      <c r="G38" t="s">
        <v>283</v>
      </c>
      <c r="H38" s="79"/>
      <c r="I38" s="79"/>
      <c r="J38" s="110">
        <v>0.33602576731917067</v>
      </c>
      <c r="K38" s="110">
        <v>0.33602576731917067</v>
      </c>
      <c r="L38" s="110">
        <v>0.33602576731917067</v>
      </c>
      <c r="M38" s="110">
        <v>0.33602576731917067</v>
      </c>
      <c r="N38" s="110">
        <v>0.33602576731917067</v>
      </c>
      <c r="O38" s="110">
        <v>0.32926221116087079</v>
      </c>
      <c r="P38" s="110">
        <v>0.32403582685672999</v>
      </c>
      <c r="Q38" s="110">
        <v>0.33602576731917067</v>
      </c>
      <c r="R38" s="110">
        <v>-0.33602576731917067</v>
      </c>
      <c r="S38" s="110">
        <v>-0.32926221116087079</v>
      </c>
      <c r="T38" s="110">
        <v>-0.33602576731917067</v>
      </c>
      <c r="U38" s="110">
        <v>-0.33602576731917067</v>
      </c>
      <c r="V38" s="110">
        <v>-0.32926221116087079</v>
      </c>
      <c r="W38" s="110">
        <v>-0.32926221116087079</v>
      </c>
      <c r="X38" s="110">
        <v>-0.32403582685672999</v>
      </c>
      <c r="Y38" s="110">
        <v>-0.32403582685672999</v>
      </c>
      <c r="AQ38" s="3"/>
    </row>
    <row r="39" spans="5:43" x14ac:dyDescent="0.25">
      <c r="E39" s="27"/>
      <c r="F39" t="s">
        <v>196</v>
      </c>
      <c r="G39" t="s">
        <v>283</v>
      </c>
      <c r="H39" s="79"/>
      <c r="I39" s="79"/>
      <c r="J39" s="110">
        <v>0.75697423268082931</v>
      </c>
      <c r="K39" s="110">
        <v>0.75697423268082931</v>
      </c>
      <c r="L39" s="110">
        <v>0.75697423268082931</v>
      </c>
      <c r="M39" s="110">
        <v>0.75697423268082931</v>
      </c>
      <c r="N39" s="110">
        <v>0.75697423268082931</v>
      </c>
      <c r="O39" s="110">
        <v>0.74173778883912922</v>
      </c>
      <c r="P39" s="110">
        <v>0.72996417314327</v>
      </c>
      <c r="Q39" s="110">
        <v>0.75697423268082931</v>
      </c>
      <c r="R39" s="110">
        <v>-0.75697423268082931</v>
      </c>
      <c r="S39" s="110">
        <v>-0.74173778883912922</v>
      </c>
      <c r="T39" s="110">
        <v>-0.75697423268082931</v>
      </c>
      <c r="U39" s="110">
        <v>-0.75697423268082931</v>
      </c>
      <c r="V39" s="110">
        <v>-0.74173778883912922</v>
      </c>
      <c r="W39" s="110">
        <v>-0.74173778883912922</v>
      </c>
      <c r="X39" s="110">
        <v>-0.72996417314327</v>
      </c>
      <c r="Y39" s="110">
        <v>-0.72996417314327</v>
      </c>
      <c r="AQ39" s="3"/>
    </row>
    <row r="40" spans="5:43" x14ac:dyDescent="0.25">
      <c r="E40" s="27"/>
      <c r="F40" t="s">
        <v>197</v>
      </c>
      <c r="G40" t="s">
        <v>283</v>
      </c>
      <c r="H40" s="79"/>
      <c r="I40" s="79"/>
      <c r="J40" s="110">
        <v>1.093</v>
      </c>
      <c r="K40" s="110">
        <v>1.093</v>
      </c>
      <c r="L40" s="110">
        <v>1.093</v>
      </c>
      <c r="M40" s="110">
        <v>1.093</v>
      </c>
      <c r="N40" s="110">
        <v>1.093</v>
      </c>
      <c r="O40" s="110">
        <v>1.071</v>
      </c>
      <c r="P40" s="110">
        <v>1.054</v>
      </c>
      <c r="Q40" s="110">
        <v>1.093</v>
      </c>
      <c r="R40" s="110">
        <v>-1.093</v>
      </c>
      <c r="S40" s="110">
        <v>-1.071</v>
      </c>
      <c r="T40" s="110">
        <v>-1.093</v>
      </c>
      <c r="U40" s="110">
        <v>-1.093</v>
      </c>
      <c r="V40" s="110">
        <v>-1.071</v>
      </c>
      <c r="W40" s="110">
        <v>-1.071</v>
      </c>
      <c r="X40" s="110">
        <v>0</v>
      </c>
      <c r="Y40" s="110">
        <v>0</v>
      </c>
      <c r="AQ40" s="3"/>
    </row>
    <row r="41" spans="5:43" x14ac:dyDescent="0.25">
      <c r="E41" s="27"/>
      <c r="F41" t="s">
        <v>198</v>
      </c>
      <c r="G41" t="s">
        <v>283</v>
      </c>
      <c r="H41" s="79"/>
      <c r="I41" s="79"/>
      <c r="J41" s="110">
        <v>1.093</v>
      </c>
      <c r="K41" s="110">
        <v>1.093</v>
      </c>
      <c r="L41" s="110">
        <v>1.093</v>
      </c>
      <c r="M41" s="110">
        <v>1.093</v>
      </c>
      <c r="N41" s="110">
        <v>1.093</v>
      </c>
      <c r="O41" s="110">
        <v>1.071</v>
      </c>
      <c r="P41" s="110">
        <v>0</v>
      </c>
      <c r="Q41" s="110">
        <v>1.093</v>
      </c>
      <c r="R41" s="110">
        <v>-1.093</v>
      </c>
      <c r="S41" s="110">
        <v>0</v>
      </c>
      <c r="T41" s="110">
        <v>-1.093</v>
      </c>
      <c r="U41" s="110">
        <v>-1.093</v>
      </c>
      <c r="V41" s="110">
        <v>0</v>
      </c>
      <c r="W41" s="110">
        <v>0</v>
      </c>
      <c r="X41" s="110">
        <v>0</v>
      </c>
      <c r="Y41" s="110">
        <v>0</v>
      </c>
      <c r="AQ41" s="3"/>
    </row>
    <row r="42" spans="5:43" x14ac:dyDescent="0.25">
      <c r="E42" s="27"/>
      <c r="F42" s="28" t="s">
        <v>199</v>
      </c>
      <c r="G42" s="28" t="s">
        <v>283</v>
      </c>
      <c r="H42" s="72"/>
      <c r="I42" s="72"/>
      <c r="J42" s="115">
        <v>1.093</v>
      </c>
      <c r="K42" s="115">
        <v>1.093</v>
      </c>
      <c r="L42" s="115">
        <v>1.093</v>
      </c>
      <c r="M42" s="115">
        <v>1.093</v>
      </c>
      <c r="N42" s="115">
        <v>1.093</v>
      </c>
      <c r="O42" s="115">
        <v>0</v>
      </c>
      <c r="P42" s="115">
        <v>0</v>
      </c>
      <c r="Q42" s="115">
        <v>1.093</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192</v>
      </c>
      <c r="G46" t="s">
        <v>283</v>
      </c>
      <c r="H46" s="110">
        <f>'Load &amp; loss characteristics'!L29</f>
        <v>1.0069999999999999</v>
      </c>
      <c r="I46" s="79"/>
      <c r="J46" s="79"/>
      <c r="K46" s="79"/>
      <c r="L46" s="79"/>
      <c r="M46" s="79"/>
      <c r="N46" s="79"/>
      <c r="O46" s="79"/>
      <c r="P46" s="79"/>
      <c r="Q46" s="79"/>
      <c r="R46" s="79"/>
      <c r="S46" s="79"/>
      <c r="T46" s="79"/>
      <c r="U46" s="79"/>
      <c r="V46" s="79"/>
      <c r="W46" s="79"/>
      <c r="X46" s="79"/>
      <c r="Y46" s="79"/>
      <c r="AQ46" s="3"/>
    </row>
    <row r="47" spans="5:43" x14ac:dyDescent="0.25">
      <c r="E47" s="27"/>
      <c r="F47" t="s">
        <v>193</v>
      </c>
      <c r="G47" t="s">
        <v>283</v>
      </c>
      <c r="H47" s="110">
        <f>'Load &amp; loss characteristics'!M29</f>
        <v>1.0109999999999999</v>
      </c>
      <c r="I47" s="79"/>
      <c r="J47" s="79"/>
      <c r="K47" s="79"/>
      <c r="L47" s="79"/>
      <c r="M47" s="79"/>
      <c r="N47" s="79"/>
      <c r="O47" s="79"/>
      <c r="P47" s="79"/>
      <c r="Q47" s="79"/>
      <c r="R47" s="79"/>
      <c r="S47" s="79"/>
      <c r="T47" s="79"/>
      <c r="U47" s="79"/>
      <c r="V47" s="79"/>
      <c r="W47" s="79"/>
      <c r="X47" s="79"/>
      <c r="Y47" s="79"/>
      <c r="AQ47" s="3"/>
    </row>
    <row r="48" spans="5:43" x14ac:dyDescent="0.25">
      <c r="E48" s="27"/>
      <c r="F48" t="s">
        <v>194</v>
      </c>
      <c r="G48" t="s">
        <v>283</v>
      </c>
      <c r="H48" s="110">
        <f>'Load &amp; loss characteristics'!N29</f>
        <v>1.034</v>
      </c>
      <c r="I48" s="79"/>
      <c r="J48" s="79"/>
      <c r="K48" s="79"/>
      <c r="L48" s="79"/>
      <c r="M48" s="79"/>
      <c r="N48" s="79"/>
      <c r="O48" s="79"/>
      <c r="P48" s="79"/>
      <c r="Q48" s="79"/>
      <c r="R48" s="79"/>
      <c r="S48" s="79"/>
      <c r="T48" s="79"/>
      <c r="U48" s="79"/>
      <c r="V48" s="79"/>
      <c r="W48" s="79"/>
      <c r="X48" s="79"/>
      <c r="Y48" s="79"/>
      <c r="AQ48" s="3"/>
    </row>
    <row r="49" spans="2:43" x14ac:dyDescent="0.25">
      <c r="E49" s="27"/>
      <c r="F49" t="s">
        <v>195</v>
      </c>
      <c r="G49" t="s">
        <v>283</v>
      </c>
      <c r="H49" s="110">
        <f>'Load &amp; loss characteristics'!O29</f>
        <v>1.0409999999999999</v>
      </c>
      <c r="I49" s="79"/>
      <c r="J49" s="79"/>
      <c r="K49" s="79"/>
      <c r="L49" s="79"/>
      <c r="M49" s="79"/>
      <c r="N49" s="79"/>
      <c r="O49" s="79"/>
      <c r="P49" s="79"/>
      <c r="Q49" s="79"/>
      <c r="R49" s="79"/>
      <c r="S49" s="79"/>
      <c r="T49" s="79"/>
      <c r="U49" s="79"/>
      <c r="V49" s="79"/>
      <c r="W49" s="79"/>
      <c r="X49" s="79"/>
      <c r="Y49" s="79"/>
      <c r="AQ49" s="3"/>
    </row>
    <row r="50" spans="2:43" x14ac:dyDescent="0.25">
      <c r="E50" s="27"/>
      <c r="F50" t="s">
        <v>196</v>
      </c>
      <c r="G50" t="s">
        <v>283</v>
      </c>
      <c r="H50" s="110">
        <f>'Load &amp; loss characteristics'!P29</f>
        <v>1.0409999999999999</v>
      </c>
      <c r="I50" s="79"/>
      <c r="J50" s="79"/>
      <c r="K50" s="79"/>
      <c r="L50" s="79"/>
      <c r="M50" s="79"/>
      <c r="N50" s="79"/>
      <c r="O50" s="79"/>
      <c r="P50" s="79"/>
      <c r="Q50" s="79"/>
      <c r="R50" s="79"/>
      <c r="S50" s="79"/>
      <c r="T50" s="79"/>
      <c r="U50" s="79"/>
      <c r="V50" s="79"/>
      <c r="W50" s="79"/>
      <c r="X50" s="79"/>
      <c r="Y50" s="79"/>
      <c r="AQ50" s="3"/>
    </row>
    <row r="51" spans="2:43" x14ac:dyDescent="0.25">
      <c r="E51" s="27"/>
      <c r="F51" t="s">
        <v>197</v>
      </c>
      <c r="G51" t="s">
        <v>283</v>
      </c>
      <c r="H51" s="110">
        <f>'Load &amp; loss characteristics'!Q29</f>
        <v>1.054</v>
      </c>
      <c r="I51" s="79"/>
      <c r="J51" s="79"/>
      <c r="K51" s="79"/>
      <c r="L51" s="79"/>
      <c r="M51" s="79"/>
      <c r="N51" s="79"/>
      <c r="O51" s="79"/>
      <c r="P51" s="79"/>
      <c r="Q51" s="79"/>
      <c r="R51" s="79"/>
      <c r="S51" s="79"/>
      <c r="T51" s="79"/>
      <c r="U51" s="79"/>
      <c r="V51" s="79"/>
      <c r="W51" s="79"/>
      <c r="X51" s="79"/>
      <c r="Y51" s="79"/>
      <c r="AQ51" s="3"/>
    </row>
    <row r="52" spans="2:43" x14ac:dyDescent="0.25">
      <c r="E52" s="27"/>
      <c r="F52" t="s">
        <v>198</v>
      </c>
      <c r="G52" t="s">
        <v>283</v>
      </c>
      <c r="H52" s="110">
        <f>'Load &amp; loss characteristics'!R29</f>
        <v>1.071</v>
      </c>
      <c r="I52" s="79"/>
      <c r="J52" s="79"/>
      <c r="K52" s="79"/>
      <c r="L52" s="79"/>
      <c r="M52" s="79"/>
      <c r="N52" s="79"/>
      <c r="O52" s="79"/>
      <c r="P52" s="79"/>
      <c r="Q52" s="79"/>
      <c r="R52" s="79"/>
      <c r="S52" s="79"/>
      <c r="T52" s="79"/>
      <c r="U52" s="79"/>
      <c r="V52" s="79"/>
      <c r="W52" s="79"/>
      <c r="X52" s="79"/>
      <c r="Y52" s="79"/>
      <c r="AQ52" s="3"/>
    </row>
    <row r="53" spans="2:43" x14ac:dyDescent="0.25">
      <c r="E53" s="27"/>
      <c r="F53" s="28" t="s">
        <v>199</v>
      </c>
      <c r="G53" s="28" t="s">
        <v>283</v>
      </c>
      <c r="H53" s="115">
        <f>'Load &amp; loss characteristics'!S29</f>
        <v>1.093</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25">
      <c r="E56" s="27"/>
      <c r="F56" s="19" t="s">
        <v>156</v>
      </c>
      <c r="G56" s="19" t="s">
        <v>207</v>
      </c>
      <c r="H56" s="148"/>
      <c r="I56" s="148"/>
      <c r="J56" s="114">
        <f>'Volume adjustments'!J238</f>
        <v>982339.25157892017</v>
      </c>
      <c r="K56" s="114">
        <f>'Volume adjustments'!K238</f>
        <v>97.101998282967941</v>
      </c>
      <c r="L56" s="114">
        <f>'Volume adjustments'!L238</f>
        <v>297838.78565687669</v>
      </c>
      <c r="M56" s="114">
        <f>'Volume adjustments'!M238</f>
        <v>113.60366930781993</v>
      </c>
      <c r="N56" s="114">
        <f>'Volume adjustments'!N238</f>
        <v>254502.78465135122</v>
      </c>
      <c r="O56" s="114">
        <f>'Volume adjustments'!O238</f>
        <v>21136.46161702837</v>
      </c>
      <c r="P56" s="114">
        <f>'Volume adjustments'!P238</f>
        <v>666816.19495708751</v>
      </c>
      <c r="Q56" s="114">
        <f>'Volume adjustments'!Q238</f>
        <v>10819.160910698545</v>
      </c>
      <c r="R56" s="114">
        <f>'Volume adjustments'!R238</f>
        <v>407.10202278917717</v>
      </c>
      <c r="S56" s="114">
        <f>'Volume adjustments'!S238</f>
        <v>0</v>
      </c>
      <c r="T56" s="114">
        <f>'Volume adjustments'!T238</f>
        <v>4588.4979110785662</v>
      </c>
      <c r="U56" s="114">
        <f>'Volume adjustments'!U238</f>
        <v>0</v>
      </c>
      <c r="V56" s="114">
        <f>'Volume adjustments'!V238</f>
        <v>1000.7714870643234</v>
      </c>
      <c r="W56" s="114">
        <f>'Volume adjustments'!W238</f>
        <v>0</v>
      </c>
      <c r="X56" s="114">
        <f>'Volume adjustments'!X238</f>
        <v>112520.57829750761</v>
      </c>
      <c r="Y56" s="114">
        <f>'Volume adjustments'!Y238</f>
        <v>0</v>
      </c>
      <c r="AQ56" s="3"/>
    </row>
    <row r="57" spans="2:43" x14ac:dyDescent="0.25">
      <c r="E57" s="27"/>
      <c r="F57" t="s">
        <v>157</v>
      </c>
      <c r="G57" t="s">
        <v>207</v>
      </c>
      <c r="H57" s="79"/>
      <c r="I57" s="79"/>
      <c r="J57" s="110">
        <f>'Volume adjustments'!J249</f>
        <v>2791486.3824818004</v>
      </c>
      <c r="K57" s="110">
        <f>'Volume adjustments'!K249</f>
        <v>2610.0714903095482</v>
      </c>
      <c r="L57" s="110">
        <f>'Volume adjustments'!L249</f>
        <v>1227215.9902417455</v>
      </c>
      <c r="M57" s="110">
        <f>'Volume adjustments'!M249</f>
        <v>928.08494967695549</v>
      </c>
      <c r="N57" s="110">
        <f>'Volume adjustments'!N249</f>
        <v>1095939.8341887172</v>
      </c>
      <c r="O57" s="110">
        <f>'Volume adjustments'!O249</f>
        <v>82408.37622439125</v>
      </c>
      <c r="P57" s="110">
        <f>'Volume adjustments'!P249</f>
        <v>2656431.1374182492</v>
      </c>
      <c r="Q57" s="110">
        <f>'Volume adjustments'!Q249</f>
        <v>47234.121959902513</v>
      </c>
      <c r="R57" s="110">
        <f>'Volume adjustments'!R249</f>
        <v>1833.5949051998</v>
      </c>
      <c r="S57" s="110">
        <f>'Volume adjustments'!S249</f>
        <v>0</v>
      </c>
      <c r="T57" s="110">
        <f>'Volume adjustments'!T249</f>
        <v>20525.605245333853</v>
      </c>
      <c r="U57" s="110">
        <f>'Volume adjustments'!U249</f>
        <v>0</v>
      </c>
      <c r="V57" s="110">
        <f>'Volume adjustments'!V249</f>
        <v>3996.1654558994287</v>
      </c>
      <c r="W57" s="110">
        <f>'Volume adjustments'!W249</f>
        <v>0</v>
      </c>
      <c r="X57" s="110">
        <f>'Volume adjustments'!X249</f>
        <v>328225.11344676261</v>
      </c>
      <c r="Y57" s="110">
        <f>'Volume adjustments'!Y249</f>
        <v>0</v>
      </c>
      <c r="AQ57" s="3"/>
    </row>
    <row r="58" spans="2:43" x14ac:dyDescent="0.25">
      <c r="E58" s="27"/>
      <c r="F58" s="28" t="s">
        <v>158</v>
      </c>
      <c r="G58" s="28" t="s">
        <v>207</v>
      </c>
      <c r="H58" s="72"/>
      <c r="I58" s="72"/>
      <c r="J58" s="115">
        <f>'Volume adjustments'!J260</f>
        <v>4975114.6920176791</v>
      </c>
      <c r="K58" s="115">
        <f>'Volume adjustments'!K260</f>
        <v>10855.114741116735</v>
      </c>
      <c r="L58" s="115">
        <f>'Volume adjustments'!L260</f>
        <v>1348736.0248486968</v>
      </c>
      <c r="M58" s="115">
        <f>'Volume adjustments'!M260</f>
        <v>2405.8570016096082</v>
      </c>
      <c r="N58" s="115">
        <f>'Volume adjustments'!N260</f>
        <v>1565295.2576125518</v>
      </c>
      <c r="O58" s="115">
        <f>'Volume adjustments'!O260</f>
        <v>101587.27539164439</v>
      </c>
      <c r="P58" s="115">
        <f>'Volume adjustments'!P260</f>
        <v>3714151.2016741722</v>
      </c>
      <c r="Q58" s="115">
        <f>'Volume adjustments'!Q260</f>
        <v>180790.04896787592</v>
      </c>
      <c r="R58" s="115">
        <f>'Volume adjustments'!R260</f>
        <v>1022.9660720110227</v>
      </c>
      <c r="S58" s="115">
        <f>'Volume adjustments'!S260</f>
        <v>0</v>
      </c>
      <c r="T58" s="115">
        <f>'Volume adjustments'!T260</f>
        <v>19225.931376920918</v>
      </c>
      <c r="U58" s="115">
        <f>'Volume adjustments'!U260</f>
        <v>0</v>
      </c>
      <c r="V58" s="115">
        <f>'Volume adjustments'!V260</f>
        <v>6019.197723702915</v>
      </c>
      <c r="W58" s="115">
        <f>'Volume adjustments'!W260</f>
        <v>0</v>
      </c>
      <c r="X58" s="115">
        <f>'Volume adjustments'!X260</f>
        <v>370994.99308906303</v>
      </c>
      <c r="Y58" s="115">
        <f>'Volume adjustments'!Y260</f>
        <v>0</v>
      </c>
      <c r="AQ58" s="3"/>
    </row>
    <row r="59" spans="2:43" x14ac:dyDescent="0.25">
      <c r="E59" s="27"/>
      <c r="F59" s="98" t="s">
        <v>502</v>
      </c>
      <c r="G59" s="98" t="s">
        <v>207</v>
      </c>
      <c r="H59" s="157"/>
      <c r="I59" s="157"/>
      <c r="J59" s="157">
        <f t="shared" ref="J59:Y59" si="0">SUM(J56:J58)</f>
        <v>8748940.3260784</v>
      </c>
      <c r="K59" s="157">
        <f t="shared" si="0"/>
        <v>13562.288229709251</v>
      </c>
      <c r="L59" s="157">
        <f t="shared" si="0"/>
        <v>2873790.8007473191</v>
      </c>
      <c r="M59" s="157">
        <f t="shared" si="0"/>
        <v>3447.5456205943838</v>
      </c>
      <c r="N59" s="157">
        <f t="shared" si="0"/>
        <v>2915737.8764526201</v>
      </c>
      <c r="O59" s="157">
        <f t="shared" si="0"/>
        <v>205132.11323306401</v>
      </c>
      <c r="P59" s="157">
        <f t="shared" si="0"/>
        <v>7037398.5340495091</v>
      </c>
      <c r="Q59" s="157">
        <f t="shared" si="0"/>
        <v>238843.331838477</v>
      </c>
      <c r="R59" s="157">
        <f t="shared" si="0"/>
        <v>3263.663</v>
      </c>
      <c r="S59" s="157">
        <f t="shared" si="0"/>
        <v>0</v>
      </c>
      <c r="T59" s="157">
        <f t="shared" si="0"/>
        <v>44340.034533333339</v>
      </c>
      <c r="U59" s="157">
        <f t="shared" si="0"/>
        <v>0</v>
      </c>
      <c r="V59" s="157">
        <f t="shared" si="0"/>
        <v>11016.134666666667</v>
      </c>
      <c r="W59" s="157">
        <f t="shared" si="0"/>
        <v>0</v>
      </c>
      <c r="X59" s="157">
        <f t="shared" si="0"/>
        <v>811740.68483333325</v>
      </c>
      <c r="Y59" s="157">
        <f t="shared" si="0"/>
        <v>0</v>
      </c>
      <c r="AQ59" s="3"/>
    </row>
    <row r="60" spans="2:43" x14ac:dyDescent="0.25">
      <c r="D60" s="27"/>
      <c r="J60" s="53"/>
      <c r="L60" s="53"/>
      <c r="AQ60" s="3"/>
    </row>
    <row r="61" spans="2:43" x14ac:dyDescent="0.25">
      <c r="C61" s="27"/>
      <c r="E61" s="23" t="s">
        <v>241</v>
      </c>
      <c r="F61" s="23"/>
      <c r="G61" s="23" t="s">
        <v>167</v>
      </c>
      <c r="I61" t="s">
        <v>154</v>
      </c>
      <c r="J61" s="21">
        <f>'Inputs by customer type'!J15</f>
        <v>0.44857405474776341</v>
      </c>
      <c r="K61" s="21">
        <f>'Inputs by customer type'!K15</f>
        <v>0.1748351266724493</v>
      </c>
      <c r="L61" s="21">
        <f>'Inputs by customer type'!L15</f>
        <v>0.43521251972530556</v>
      </c>
      <c r="M61" s="21">
        <f>'Inputs by customer type'!M15</f>
        <v>0.22587469012119213</v>
      </c>
      <c r="N61" s="21">
        <f>'Inputs by customer type'!N15</f>
        <v>0.51315854386695225</v>
      </c>
      <c r="O61" s="21">
        <f>'Inputs by customer type'!O15</f>
        <v>0.54364034444239728</v>
      </c>
      <c r="P61" s="21">
        <f>'Inputs by customer type'!P15</f>
        <v>0.65603085887430934</v>
      </c>
      <c r="Q61" s="21">
        <f>'Inputs by customer type'!Q15</f>
        <v>0.52219367636607006</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control'!$H$36:$H$59,MATCH($A$1,'Version control'!$F$36:$F$59,0),1)&amp;"-B: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191</v>
      </c>
      <c r="G70" s="19" t="s">
        <v>283</v>
      </c>
      <c r="H70" s="19"/>
      <c r="I70" s="19"/>
      <c r="J70" s="114">
        <f>'Pseudo-load coefficients'!J272</f>
        <v>14.13014453080276</v>
      </c>
      <c r="K70" s="114">
        <f>'Pseudo-load coefficients'!K272</f>
        <v>14.13014453080276</v>
      </c>
      <c r="L70" s="114">
        <f>'Pseudo-load coefficients'!L272</f>
        <v>13.100142963259696</v>
      </c>
      <c r="M70" s="114">
        <f>'Pseudo-load coefficients'!M272</f>
        <v>13.100142963259696</v>
      </c>
      <c r="N70" s="114">
        <f>'Pseudo-load coefficients'!N272</f>
        <v>13.327703102584305</v>
      </c>
      <c r="O70" s="114">
        <f>'Pseudo-load coefficients'!O272</f>
        <v>11.730421029323111</v>
      </c>
      <c r="P70" s="114">
        <f>'Pseudo-load coefficients'!P272</f>
        <v>9.7580826956250437</v>
      </c>
      <c r="Q70" s="114">
        <f>'Pseudo-load coefficients'!Q272</f>
        <v>30.523107031593884</v>
      </c>
      <c r="R70" s="114">
        <f>'Pseudo-load coefficients'!R272</f>
        <v>9.0248377730632061</v>
      </c>
      <c r="S70" s="114">
        <f>'Pseudo-load coefficients'!S272</f>
        <v>9.0248377730632061</v>
      </c>
      <c r="T70" s="114">
        <f>'Pseudo-load coefficients'!T272</f>
        <v>9.0248377730632061</v>
      </c>
      <c r="U70" s="114">
        <f>'Pseudo-load coefficients'!U272</f>
        <v>9.0248377730632061</v>
      </c>
      <c r="V70" s="114">
        <f>'Pseudo-load coefficients'!V272</f>
        <v>9.0248377730632061</v>
      </c>
      <c r="W70" s="114">
        <f>'Pseudo-load coefficients'!W272</f>
        <v>9.0248377730632061</v>
      </c>
      <c r="X70" s="114">
        <f>'Pseudo-load coefficients'!X272</f>
        <v>9.0248377730632061</v>
      </c>
      <c r="Y70" s="114">
        <f>'Pseudo-load coefficients'!Y272</f>
        <v>9.0248377730632061</v>
      </c>
      <c r="AQ70" s="3"/>
    </row>
    <row r="71" spans="3:43" x14ac:dyDescent="0.25">
      <c r="E71" s="27"/>
      <c r="F71" t="s">
        <v>192</v>
      </c>
      <c r="G71" t="s">
        <v>283</v>
      </c>
      <c r="J71" s="110">
        <f>'Pseudo-load coefficients'!J273</f>
        <v>9.3592489329932889</v>
      </c>
      <c r="K71" s="110">
        <f>'Pseudo-load coefficients'!K273</f>
        <v>9.3592489329932889</v>
      </c>
      <c r="L71" s="110">
        <f>'Pseudo-load coefficients'!L273</f>
        <v>8.6770166280799028</v>
      </c>
      <c r="M71" s="110">
        <f>'Pseudo-load coefficients'!M273</f>
        <v>8.6770166280799028</v>
      </c>
      <c r="N71" s="110">
        <f>'Pseudo-load coefficients'!N273</f>
        <v>8.827743465057603</v>
      </c>
      <c r="O71" s="110">
        <f>'Pseudo-load coefficients'!O273</f>
        <v>7.7697669873739859</v>
      </c>
      <c r="P71" s="110">
        <f>'Pseudo-load coefficients'!P273</f>
        <v>6.4633680751105835</v>
      </c>
      <c r="Q71" s="110">
        <f>'Pseudo-load coefficients'!Q273</f>
        <v>20.549664492266398</v>
      </c>
      <c r="R71" s="110">
        <f>'Pseudo-load coefficients'!R273</f>
        <v>5.9776956360106448</v>
      </c>
      <c r="S71" s="110">
        <f>'Pseudo-load coefficients'!S273</f>
        <v>5.9776956360106448</v>
      </c>
      <c r="T71" s="110">
        <f>'Pseudo-load coefficients'!T273</f>
        <v>5.9776956360106448</v>
      </c>
      <c r="U71" s="110">
        <f>'Pseudo-load coefficients'!U273</f>
        <v>5.9776956360106448</v>
      </c>
      <c r="V71" s="110">
        <f>'Pseudo-load coefficients'!V273</f>
        <v>5.9776956360106448</v>
      </c>
      <c r="W71" s="110">
        <f>'Pseudo-load coefficients'!W273</f>
        <v>5.9776956360106448</v>
      </c>
      <c r="X71" s="110">
        <f>'Pseudo-load coefficients'!X273</f>
        <v>5.9776956360106448</v>
      </c>
      <c r="Y71" s="110">
        <f>'Pseudo-load coefficients'!Y273</f>
        <v>5.9776956360106448</v>
      </c>
      <c r="AQ71" s="3"/>
    </row>
    <row r="72" spans="3:43" x14ac:dyDescent="0.25">
      <c r="E72" s="27"/>
      <c r="F72" t="s">
        <v>193</v>
      </c>
      <c r="G72" t="s">
        <v>283</v>
      </c>
      <c r="J72" s="110">
        <f>'Pseudo-load coefficients'!J274</f>
        <v>9.3592489329932889</v>
      </c>
      <c r="K72" s="110">
        <f>'Pseudo-load coefficients'!K274</f>
        <v>9.3592489329932889</v>
      </c>
      <c r="L72" s="110">
        <f>'Pseudo-load coefficients'!L274</f>
        <v>8.6770166280799028</v>
      </c>
      <c r="M72" s="110">
        <f>'Pseudo-load coefficients'!M274</f>
        <v>8.6770166280799028</v>
      </c>
      <c r="N72" s="110">
        <f>'Pseudo-load coefficients'!N274</f>
        <v>8.827743465057603</v>
      </c>
      <c r="O72" s="110">
        <f>'Pseudo-load coefficients'!O274</f>
        <v>7.7697669873739859</v>
      </c>
      <c r="P72" s="110">
        <f>'Pseudo-load coefficients'!P274</f>
        <v>6.4633680751105835</v>
      </c>
      <c r="Q72" s="110">
        <f>'Pseudo-load coefficients'!Q274</f>
        <v>20.549664492266398</v>
      </c>
      <c r="R72" s="110">
        <f>'Pseudo-load coefficients'!R274</f>
        <v>5.9776956360106448</v>
      </c>
      <c r="S72" s="110">
        <f>'Pseudo-load coefficients'!S274</f>
        <v>5.9776956360106448</v>
      </c>
      <c r="T72" s="110">
        <f>'Pseudo-load coefficients'!T274</f>
        <v>5.9776956360106448</v>
      </c>
      <c r="U72" s="110">
        <f>'Pseudo-load coefficients'!U274</f>
        <v>5.9776956360106448</v>
      </c>
      <c r="V72" s="110">
        <f>'Pseudo-load coefficients'!V274</f>
        <v>5.9776956360106448</v>
      </c>
      <c r="W72" s="110">
        <f>'Pseudo-load coefficients'!W274</f>
        <v>5.9776956360106448</v>
      </c>
      <c r="X72" s="110">
        <f>'Pseudo-load coefficients'!X274</f>
        <v>5.9776956360106448</v>
      </c>
      <c r="Y72" s="110">
        <f>'Pseudo-load coefficients'!Y274</f>
        <v>5.9776956360106448</v>
      </c>
      <c r="AQ72" s="3"/>
    </row>
    <row r="73" spans="3:43" x14ac:dyDescent="0.25">
      <c r="E73" s="27"/>
      <c r="F73" t="s">
        <v>194</v>
      </c>
      <c r="G73" t="s">
        <v>283</v>
      </c>
      <c r="J73" s="110">
        <f>'Pseudo-load coefficients'!J275</f>
        <v>9.9926325201122523</v>
      </c>
      <c r="K73" s="110">
        <f>'Pseudo-load coefficients'!K275</f>
        <v>9.9926325201122523</v>
      </c>
      <c r="L73" s="110">
        <f>'Pseudo-load coefficients'!L275</f>
        <v>9.264230405246364</v>
      </c>
      <c r="M73" s="110">
        <f>'Pseudo-load coefficients'!M275</f>
        <v>9.264230405246364</v>
      </c>
      <c r="N73" s="110">
        <f>'Pseudo-load coefficients'!N275</f>
        <v>9.4251576231909038</v>
      </c>
      <c r="O73" s="110">
        <f>'Pseudo-load coefficients'!O275</f>
        <v>8.295582992565711</v>
      </c>
      <c r="P73" s="110">
        <f>'Pseudo-load coefficients'!P275</f>
        <v>6.9007740342417998</v>
      </c>
      <c r="Q73" s="110">
        <f>'Pseudo-load coefficients'!Q275</f>
        <v>22.335334277851661</v>
      </c>
      <c r="R73" s="110">
        <f>'Pseudo-load coefficients'!R275</f>
        <v>6.382233898829444</v>
      </c>
      <c r="S73" s="110">
        <f>'Pseudo-load coefficients'!S275</f>
        <v>6.382233898829444</v>
      </c>
      <c r="T73" s="110">
        <f>'Pseudo-load coefficients'!T275</f>
        <v>6.382233898829444</v>
      </c>
      <c r="U73" s="110">
        <f>'Pseudo-load coefficients'!U275</f>
        <v>6.382233898829444</v>
      </c>
      <c r="V73" s="110">
        <f>'Pseudo-load coefficients'!V275</f>
        <v>6.382233898829444</v>
      </c>
      <c r="W73" s="110">
        <f>'Pseudo-load coefficients'!W275</f>
        <v>6.382233898829444</v>
      </c>
      <c r="X73" s="110">
        <f>'Pseudo-load coefficients'!X275</f>
        <v>6.382233898829444</v>
      </c>
      <c r="Y73" s="110">
        <f>'Pseudo-load coefficients'!Y275</f>
        <v>6.382233898829444</v>
      </c>
      <c r="AQ73" s="3"/>
    </row>
    <row r="74" spans="3:43" x14ac:dyDescent="0.25">
      <c r="E74" s="27"/>
      <c r="F74" t="s">
        <v>195</v>
      </c>
      <c r="G74" t="s">
        <v>283</v>
      </c>
      <c r="J74" s="110">
        <f>'Pseudo-load coefficients'!J276</f>
        <v>9.9926325201122523</v>
      </c>
      <c r="K74" s="110">
        <f>'Pseudo-load coefficients'!K276</f>
        <v>9.9926325201122523</v>
      </c>
      <c r="L74" s="110">
        <f>'Pseudo-load coefficients'!L276</f>
        <v>9.264230405246364</v>
      </c>
      <c r="M74" s="110">
        <f>'Pseudo-load coefficients'!M276</f>
        <v>9.264230405246364</v>
      </c>
      <c r="N74" s="110">
        <f>'Pseudo-load coefficients'!N276</f>
        <v>9.4251576231909038</v>
      </c>
      <c r="O74" s="110">
        <f>'Pseudo-load coefficients'!O276</f>
        <v>8.295582992565711</v>
      </c>
      <c r="P74" s="110">
        <f>'Pseudo-load coefficients'!P276</f>
        <v>6.9007740342417998</v>
      </c>
      <c r="Q74" s="110">
        <f>'Pseudo-load coefficients'!Q276</f>
        <v>22.335334277851661</v>
      </c>
      <c r="R74" s="110">
        <f>'Pseudo-load coefficients'!R276</f>
        <v>6.382233898829444</v>
      </c>
      <c r="S74" s="110">
        <f>'Pseudo-load coefficients'!S276</f>
        <v>6.382233898829444</v>
      </c>
      <c r="T74" s="110">
        <f>'Pseudo-load coefficients'!T276</f>
        <v>6.382233898829444</v>
      </c>
      <c r="U74" s="110">
        <f>'Pseudo-load coefficients'!U276</f>
        <v>6.382233898829444</v>
      </c>
      <c r="V74" s="110">
        <f>'Pseudo-load coefficients'!V276</f>
        <v>6.382233898829444</v>
      </c>
      <c r="W74" s="110">
        <f>'Pseudo-load coefficients'!W276</f>
        <v>6.382233898829444</v>
      </c>
      <c r="X74" s="110">
        <f>'Pseudo-load coefficients'!X276</f>
        <v>6.382233898829444</v>
      </c>
      <c r="Y74" s="110">
        <f>'Pseudo-load coefficients'!Y276</f>
        <v>6.382233898829444</v>
      </c>
      <c r="AQ74" s="3"/>
    </row>
    <row r="75" spans="3:43" x14ac:dyDescent="0.25">
      <c r="E75" s="27"/>
      <c r="F75" t="s">
        <v>196</v>
      </c>
      <c r="G75" t="s">
        <v>283</v>
      </c>
      <c r="J75" s="110">
        <f>'Pseudo-load coefficients'!J277</f>
        <v>9.3592489329932889</v>
      </c>
      <c r="K75" s="110">
        <f>'Pseudo-load coefficients'!K277</f>
        <v>9.3592489329932889</v>
      </c>
      <c r="L75" s="110">
        <f>'Pseudo-load coefficients'!L277</f>
        <v>8.6770166280799028</v>
      </c>
      <c r="M75" s="110">
        <f>'Pseudo-load coefficients'!M277</f>
        <v>8.6770166280799028</v>
      </c>
      <c r="N75" s="110">
        <f>'Pseudo-load coefficients'!N277</f>
        <v>8.827743465057603</v>
      </c>
      <c r="O75" s="110">
        <f>'Pseudo-load coefficients'!O277</f>
        <v>7.7697669873739859</v>
      </c>
      <c r="P75" s="110">
        <f>'Pseudo-load coefficients'!P277</f>
        <v>6.4633680751105835</v>
      </c>
      <c r="Q75" s="110">
        <f>'Pseudo-load coefficients'!Q277</f>
        <v>20.549664492266398</v>
      </c>
      <c r="R75" s="110">
        <f>'Pseudo-load coefficients'!R277</f>
        <v>5.9776956360106448</v>
      </c>
      <c r="S75" s="110">
        <f>'Pseudo-load coefficients'!S277</f>
        <v>5.9776956360106448</v>
      </c>
      <c r="T75" s="110">
        <f>'Pseudo-load coefficients'!T277</f>
        <v>5.9776956360106448</v>
      </c>
      <c r="U75" s="110">
        <f>'Pseudo-load coefficients'!U277</f>
        <v>5.9776956360106448</v>
      </c>
      <c r="V75" s="110">
        <f>'Pseudo-load coefficients'!V277</f>
        <v>5.9776956360106448</v>
      </c>
      <c r="W75" s="110">
        <f>'Pseudo-load coefficients'!W277</f>
        <v>5.9776956360106448</v>
      </c>
      <c r="X75" s="110">
        <f>'Pseudo-load coefficients'!X277</f>
        <v>5.9776956360106448</v>
      </c>
      <c r="Y75" s="110">
        <f>'Pseudo-load coefficients'!Y277</f>
        <v>5.9776956360106448</v>
      </c>
      <c r="AQ75" s="3"/>
    </row>
    <row r="76" spans="3:43" x14ac:dyDescent="0.25">
      <c r="E76" s="27"/>
      <c r="F76" t="s">
        <v>197</v>
      </c>
      <c r="G76" t="s">
        <v>283</v>
      </c>
      <c r="J76" s="110">
        <f>'Pseudo-load coefficients'!J278</f>
        <v>9.9926325201122523</v>
      </c>
      <c r="K76" s="110">
        <f>'Pseudo-load coefficients'!K278</f>
        <v>9.9926325201122523</v>
      </c>
      <c r="L76" s="110">
        <f>'Pseudo-load coefficients'!L278</f>
        <v>9.264230405246364</v>
      </c>
      <c r="M76" s="110">
        <f>'Pseudo-load coefficients'!M278</f>
        <v>9.264230405246364</v>
      </c>
      <c r="N76" s="110">
        <f>'Pseudo-load coefficients'!N278</f>
        <v>9.4251576231909038</v>
      </c>
      <c r="O76" s="110">
        <f>'Pseudo-load coefficients'!O278</f>
        <v>8.295582992565711</v>
      </c>
      <c r="P76" s="110">
        <f>'Pseudo-load coefficients'!P278</f>
        <v>6.9007740342417998</v>
      </c>
      <c r="Q76" s="110">
        <f>'Pseudo-load coefficients'!Q278</f>
        <v>22.335334277851661</v>
      </c>
      <c r="R76" s="110">
        <f>'Pseudo-load coefficients'!R278</f>
        <v>6.382233898829444</v>
      </c>
      <c r="S76" s="110">
        <f>'Pseudo-load coefficients'!S278</f>
        <v>6.382233898829444</v>
      </c>
      <c r="T76" s="110">
        <f>'Pseudo-load coefficients'!T278</f>
        <v>6.382233898829444</v>
      </c>
      <c r="U76" s="110">
        <f>'Pseudo-load coefficients'!U278</f>
        <v>6.382233898829444</v>
      </c>
      <c r="V76" s="110">
        <f>'Pseudo-load coefficients'!V278</f>
        <v>6.382233898829444</v>
      </c>
      <c r="W76" s="110">
        <f>'Pseudo-load coefficients'!W278</f>
        <v>6.382233898829444</v>
      </c>
      <c r="X76" s="110">
        <f>'Pseudo-load coefficients'!X278</f>
        <v>6.382233898829444</v>
      </c>
      <c r="Y76" s="110">
        <f>'Pseudo-load coefficients'!Y278</f>
        <v>6.382233898829444</v>
      </c>
      <c r="AQ76" s="3"/>
    </row>
    <row r="77" spans="3:43" x14ac:dyDescent="0.25">
      <c r="E77" s="27"/>
      <c r="F77" t="s">
        <v>198</v>
      </c>
      <c r="G77" t="s">
        <v>283</v>
      </c>
      <c r="J77" s="110">
        <f>'Pseudo-load coefficients'!J279</f>
        <v>9.9926325201122523</v>
      </c>
      <c r="K77" s="110">
        <f>'Pseudo-load coefficients'!K279</f>
        <v>9.9926325201122523</v>
      </c>
      <c r="L77" s="110">
        <f>'Pseudo-load coefficients'!L279</f>
        <v>9.264230405246364</v>
      </c>
      <c r="M77" s="110">
        <f>'Pseudo-load coefficients'!M279</f>
        <v>9.264230405246364</v>
      </c>
      <c r="N77" s="110">
        <f>'Pseudo-load coefficients'!N279</f>
        <v>9.4251576231909038</v>
      </c>
      <c r="O77" s="110">
        <f>'Pseudo-load coefficients'!O279</f>
        <v>8.295582992565711</v>
      </c>
      <c r="P77" s="110">
        <f>'Pseudo-load coefficients'!P279</f>
        <v>6.9007740342417998</v>
      </c>
      <c r="Q77" s="110">
        <f>'Pseudo-load coefficients'!Q279</f>
        <v>22.335334277851661</v>
      </c>
      <c r="R77" s="110">
        <f>'Pseudo-load coefficients'!R279</f>
        <v>6.382233898829444</v>
      </c>
      <c r="S77" s="110">
        <f>'Pseudo-load coefficients'!S279</f>
        <v>6.382233898829444</v>
      </c>
      <c r="T77" s="110">
        <f>'Pseudo-load coefficients'!T279</f>
        <v>6.382233898829444</v>
      </c>
      <c r="U77" s="110">
        <f>'Pseudo-load coefficients'!U279</f>
        <v>6.382233898829444</v>
      </c>
      <c r="V77" s="110">
        <f>'Pseudo-load coefficients'!V279</f>
        <v>6.382233898829444</v>
      </c>
      <c r="W77" s="110">
        <f>'Pseudo-load coefficients'!W279</f>
        <v>6.382233898829444</v>
      </c>
      <c r="X77" s="110">
        <f>'Pseudo-load coefficients'!X279</f>
        <v>6.382233898829444</v>
      </c>
      <c r="Y77" s="110">
        <f>'Pseudo-load coefficients'!Y279</f>
        <v>6.382233898829444</v>
      </c>
      <c r="AQ77" s="3"/>
    </row>
    <row r="78" spans="3:43" x14ac:dyDescent="0.25">
      <c r="E78" s="27"/>
      <c r="F78" s="28" t="s">
        <v>199</v>
      </c>
      <c r="G78" s="28" t="s">
        <v>283</v>
      </c>
      <c r="H78" s="28"/>
      <c r="I78" s="28"/>
      <c r="J78" s="115">
        <f>'Pseudo-load coefficients'!J280</f>
        <v>9.9926325201122523</v>
      </c>
      <c r="K78" s="115">
        <f>'Pseudo-load coefficients'!K280</f>
        <v>9.9926325201122523</v>
      </c>
      <c r="L78" s="115">
        <f>'Pseudo-load coefficients'!L280</f>
        <v>9.264230405246364</v>
      </c>
      <c r="M78" s="115">
        <f>'Pseudo-load coefficients'!M280</f>
        <v>9.264230405246364</v>
      </c>
      <c r="N78" s="115">
        <f>'Pseudo-load coefficients'!N280</f>
        <v>9.4251576231909038</v>
      </c>
      <c r="O78" s="115">
        <f>'Pseudo-load coefficients'!O280</f>
        <v>8.295582992565711</v>
      </c>
      <c r="P78" s="115">
        <f>'Pseudo-load coefficients'!P280</f>
        <v>6.9007740342417998</v>
      </c>
      <c r="Q78" s="115">
        <f>'Pseudo-load coefficients'!Q280</f>
        <v>22.335334277851661</v>
      </c>
      <c r="R78" s="115">
        <f>'Pseudo-load coefficients'!R280</f>
        <v>6.382233898829444</v>
      </c>
      <c r="S78" s="115">
        <f>'Pseudo-load coefficients'!S280</f>
        <v>6.382233898829444</v>
      </c>
      <c r="T78" s="115">
        <f>'Pseudo-load coefficients'!T280</f>
        <v>6.382233898829444</v>
      </c>
      <c r="U78" s="115">
        <f>'Pseudo-load coefficients'!U280</f>
        <v>6.382233898829444</v>
      </c>
      <c r="V78" s="115">
        <f>'Pseudo-load coefficients'!V280</f>
        <v>6.382233898829444</v>
      </c>
      <c r="W78" s="115">
        <f>'Pseudo-load coefficients'!W280</f>
        <v>6.382233898829444</v>
      </c>
      <c r="X78" s="115">
        <f>'Pseudo-load coefficients'!X280</f>
        <v>6.382233898829444</v>
      </c>
      <c r="Y78" s="115">
        <f>'Pseudo-load coefficients'!Y280</f>
        <v>6.382233898829444</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191</v>
      </c>
      <c r="G82" s="19" t="s">
        <v>172</v>
      </c>
      <c r="H82" s="19"/>
      <c r="I82" s="19"/>
      <c r="J82" s="148">
        <f t="shared" ref="J82:Y82" si="1">J$56 * J34 * J70 / hours_in_year / $H45</f>
        <v>1727.1733827616342</v>
      </c>
      <c r="K82" s="148">
        <f t="shared" si="1"/>
        <v>0.17072715620163154</v>
      </c>
      <c r="L82" s="148">
        <f t="shared" si="1"/>
        <v>485.49540353083557</v>
      </c>
      <c r="M82" s="148">
        <f t="shared" si="1"/>
        <v>0.18518091641940657</v>
      </c>
      <c r="N82" s="148">
        <f t="shared" si="1"/>
        <v>422.06144638060971</v>
      </c>
      <c r="O82" s="148">
        <f t="shared" si="1"/>
        <v>30.230339822445256</v>
      </c>
      <c r="P82" s="148">
        <f t="shared" si="1"/>
        <v>780.76244787393546</v>
      </c>
      <c r="Q82" s="148">
        <f t="shared" si="1"/>
        <v>41.091325850515972</v>
      </c>
      <c r="R82" s="148">
        <f t="shared" si="1"/>
        <v>-0.45716239481383386</v>
      </c>
      <c r="S82" s="148">
        <f t="shared" si="1"/>
        <v>0</v>
      </c>
      <c r="T82" s="148">
        <f t="shared" si="1"/>
        <v>-5.1527346370206208</v>
      </c>
      <c r="U82" s="148">
        <f t="shared" si="1"/>
        <v>0</v>
      </c>
      <c r="V82" s="148">
        <f t="shared" si="1"/>
        <v>-1.1012133585254777</v>
      </c>
      <c r="W82" s="148">
        <f t="shared" si="1"/>
        <v>0</v>
      </c>
      <c r="X82" s="148">
        <f t="shared" si="1"/>
        <v>-121.84834738053746</v>
      </c>
      <c r="Y82" s="148">
        <f t="shared" si="1"/>
        <v>0</v>
      </c>
      <c r="AQ82" s="3"/>
    </row>
    <row r="83" spans="5:43" x14ac:dyDescent="0.25">
      <c r="E83" s="27"/>
      <c r="F83" t="s">
        <v>192</v>
      </c>
      <c r="G83" t="s">
        <v>172</v>
      </c>
      <c r="J83" s="79">
        <f t="shared" ref="J83:Y83" si="2">J$56 * J35 * J71 / hours_in_year / $H46</f>
        <v>1136.0589317683703</v>
      </c>
      <c r="K83" s="79">
        <f t="shared" si="2"/>
        <v>0.11229683865794321</v>
      </c>
      <c r="L83" s="79">
        <f t="shared" si="2"/>
        <v>319.33759228723244</v>
      </c>
      <c r="M83" s="79">
        <f t="shared" si="2"/>
        <v>0.12180388847525025</v>
      </c>
      <c r="N83" s="79">
        <f t="shared" si="2"/>
        <v>277.61351622331142</v>
      </c>
      <c r="O83" s="79">
        <f t="shared" si="2"/>
        <v>19.88419223481149</v>
      </c>
      <c r="P83" s="79">
        <f t="shared" si="2"/>
        <v>513.55130952648199</v>
      </c>
      <c r="Q83" s="79">
        <f t="shared" si="2"/>
        <v>27.472404981539679</v>
      </c>
      <c r="R83" s="79">
        <f t="shared" si="2"/>
        <v>-0.30070138127444201</v>
      </c>
      <c r="S83" s="79">
        <f t="shared" si="2"/>
        <v>0</v>
      </c>
      <c r="T83" s="79">
        <f t="shared" si="2"/>
        <v>-3.3892429479544655</v>
      </c>
      <c r="U83" s="79">
        <f t="shared" si="2"/>
        <v>0</v>
      </c>
      <c r="V83" s="79">
        <f t="shared" si="2"/>
        <v>-0.72432986996081383</v>
      </c>
      <c r="W83" s="79">
        <f t="shared" si="2"/>
        <v>0</v>
      </c>
      <c r="X83" s="79">
        <f t="shared" si="2"/>
        <v>-80.146501066117239</v>
      </c>
      <c r="Y83" s="79">
        <f t="shared" si="2"/>
        <v>0</v>
      </c>
      <c r="AQ83" s="3"/>
    </row>
    <row r="84" spans="5:43" x14ac:dyDescent="0.25">
      <c r="E84" s="27"/>
      <c r="F84" t="s">
        <v>193</v>
      </c>
      <c r="G84" t="s">
        <v>172</v>
      </c>
      <c r="J84" s="79">
        <f t="shared" ref="J84:Y84" si="3">J$56 * J36 * J72 / hours_in_year / $H47</f>
        <v>347.88170905685655</v>
      </c>
      <c r="K84" s="79">
        <f t="shared" si="3"/>
        <v>3.4387314831632772E-2</v>
      </c>
      <c r="L84" s="79">
        <f t="shared" si="3"/>
        <v>97.786923076306067</v>
      </c>
      <c r="M84" s="79">
        <f t="shared" si="3"/>
        <v>3.7298544738857152E-2</v>
      </c>
      <c r="N84" s="79">
        <f t="shared" si="3"/>
        <v>85.010259398004422</v>
      </c>
      <c r="O84" s="79">
        <f t="shared" si="3"/>
        <v>6.0888978418521571</v>
      </c>
      <c r="P84" s="79">
        <f t="shared" si="3"/>
        <v>157.25866172133144</v>
      </c>
      <c r="Q84" s="79">
        <f t="shared" si="3"/>
        <v>8.4125452735129063</v>
      </c>
      <c r="R84" s="79">
        <f t="shared" si="3"/>
        <v>-9.2080179564873896E-2</v>
      </c>
      <c r="S84" s="79">
        <f t="shared" si="3"/>
        <v>0</v>
      </c>
      <c r="T84" s="79">
        <f t="shared" si="3"/>
        <v>-1.0378472420510794</v>
      </c>
      <c r="U84" s="79">
        <f t="shared" si="3"/>
        <v>0</v>
      </c>
      <c r="V84" s="79">
        <f t="shared" si="3"/>
        <v>-0.2218028537398751</v>
      </c>
      <c r="W84" s="79">
        <f t="shared" si="3"/>
        <v>0</v>
      </c>
      <c r="X84" s="79">
        <f t="shared" si="3"/>
        <v>-24.542302327933083</v>
      </c>
      <c r="Y84" s="79">
        <f t="shared" si="3"/>
        <v>0</v>
      </c>
      <c r="AQ84" s="3"/>
    </row>
    <row r="85" spans="5:43" x14ac:dyDescent="0.25">
      <c r="E85" s="27"/>
      <c r="F85" t="s">
        <v>194</v>
      </c>
      <c r="G85" t="s">
        <v>172</v>
      </c>
      <c r="J85" s="79">
        <f t="shared" ref="J85:Y85" si="4">J$56 * J37 * J73 / hours_in_year / $H48</f>
        <v>363.16261089001398</v>
      </c>
      <c r="K85" s="79">
        <f t="shared" si="4"/>
        <v>3.5897797184018185E-2</v>
      </c>
      <c r="L85" s="79">
        <f t="shared" si="4"/>
        <v>102.08226926207332</v>
      </c>
      <c r="M85" s="79">
        <f t="shared" si="4"/>
        <v>3.8936904519885358E-2</v>
      </c>
      <c r="N85" s="79">
        <f t="shared" si="4"/>
        <v>88.744383368459708</v>
      </c>
      <c r="O85" s="79">
        <f t="shared" si="4"/>
        <v>6.3563561409553753</v>
      </c>
      <c r="P85" s="79">
        <f t="shared" si="4"/>
        <v>164.16633783541147</v>
      </c>
      <c r="Q85" s="79">
        <f t="shared" si="4"/>
        <v>8.9401694884517706</v>
      </c>
      <c r="R85" s="79">
        <f t="shared" si="4"/>
        <v>-9.6124853797747656E-2</v>
      </c>
      <c r="S85" s="79">
        <f t="shared" si="4"/>
        <v>0</v>
      </c>
      <c r="T85" s="79">
        <f t="shared" si="4"/>
        <v>-1.0834352721507126</v>
      </c>
      <c r="U85" s="79">
        <f t="shared" si="4"/>
        <v>0</v>
      </c>
      <c r="V85" s="79">
        <f t="shared" si="4"/>
        <v>-0.231545670180274</v>
      </c>
      <c r="W85" s="79">
        <f t="shared" si="4"/>
        <v>0</v>
      </c>
      <c r="X85" s="79">
        <f t="shared" si="4"/>
        <v>-25.620336909427927</v>
      </c>
      <c r="Y85" s="79">
        <f t="shared" si="4"/>
        <v>0</v>
      </c>
      <c r="AQ85" s="3"/>
    </row>
    <row r="86" spans="5:43" x14ac:dyDescent="0.25">
      <c r="E86" s="27"/>
      <c r="F86" t="s">
        <v>195</v>
      </c>
      <c r="G86" t="s">
        <v>172</v>
      </c>
      <c r="J86" s="79">
        <f t="shared" ref="J86:Y86" si="5">J$56 * J38 * J74 / hours_in_year / $H49</f>
        <v>360.72059525482661</v>
      </c>
      <c r="K86" s="79">
        <f t="shared" si="5"/>
        <v>3.5656409498823059E-2</v>
      </c>
      <c r="L86" s="79">
        <f t="shared" si="5"/>
        <v>101.39583709604595</v>
      </c>
      <c r="M86" s="79">
        <f t="shared" si="5"/>
        <v>3.8675080954429841E-2</v>
      </c>
      <c r="N86" s="79">
        <f t="shared" si="5"/>
        <v>88.147639195953261</v>
      </c>
      <c r="O86" s="79">
        <f t="shared" si="5"/>
        <v>6.3136140727645138</v>
      </c>
      <c r="P86" s="79">
        <f t="shared" si="5"/>
        <v>163.06243354641256</v>
      </c>
      <c r="Q86" s="79">
        <f t="shared" si="5"/>
        <v>8.8800530749847564</v>
      </c>
      <c r="R86" s="79">
        <f t="shared" si="5"/>
        <v>-9.5478481101701332E-2</v>
      </c>
      <c r="S86" s="79">
        <f t="shared" si="5"/>
        <v>0</v>
      </c>
      <c r="T86" s="79">
        <f t="shared" si="5"/>
        <v>-1.0761499244993631</v>
      </c>
      <c r="U86" s="79">
        <f t="shared" si="5"/>
        <v>0</v>
      </c>
      <c r="V86" s="79">
        <f t="shared" si="5"/>
        <v>-0.22998868680730389</v>
      </c>
      <c r="W86" s="79">
        <f t="shared" si="5"/>
        <v>0</v>
      </c>
      <c r="X86" s="79">
        <f t="shared" si="5"/>
        <v>-25.448057986886145</v>
      </c>
      <c r="Y86" s="79">
        <f t="shared" si="5"/>
        <v>0</v>
      </c>
      <c r="AQ86" s="3"/>
    </row>
    <row r="87" spans="5:43" x14ac:dyDescent="0.25">
      <c r="E87" s="27"/>
      <c r="F87" t="s">
        <v>196</v>
      </c>
      <c r="G87" t="s">
        <v>172</v>
      </c>
      <c r="J87" s="79">
        <f t="shared" ref="J87:Y87" si="6">J$56 * J39 * J75 / hours_in_year / $H50</f>
        <v>761.09792164675002</v>
      </c>
      <c r="K87" s="79">
        <f t="shared" si="6"/>
        <v>7.5232796574224853E-2</v>
      </c>
      <c r="L87" s="79">
        <f t="shared" si="6"/>
        <v>213.93888203947895</v>
      </c>
      <c r="M87" s="79">
        <f t="shared" si="6"/>
        <v>8.1602004768100325E-2</v>
      </c>
      <c r="N87" s="79">
        <f t="shared" si="6"/>
        <v>185.98601208980995</v>
      </c>
      <c r="O87" s="79">
        <f t="shared" si="6"/>
        <v>13.321331279868049</v>
      </c>
      <c r="P87" s="79">
        <f t="shared" si="6"/>
        <v>344.0515482160435</v>
      </c>
      <c r="Q87" s="79">
        <f t="shared" si="6"/>
        <v>18.405022617568594</v>
      </c>
      <c r="R87" s="79">
        <f t="shared" si="6"/>
        <v>-0.20145363055069707</v>
      </c>
      <c r="S87" s="79">
        <f t="shared" si="6"/>
        <v>0</v>
      </c>
      <c r="T87" s="79">
        <f t="shared" si="6"/>
        <v>-2.270609113233915</v>
      </c>
      <c r="U87" s="79">
        <f t="shared" si="6"/>
        <v>0</v>
      </c>
      <c r="V87" s="79">
        <f t="shared" si="6"/>
        <v>-0.48526176169022645</v>
      </c>
      <c r="W87" s="79">
        <f t="shared" si="6"/>
        <v>0</v>
      </c>
      <c r="X87" s="79">
        <f t="shared" si="6"/>
        <v>-53.693812603304245</v>
      </c>
      <c r="Y87" s="79">
        <f t="shared" si="6"/>
        <v>0</v>
      </c>
      <c r="AQ87" s="3"/>
    </row>
    <row r="88" spans="5:43" x14ac:dyDescent="0.25">
      <c r="E88" s="27"/>
      <c r="F88" t="s">
        <v>197</v>
      </c>
      <c r="G88" t="s">
        <v>172</v>
      </c>
      <c r="J88" s="79">
        <f t="shared" ref="J88:Y88" si="7">J$56 * J40 * J76 / hours_in_year / $H51</f>
        <v>1158.8537702848007</v>
      </c>
      <c r="K88" s="79">
        <f t="shared" si="7"/>
        <v>0.11455005654262543</v>
      </c>
      <c r="L88" s="79">
        <f t="shared" si="7"/>
        <v>325.74504936965911</v>
      </c>
      <c r="M88" s="79">
        <f t="shared" si="7"/>
        <v>0.12424786377514499</v>
      </c>
      <c r="N88" s="79">
        <f>N$56 * N40 * N76 / hours_in_year / $H51</f>
        <v>283.18378647543523</v>
      </c>
      <c r="O88" s="79">
        <f t="shared" si="7"/>
        <v>20.283165332374889</v>
      </c>
      <c r="P88" s="79">
        <f t="shared" si="7"/>
        <v>523.85563339842759</v>
      </c>
      <c r="Q88" s="79">
        <f t="shared" si="7"/>
        <v>28.528127092398194</v>
      </c>
      <c r="R88" s="79">
        <f t="shared" si="7"/>
        <v>-0.30673490580045326</v>
      </c>
      <c r="S88" s="79">
        <f t="shared" si="7"/>
        <v>0</v>
      </c>
      <c r="T88" s="79">
        <f t="shared" si="7"/>
        <v>-3.4572475589224161</v>
      </c>
      <c r="U88" s="79">
        <f t="shared" si="7"/>
        <v>0</v>
      </c>
      <c r="V88" s="79">
        <f t="shared" si="7"/>
        <v>-0.73886343151882505</v>
      </c>
      <c r="W88" s="79">
        <f t="shared" si="7"/>
        <v>0</v>
      </c>
      <c r="X88" s="79">
        <f t="shared" si="7"/>
        <v>0</v>
      </c>
      <c r="Y88" s="79">
        <f t="shared" si="7"/>
        <v>0</v>
      </c>
      <c r="AQ88" s="3"/>
    </row>
    <row r="89" spans="5:43" x14ac:dyDescent="0.25">
      <c r="E89" s="27"/>
      <c r="F89" t="s">
        <v>198</v>
      </c>
      <c r="G89" t="s">
        <v>172</v>
      </c>
      <c r="J89" s="79">
        <f t="shared" ref="J89:Y89" si="8">J$56 * J41 * J77 / hours_in_year / $H52</f>
        <v>1140.4592659945661</v>
      </c>
      <c r="K89" s="79">
        <f t="shared" si="8"/>
        <v>0.11273180167686948</v>
      </c>
      <c r="L89" s="79">
        <f t="shared" si="8"/>
        <v>320.5744930304582</v>
      </c>
      <c r="M89" s="79">
        <f t="shared" si="8"/>
        <v>0.12227567546125381</v>
      </c>
      <c r="N89" s="79">
        <f t="shared" si="8"/>
        <v>278.68880573772992</v>
      </c>
      <c r="O89" s="79">
        <f t="shared" si="8"/>
        <v>19.961210327099099</v>
      </c>
      <c r="P89" s="79">
        <f t="shared" si="8"/>
        <v>0</v>
      </c>
      <c r="Q89" s="79">
        <f t="shared" si="8"/>
        <v>28.075299678233147</v>
      </c>
      <c r="R89" s="79">
        <f t="shared" si="8"/>
        <v>-0.30186609777187468</v>
      </c>
      <c r="S89" s="79">
        <f t="shared" si="8"/>
        <v>0</v>
      </c>
      <c r="T89" s="79">
        <f t="shared" si="8"/>
        <v>-3.4023706135426952</v>
      </c>
      <c r="U89" s="79">
        <f t="shared" si="8"/>
        <v>0</v>
      </c>
      <c r="V89" s="79">
        <f t="shared" si="8"/>
        <v>0</v>
      </c>
      <c r="W89" s="79">
        <f t="shared" si="8"/>
        <v>0</v>
      </c>
      <c r="X89" s="79">
        <f t="shared" si="8"/>
        <v>0</v>
      </c>
      <c r="Y89" s="79">
        <f t="shared" si="8"/>
        <v>0</v>
      </c>
      <c r="AQ89" s="3"/>
    </row>
    <row r="90" spans="5:43" x14ac:dyDescent="0.25">
      <c r="E90" s="27"/>
      <c r="F90" s="28" t="s">
        <v>199</v>
      </c>
      <c r="G90" s="28" t="s">
        <v>172</v>
      </c>
      <c r="H90" s="28"/>
      <c r="I90" s="28"/>
      <c r="J90" s="72">
        <f t="shared" ref="J90:Y90" si="9">J$56 * J42 * J78 / hours_in_year / $H53</f>
        <v>1117.5040017202014</v>
      </c>
      <c r="K90" s="72">
        <f t="shared" si="9"/>
        <v>0.11046272607129662</v>
      </c>
      <c r="L90" s="72">
        <f t="shared" si="9"/>
        <v>314.12194147815251</v>
      </c>
      <c r="M90" s="72">
        <f t="shared" si="9"/>
        <v>0.11981449992589463</v>
      </c>
      <c r="N90" s="72">
        <f t="shared" si="9"/>
        <v>273.07933297814157</v>
      </c>
      <c r="O90" s="72">
        <f t="shared" si="9"/>
        <v>0</v>
      </c>
      <c r="P90" s="72">
        <f t="shared" si="9"/>
        <v>0</v>
      </c>
      <c r="Q90" s="72">
        <f t="shared" si="9"/>
        <v>27.510197580409606</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191</v>
      </c>
      <c r="G93" s="19" t="s">
        <v>283</v>
      </c>
      <c r="H93" s="19"/>
      <c r="I93" s="19"/>
      <c r="J93" s="114">
        <f>'Pseudo-load coefficients'!J283</f>
        <v>1.000568962964276</v>
      </c>
      <c r="K93" s="114">
        <f>'Pseudo-load coefficients'!K283</f>
        <v>1.000568962964276</v>
      </c>
      <c r="L93" s="114">
        <f>'Pseudo-load coefficients'!L283</f>
        <v>0.92763357309324312</v>
      </c>
      <c r="M93" s="114">
        <f>'Pseudo-load coefficients'!M283</f>
        <v>0.92763357309324312</v>
      </c>
      <c r="N93" s="114">
        <f>'Pseudo-load coefficients'!N283</f>
        <v>0.9437473228230977</v>
      </c>
      <c r="O93" s="114">
        <f>'Pseudo-load coefficients'!O283</f>
        <v>0.83064226122090157</v>
      </c>
      <c r="P93" s="114">
        <f>'Pseudo-load coefficients'!P283</f>
        <v>0.69097910937833185</v>
      </c>
      <c r="Q93" s="114">
        <f>'Pseudo-load coefficients'!Q283</f>
        <v>0.80610115180439157</v>
      </c>
      <c r="R93" s="114">
        <f>'Pseudo-load coefficients'!R283</f>
        <v>0.63905733956435817</v>
      </c>
      <c r="S93" s="114">
        <f>'Pseudo-load coefficients'!S283</f>
        <v>0.63905733956435817</v>
      </c>
      <c r="T93" s="114">
        <f>'Pseudo-load coefficients'!T283</f>
        <v>0.63905733956435817</v>
      </c>
      <c r="U93" s="114">
        <f>'Pseudo-load coefficients'!U283</f>
        <v>0.63905733956435817</v>
      </c>
      <c r="V93" s="114">
        <f>'Pseudo-load coefficients'!V283</f>
        <v>0.63905733956435817</v>
      </c>
      <c r="W93" s="114">
        <f>'Pseudo-load coefficients'!W283</f>
        <v>0.63905733956435817</v>
      </c>
      <c r="X93" s="114">
        <f>'Pseudo-load coefficients'!X283</f>
        <v>0.63905733956435817</v>
      </c>
      <c r="Y93" s="114">
        <f>'Pseudo-load coefficients'!Y283</f>
        <v>0.63905733956435817</v>
      </c>
      <c r="AQ93" s="3"/>
    </row>
    <row r="94" spans="5:43" x14ac:dyDescent="0.25">
      <c r="E94" s="27"/>
      <c r="F94" t="s">
        <v>192</v>
      </c>
      <c r="G94" t="s">
        <v>283</v>
      </c>
      <c r="J94" s="110">
        <f>'Pseudo-load coefficients'!J284</f>
        <v>2.0343020326420613</v>
      </c>
      <c r="K94" s="110">
        <f>'Pseudo-load coefficients'!K284</f>
        <v>2.0343020326420613</v>
      </c>
      <c r="L94" s="110">
        <f>'Pseudo-load coefficients'!L284</f>
        <v>1.8860137912932433</v>
      </c>
      <c r="M94" s="110">
        <f>'Pseudo-load coefficients'!M284</f>
        <v>1.8860137912932433</v>
      </c>
      <c r="N94" s="110">
        <f>'Pseudo-load coefficients'!N284</f>
        <v>1.9187753849887086</v>
      </c>
      <c r="O94" s="110">
        <f>'Pseudo-load coefficients'!O284</f>
        <v>1.6888163664341145</v>
      </c>
      <c r="P94" s="110">
        <f>'Pseudo-load coefficients'!P284</f>
        <v>1.40486089290352</v>
      </c>
      <c r="Q94" s="110">
        <f>'Pseudo-load coefficients'!Q284</f>
        <v>1.3942699760958606</v>
      </c>
      <c r="R94" s="110">
        <f>'Pseudo-load coefficients'!R284</f>
        <v>1.2992963933231838</v>
      </c>
      <c r="S94" s="110">
        <f>'Pseudo-load coefficients'!S284</f>
        <v>1.2992963933231838</v>
      </c>
      <c r="T94" s="110">
        <f>'Pseudo-load coefficients'!T284</f>
        <v>1.2992963933231838</v>
      </c>
      <c r="U94" s="110">
        <f>'Pseudo-load coefficients'!U284</f>
        <v>1.2992963933231838</v>
      </c>
      <c r="V94" s="110">
        <f>'Pseudo-load coefficients'!V284</f>
        <v>1.2992963933231838</v>
      </c>
      <c r="W94" s="110">
        <f>'Pseudo-load coefficients'!W284</f>
        <v>1.2992963933231838</v>
      </c>
      <c r="X94" s="110">
        <f>'Pseudo-load coefficients'!X284</f>
        <v>1.2992963933231838</v>
      </c>
      <c r="Y94" s="110">
        <f>'Pseudo-load coefficients'!Y284</f>
        <v>1.2992963933231838</v>
      </c>
      <c r="AQ94" s="3"/>
    </row>
    <row r="95" spans="5:43" x14ac:dyDescent="0.25">
      <c r="E95" s="27"/>
      <c r="F95" t="s">
        <v>193</v>
      </c>
      <c r="G95" t="s">
        <v>283</v>
      </c>
      <c r="J95" s="110">
        <f>'Pseudo-load coefficients'!J285</f>
        <v>2.0343020326420613</v>
      </c>
      <c r="K95" s="110">
        <f>'Pseudo-load coefficients'!K285</f>
        <v>2.0343020326420613</v>
      </c>
      <c r="L95" s="110">
        <f>'Pseudo-load coefficients'!L285</f>
        <v>1.8860137912932433</v>
      </c>
      <c r="M95" s="110">
        <f>'Pseudo-load coefficients'!M285</f>
        <v>1.8860137912932433</v>
      </c>
      <c r="N95" s="110">
        <f>'Pseudo-load coefficients'!N285</f>
        <v>1.9187753849887086</v>
      </c>
      <c r="O95" s="110">
        <f>'Pseudo-load coefficients'!O285</f>
        <v>1.6888163664341145</v>
      </c>
      <c r="P95" s="110">
        <f>'Pseudo-load coefficients'!P285</f>
        <v>1.40486089290352</v>
      </c>
      <c r="Q95" s="110">
        <f>'Pseudo-load coefficients'!Q285</f>
        <v>1.3942699760958606</v>
      </c>
      <c r="R95" s="110">
        <f>'Pseudo-load coefficients'!R285</f>
        <v>1.2992963933231838</v>
      </c>
      <c r="S95" s="110">
        <f>'Pseudo-load coefficients'!S285</f>
        <v>1.2992963933231838</v>
      </c>
      <c r="T95" s="110">
        <f>'Pseudo-load coefficients'!T285</f>
        <v>1.2992963933231838</v>
      </c>
      <c r="U95" s="110">
        <f>'Pseudo-load coefficients'!U285</f>
        <v>1.2992963933231838</v>
      </c>
      <c r="V95" s="110">
        <f>'Pseudo-load coefficients'!V285</f>
        <v>1.2992963933231838</v>
      </c>
      <c r="W95" s="110">
        <f>'Pseudo-load coefficients'!W285</f>
        <v>1.2992963933231838</v>
      </c>
      <c r="X95" s="110">
        <f>'Pseudo-load coefficients'!X285</f>
        <v>1.2992963933231838</v>
      </c>
      <c r="Y95" s="110">
        <f>'Pseudo-load coefficients'!Y285</f>
        <v>1.2992963933231838</v>
      </c>
      <c r="AQ95" s="3"/>
    </row>
    <row r="96" spans="5:43" x14ac:dyDescent="0.25">
      <c r="E96" s="27"/>
      <c r="F96" t="s">
        <v>194</v>
      </c>
      <c r="G96" t="s">
        <v>283</v>
      </c>
      <c r="J96" s="110">
        <f>'Pseudo-load coefficients'!J286</f>
        <v>1.7176696953572435</v>
      </c>
      <c r="K96" s="110">
        <f>'Pseudo-load coefficients'!K286</f>
        <v>1.7176696953572435</v>
      </c>
      <c r="L96" s="110">
        <f>'Pseudo-load coefficients'!L286</f>
        <v>1.5924620249839905</v>
      </c>
      <c r="M96" s="110">
        <f>'Pseudo-load coefficients'!M286</f>
        <v>1.5924620249839905</v>
      </c>
      <c r="N96" s="110">
        <f>'Pseudo-load coefficients'!N286</f>
        <v>1.6201243857147722</v>
      </c>
      <c r="O96" s="110">
        <f>'Pseudo-load coefficients'!O286</f>
        <v>1.4259577226493472</v>
      </c>
      <c r="P96" s="110">
        <f>'Pseudo-load coefficients'!P286</f>
        <v>1.1861989730201881</v>
      </c>
      <c r="Q96" s="110">
        <f>'Pseudo-load coefficients'!Q286</f>
        <v>1.1630830032878909</v>
      </c>
      <c r="R96" s="110">
        <f>'Pseudo-load coefficients'!R286</f>
        <v>1.0970652362764857</v>
      </c>
      <c r="S96" s="110">
        <f>'Pseudo-load coefficients'!S286</f>
        <v>1.0970652362764857</v>
      </c>
      <c r="T96" s="110">
        <f>'Pseudo-load coefficients'!T286</f>
        <v>1.0970652362764857</v>
      </c>
      <c r="U96" s="110">
        <f>'Pseudo-load coefficients'!U286</f>
        <v>1.0970652362764857</v>
      </c>
      <c r="V96" s="110">
        <f>'Pseudo-load coefficients'!V286</f>
        <v>1.0970652362764857</v>
      </c>
      <c r="W96" s="110">
        <f>'Pseudo-load coefficients'!W286</f>
        <v>1.0970652362764857</v>
      </c>
      <c r="X96" s="110">
        <f>'Pseudo-load coefficients'!X286</f>
        <v>1.0970652362764857</v>
      </c>
      <c r="Y96" s="110">
        <f>'Pseudo-load coefficients'!Y286</f>
        <v>1.0970652362764857</v>
      </c>
      <c r="AQ96" s="3"/>
    </row>
    <row r="97" spans="5:43" x14ac:dyDescent="0.25">
      <c r="E97" s="27"/>
      <c r="F97" t="s">
        <v>195</v>
      </c>
      <c r="G97" t="s">
        <v>283</v>
      </c>
      <c r="J97" s="110">
        <f>'Pseudo-load coefficients'!J287</f>
        <v>1.7176696953572435</v>
      </c>
      <c r="K97" s="110">
        <f>'Pseudo-load coefficients'!K287</f>
        <v>1.7176696953572435</v>
      </c>
      <c r="L97" s="110">
        <f>'Pseudo-load coefficients'!L287</f>
        <v>1.5924620249839905</v>
      </c>
      <c r="M97" s="110">
        <f>'Pseudo-load coefficients'!M287</f>
        <v>1.5924620249839905</v>
      </c>
      <c r="N97" s="110">
        <f>'Pseudo-load coefficients'!N287</f>
        <v>1.6201243857147722</v>
      </c>
      <c r="O97" s="110">
        <f>'Pseudo-load coefficients'!O287</f>
        <v>1.4259577226493472</v>
      </c>
      <c r="P97" s="110">
        <f>'Pseudo-load coefficients'!P287</f>
        <v>1.1861989730201881</v>
      </c>
      <c r="Q97" s="110">
        <f>'Pseudo-load coefficients'!Q287</f>
        <v>1.1630830032878909</v>
      </c>
      <c r="R97" s="110">
        <f>'Pseudo-load coefficients'!R287</f>
        <v>1.0970652362764857</v>
      </c>
      <c r="S97" s="110">
        <f>'Pseudo-load coefficients'!S287</f>
        <v>1.0970652362764857</v>
      </c>
      <c r="T97" s="110">
        <f>'Pseudo-load coefficients'!T287</f>
        <v>1.0970652362764857</v>
      </c>
      <c r="U97" s="110">
        <f>'Pseudo-load coefficients'!U287</f>
        <v>1.0970652362764857</v>
      </c>
      <c r="V97" s="110">
        <f>'Pseudo-load coefficients'!V287</f>
        <v>1.0970652362764857</v>
      </c>
      <c r="W97" s="110">
        <f>'Pseudo-load coefficients'!W287</f>
        <v>1.0970652362764857</v>
      </c>
      <c r="X97" s="110">
        <f>'Pseudo-load coefficients'!X287</f>
        <v>1.0970652362764857</v>
      </c>
      <c r="Y97" s="110">
        <f>'Pseudo-load coefficients'!Y287</f>
        <v>1.0970652362764857</v>
      </c>
      <c r="AQ97" s="3"/>
    </row>
    <row r="98" spans="5:43" x14ac:dyDescent="0.25">
      <c r="E98" s="27"/>
      <c r="F98" t="s">
        <v>196</v>
      </c>
      <c r="G98" t="s">
        <v>283</v>
      </c>
      <c r="J98" s="110">
        <f>'Pseudo-load coefficients'!J288</f>
        <v>2.0343020326420613</v>
      </c>
      <c r="K98" s="110">
        <f>'Pseudo-load coefficients'!K288</f>
        <v>2.0343020326420613</v>
      </c>
      <c r="L98" s="110">
        <f>'Pseudo-load coefficients'!L288</f>
        <v>1.8860137912932433</v>
      </c>
      <c r="M98" s="110">
        <f>'Pseudo-load coefficients'!M288</f>
        <v>1.8860137912932433</v>
      </c>
      <c r="N98" s="110">
        <f>'Pseudo-load coefficients'!N288</f>
        <v>1.9187753849887086</v>
      </c>
      <c r="O98" s="110">
        <f>'Pseudo-load coefficients'!O288</f>
        <v>1.6888163664341145</v>
      </c>
      <c r="P98" s="110">
        <f>'Pseudo-load coefficients'!P288</f>
        <v>1.40486089290352</v>
      </c>
      <c r="Q98" s="110">
        <f>'Pseudo-load coefficients'!Q288</f>
        <v>1.3942699760958606</v>
      </c>
      <c r="R98" s="110">
        <f>'Pseudo-load coefficients'!R288</f>
        <v>1.2992963933231838</v>
      </c>
      <c r="S98" s="110">
        <f>'Pseudo-load coefficients'!S288</f>
        <v>1.2992963933231838</v>
      </c>
      <c r="T98" s="110">
        <f>'Pseudo-load coefficients'!T288</f>
        <v>1.2992963933231838</v>
      </c>
      <c r="U98" s="110">
        <f>'Pseudo-load coefficients'!U288</f>
        <v>1.2992963933231838</v>
      </c>
      <c r="V98" s="110">
        <f>'Pseudo-load coefficients'!V288</f>
        <v>1.2992963933231838</v>
      </c>
      <c r="W98" s="110">
        <f>'Pseudo-load coefficients'!W288</f>
        <v>1.2992963933231838</v>
      </c>
      <c r="X98" s="110">
        <f>'Pseudo-load coefficients'!X288</f>
        <v>1.2992963933231838</v>
      </c>
      <c r="Y98" s="110">
        <f>'Pseudo-load coefficients'!Y288</f>
        <v>1.2992963933231838</v>
      </c>
      <c r="AQ98" s="3"/>
    </row>
    <row r="99" spans="5:43" x14ac:dyDescent="0.25">
      <c r="E99" s="27"/>
      <c r="F99" t="s">
        <v>197</v>
      </c>
      <c r="G99" t="s">
        <v>283</v>
      </c>
      <c r="J99" s="110">
        <f>'Pseudo-load coefficients'!J289</f>
        <v>1.7176696953572435</v>
      </c>
      <c r="K99" s="110">
        <f>'Pseudo-load coefficients'!K289</f>
        <v>1.7176696953572435</v>
      </c>
      <c r="L99" s="110">
        <f>'Pseudo-load coefficients'!L289</f>
        <v>1.5924620249839905</v>
      </c>
      <c r="M99" s="110">
        <f>'Pseudo-load coefficients'!M289</f>
        <v>1.5924620249839905</v>
      </c>
      <c r="N99" s="110">
        <f>'Pseudo-load coefficients'!N289</f>
        <v>1.6201243857147722</v>
      </c>
      <c r="O99" s="110">
        <f>'Pseudo-load coefficients'!O289</f>
        <v>1.4259577226493472</v>
      </c>
      <c r="P99" s="110">
        <f>'Pseudo-load coefficients'!P289</f>
        <v>1.1861989730201881</v>
      </c>
      <c r="Q99" s="110">
        <f>'Pseudo-load coefficients'!Q289</f>
        <v>1.1630830032878909</v>
      </c>
      <c r="R99" s="110">
        <f>'Pseudo-load coefficients'!R289</f>
        <v>1.0970652362764857</v>
      </c>
      <c r="S99" s="110">
        <f>'Pseudo-load coefficients'!S289</f>
        <v>1.0970652362764857</v>
      </c>
      <c r="T99" s="110">
        <f>'Pseudo-load coefficients'!T289</f>
        <v>1.0970652362764857</v>
      </c>
      <c r="U99" s="110">
        <f>'Pseudo-load coefficients'!U289</f>
        <v>1.0970652362764857</v>
      </c>
      <c r="V99" s="110">
        <f>'Pseudo-load coefficients'!V289</f>
        <v>1.0970652362764857</v>
      </c>
      <c r="W99" s="110">
        <f>'Pseudo-load coefficients'!W289</f>
        <v>1.0970652362764857</v>
      </c>
      <c r="X99" s="110">
        <f>'Pseudo-load coefficients'!X289</f>
        <v>1.0970652362764857</v>
      </c>
      <c r="Y99" s="110">
        <f>'Pseudo-load coefficients'!Y289</f>
        <v>1.0970652362764857</v>
      </c>
      <c r="AQ99" s="3"/>
    </row>
    <row r="100" spans="5:43" x14ac:dyDescent="0.25">
      <c r="E100" s="27"/>
      <c r="F100" t="s">
        <v>198</v>
      </c>
      <c r="G100" t="s">
        <v>283</v>
      </c>
      <c r="J100" s="110">
        <f>'Pseudo-load coefficients'!J290</f>
        <v>1.7176696953572435</v>
      </c>
      <c r="K100" s="110">
        <f>'Pseudo-load coefficients'!K290</f>
        <v>1.7176696953572435</v>
      </c>
      <c r="L100" s="110">
        <f>'Pseudo-load coefficients'!L290</f>
        <v>1.5924620249839905</v>
      </c>
      <c r="M100" s="110">
        <f>'Pseudo-load coefficients'!M290</f>
        <v>1.5924620249839905</v>
      </c>
      <c r="N100" s="110">
        <f>'Pseudo-load coefficients'!N290</f>
        <v>1.6201243857147722</v>
      </c>
      <c r="O100" s="110">
        <f>'Pseudo-load coefficients'!O290</f>
        <v>1.4259577226493472</v>
      </c>
      <c r="P100" s="110">
        <f>'Pseudo-load coefficients'!P290</f>
        <v>1.1861989730201881</v>
      </c>
      <c r="Q100" s="110">
        <f>'Pseudo-load coefficients'!Q290</f>
        <v>1.1630830032878909</v>
      </c>
      <c r="R100" s="110">
        <f>'Pseudo-load coefficients'!R290</f>
        <v>1.0970652362764857</v>
      </c>
      <c r="S100" s="110">
        <f>'Pseudo-load coefficients'!S290</f>
        <v>1.0970652362764857</v>
      </c>
      <c r="T100" s="110">
        <f>'Pseudo-load coefficients'!T290</f>
        <v>1.0970652362764857</v>
      </c>
      <c r="U100" s="110">
        <f>'Pseudo-load coefficients'!U290</f>
        <v>1.0970652362764857</v>
      </c>
      <c r="V100" s="110">
        <f>'Pseudo-load coefficients'!V290</f>
        <v>1.0970652362764857</v>
      </c>
      <c r="W100" s="110">
        <f>'Pseudo-load coefficients'!W290</f>
        <v>1.0970652362764857</v>
      </c>
      <c r="X100" s="110">
        <f>'Pseudo-load coefficients'!X290</f>
        <v>1.0970652362764857</v>
      </c>
      <c r="Y100" s="110">
        <f>'Pseudo-load coefficients'!Y290</f>
        <v>1.0970652362764857</v>
      </c>
      <c r="AQ100" s="3"/>
    </row>
    <row r="101" spans="5:43" x14ac:dyDescent="0.25">
      <c r="E101" s="27"/>
      <c r="F101" s="28" t="s">
        <v>199</v>
      </c>
      <c r="G101" s="28" t="s">
        <v>283</v>
      </c>
      <c r="H101" s="28"/>
      <c r="I101" s="28"/>
      <c r="J101" s="115">
        <f>'Pseudo-load coefficients'!J291</f>
        <v>1.7176696953572435</v>
      </c>
      <c r="K101" s="115">
        <f>'Pseudo-load coefficients'!K291</f>
        <v>1.7176696953572435</v>
      </c>
      <c r="L101" s="115">
        <f>'Pseudo-load coefficients'!L291</f>
        <v>1.5924620249839905</v>
      </c>
      <c r="M101" s="115">
        <f>'Pseudo-load coefficients'!M291</f>
        <v>1.5924620249839905</v>
      </c>
      <c r="N101" s="115">
        <f>'Pseudo-load coefficients'!N291</f>
        <v>1.6201243857147722</v>
      </c>
      <c r="O101" s="115">
        <f>'Pseudo-load coefficients'!O291</f>
        <v>1.4259577226493472</v>
      </c>
      <c r="P101" s="115">
        <f>'Pseudo-load coefficients'!P291</f>
        <v>1.1861989730201881</v>
      </c>
      <c r="Q101" s="115">
        <f>'Pseudo-load coefficients'!Q291</f>
        <v>1.1630830032878909</v>
      </c>
      <c r="R101" s="115">
        <f>'Pseudo-load coefficients'!R291</f>
        <v>1.0970652362764857</v>
      </c>
      <c r="S101" s="115">
        <f>'Pseudo-load coefficients'!S291</f>
        <v>1.0970652362764857</v>
      </c>
      <c r="T101" s="115">
        <f>'Pseudo-load coefficients'!T291</f>
        <v>1.0970652362764857</v>
      </c>
      <c r="U101" s="115">
        <f>'Pseudo-load coefficients'!U291</f>
        <v>1.0970652362764857</v>
      </c>
      <c r="V101" s="115">
        <f>'Pseudo-load coefficients'!V291</f>
        <v>1.0970652362764857</v>
      </c>
      <c r="W101" s="115">
        <f>'Pseudo-load coefficients'!W291</f>
        <v>1.0970652362764857</v>
      </c>
      <c r="X101" s="115">
        <f>'Pseudo-load coefficients'!X291</f>
        <v>1.0970652362764857</v>
      </c>
      <c r="Y101" s="115">
        <f>'Pseudo-load coefficients'!Y291</f>
        <v>1.0970652362764857</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191</v>
      </c>
      <c r="G105" s="19" t="s">
        <v>172</v>
      </c>
      <c r="H105" s="19"/>
      <c r="I105" s="19"/>
      <c r="J105" s="148">
        <f t="shared" ref="J105:Y105" si="10">J$57 * J34 * J93 / hours_in_year / $H45</f>
        <v>347.54446446831093</v>
      </c>
      <c r="K105" s="148">
        <f t="shared" si="10"/>
        <v>0.32495802380277322</v>
      </c>
      <c r="L105" s="148">
        <f t="shared" si="10"/>
        <v>141.65284404664484</v>
      </c>
      <c r="M105" s="148">
        <f t="shared" si="10"/>
        <v>0.10712529308938597</v>
      </c>
      <c r="N105" s="148">
        <f t="shared" si="10"/>
        <v>128.69755019904773</v>
      </c>
      <c r="O105" s="148">
        <f t="shared" si="10"/>
        <v>8.3460796275593889</v>
      </c>
      <c r="P105" s="148">
        <f t="shared" si="10"/>
        <v>220.24789346731217</v>
      </c>
      <c r="Q105" s="148">
        <f t="shared" si="10"/>
        <v>4.7377618132020434</v>
      </c>
      <c r="R105" s="148">
        <f t="shared" si="10"/>
        <v>-0.14580454282532218</v>
      </c>
      <c r="S105" s="148">
        <f t="shared" si="10"/>
        <v>0</v>
      </c>
      <c r="T105" s="148">
        <f t="shared" si="10"/>
        <v>-1.6321633968997262</v>
      </c>
      <c r="U105" s="148">
        <f t="shared" si="10"/>
        <v>0</v>
      </c>
      <c r="V105" s="148">
        <f t="shared" si="10"/>
        <v>-0.31137262797133547</v>
      </c>
      <c r="W105" s="148">
        <f t="shared" si="10"/>
        <v>0</v>
      </c>
      <c r="X105" s="148">
        <f t="shared" si="10"/>
        <v>-25.168649799349119</v>
      </c>
      <c r="Y105" s="148">
        <f t="shared" si="10"/>
        <v>0</v>
      </c>
      <c r="AQ105" s="3"/>
    </row>
    <row r="106" spans="5:43" x14ac:dyDescent="0.25">
      <c r="E106" s="27"/>
      <c r="F106" t="s">
        <v>192</v>
      </c>
      <c r="G106" t="s">
        <v>172</v>
      </c>
      <c r="J106" s="79">
        <f t="shared" ref="J106:Y106" si="11">J$57 * J35 * J94 / hours_in_year / $H46</f>
        <v>701.69650099791772</v>
      </c>
      <c r="K106" s="79">
        <f t="shared" si="11"/>
        <v>0.6560942025718699</v>
      </c>
      <c r="L106" s="79">
        <f t="shared" si="11"/>
        <v>285.99881507535122</v>
      </c>
      <c r="M106" s="79">
        <f t="shared" si="11"/>
        <v>0.21628726972877022</v>
      </c>
      <c r="N106" s="79">
        <f t="shared" si="11"/>
        <v>259.84191921983501</v>
      </c>
      <c r="O106" s="79">
        <f t="shared" si="11"/>
        <v>16.850836282683531</v>
      </c>
      <c r="P106" s="79">
        <f t="shared" si="11"/>
        <v>444.6831758192676</v>
      </c>
      <c r="Q106" s="79">
        <f t="shared" si="11"/>
        <v>8.1376889640079657</v>
      </c>
      <c r="R106" s="79">
        <f t="shared" si="11"/>
        <v>-0.29438114540724702</v>
      </c>
      <c r="S106" s="79">
        <f t="shared" si="11"/>
        <v>0</v>
      </c>
      <c r="T106" s="79">
        <f t="shared" si="11"/>
        <v>-3.2953577505932068</v>
      </c>
      <c r="U106" s="79">
        <f t="shared" si="11"/>
        <v>0</v>
      </c>
      <c r="V106" s="79">
        <f t="shared" si="11"/>
        <v>-0.62866512314695289</v>
      </c>
      <c r="W106" s="79">
        <f t="shared" si="11"/>
        <v>0</v>
      </c>
      <c r="X106" s="79">
        <f t="shared" si="11"/>
        <v>-50.815810075017119</v>
      </c>
      <c r="Y106" s="79">
        <f t="shared" si="11"/>
        <v>0</v>
      </c>
      <c r="AQ106" s="3"/>
    </row>
    <row r="107" spans="5:43" x14ac:dyDescent="0.25">
      <c r="E107" s="27"/>
      <c r="F107" t="s">
        <v>193</v>
      </c>
      <c r="G107" t="s">
        <v>172</v>
      </c>
      <c r="J107" s="79">
        <f t="shared" ref="J107:Y107" si="12">J$57 * J36 * J95 / hours_in_year / $H47</f>
        <v>214.87210846218909</v>
      </c>
      <c r="K107" s="79">
        <f t="shared" si="12"/>
        <v>0.20090786323709292</v>
      </c>
      <c r="L107" s="79">
        <f t="shared" si="12"/>
        <v>87.57798895324801</v>
      </c>
      <c r="M107" s="79">
        <f t="shared" si="12"/>
        <v>6.6231058034432119E-2</v>
      </c>
      <c r="N107" s="79">
        <f t="shared" si="12"/>
        <v>79.568276270759739</v>
      </c>
      <c r="O107" s="79">
        <f t="shared" si="12"/>
        <v>5.1600296086158064</v>
      </c>
      <c r="P107" s="79">
        <f t="shared" si="12"/>
        <v>136.16999863910092</v>
      </c>
      <c r="Q107" s="79">
        <f t="shared" si="12"/>
        <v>2.4919069472616151</v>
      </c>
      <c r="R107" s="79">
        <f t="shared" si="12"/>
        <v>-9.0144809494150713E-2</v>
      </c>
      <c r="S107" s="79">
        <f t="shared" si="12"/>
        <v>0</v>
      </c>
      <c r="T107" s="79">
        <f t="shared" si="12"/>
        <v>-1.0090979034385696</v>
      </c>
      <c r="U107" s="79">
        <f t="shared" si="12"/>
        <v>0</v>
      </c>
      <c r="V107" s="79">
        <f t="shared" si="12"/>
        <v>-0.19250858502945331</v>
      </c>
      <c r="W107" s="79">
        <f t="shared" si="12"/>
        <v>0</v>
      </c>
      <c r="X107" s="79">
        <f t="shared" si="12"/>
        <v>-15.560716404463701</v>
      </c>
      <c r="Y107" s="79">
        <f t="shared" si="12"/>
        <v>0</v>
      </c>
      <c r="AQ107" s="3"/>
    </row>
    <row r="108" spans="5:43" x14ac:dyDescent="0.25">
      <c r="E108" s="27"/>
      <c r="F108" t="s">
        <v>194</v>
      </c>
      <c r="G108" t="s">
        <v>172</v>
      </c>
      <c r="J108" s="79">
        <f t="shared" ref="J108:Y108" si="13">J$57 * J37 * J96 / hours_in_year / $H48</f>
        <v>177.39234823370427</v>
      </c>
      <c r="K108" s="79">
        <f t="shared" si="13"/>
        <v>0.16586386150027138</v>
      </c>
      <c r="L108" s="79">
        <f t="shared" si="13"/>
        <v>72.301915894011316</v>
      </c>
      <c r="M108" s="79">
        <f t="shared" si="13"/>
        <v>5.4678492219468786E-2</v>
      </c>
      <c r="N108" s="79">
        <f t="shared" si="13"/>
        <v>65.68932316807404</v>
      </c>
      <c r="O108" s="79">
        <f t="shared" si="13"/>
        <v>4.2599748091031229</v>
      </c>
      <c r="P108" s="79">
        <f t="shared" si="13"/>
        <v>112.41810763829805</v>
      </c>
      <c r="Q108" s="79">
        <f t="shared" si="13"/>
        <v>2.0324799565107639</v>
      </c>
      <c r="R108" s="79">
        <f t="shared" si="13"/>
        <v>-7.4421010487088129E-2</v>
      </c>
      <c r="S108" s="79">
        <f t="shared" si="13"/>
        <v>0</v>
      </c>
      <c r="T108" s="79">
        <f t="shared" si="13"/>
        <v>-0.83308274847675357</v>
      </c>
      <c r="U108" s="79">
        <f t="shared" si="13"/>
        <v>0</v>
      </c>
      <c r="V108" s="79">
        <f t="shared" si="13"/>
        <v>-0.15892965447179813</v>
      </c>
      <c r="W108" s="79">
        <f t="shared" si="13"/>
        <v>0</v>
      </c>
      <c r="X108" s="79">
        <f t="shared" si="13"/>
        <v>-12.846488280596345</v>
      </c>
      <c r="Y108" s="79">
        <f t="shared" si="13"/>
        <v>0</v>
      </c>
      <c r="AQ108" s="3"/>
    </row>
    <row r="109" spans="5:43" x14ac:dyDescent="0.25">
      <c r="E109" s="27"/>
      <c r="F109" t="s">
        <v>195</v>
      </c>
      <c r="G109" t="s">
        <v>172</v>
      </c>
      <c r="J109" s="79">
        <f t="shared" ref="J109:Y109" si="14">J$57 * J38 * J97 / hours_in_year / $H49</f>
        <v>176.19950823597526</v>
      </c>
      <c r="K109" s="79">
        <f t="shared" si="14"/>
        <v>0.16474854254685939</v>
      </c>
      <c r="L109" s="79">
        <f t="shared" si="14"/>
        <v>71.815735863984358</v>
      </c>
      <c r="M109" s="79">
        <f t="shared" si="14"/>
        <v>5.4310817439895034E-2</v>
      </c>
      <c r="N109" s="79">
        <f t="shared" si="14"/>
        <v>65.247608218817078</v>
      </c>
      <c r="O109" s="79">
        <f t="shared" si="14"/>
        <v>4.2313294453531505</v>
      </c>
      <c r="P109" s="79">
        <f t="shared" si="14"/>
        <v>111.66217415754102</v>
      </c>
      <c r="Q109" s="79">
        <f t="shared" si="14"/>
        <v>2.0188129443152065</v>
      </c>
      <c r="R109" s="79">
        <f t="shared" si="14"/>
        <v>-7.3920581021757095E-2</v>
      </c>
      <c r="S109" s="79">
        <f t="shared" si="14"/>
        <v>0</v>
      </c>
      <c r="T109" s="79">
        <f t="shared" si="14"/>
        <v>-0.82748084719016646</v>
      </c>
      <c r="U109" s="79">
        <f t="shared" si="14"/>
        <v>0</v>
      </c>
      <c r="V109" s="79">
        <f t="shared" si="14"/>
        <v>-0.15786096323135379</v>
      </c>
      <c r="W109" s="79">
        <f t="shared" si="14"/>
        <v>0</v>
      </c>
      <c r="X109" s="79">
        <f t="shared" si="14"/>
        <v>-12.760104593791183</v>
      </c>
      <c r="Y109" s="79">
        <f t="shared" si="14"/>
        <v>0</v>
      </c>
      <c r="AQ109" s="3"/>
    </row>
    <row r="110" spans="5:43" x14ac:dyDescent="0.25">
      <c r="E110" s="27"/>
      <c r="F110" t="s">
        <v>196</v>
      </c>
      <c r="G110" t="s">
        <v>172</v>
      </c>
      <c r="J110" s="79">
        <f t="shared" ref="J110:Y110" si="15">J$57 * J39 * J98 / hours_in_year / $H50</f>
        <v>470.09863097947169</v>
      </c>
      <c r="K110" s="79">
        <f t="shared" si="15"/>
        <v>0.4395475622066975</v>
      </c>
      <c r="L110" s="79">
        <f t="shared" si="15"/>
        <v>191.60370792425067</v>
      </c>
      <c r="M110" s="79">
        <f t="shared" si="15"/>
        <v>0.1449007501864176</v>
      </c>
      <c r="N110" s="79">
        <f t="shared" si="15"/>
        <v>174.08000513413617</v>
      </c>
      <c r="O110" s="79">
        <f t="shared" si="15"/>
        <v>11.289147168445469</v>
      </c>
      <c r="P110" s="79">
        <f t="shared" si="15"/>
        <v>297.91363057240284</v>
      </c>
      <c r="Q110" s="79">
        <f t="shared" si="15"/>
        <v>5.4518106273530513</v>
      </c>
      <c r="R110" s="79">
        <f t="shared" si="15"/>
        <v>-0.19721941501105802</v>
      </c>
      <c r="S110" s="79">
        <f t="shared" si="15"/>
        <v>0</v>
      </c>
      <c r="T110" s="79">
        <f t="shared" si="15"/>
        <v>-2.207711118608036</v>
      </c>
      <c r="U110" s="79">
        <f t="shared" si="15"/>
        <v>0</v>
      </c>
      <c r="V110" s="79">
        <f t="shared" si="15"/>
        <v>-0.42117156536426942</v>
      </c>
      <c r="W110" s="79">
        <f t="shared" si="15"/>
        <v>0</v>
      </c>
      <c r="X110" s="79">
        <f t="shared" si="15"/>
        <v>-34.043839059202149</v>
      </c>
      <c r="Y110" s="79">
        <f t="shared" si="15"/>
        <v>0</v>
      </c>
      <c r="AQ110" s="3"/>
    </row>
    <row r="111" spans="5:43" x14ac:dyDescent="0.25">
      <c r="E111" s="27"/>
      <c r="F111" t="s">
        <v>197</v>
      </c>
      <c r="G111" t="s">
        <v>172</v>
      </c>
      <c r="J111" s="79">
        <f t="shared" ref="J111:Y111" si="16">J$57 * J40 * J99 / hours_in_year / $H51</f>
        <v>566.05990100825977</v>
      </c>
      <c r="K111" s="79">
        <f t="shared" si="16"/>
        <v>0.52927244019566211</v>
      </c>
      <c r="L111" s="79">
        <f t="shared" si="16"/>
        <v>230.71578769424889</v>
      </c>
      <c r="M111" s="79">
        <f t="shared" si="16"/>
        <v>0.17447935156851774</v>
      </c>
      <c r="N111" s="79">
        <f t="shared" si="16"/>
        <v>209.61497009347701</v>
      </c>
      <c r="O111" s="79">
        <f t="shared" si="16"/>
        <v>13.59360165615324</v>
      </c>
      <c r="P111" s="79">
        <f t="shared" si="16"/>
        <v>358.72676310386811</v>
      </c>
      <c r="Q111" s="79">
        <f t="shared" si="16"/>
        <v>6.4856540568933125</v>
      </c>
      <c r="R111" s="79">
        <f t="shared" si="16"/>
        <v>-0.23747782950455223</v>
      </c>
      <c r="S111" s="79">
        <f t="shared" si="16"/>
        <v>0</v>
      </c>
      <c r="T111" s="79">
        <f t="shared" si="16"/>
        <v>-2.6583713606021351</v>
      </c>
      <c r="U111" s="79">
        <f t="shared" si="16"/>
        <v>0</v>
      </c>
      <c r="V111" s="79">
        <f t="shared" si="16"/>
        <v>-0.50714534969152658</v>
      </c>
      <c r="W111" s="79">
        <f t="shared" si="16"/>
        <v>0</v>
      </c>
      <c r="X111" s="79">
        <f t="shared" si="16"/>
        <v>0</v>
      </c>
      <c r="Y111" s="79">
        <f t="shared" si="16"/>
        <v>0</v>
      </c>
      <c r="AQ111" s="3"/>
    </row>
    <row r="112" spans="5:43" x14ac:dyDescent="0.25">
      <c r="E112" s="27"/>
      <c r="F112" t="s">
        <v>198</v>
      </c>
      <c r="G112" t="s">
        <v>172</v>
      </c>
      <c r="J112" s="79">
        <f t="shared" ref="J112:Y112" si="17">J$57 * J41 * J100 / hours_in_year / $H52</f>
        <v>557.07482321447787</v>
      </c>
      <c r="K112" s="79">
        <f t="shared" si="17"/>
        <v>0.52087129035128654</v>
      </c>
      <c r="L112" s="79">
        <f t="shared" si="17"/>
        <v>227.05363233402272</v>
      </c>
      <c r="M112" s="79">
        <f t="shared" si="17"/>
        <v>0.17170983805155715</v>
      </c>
      <c r="N112" s="79">
        <f t="shared" si="17"/>
        <v>206.28774834596152</v>
      </c>
      <c r="O112" s="79">
        <f t="shared" si="17"/>
        <v>13.377830201293667</v>
      </c>
      <c r="P112" s="79">
        <f t="shared" si="17"/>
        <v>0</v>
      </c>
      <c r="Q112" s="79">
        <f t="shared" si="17"/>
        <v>6.3827071671013558</v>
      </c>
      <c r="R112" s="79">
        <f t="shared" si="17"/>
        <v>-0.23370834014733713</v>
      </c>
      <c r="S112" s="79">
        <f t="shared" si="17"/>
        <v>0</v>
      </c>
      <c r="T112" s="79">
        <f t="shared" si="17"/>
        <v>-2.6161749897989268</v>
      </c>
      <c r="U112" s="79">
        <f t="shared" si="17"/>
        <v>0</v>
      </c>
      <c r="V112" s="79">
        <f t="shared" si="17"/>
        <v>0</v>
      </c>
      <c r="W112" s="79">
        <f t="shared" si="17"/>
        <v>0</v>
      </c>
      <c r="X112" s="79">
        <f t="shared" si="17"/>
        <v>0</v>
      </c>
      <c r="Y112" s="79">
        <f t="shared" si="17"/>
        <v>0</v>
      </c>
      <c r="AQ112" s="3"/>
    </row>
    <row r="113" spans="5:43" x14ac:dyDescent="0.25">
      <c r="E113" s="27"/>
      <c r="F113" s="28" t="s">
        <v>199</v>
      </c>
      <c r="G113" s="28" t="s">
        <v>172</v>
      </c>
      <c r="H113" s="28"/>
      <c r="I113" s="28"/>
      <c r="J113" s="72">
        <f t="shared" ref="J113:Y113" si="18">J$57 * J42 * J101 / hours_in_year / $H53</f>
        <v>545.86197224401258</v>
      </c>
      <c r="K113" s="72">
        <f t="shared" si="18"/>
        <v>0.51038714727010781</v>
      </c>
      <c r="L113" s="72">
        <f t="shared" si="18"/>
        <v>222.48347687990699</v>
      </c>
      <c r="M113" s="72">
        <f t="shared" si="18"/>
        <v>0.16825364734969597</v>
      </c>
      <c r="N113" s="72">
        <f t="shared" si="18"/>
        <v>202.13557042865946</v>
      </c>
      <c r="O113" s="72">
        <f t="shared" si="18"/>
        <v>0</v>
      </c>
      <c r="P113" s="72">
        <f t="shared" si="18"/>
        <v>0</v>
      </c>
      <c r="Q113" s="72">
        <f t="shared" si="18"/>
        <v>6.2542354766381987</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191</v>
      </c>
      <c r="G116" s="19" t="s">
        <v>283</v>
      </c>
      <c r="H116" s="19"/>
      <c r="I116" s="19"/>
      <c r="J116" s="114">
        <f>'Pseudo-load coefficients'!J294</f>
        <v>0</v>
      </c>
      <c r="K116" s="114">
        <f>'Pseudo-load coefficients'!K294</f>
        <v>0</v>
      </c>
      <c r="L116" s="114">
        <f>'Pseudo-load coefficients'!L294</f>
        <v>0</v>
      </c>
      <c r="M116" s="114">
        <f>'Pseudo-load coefficients'!M294</f>
        <v>0</v>
      </c>
      <c r="N116" s="114">
        <f>'Pseudo-load coefficients'!N294</f>
        <v>0</v>
      </c>
      <c r="O116" s="114">
        <f>'Pseudo-load coefficients'!O294</f>
        <v>0</v>
      </c>
      <c r="P116" s="114">
        <f>'Pseudo-load coefficients'!P294</f>
        <v>0</v>
      </c>
      <c r="Q116" s="114">
        <f>'Pseudo-load coefficients'!Q294</f>
        <v>0</v>
      </c>
      <c r="R116" s="114">
        <f>'Pseudo-load coefficients'!R294</f>
        <v>0</v>
      </c>
      <c r="S116" s="114">
        <f>'Pseudo-load coefficients'!S294</f>
        <v>0</v>
      </c>
      <c r="T116" s="114">
        <f>'Pseudo-load coefficients'!T294</f>
        <v>0</v>
      </c>
      <c r="U116" s="114">
        <f>'Pseudo-load coefficients'!U294</f>
        <v>0</v>
      </c>
      <c r="V116" s="114">
        <f>'Pseudo-load coefficients'!V294</f>
        <v>0</v>
      </c>
      <c r="W116" s="114">
        <f>'Pseudo-load coefficients'!W294</f>
        <v>0</v>
      </c>
      <c r="X116" s="114">
        <f>'Pseudo-load coefficients'!X294</f>
        <v>0</v>
      </c>
      <c r="Y116" s="114">
        <f>'Pseudo-load coefficients'!Y294</f>
        <v>0</v>
      </c>
      <c r="AQ116" s="3"/>
    </row>
    <row r="117" spans="5:43" x14ac:dyDescent="0.25">
      <c r="E117" s="27"/>
      <c r="F117" t="s">
        <v>192</v>
      </c>
      <c r="G117" t="s">
        <v>283</v>
      </c>
      <c r="J117" s="110">
        <f>'Pseudo-load coefficients'!J295</f>
        <v>0.17049815814771219</v>
      </c>
      <c r="K117" s="110">
        <f>'Pseudo-load coefficients'!K295</f>
        <v>0.17049815814771219</v>
      </c>
      <c r="L117" s="110">
        <f>'Pseudo-load coefficients'!L295</f>
        <v>0.15806987974103889</v>
      </c>
      <c r="M117" s="110">
        <f>'Pseudo-load coefficients'!M295</f>
        <v>0.15806987974103889</v>
      </c>
      <c r="N117" s="110">
        <f>'Pseudo-load coefficients'!N295</f>
        <v>0.1608156821309652</v>
      </c>
      <c r="O117" s="110">
        <f>'Pseudo-load coefficients'!O295</f>
        <v>0.14154244320975506</v>
      </c>
      <c r="P117" s="110">
        <f>'Pseudo-load coefficients'!P295</f>
        <v>0.11774367367795159</v>
      </c>
      <c r="Q117" s="110">
        <f>'Pseudo-load coefficients'!Q295</f>
        <v>0.13123018442197423</v>
      </c>
      <c r="R117" s="110">
        <f>'Pseudo-load coefficients'!R295</f>
        <v>0.10889614147504829</v>
      </c>
      <c r="S117" s="110">
        <f>'Pseudo-load coefficients'!S295</f>
        <v>0.10889614147504829</v>
      </c>
      <c r="T117" s="110">
        <f>'Pseudo-load coefficients'!T295</f>
        <v>0.10889614147504829</v>
      </c>
      <c r="U117" s="110">
        <f>'Pseudo-load coefficients'!U295</f>
        <v>0.10889614147504829</v>
      </c>
      <c r="V117" s="110">
        <f>'Pseudo-load coefficients'!V295</f>
        <v>0.10889614147504829</v>
      </c>
      <c r="W117" s="110">
        <f>'Pseudo-load coefficients'!W295</f>
        <v>0.10889614147504829</v>
      </c>
      <c r="X117" s="110">
        <f>'Pseudo-load coefficients'!X295</f>
        <v>0.10889614147504829</v>
      </c>
      <c r="Y117" s="110">
        <f>'Pseudo-load coefficients'!Y295</f>
        <v>0.10889614147504829</v>
      </c>
      <c r="AQ117" s="3"/>
    </row>
    <row r="118" spans="5:43" x14ac:dyDescent="0.25">
      <c r="E118" s="27"/>
      <c r="F118" t="s">
        <v>193</v>
      </c>
      <c r="G118" t="s">
        <v>283</v>
      </c>
      <c r="J118" s="110">
        <f>'Pseudo-load coefficients'!J296</f>
        <v>0.17049815814771219</v>
      </c>
      <c r="K118" s="110">
        <f>'Pseudo-load coefficients'!K296</f>
        <v>0.17049815814771219</v>
      </c>
      <c r="L118" s="110">
        <f>'Pseudo-load coefficients'!L296</f>
        <v>0.15806987974103889</v>
      </c>
      <c r="M118" s="110">
        <f>'Pseudo-load coefficients'!M296</f>
        <v>0.15806987974103889</v>
      </c>
      <c r="N118" s="110">
        <f>'Pseudo-load coefficients'!N296</f>
        <v>0.1608156821309652</v>
      </c>
      <c r="O118" s="110">
        <f>'Pseudo-load coefficients'!O296</f>
        <v>0.14154244320975506</v>
      </c>
      <c r="P118" s="110">
        <f>'Pseudo-load coefficients'!P296</f>
        <v>0.11774367367795159</v>
      </c>
      <c r="Q118" s="110">
        <f>'Pseudo-load coefficients'!Q296</f>
        <v>0.13123018442197423</v>
      </c>
      <c r="R118" s="110">
        <f>'Pseudo-load coefficients'!R296</f>
        <v>0.10889614147504829</v>
      </c>
      <c r="S118" s="110">
        <f>'Pseudo-load coefficients'!S296</f>
        <v>0.10889614147504829</v>
      </c>
      <c r="T118" s="110">
        <f>'Pseudo-load coefficients'!T296</f>
        <v>0.10889614147504829</v>
      </c>
      <c r="U118" s="110">
        <f>'Pseudo-load coefficients'!U296</f>
        <v>0.10889614147504829</v>
      </c>
      <c r="V118" s="110">
        <f>'Pseudo-load coefficients'!V296</f>
        <v>0.10889614147504829</v>
      </c>
      <c r="W118" s="110">
        <f>'Pseudo-load coefficients'!W296</f>
        <v>0.10889614147504829</v>
      </c>
      <c r="X118" s="110">
        <f>'Pseudo-load coefficients'!X296</f>
        <v>0.10889614147504829</v>
      </c>
      <c r="Y118" s="110">
        <f>'Pseudo-load coefficients'!Y296</f>
        <v>0.10889614147504829</v>
      </c>
      <c r="AQ118" s="3"/>
    </row>
    <row r="119" spans="5:43" x14ac:dyDescent="0.25">
      <c r="E119" s="27"/>
      <c r="F119" t="s">
        <v>194</v>
      </c>
      <c r="G119" t="s">
        <v>283</v>
      </c>
      <c r="J119" s="110">
        <f>'Pseudo-load coefficients'!J297</f>
        <v>0.2407232402172533</v>
      </c>
      <c r="K119" s="110">
        <f>'Pseudo-load coefficients'!K297</f>
        <v>0.2407232402172533</v>
      </c>
      <c r="L119" s="110">
        <f>'Pseudo-load coefficients'!L297</f>
        <v>0.22317598058184673</v>
      </c>
      <c r="M119" s="110">
        <f>'Pseudo-load coefficients'!M297</f>
        <v>0.22317598058184673</v>
      </c>
      <c r="N119" s="110">
        <f>'Pseudo-load coefficients'!N297</f>
        <v>0.22705272890265088</v>
      </c>
      <c r="O119" s="110">
        <f>'Pseudo-load coefficients'!O297</f>
        <v>0.19984119434416309</v>
      </c>
      <c r="P119" s="110">
        <f>'Pseudo-load coefficients'!P297</f>
        <v>0.16624014564593556</v>
      </c>
      <c r="Q119" s="110">
        <f>'Pseudo-load coefficients'!Q297</f>
        <v>0.18528150422010436</v>
      </c>
      <c r="R119" s="110">
        <f>'Pseudo-load coefficients'!R297</f>
        <v>0.15374847627573507</v>
      </c>
      <c r="S119" s="110">
        <f>'Pseudo-load coefficients'!S297</f>
        <v>0.15374847627573507</v>
      </c>
      <c r="T119" s="110">
        <f>'Pseudo-load coefficients'!T297</f>
        <v>0.15374847627573507</v>
      </c>
      <c r="U119" s="110">
        <f>'Pseudo-load coefficients'!U297</f>
        <v>0.15374847627573507</v>
      </c>
      <c r="V119" s="110">
        <f>'Pseudo-load coefficients'!V297</f>
        <v>0.15374847627573507</v>
      </c>
      <c r="W119" s="110">
        <f>'Pseudo-load coefficients'!W297</f>
        <v>0.15374847627573507</v>
      </c>
      <c r="X119" s="110">
        <f>'Pseudo-load coefficients'!X297</f>
        <v>0.15374847627573507</v>
      </c>
      <c r="Y119" s="110">
        <f>'Pseudo-load coefficients'!Y297</f>
        <v>0.15374847627573507</v>
      </c>
      <c r="AQ119" s="3"/>
    </row>
    <row r="120" spans="5:43" x14ac:dyDescent="0.25">
      <c r="E120" s="27"/>
      <c r="F120" t="s">
        <v>195</v>
      </c>
      <c r="G120" t="s">
        <v>283</v>
      </c>
      <c r="J120" s="110">
        <f>'Pseudo-load coefficients'!J298</f>
        <v>0.2407232402172533</v>
      </c>
      <c r="K120" s="110">
        <f>'Pseudo-load coefficients'!K298</f>
        <v>0.2407232402172533</v>
      </c>
      <c r="L120" s="110">
        <f>'Pseudo-load coefficients'!L298</f>
        <v>0.22317598058184673</v>
      </c>
      <c r="M120" s="110">
        <f>'Pseudo-load coefficients'!M298</f>
        <v>0.22317598058184673</v>
      </c>
      <c r="N120" s="110">
        <f>'Pseudo-load coefficients'!N298</f>
        <v>0.22705272890265088</v>
      </c>
      <c r="O120" s="110">
        <f>'Pseudo-load coefficients'!O298</f>
        <v>0.19984119434416309</v>
      </c>
      <c r="P120" s="110">
        <f>'Pseudo-load coefficients'!P298</f>
        <v>0.16624014564593556</v>
      </c>
      <c r="Q120" s="110">
        <f>'Pseudo-load coefficients'!Q298</f>
        <v>0.18528150422010436</v>
      </c>
      <c r="R120" s="110">
        <f>'Pseudo-load coefficients'!R298</f>
        <v>0.15374847627573507</v>
      </c>
      <c r="S120" s="110">
        <f>'Pseudo-load coefficients'!S298</f>
        <v>0.15374847627573507</v>
      </c>
      <c r="T120" s="110">
        <f>'Pseudo-load coefficients'!T298</f>
        <v>0.15374847627573507</v>
      </c>
      <c r="U120" s="110">
        <f>'Pseudo-load coefficients'!U298</f>
        <v>0.15374847627573507</v>
      </c>
      <c r="V120" s="110">
        <f>'Pseudo-load coefficients'!V298</f>
        <v>0.15374847627573507</v>
      </c>
      <c r="W120" s="110">
        <f>'Pseudo-load coefficients'!W298</f>
        <v>0.15374847627573507</v>
      </c>
      <c r="X120" s="110">
        <f>'Pseudo-load coefficients'!X298</f>
        <v>0.15374847627573507</v>
      </c>
      <c r="Y120" s="110">
        <f>'Pseudo-load coefficients'!Y298</f>
        <v>0.15374847627573507</v>
      </c>
      <c r="AQ120" s="3"/>
    </row>
    <row r="121" spans="5:43" x14ac:dyDescent="0.25">
      <c r="E121" s="27"/>
      <c r="F121" t="s">
        <v>196</v>
      </c>
      <c r="G121" t="s">
        <v>283</v>
      </c>
      <c r="J121" s="110">
        <f>'Pseudo-load coefficients'!J299</f>
        <v>0.17049815814771219</v>
      </c>
      <c r="K121" s="110">
        <f>'Pseudo-load coefficients'!K299</f>
        <v>0.17049815814771219</v>
      </c>
      <c r="L121" s="110">
        <f>'Pseudo-load coefficients'!L299</f>
        <v>0.15806987974103889</v>
      </c>
      <c r="M121" s="110">
        <f>'Pseudo-load coefficients'!M299</f>
        <v>0.15806987974103889</v>
      </c>
      <c r="N121" s="110">
        <f>'Pseudo-load coefficients'!N299</f>
        <v>0.1608156821309652</v>
      </c>
      <c r="O121" s="110">
        <f>'Pseudo-load coefficients'!O299</f>
        <v>0.14154244320975506</v>
      </c>
      <c r="P121" s="110">
        <f>'Pseudo-load coefficients'!P299</f>
        <v>0.11774367367795159</v>
      </c>
      <c r="Q121" s="110">
        <f>'Pseudo-load coefficients'!Q299</f>
        <v>0.13123018442197423</v>
      </c>
      <c r="R121" s="110">
        <f>'Pseudo-load coefficients'!R299</f>
        <v>0.10889614147504829</v>
      </c>
      <c r="S121" s="110">
        <f>'Pseudo-load coefficients'!S299</f>
        <v>0.10889614147504829</v>
      </c>
      <c r="T121" s="110">
        <f>'Pseudo-load coefficients'!T299</f>
        <v>0.10889614147504829</v>
      </c>
      <c r="U121" s="110">
        <f>'Pseudo-load coefficients'!U299</f>
        <v>0.10889614147504829</v>
      </c>
      <c r="V121" s="110">
        <f>'Pseudo-load coefficients'!V299</f>
        <v>0.10889614147504829</v>
      </c>
      <c r="W121" s="110">
        <f>'Pseudo-load coefficients'!W299</f>
        <v>0.10889614147504829</v>
      </c>
      <c r="X121" s="110">
        <f>'Pseudo-load coefficients'!X299</f>
        <v>0.10889614147504829</v>
      </c>
      <c r="Y121" s="110">
        <f>'Pseudo-load coefficients'!Y299</f>
        <v>0.10889614147504829</v>
      </c>
      <c r="AQ121" s="3"/>
    </row>
    <row r="122" spans="5:43" x14ac:dyDescent="0.25">
      <c r="E122" s="27"/>
      <c r="F122" t="s">
        <v>197</v>
      </c>
      <c r="G122" t="s">
        <v>283</v>
      </c>
      <c r="J122" s="110">
        <f>'Pseudo-load coefficients'!J300</f>
        <v>0.2407232402172533</v>
      </c>
      <c r="K122" s="110">
        <f>'Pseudo-load coefficients'!K300</f>
        <v>0.2407232402172533</v>
      </c>
      <c r="L122" s="110">
        <f>'Pseudo-load coefficients'!L300</f>
        <v>0.22317598058184673</v>
      </c>
      <c r="M122" s="110">
        <f>'Pseudo-load coefficients'!M300</f>
        <v>0.22317598058184673</v>
      </c>
      <c r="N122" s="110">
        <f>'Pseudo-load coefficients'!N300</f>
        <v>0.22705272890265088</v>
      </c>
      <c r="O122" s="110">
        <f>'Pseudo-load coefficients'!O300</f>
        <v>0.19984119434416309</v>
      </c>
      <c r="P122" s="110">
        <f>'Pseudo-load coefficients'!P300</f>
        <v>0.16624014564593556</v>
      </c>
      <c r="Q122" s="110">
        <f>'Pseudo-load coefficients'!Q300</f>
        <v>0.18528150422010436</v>
      </c>
      <c r="R122" s="110">
        <f>'Pseudo-load coefficients'!R300</f>
        <v>0.15374847627573507</v>
      </c>
      <c r="S122" s="110">
        <f>'Pseudo-load coefficients'!S300</f>
        <v>0.15374847627573507</v>
      </c>
      <c r="T122" s="110">
        <f>'Pseudo-load coefficients'!T300</f>
        <v>0.15374847627573507</v>
      </c>
      <c r="U122" s="110">
        <f>'Pseudo-load coefficients'!U300</f>
        <v>0.15374847627573507</v>
      </c>
      <c r="V122" s="110">
        <f>'Pseudo-load coefficients'!V300</f>
        <v>0.15374847627573507</v>
      </c>
      <c r="W122" s="110">
        <f>'Pseudo-load coefficients'!W300</f>
        <v>0.15374847627573507</v>
      </c>
      <c r="X122" s="110">
        <f>'Pseudo-load coefficients'!X300</f>
        <v>0.15374847627573507</v>
      </c>
      <c r="Y122" s="110">
        <f>'Pseudo-load coefficients'!Y300</f>
        <v>0.15374847627573507</v>
      </c>
      <c r="AQ122" s="3"/>
    </row>
    <row r="123" spans="5:43" x14ac:dyDescent="0.25">
      <c r="E123" s="27"/>
      <c r="F123" t="s">
        <v>198</v>
      </c>
      <c r="G123" t="s">
        <v>283</v>
      </c>
      <c r="J123" s="110">
        <f>'Pseudo-load coefficients'!J301</f>
        <v>0.2407232402172533</v>
      </c>
      <c r="K123" s="110">
        <f>'Pseudo-load coefficients'!K301</f>
        <v>0.2407232402172533</v>
      </c>
      <c r="L123" s="110">
        <f>'Pseudo-load coefficients'!L301</f>
        <v>0.22317598058184673</v>
      </c>
      <c r="M123" s="110">
        <f>'Pseudo-load coefficients'!M301</f>
        <v>0.22317598058184673</v>
      </c>
      <c r="N123" s="110">
        <f>'Pseudo-load coefficients'!N301</f>
        <v>0.22705272890265088</v>
      </c>
      <c r="O123" s="110">
        <f>'Pseudo-load coefficients'!O301</f>
        <v>0.19984119434416309</v>
      </c>
      <c r="P123" s="110">
        <f>'Pseudo-load coefficients'!P301</f>
        <v>0.16624014564593556</v>
      </c>
      <c r="Q123" s="110">
        <f>'Pseudo-load coefficients'!Q301</f>
        <v>0.18528150422010436</v>
      </c>
      <c r="R123" s="110">
        <f>'Pseudo-load coefficients'!R301</f>
        <v>0.15374847627573507</v>
      </c>
      <c r="S123" s="110">
        <f>'Pseudo-load coefficients'!S301</f>
        <v>0.15374847627573507</v>
      </c>
      <c r="T123" s="110">
        <f>'Pseudo-load coefficients'!T301</f>
        <v>0.15374847627573507</v>
      </c>
      <c r="U123" s="110">
        <f>'Pseudo-load coefficients'!U301</f>
        <v>0.15374847627573507</v>
      </c>
      <c r="V123" s="110">
        <f>'Pseudo-load coefficients'!V301</f>
        <v>0.15374847627573507</v>
      </c>
      <c r="W123" s="110">
        <f>'Pseudo-load coefficients'!W301</f>
        <v>0.15374847627573507</v>
      </c>
      <c r="X123" s="110">
        <f>'Pseudo-load coefficients'!X301</f>
        <v>0.15374847627573507</v>
      </c>
      <c r="Y123" s="110">
        <f>'Pseudo-load coefficients'!Y301</f>
        <v>0.15374847627573507</v>
      </c>
      <c r="AQ123" s="3"/>
    </row>
    <row r="124" spans="5:43" x14ac:dyDescent="0.25">
      <c r="E124" s="27"/>
      <c r="F124" s="28" t="s">
        <v>199</v>
      </c>
      <c r="G124" s="28" t="s">
        <v>283</v>
      </c>
      <c r="H124" s="28"/>
      <c r="I124" s="28"/>
      <c r="J124" s="115">
        <f>'Pseudo-load coefficients'!J302</f>
        <v>0.2407232402172533</v>
      </c>
      <c r="K124" s="115">
        <f>'Pseudo-load coefficients'!K302</f>
        <v>0.2407232402172533</v>
      </c>
      <c r="L124" s="115">
        <f>'Pseudo-load coefficients'!L302</f>
        <v>0.22317598058184673</v>
      </c>
      <c r="M124" s="115">
        <f>'Pseudo-load coefficients'!M302</f>
        <v>0.22317598058184673</v>
      </c>
      <c r="N124" s="115">
        <f>'Pseudo-load coefficients'!N302</f>
        <v>0.22705272890265088</v>
      </c>
      <c r="O124" s="115">
        <f>'Pseudo-load coefficients'!O302</f>
        <v>0.19984119434416309</v>
      </c>
      <c r="P124" s="115">
        <f>'Pseudo-load coefficients'!P302</f>
        <v>0.16624014564593556</v>
      </c>
      <c r="Q124" s="115">
        <f>'Pseudo-load coefficients'!Q302</f>
        <v>0.18528150422010436</v>
      </c>
      <c r="R124" s="115">
        <f>'Pseudo-load coefficients'!R302</f>
        <v>0.15374847627573507</v>
      </c>
      <c r="S124" s="115">
        <f>'Pseudo-load coefficients'!S302</f>
        <v>0.15374847627573507</v>
      </c>
      <c r="T124" s="115">
        <f>'Pseudo-load coefficients'!T302</f>
        <v>0.15374847627573507</v>
      </c>
      <c r="U124" s="115">
        <f>'Pseudo-load coefficients'!U302</f>
        <v>0.15374847627573507</v>
      </c>
      <c r="V124" s="115">
        <f>'Pseudo-load coefficients'!V302</f>
        <v>0.15374847627573507</v>
      </c>
      <c r="W124" s="115">
        <f>'Pseudo-load coefficients'!W302</f>
        <v>0.15374847627573507</v>
      </c>
      <c r="X124" s="115">
        <f>'Pseudo-load coefficients'!X302</f>
        <v>0.15374847627573507</v>
      </c>
      <c r="Y124" s="115">
        <f>'Pseudo-load coefficients'!Y302</f>
        <v>0.15374847627573507</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191</v>
      </c>
      <c r="G128" s="19" t="s">
        <v>172</v>
      </c>
      <c r="H128" s="19"/>
      <c r="I128" s="19"/>
      <c r="J128" s="148">
        <f t="shared" ref="J128:Y128" si="19">J$58 * J34 * J116 / hours_in_year / $H45</f>
        <v>0</v>
      </c>
      <c r="K128" s="148">
        <f t="shared" si="19"/>
        <v>0</v>
      </c>
      <c r="L128" s="148">
        <f t="shared" si="19"/>
        <v>0</v>
      </c>
      <c r="M128" s="148">
        <f t="shared" si="19"/>
        <v>0</v>
      </c>
      <c r="N128" s="148">
        <f t="shared" si="19"/>
        <v>0</v>
      </c>
      <c r="O128" s="148">
        <f t="shared" si="19"/>
        <v>0</v>
      </c>
      <c r="P128" s="148">
        <f t="shared" si="19"/>
        <v>0</v>
      </c>
      <c r="Q128" s="148">
        <f t="shared" si="19"/>
        <v>0</v>
      </c>
      <c r="R128" s="148">
        <f t="shared" si="19"/>
        <v>0</v>
      </c>
      <c r="S128" s="148">
        <f t="shared" si="19"/>
        <v>0</v>
      </c>
      <c r="T128" s="148">
        <f t="shared" si="19"/>
        <v>0</v>
      </c>
      <c r="U128" s="148">
        <f t="shared" si="19"/>
        <v>0</v>
      </c>
      <c r="V128" s="148">
        <f t="shared" si="19"/>
        <v>0</v>
      </c>
      <c r="W128" s="148">
        <f t="shared" si="19"/>
        <v>0</v>
      </c>
      <c r="X128" s="148">
        <f t="shared" si="19"/>
        <v>0</v>
      </c>
      <c r="Y128" s="148">
        <f t="shared" si="19"/>
        <v>0</v>
      </c>
      <c r="AQ128" s="3"/>
    </row>
    <row r="129" spans="3:43" x14ac:dyDescent="0.25">
      <c r="E129" s="27"/>
      <c r="F129" t="s">
        <v>192</v>
      </c>
      <c r="G129" t="s">
        <v>172</v>
      </c>
      <c r="J129" s="79">
        <f t="shared" ref="J129:Y129" si="20">J$58 * J35 * J117 / hours_in_year / $H46</f>
        <v>104.81444839198944</v>
      </c>
      <c r="K129" s="79">
        <f t="shared" si="20"/>
        <v>0.22869279087121411</v>
      </c>
      <c r="L129" s="79">
        <f t="shared" si="20"/>
        <v>26.343558838869342</v>
      </c>
      <c r="M129" s="79">
        <f t="shared" si="20"/>
        <v>4.699128243936275E-2</v>
      </c>
      <c r="N129" s="79">
        <f t="shared" si="20"/>
        <v>31.104486137580523</v>
      </c>
      <c r="O129" s="79">
        <f t="shared" si="20"/>
        <v>1.7409795649680855</v>
      </c>
      <c r="P129" s="79">
        <f t="shared" si="20"/>
        <v>52.109388273755194</v>
      </c>
      <c r="Q129" s="79">
        <f t="shared" si="20"/>
        <v>2.9316129120529402</v>
      </c>
      <c r="R129" s="79">
        <f t="shared" si="20"/>
        <v>-1.3764869106753889E-2</v>
      </c>
      <c r="S129" s="79">
        <f t="shared" si="20"/>
        <v>0</v>
      </c>
      <c r="T129" s="79">
        <f t="shared" si="20"/>
        <v>-0.25870108119861229</v>
      </c>
      <c r="U129" s="79">
        <f t="shared" si="20"/>
        <v>0</v>
      </c>
      <c r="V129" s="79">
        <f t="shared" si="20"/>
        <v>-7.9363127594044888E-2</v>
      </c>
      <c r="W129" s="79">
        <f t="shared" si="20"/>
        <v>0</v>
      </c>
      <c r="X129" s="79">
        <f t="shared" si="20"/>
        <v>-4.813925371859086</v>
      </c>
      <c r="Y129" s="79">
        <f t="shared" si="20"/>
        <v>0</v>
      </c>
      <c r="AQ129" s="3"/>
    </row>
    <row r="130" spans="3:43" x14ac:dyDescent="0.25">
      <c r="E130" s="27"/>
      <c r="F130" t="s">
        <v>193</v>
      </c>
      <c r="G130" t="s">
        <v>172</v>
      </c>
      <c r="J130" s="79">
        <f t="shared" ref="J130:Y130" si="21">J$58 * J36 * J118 / hours_in_year / $H47</f>
        <v>32.09607214979529</v>
      </c>
      <c r="K130" s="79">
        <f t="shared" si="21"/>
        <v>7.0029852072393428E-2</v>
      </c>
      <c r="L130" s="79">
        <f t="shared" si="21"/>
        <v>8.0668722504038683</v>
      </c>
      <c r="M130" s="79">
        <f t="shared" si="21"/>
        <v>1.4389577150133283E-2</v>
      </c>
      <c r="N130" s="79">
        <f t="shared" si="21"/>
        <v>9.5247539491930446</v>
      </c>
      <c r="O130" s="79">
        <f t="shared" si="21"/>
        <v>0.5331193035482833</v>
      </c>
      <c r="P130" s="79">
        <f t="shared" si="21"/>
        <v>15.956833350505581</v>
      </c>
      <c r="Q130" s="79">
        <f t="shared" si="21"/>
        <v>0.89771268163935525</v>
      </c>
      <c r="R130" s="79">
        <f t="shared" si="21"/>
        <v>-4.2150508709505926E-3</v>
      </c>
      <c r="S130" s="79">
        <f t="shared" si="21"/>
        <v>0</v>
      </c>
      <c r="T130" s="79">
        <f t="shared" si="21"/>
        <v>-7.921893111842486E-2</v>
      </c>
      <c r="U130" s="79">
        <f t="shared" si="21"/>
        <v>0</v>
      </c>
      <c r="V130" s="79">
        <f t="shared" si="21"/>
        <v>-2.4302419259657624E-2</v>
      </c>
      <c r="W130" s="79">
        <f t="shared" si="21"/>
        <v>0</v>
      </c>
      <c r="X130" s="79">
        <f t="shared" si="21"/>
        <v>-1.4741106634562777</v>
      </c>
      <c r="Y130" s="79">
        <f t="shared" si="21"/>
        <v>0</v>
      </c>
      <c r="AQ130" s="3"/>
    </row>
    <row r="131" spans="3:43" x14ac:dyDescent="0.25">
      <c r="E131" s="27"/>
      <c r="F131" t="s">
        <v>194</v>
      </c>
      <c r="G131" t="s">
        <v>172</v>
      </c>
      <c r="J131" s="79">
        <f t="shared" ref="J131:Y131" si="22">J$58 * J37 * J119 / hours_in_year / $H48</f>
        <v>44.307865957604797</v>
      </c>
      <c r="K131" s="79">
        <f t="shared" si="22"/>
        <v>9.667454896577711E-2</v>
      </c>
      <c r="L131" s="79">
        <f t="shared" si="22"/>
        <v>11.136125713447962</v>
      </c>
      <c r="M131" s="79">
        <f t="shared" si="22"/>
        <v>1.9864469788674271E-2</v>
      </c>
      <c r="N131" s="79">
        <f t="shared" si="22"/>
        <v>13.148696802848633</v>
      </c>
      <c r="O131" s="79">
        <f t="shared" si="22"/>
        <v>0.73595854753771217</v>
      </c>
      <c r="P131" s="79">
        <f t="shared" si="22"/>
        <v>22.028029782035141</v>
      </c>
      <c r="Q131" s="79">
        <f t="shared" si="22"/>
        <v>1.2392710541302852</v>
      </c>
      <c r="R131" s="79">
        <f t="shared" si="22"/>
        <v>-5.8187777034815584E-3</v>
      </c>
      <c r="S131" s="79">
        <f t="shared" si="22"/>
        <v>0</v>
      </c>
      <c r="T131" s="79">
        <f t="shared" si="22"/>
        <v>-0.10935985453043305</v>
      </c>
      <c r="U131" s="79">
        <f t="shared" si="22"/>
        <v>0</v>
      </c>
      <c r="V131" s="79">
        <f t="shared" si="22"/>
        <v>-3.3548913087462974E-2</v>
      </c>
      <c r="W131" s="79">
        <f t="shared" si="22"/>
        <v>0</v>
      </c>
      <c r="X131" s="79">
        <f t="shared" si="22"/>
        <v>-2.034974790007543</v>
      </c>
      <c r="Y131" s="79">
        <f t="shared" si="22"/>
        <v>0</v>
      </c>
      <c r="AQ131" s="3"/>
    </row>
    <row r="132" spans="3:43" x14ac:dyDescent="0.25">
      <c r="E132" s="27"/>
      <c r="F132" t="s">
        <v>195</v>
      </c>
      <c r="G132" t="s">
        <v>172</v>
      </c>
      <c r="J132" s="79">
        <f t="shared" ref="J132:Y132" si="23">J$58 * J38 * J120 / hours_in_year / $H49</f>
        <v>44.009926417063753</v>
      </c>
      <c r="K132" s="79">
        <f t="shared" si="23"/>
        <v>9.6024479952558639E-2</v>
      </c>
      <c r="L132" s="79">
        <f t="shared" si="23"/>
        <v>11.061243023732175</v>
      </c>
      <c r="M132" s="79">
        <f t="shared" si="23"/>
        <v>1.9730895063870508E-2</v>
      </c>
      <c r="N132" s="79">
        <f t="shared" si="23"/>
        <v>13.060280974203158</v>
      </c>
      <c r="O132" s="79">
        <f t="shared" si="23"/>
        <v>0.73100973886070553</v>
      </c>
      <c r="P132" s="79">
        <f t="shared" si="23"/>
        <v>21.879906623078131</v>
      </c>
      <c r="Q132" s="79">
        <f t="shared" si="23"/>
        <v>1.2309378193762872</v>
      </c>
      <c r="R132" s="79">
        <f t="shared" si="23"/>
        <v>-5.779650475888503E-3</v>
      </c>
      <c r="S132" s="79">
        <f t="shared" si="23"/>
        <v>0</v>
      </c>
      <c r="T132" s="79">
        <f t="shared" si="23"/>
        <v>-0.1086244856719191</v>
      </c>
      <c r="U132" s="79">
        <f t="shared" si="23"/>
        <v>0</v>
      </c>
      <c r="V132" s="79">
        <f t="shared" si="23"/>
        <v>-3.3323320011946891E-2</v>
      </c>
      <c r="W132" s="79">
        <f t="shared" si="23"/>
        <v>0</v>
      </c>
      <c r="X132" s="79">
        <f t="shared" si="23"/>
        <v>-2.021291001794236</v>
      </c>
      <c r="Y132" s="79">
        <f t="shared" si="23"/>
        <v>0</v>
      </c>
      <c r="AQ132" s="3"/>
    </row>
    <row r="133" spans="3:43" x14ac:dyDescent="0.25">
      <c r="E133" s="27"/>
      <c r="F133" t="s">
        <v>196</v>
      </c>
      <c r="G133" t="s">
        <v>172</v>
      </c>
      <c r="J133" s="79">
        <f t="shared" ref="J133:Y133" si="24">J$58 * J39 * J121 / hours_in_year / $H50</f>
        <v>70.220000564159776</v>
      </c>
      <c r="K133" s="79">
        <f t="shared" si="24"/>
        <v>0.15321177710098258</v>
      </c>
      <c r="L133" s="79">
        <f t="shared" si="24"/>
        <v>17.648756873759002</v>
      </c>
      <c r="M133" s="79">
        <f t="shared" si="24"/>
        <v>3.1481612793135015E-2</v>
      </c>
      <c r="N133" s="79">
        <f t="shared" si="24"/>
        <v>20.838320170902421</v>
      </c>
      <c r="O133" s="79">
        <f t="shared" si="24"/>
        <v>1.166361965452015</v>
      </c>
      <c r="P133" s="79">
        <f t="shared" si="24"/>
        <v>34.91046635380436</v>
      </c>
      <c r="Q133" s="79">
        <f t="shared" si="24"/>
        <v>1.964021787992241</v>
      </c>
      <c r="R133" s="79">
        <f t="shared" si="24"/>
        <v>-9.2217163880596691E-3</v>
      </c>
      <c r="S133" s="79">
        <f t="shared" si="24"/>
        <v>0</v>
      </c>
      <c r="T133" s="79">
        <f t="shared" si="24"/>
        <v>-0.17331570548153219</v>
      </c>
      <c r="U133" s="79">
        <f t="shared" si="24"/>
        <v>0</v>
      </c>
      <c r="V133" s="79">
        <f t="shared" si="24"/>
        <v>-5.3168994827751531E-2</v>
      </c>
      <c r="W133" s="79">
        <f t="shared" si="24"/>
        <v>0</v>
      </c>
      <c r="X133" s="79">
        <f t="shared" si="24"/>
        <v>-3.2250691342053819</v>
      </c>
      <c r="Y133" s="79">
        <f t="shared" si="24"/>
        <v>0</v>
      </c>
      <c r="AQ133" s="3"/>
    </row>
    <row r="134" spans="3:43" x14ac:dyDescent="0.25">
      <c r="E134" s="27"/>
      <c r="F134" t="s">
        <v>197</v>
      </c>
      <c r="G134" t="s">
        <v>172</v>
      </c>
      <c r="J134" s="79">
        <f t="shared" ref="J134:Y134" si="25">J$58 * J40 * J122 / hours_in_year / $H51</f>
        <v>141.38662951124792</v>
      </c>
      <c r="K134" s="79">
        <f t="shared" si="25"/>
        <v>0.30848898592565427</v>
      </c>
      <c r="L134" s="79">
        <f t="shared" si="25"/>
        <v>35.535434767823844</v>
      </c>
      <c r="M134" s="79">
        <f t="shared" si="25"/>
        <v>6.3387625870674938E-2</v>
      </c>
      <c r="N134" s="79">
        <f t="shared" si="25"/>
        <v>41.957559526764136</v>
      </c>
      <c r="O134" s="79">
        <f t="shared" si="25"/>
        <v>2.3484475329033803</v>
      </c>
      <c r="P134" s="79">
        <f t="shared" si="25"/>
        <v>70.291557003340273</v>
      </c>
      <c r="Q134" s="79">
        <f t="shared" si="25"/>
        <v>3.95452034548414</v>
      </c>
      <c r="R134" s="79">
        <f t="shared" si="25"/>
        <v>-1.856774975706663E-2</v>
      </c>
      <c r="S134" s="79">
        <f t="shared" si="25"/>
        <v>0</v>
      </c>
      <c r="T134" s="79">
        <f t="shared" si="25"/>
        <v>-0.34896786161384674</v>
      </c>
      <c r="U134" s="79">
        <f t="shared" si="25"/>
        <v>0</v>
      </c>
      <c r="V134" s="79">
        <f t="shared" si="25"/>
        <v>-0.10705475523783502</v>
      </c>
      <c r="W134" s="79">
        <f t="shared" si="25"/>
        <v>0</v>
      </c>
      <c r="X134" s="79">
        <f t="shared" si="25"/>
        <v>0</v>
      </c>
      <c r="Y134" s="79">
        <f t="shared" si="25"/>
        <v>0</v>
      </c>
      <c r="AQ134" s="3"/>
    </row>
    <row r="135" spans="3:43" x14ac:dyDescent="0.25">
      <c r="E135" s="27"/>
      <c r="F135" t="s">
        <v>198</v>
      </c>
      <c r="G135" t="s">
        <v>172</v>
      </c>
      <c r="J135" s="79">
        <f t="shared" ref="J135:Y135" si="26">J$58 * J41 * J123 / hours_in_year / $H52</f>
        <v>139.14239729678368</v>
      </c>
      <c r="K135" s="79">
        <f t="shared" si="26"/>
        <v>0.30359233535540581</v>
      </c>
      <c r="L135" s="79">
        <f t="shared" si="26"/>
        <v>34.971380247699656</v>
      </c>
      <c r="M135" s="79">
        <f t="shared" si="26"/>
        <v>6.2381473079076925E-2</v>
      </c>
      <c r="N135" s="79">
        <f t="shared" si="26"/>
        <v>41.29156651840281</v>
      </c>
      <c r="O135" s="79">
        <f t="shared" si="26"/>
        <v>2.31117058793666</v>
      </c>
      <c r="P135" s="79">
        <f t="shared" si="26"/>
        <v>0</v>
      </c>
      <c r="Q135" s="79">
        <f t="shared" si="26"/>
        <v>3.8917501812701065</v>
      </c>
      <c r="R135" s="79">
        <f t="shared" si="26"/>
        <v>-1.8273023570446526E-2</v>
      </c>
      <c r="S135" s="79">
        <f t="shared" si="26"/>
        <v>0</v>
      </c>
      <c r="T135" s="79">
        <f t="shared" si="26"/>
        <v>-0.34342868920727782</v>
      </c>
      <c r="U135" s="79">
        <f t="shared" si="26"/>
        <v>0</v>
      </c>
      <c r="V135" s="79">
        <f t="shared" si="26"/>
        <v>0</v>
      </c>
      <c r="W135" s="79">
        <f t="shared" si="26"/>
        <v>0</v>
      </c>
      <c r="X135" s="79">
        <f t="shared" si="26"/>
        <v>0</v>
      </c>
      <c r="Y135" s="79">
        <f t="shared" si="26"/>
        <v>0</v>
      </c>
      <c r="AQ135" s="3"/>
    </row>
    <row r="136" spans="3:43" x14ac:dyDescent="0.25">
      <c r="E136" s="27"/>
      <c r="F136" s="28" t="s">
        <v>199</v>
      </c>
      <c r="G136" s="28" t="s">
        <v>172</v>
      </c>
      <c r="H136" s="28"/>
      <c r="I136" s="28"/>
      <c r="J136" s="72">
        <f t="shared" ref="J136:Y136" si="27">J$58 * J42 * J124 / hours_in_year / $H53</f>
        <v>136.34172690288685</v>
      </c>
      <c r="K136" s="72">
        <f t="shared" si="27"/>
        <v>0.29748160216435465</v>
      </c>
      <c r="L136" s="72">
        <f t="shared" si="27"/>
        <v>34.267473234479723</v>
      </c>
      <c r="M136" s="72">
        <f t="shared" si="27"/>
        <v>6.1125853309873177E-2</v>
      </c>
      <c r="N136" s="72">
        <f t="shared" si="27"/>
        <v>40.460446240813731</v>
      </c>
      <c r="O136" s="72">
        <f t="shared" si="27"/>
        <v>0</v>
      </c>
      <c r="P136" s="72">
        <f t="shared" si="27"/>
        <v>0</v>
      </c>
      <c r="Q136" s="72">
        <f t="shared" si="27"/>
        <v>3.8134166918026384</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control'!$H$36:$H$59,MATCH($A$1,'Version control'!$F$36:$F$59,0),1)&amp;"-C: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191</v>
      </c>
      <c r="G142" s="19" t="s">
        <v>172</v>
      </c>
      <c r="H142" s="19"/>
      <c r="I142" s="19"/>
      <c r="J142" s="148">
        <f t="shared" ref="J142:Y142" si="28">J82 + J105 + J128</f>
        <v>2074.7178472299452</v>
      </c>
      <c r="K142" s="148">
        <f t="shared" si="28"/>
        <v>0.49568518000440476</v>
      </c>
      <c r="L142" s="148">
        <f t="shared" si="28"/>
        <v>627.14824757748045</v>
      </c>
      <c r="M142" s="148">
        <f t="shared" si="28"/>
        <v>0.29230620950879255</v>
      </c>
      <c r="N142" s="148">
        <f t="shared" si="28"/>
        <v>550.75899657965738</v>
      </c>
      <c r="O142" s="148">
        <f t="shared" si="28"/>
        <v>38.576419450004643</v>
      </c>
      <c r="P142" s="148">
        <f t="shared" si="28"/>
        <v>1001.0103413412476</v>
      </c>
      <c r="Q142" s="148">
        <f t="shared" si="28"/>
        <v>45.829087663718013</v>
      </c>
      <c r="R142" s="148">
        <f t="shared" si="28"/>
        <v>-0.60296693763915599</v>
      </c>
      <c r="S142" s="148">
        <f t="shared" si="28"/>
        <v>0</v>
      </c>
      <c r="T142" s="148">
        <f t="shared" si="28"/>
        <v>-6.7848980339203475</v>
      </c>
      <c r="U142" s="148">
        <f t="shared" si="28"/>
        <v>0</v>
      </c>
      <c r="V142" s="148">
        <f t="shared" si="28"/>
        <v>-1.4125859864968131</v>
      </c>
      <c r="W142" s="148">
        <f t="shared" si="28"/>
        <v>0</v>
      </c>
      <c r="X142" s="148">
        <f t="shared" si="28"/>
        <v>-147.01699717988657</v>
      </c>
      <c r="Y142" s="148">
        <f t="shared" si="28"/>
        <v>0</v>
      </c>
      <c r="AQ142" s="3"/>
    </row>
    <row r="143" spans="3:43" x14ac:dyDescent="0.25">
      <c r="C143" s="27"/>
      <c r="F143" t="s">
        <v>192</v>
      </c>
      <c r="G143" t="s">
        <v>172</v>
      </c>
      <c r="J143" s="79">
        <f t="shared" ref="J143:Y143" si="29">J83 + J106 + J129</f>
        <v>1942.5698811582772</v>
      </c>
      <c r="K143" s="79">
        <f t="shared" si="29"/>
        <v>0.99708383210102725</v>
      </c>
      <c r="L143" s="79">
        <f t="shared" si="29"/>
        <v>631.679966201453</v>
      </c>
      <c r="M143" s="79">
        <f t="shared" si="29"/>
        <v>0.38508244064338321</v>
      </c>
      <c r="N143" s="79">
        <f t="shared" si="29"/>
        <v>568.55992158072695</v>
      </c>
      <c r="O143" s="79">
        <f t="shared" si="29"/>
        <v>38.47600808246311</v>
      </c>
      <c r="P143" s="79">
        <f t="shared" si="29"/>
        <v>1010.3438736195047</v>
      </c>
      <c r="Q143" s="79">
        <f t="shared" si="29"/>
        <v>38.541706857600587</v>
      </c>
      <c r="R143" s="79">
        <f t="shared" si="29"/>
        <v>-0.60884739578844294</v>
      </c>
      <c r="S143" s="79">
        <f t="shared" si="29"/>
        <v>0</v>
      </c>
      <c r="T143" s="79">
        <f t="shared" si="29"/>
        <v>-6.9433017797462853</v>
      </c>
      <c r="U143" s="79">
        <f t="shared" si="29"/>
        <v>0</v>
      </c>
      <c r="V143" s="79">
        <f t="shared" si="29"/>
        <v>-1.4323581207018117</v>
      </c>
      <c r="W143" s="79">
        <f t="shared" si="29"/>
        <v>0</v>
      </c>
      <c r="X143" s="79">
        <f t="shared" si="29"/>
        <v>-135.77623651299345</v>
      </c>
      <c r="Y143" s="79">
        <f t="shared" si="29"/>
        <v>0</v>
      </c>
      <c r="AQ143" s="3"/>
    </row>
    <row r="144" spans="3:43" x14ac:dyDescent="0.25">
      <c r="C144" s="27"/>
      <c r="F144" t="s">
        <v>193</v>
      </c>
      <c r="G144" t="s">
        <v>172</v>
      </c>
      <c r="J144" s="79">
        <f t="shared" ref="J144:Y144" si="30">J84 + J107 + J130</f>
        <v>594.849889668841</v>
      </c>
      <c r="K144" s="79">
        <f t="shared" si="30"/>
        <v>0.30532503014111911</v>
      </c>
      <c r="L144" s="79">
        <f t="shared" si="30"/>
        <v>193.43178427995795</v>
      </c>
      <c r="M144" s="79">
        <f t="shared" si="30"/>
        <v>0.11791917992342255</v>
      </c>
      <c r="N144" s="79">
        <f t="shared" si="30"/>
        <v>174.10328961795722</v>
      </c>
      <c r="O144" s="79">
        <f t="shared" si="30"/>
        <v>11.782046754016246</v>
      </c>
      <c r="P144" s="79">
        <f t="shared" si="30"/>
        <v>309.38549371093791</v>
      </c>
      <c r="Q144" s="79">
        <f t="shared" si="30"/>
        <v>11.802164902413876</v>
      </c>
      <c r="R144" s="79">
        <f t="shared" si="30"/>
        <v>-0.18644003992997521</v>
      </c>
      <c r="S144" s="79">
        <f t="shared" si="30"/>
        <v>0</v>
      </c>
      <c r="T144" s="79">
        <f t="shared" si="30"/>
        <v>-2.1261640766080738</v>
      </c>
      <c r="U144" s="79">
        <f t="shared" si="30"/>
        <v>0</v>
      </c>
      <c r="V144" s="79">
        <f t="shared" si="30"/>
        <v>-0.43861385802898606</v>
      </c>
      <c r="W144" s="79">
        <f t="shared" si="30"/>
        <v>0</v>
      </c>
      <c r="X144" s="79">
        <f t="shared" si="30"/>
        <v>-41.577129395853063</v>
      </c>
      <c r="Y144" s="79">
        <f t="shared" si="30"/>
        <v>0</v>
      </c>
      <c r="AQ144" s="3"/>
    </row>
    <row r="145" spans="3:43" x14ac:dyDescent="0.25">
      <c r="C145" s="27"/>
      <c r="F145" t="s">
        <v>194</v>
      </c>
      <c r="G145" t="s">
        <v>172</v>
      </c>
      <c r="J145" s="79">
        <f t="shared" ref="J145:Y145" si="31">J85 + J108 + J131</f>
        <v>584.86282508132308</v>
      </c>
      <c r="K145" s="79">
        <f t="shared" si="31"/>
        <v>0.29843620765006668</v>
      </c>
      <c r="L145" s="79">
        <f t="shared" si="31"/>
        <v>185.52031086953261</v>
      </c>
      <c r="M145" s="79">
        <f t="shared" si="31"/>
        <v>0.11347986652802843</v>
      </c>
      <c r="N145" s="79">
        <f t="shared" si="31"/>
        <v>167.58240333938238</v>
      </c>
      <c r="O145" s="79">
        <f t="shared" si="31"/>
        <v>11.35228949759621</v>
      </c>
      <c r="P145" s="79">
        <f t="shared" si="31"/>
        <v>298.6124752557447</v>
      </c>
      <c r="Q145" s="79">
        <f t="shared" si="31"/>
        <v>12.21192049909282</v>
      </c>
      <c r="R145" s="79">
        <f t="shared" si="31"/>
        <v>-0.17636464198831733</v>
      </c>
      <c r="S145" s="79">
        <f t="shared" si="31"/>
        <v>0</v>
      </c>
      <c r="T145" s="79">
        <f t="shared" si="31"/>
        <v>-2.025877875157899</v>
      </c>
      <c r="U145" s="79">
        <f t="shared" si="31"/>
        <v>0</v>
      </c>
      <c r="V145" s="79">
        <f t="shared" si="31"/>
        <v>-0.42402423773953513</v>
      </c>
      <c r="W145" s="79">
        <f t="shared" si="31"/>
        <v>0</v>
      </c>
      <c r="X145" s="79">
        <f t="shared" si="31"/>
        <v>-40.501799980031819</v>
      </c>
      <c r="Y145" s="79">
        <f t="shared" si="31"/>
        <v>0</v>
      </c>
      <c r="AQ145" s="3"/>
    </row>
    <row r="146" spans="3:43" x14ac:dyDescent="0.25">
      <c r="C146" s="27"/>
      <c r="F146" t="s">
        <v>195</v>
      </c>
      <c r="G146" t="s">
        <v>172</v>
      </c>
      <c r="J146" s="79">
        <f t="shared" ref="J146:Y146" si="32">J86 + J109 + J132</f>
        <v>580.93002990786567</v>
      </c>
      <c r="K146" s="79">
        <f t="shared" si="32"/>
        <v>0.29642943199824112</v>
      </c>
      <c r="L146" s="79">
        <f t="shared" si="32"/>
        <v>184.27281598376248</v>
      </c>
      <c r="M146" s="79">
        <f t="shared" si="32"/>
        <v>0.11271679345819538</v>
      </c>
      <c r="N146" s="79">
        <f t="shared" si="32"/>
        <v>166.45552838897348</v>
      </c>
      <c r="O146" s="79">
        <f t="shared" si="32"/>
        <v>11.27595325697837</v>
      </c>
      <c r="P146" s="79">
        <f t="shared" si="32"/>
        <v>296.60451432703167</v>
      </c>
      <c r="Q146" s="79">
        <f t="shared" si="32"/>
        <v>12.129803838676249</v>
      </c>
      <c r="R146" s="79">
        <f t="shared" si="32"/>
        <v>-0.17517871259934692</v>
      </c>
      <c r="S146" s="79">
        <f t="shared" si="32"/>
        <v>0</v>
      </c>
      <c r="T146" s="79">
        <f t="shared" si="32"/>
        <v>-2.0122552573614487</v>
      </c>
      <c r="U146" s="79">
        <f t="shared" si="32"/>
        <v>0</v>
      </c>
      <c r="V146" s="79">
        <f t="shared" si="32"/>
        <v>-0.42117297005060456</v>
      </c>
      <c r="W146" s="79">
        <f t="shared" si="32"/>
        <v>0</v>
      </c>
      <c r="X146" s="79">
        <f t="shared" si="32"/>
        <v>-40.229453582471564</v>
      </c>
      <c r="Y146" s="79">
        <f t="shared" si="32"/>
        <v>0</v>
      </c>
      <c r="AQ146" s="3"/>
    </row>
    <row r="147" spans="3:43" x14ac:dyDescent="0.25">
      <c r="C147" s="27"/>
      <c r="F147" t="s">
        <v>196</v>
      </c>
      <c r="G147" t="s">
        <v>172</v>
      </c>
      <c r="H147" s="53"/>
      <c r="J147" s="79">
        <f t="shared" ref="J147:Y147" si="33">J87 + J110 + J133</f>
        <v>1301.4165531903816</v>
      </c>
      <c r="K147" s="79">
        <f t="shared" si="33"/>
        <v>0.66799213588190487</v>
      </c>
      <c r="L147" s="79">
        <f t="shared" si="33"/>
        <v>423.1913468374886</v>
      </c>
      <c r="M147" s="79">
        <f t="shared" si="33"/>
        <v>0.25798436774765293</v>
      </c>
      <c r="N147" s="79">
        <f t="shared" si="33"/>
        <v>380.90433739484854</v>
      </c>
      <c r="O147" s="79">
        <f t="shared" si="33"/>
        <v>25.776840413765534</v>
      </c>
      <c r="P147" s="79">
        <f t="shared" si="33"/>
        <v>676.87564514225073</v>
      </c>
      <c r="Q147" s="79">
        <f t="shared" si="33"/>
        <v>25.820855032913887</v>
      </c>
      <c r="R147" s="79">
        <f t="shared" si="33"/>
        <v>-0.40789476194981478</v>
      </c>
      <c r="S147" s="79">
        <f t="shared" si="33"/>
        <v>0</v>
      </c>
      <c r="T147" s="79">
        <f t="shared" si="33"/>
        <v>-4.6516359373234835</v>
      </c>
      <c r="U147" s="79">
        <f t="shared" si="33"/>
        <v>0</v>
      </c>
      <c r="V147" s="79">
        <f t="shared" si="33"/>
        <v>-0.95960232188224737</v>
      </c>
      <c r="W147" s="79">
        <f t="shared" si="33"/>
        <v>0</v>
      </c>
      <c r="X147" s="79">
        <f t="shared" si="33"/>
        <v>-90.962720796711778</v>
      </c>
      <c r="Y147" s="79">
        <f t="shared" si="33"/>
        <v>0</v>
      </c>
      <c r="AQ147" s="3"/>
    </row>
    <row r="148" spans="3:43" x14ac:dyDescent="0.25">
      <c r="C148" s="27"/>
      <c r="F148" t="s">
        <v>197</v>
      </c>
      <c r="G148" t="s">
        <v>172</v>
      </c>
      <c r="J148" s="79">
        <f t="shared" ref="J148:Y148" si="34">J88 + J111 + J134</f>
        <v>1866.3003008043083</v>
      </c>
      <c r="K148" s="79">
        <f t="shared" si="34"/>
        <v>0.95231148266394183</v>
      </c>
      <c r="L148" s="79">
        <f t="shared" si="34"/>
        <v>591.99627183173186</v>
      </c>
      <c r="M148" s="79">
        <f t="shared" si="34"/>
        <v>0.36211484121433768</v>
      </c>
      <c r="N148" s="79">
        <f>N88 + N111 + N134</f>
        <v>534.75631609567642</v>
      </c>
      <c r="O148" s="79">
        <f t="shared" si="34"/>
        <v>36.225214521431511</v>
      </c>
      <c r="P148" s="79">
        <f t="shared" si="34"/>
        <v>952.873953505636</v>
      </c>
      <c r="Q148" s="79">
        <f t="shared" si="34"/>
        <v>38.968301494775645</v>
      </c>
      <c r="R148" s="79">
        <f t="shared" si="34"/>
        <v>-0.56278048506207212</v>
      </c>
      <c r="S148" s="79">
        <f t="shared" si="34"/>
        <v>0</v>
      </c>
      <c r="T148" s="79">
        <f t="shared" si="34"/>
        <v>-6.4645867811383981</v>
      </c>
      <c r="U148" s="79">
        <f t="shared" si="34"/>
        <v>0</v>
      </c>
      <c r="V148" s="79">
        <f t="shared" si="34"/>
        <v>-1.3530635364481867</v>
      </c>
      <c r="W148" s="79">
        <f t="shared" si="34"/>
        <v>0</v>
      </c>
      <c r="X148" s="79">
        <f t="shared" si="34"/>
        <v>0</v>
      </c>
      <c r="Y148" s="79">
        <f t="shared" si="34"/>
        <v>0</v>
      </c>
      <c r="AQ148" s="3"/>
    </row>
    <row r="149" spans="3:43" x14ac:dyDescent="0.25">
      <c r="C149" s="27"/>
      <c r="F149" t="s">
        <v>198</v>
      </c>
      <c r="G149" t="s">
        <v>172</v>
      </c>
      <c r="J149" s="79">
        <f t="shared" ref="J149:Y149" si="35">J89 + J112 + J135</f>
        <v>1836.6764865058276</v>
      </c>
      <c r="K149" s="79">
        <f t="shared" si="35"/>
        <v>0.93719542738356187</v>
      </c>
      <c r="L149" s="79">
        <f t="shared" si="35"/>
        <v>582.59950561218056</v>
      </c>
      <c r="M149" s="79">
        <f t="shared" si="35"/>
        <v>0.35636698659188792</v>
      </c>
      <c r="N149" s="79">
        <f t="shared" si="35"/>
        <v>526.2681206020942</v>
      </c>
      <c r="O149" s="79">
        <f t="shared" si="35"/>
        <v>35.650211116329423</v>
      </c>
      <c r="P149" s="79">
        <f t="shared" si="35"/>
        <v>0</v>
      </c>
      <c r="Q149" s="79">
        <f t="shared" si="35"/>
        <v>38.349757026604607</v>
      </c>
      <c r="R149" s="79">
        <f t="shared" si="35"/>
        <v>-0.55384746148965835</v>
      </c>
      <c r="S149" s="79">
        <f t="shared" si="35"/>
        <v>0</v>
      </c>
      <c r="T149" s="79">
        <f t="shared" si="35"/>
        <v>-6.3619742925488998</v>
      </c>
      <c r="U149" s="79">
        <f t="shared" si="35"/>
        <v>0</v>
      </c>
      <c r="V149" s="79">
        <f t="shared" si="35"/>
        <v>0</v>
      </c>
      <c r="W149" s="79">
        <f t="shared" si="35"/>
        <v>0</v>
      </c>
      <c r="X149" s="79">
        <f t="shared" si="35"/>
        <v>0</v>
      </c>
      <c r="Y149" s="79">
        <f t="shared" si="35"/>
        <v>0</v>
      </c>
      <c r="AQ149" s="3"/>
    </row>
    <row r="150" spans="3:43" x14ac:dyDescent="0.25">
      <c r="C150" s="27"/>
      <c r="F150" s="28" t="s">
        <v>199</v>
      </c>
      <c r="G150" s="28" t="s">
        <v>172</v>
      </c>
      <c r="H150" s="28"/>
      <c r="I150" s="28"/>
      <c r="J150" s="72">
        <f t="shared" ref="J150:Y150" si="36">J90 + J113 + J136</f>
        <v>1799.7077008671008</v>
      </c>
      <c r="K150" s="72">
        <f t="shared" si="36"/>
        <v>0.918331475505759</v>
      </c>
      <c r="L150" s="72">
        <f t="shared" si="36"/>
        <v>570.87289159253919</v>
      </c>
      <c r="M150" s="72">
        <f t="shared" si="36"/>
        <v>0.34919400058546379</v>
      </c>
      <c r="N150" s="72">
        <f t="shared" si="36"/>
        <v>515.67534964761478</v>
      </c>
      <c r="O150" s="72">
        <f t="shared" si="36"/>
        <v>0</v>
      </c>
      <c r="P150" s="72">
        <f t="shared" si="36"/>
        <v>0</v>
      </c>
      <c r="Q150" s="72">
        <f t="shared" si="36"/>
        <v>37.57784974885044</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191</v>
      </c>
      <c r="G154" s="19" t="s">
        <v>519</v>
      </c>
      <c r="H154" s="91">
        <f t="shared" ref="H154:H162" si="37">SUM(J142:Y142) * thousand</f>
        <v>4183011.4830936226</v>
      </c>
      <c r="J154" s="53"/>
      <c r="K154" s="53"/>
      <c r="L154" s="53"/>
      <c r="M154" s="53"/>
      <c r="N154" s="53"/>
      <c r="O154" s="53"/>
      <c r="P154" s="53"/>
      <c r="Q154" s="53"/>
      <c r="R154" s="53"/>
      <c r="S154" s="53"/>
      <c r="T154" s="53"/>
      <c r="U154" s="53"/>
      <c r="V154" s="53"/>
      <c r="W154" s="53"/>
      <c r="X154" s="53"/>
      <c r="Y154" s="53"/>
      <c r="AQ154" s="3"/>
    </row>
    <row r="155" spans="3:43" x14ac:dyDescent="0.25">
      <c r="C155" s="27"/>
      <c r="F155" t="s">
        <v>192</v>
      </c>
      <c r="G155" t="s">
        <v>519</v>
      </c>
      <c r="H155" s="111">
        <f t="shared" si="37"/>
        <v>4086792.7799635394</v>
      </c>
      <c r="J155" s="53"/>
      <c r="K155" s="53"/>
      <c r="L155" s="53"/>
      <c r="M155" s="53"/>
      <c r="N155" s="53"/>
      <c r="O155" s="53"/>
      <c r="P155" s="53"/>
      <c r="Q155" s="53"/>
      <c r="R155" s="53"/>
      <c r="S155" s="53"/>
      <c r="T155" s="53"/>
      <c r="U155" s="53"/>
      <c r="V155" s="53"/>
      <c r="W155" s="53"/>
      <c r="X155" s="53"/>
      <c r="Y155" s="53"/>
      <c r="AQ155" s="3"/>
    </row>
    <row r="156" spans="3:43" x14ac:dyDescent="0.25">
      <c r="C156" s="27"/>
      <c r="F156" t="s">
        <v>193</v>
      </c>
      <c r="G156" t="s">
        <v>519</v>
      </c>
      <c r="H156" s="111">
        <f t="shared" si="37"/>
        <v>1251449.5657737686</v>
      </c>
      <c r="J156" s="53"/>
      <c r="K156" s="53"/>
      <c r="L156" s="53"/>
      <c r="M156" s="53"/>
      <c r="N156" s="53"/>
      <c r="O156" s="53"/>
      <c r="P156" s="53"/>
      <c r="Q156" s="53"/>
      <c r="R156" s="53"/>
      <c r="S156" s="53"/>
      <c r="T156" s="53"/>
      <c r="U156" s="53"/>
      <c r="V156" s="53"/>
      <c r="W156" s="53"/>
      <c r="X156" s="53"/>
      <c r="Y156" s="53"/>
      <c r="AQ156" s="3"/>
    </row>
    <row r="157" spans="3:43" x14ac:dyDescent="0.25">
      <c r="C157" s="27"/>
      <c r="F157" t="s">
        <v>194</v>
      </c>
      <c r="G157" t="s">
        <v>519</v>
      </c>
      <c r="H157" s="111">
        <f t="shared" si="37"/>
        <v>1217426.0738819323</v>
      </c>
      <c r="J157" s="53"/>
      <c r="K157" s="53"/>
      <c r="L157" s="53"/>
      <c r="M157" s="53"/>
      <c r="N157" s="53"/>
      <c r="O157" s="53"/>
      <c r="P157" s="53"/>
      <c r="Q157" s="53"/>
      <c r="R157" s="53"/>
      <c r="S157" s="53"/>
      <c r="T157" s="53"/>
      <c r="U157" s="53"/>
      <c r="V157" s="53"/>
      <c r="W157" s="53"/>
      <c r="X157" s="53"/>
      <c r="Y157" s="53"/>
      <c r="AQ157" s="3"/>
    </row>
    <row r="158" spans="3:43" x14ac:dyDescent="0.25">
      <c r="C158" s="27"/>
      <c r="F158" t="s">
        <v>195</v>
      </c>
      <c r="G158" t="s">
        <v>519</v>
      </c>
      <c r="H158" s="111">
        <f t="shared" si="37"/>
        <v>1209239.7314062617</v>
      </c>
      <c r="J158" s="53"/>
      <c r="K158" s="53"/>
      <c r="L158" s="53"/>
      <c r="M158" s="53"/>
      <c r="N158" s="53"/>
      <c r="O158" s="53"/>
      <c r="P158" s="53"/>
      <c r="Q158" s="53"/>
      <c r="R158" s="53"/>
      <c r="S158" s="53"/>
      <c r="T158" s="53"/>
      <c r="U158" s="53"/>
      <c r="V158" s="53"/>
      <c r="W158" s="53"/>
      <c r="X158" s="53"/>
      <c r="Y158" s="53"/>
      <c r="AQ158" s="3"/>
    </row>
    <row r="159" spans="3:43" x14ac:dyDescent="0.25">
      <c r="C159" s="27"/>
      <c r="F159" t="s">
        <v>196</v>
      </c>
      <c r="G159" t="s">
        <v>519</v>
      </c>
      <c r="H159" s="111">
        <f t="shared" si="37"/>
        <v>2737929.7006974113</v>
      </c>
      <c r="J159" s="53"/>
      <c r="K159" s="53"/>
      <c r="L159" s="53"/>
      <c r="M159" s="53"/>
      <c r="N159" s="53"/>
      <c r="O159" s="53"/>
      <c r="P159" s="53"/>
      <c r="Q159" s="53"/>
      <c r="R159" s="53"/>
      <c r="S159" s="53"/>
      <c r="T159" s="53"/>
      <c r="U159" s="53"/>
      <c r="V159" s="53"/>
      <c r="W159" s="53"/>
      <c r="X159" s="53"/>
      <c r="Y159" s="53"/>
      <c r="AQ159" s="3"/>
    </row>
    <row r="160" spans="3:43" x14ac:dyDescent="0.25">
      <c r="C160" s="27"/>
      <c r="F160" t="s">
        <v>197</v>
      </c>
      <c r="G160" t="s">
        <v>519</v>
      </c>
      <c r="H160" s="111">
        <f t="shared" si="37"/>
        <v>4014054.3537747897</v>
      </c>
      <c r="J160" s="53"/>
      <c r="K160" s="53"/>
      <c r="L160" s="53"/>
      <c r="M160" s="53"/>
      <c r="N160" s="53"/>
      <c r="O160" s="53"/>
      <c r="P160" s="53"/>
      <c r="Q160" s="53"/>
      <c r="R160" s="53"/>
      <c r="S160" s="53"/>
      <c r="T160" s="53"/>
      <c r="U160" s="53"/>
      <c r="V160" s="53"/>
      <c r="W160" s="53"/>
      <c r="X160" s="53"/>
      <c r="Y160" s="53"/>
      <c r="AQ160" s="3"/>
    </row>
    <row r="161" spans="3:43" x14ac:dyDescent="0.25">
      <c r="C161" s="27"/>
      <c r="F161" t="s">
        <v>198</v>
      </c>
      <c r="G161" t="s">
        <v>519</v>
      </c>
      <c r="H161" s="111">
        <f t="shared" si="37"/>
        <v>3013921.8215229735</v>
      </c>
      <c r="J161" s="53"/>
      <c r="K161" s="53"/>
      <c r="L161" s="53"/>
      <c r="M161" s="53"/>
      <c r="N161" s="53"/>
      <c r="O161" s="53"/>
      <c r="P161" s="53"/>
      <c r="Q161" s="53"/>
      <c r="R161" s="53"/>
      <c r="S161" s="53"/>
      <c r="T161" s="53"/>
      <c r="U161" s="53"/>
      <c r="V161" s="53"/>
      <c r="W161" s="53"/>
      <c r="X161" s="53"/>
      <c r="Y161" s="53"/>
      <c r="AQ161" s="3"/>
    </row>
    <row r="162" spans="3:43" x14ac:dyDescent="0.25">
      <c r="C162" s="27"/>
      <c r="F162" s="28" t="s">
        <v>199</v>
      </c>
      <c r="G162" s="28" t="s">
        <v>519</v>
      </c>
      <c r="H162" s="121">
        <f t="shared" si="37"/>
        <v>2925101.3173321965</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control'!$H$36:$H$59,MATCH($A$1,'Version control'!$F$36:$F$59,0),1)&amp;"-D: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191</v>
      </c>
      <c r="G168" s="19" t="s">
        <v>172</v>
      </c>
      <c r="H168" s="119"/>
      <c r="I168" s="19"/>
      <c r="J168" s="148">
        <f t="shared" ref="J168:Y168" si="38">J142 * (1 - J23)</f>
        <v>2074.7178472299452</v>
      </c>
      <c r="K168" s="148">
        <f t="shared" si="38"/>
        <v>0.49568518000440476</v>
      </c>
      <c r="L168" s="148">
        <f t="shared" si="38"/>
        <v>627.14824757748045</v>
      </c>
      <c r="M168" s="148">
        <f t="shared" si="38"/>
        <v>0.29230620950879255</v>
      </c>
      <c r="N168" s="148">
        <f t="shared" si="38"/>
        <v>550.75899657965738</v>
      </c>
      <c r="O168" s="148">
        <f t="shared" si="38"/>
        <v>38.576419450004643</v>
      </c>
      <c r="P168" s="148">
        <f t="shared" si="38"/>
        <v>1001.0103413412476</v>
      </c>
      <c r="Q168" s="148">
        <f t="shared" si="38"/>
        <v>45.829087663718013</v>
      </c>
      <c r="R168" s="148">
        <f t="shared" si="38"/>
        <v>-0.60296693763915599</v>
      </c>
      <c r="S168" s="148">
        <f t="shared" si="38"/>
        <v>0</v>
      </c>
      <c r="T168" s="148">
        <f t="shared" si="38"/>
        <v>-6.7848980339203475</v>
      </c>
      <c r="U168" s="148">
        <f t="shared" si="38"/>
        <v>0</v>
      </c>
      <c r="V168" s="148">
        <f t="shared" si="38"/>
        <v>-1.4125859864968131</v>
      </c>
      <c r="W168" s="148">
        <f t="shared" si="38"/>
        <v>0</v>
      </c>
      <c r="X168" s="148">
        <f t="shared" si="38"/>
        <v>-147.01699717988657</v>
      </c>
      <c r="Y168" s="148">
        <f t="shared" si="38"/>
        <v>0</v>
      </c>
      <c r="AQ168" s="3"/>
    </row>
    <row r="169" spans="3:43" x14ac:dyDescent="0.25">
      <c r="C169" s="27"/>
      <c r="F169" t="s">
        <v>192</v>
      </c>
      <c r="G169" t="s">
        <v>172</v>
      </c>
      <c r="H169" s="53"/>
      <c r="J169" s="79">
        <f t="shared" ref="J169:Y169" si="39">J143 * (1 - J24)</f>
        <v>1942.5698811582772</v>
      </c>
      <c r="K169" s="79">
        <f t="shared" si="39"/>
        <v>0.99708383210102725</v>
      </c>
      <c r="L169" s="79">
        <f t="shared" si="39"/>
        <v>631.679966201453</v>
      </c>
      <c r="M169" s="79">
        <f t="shared" si="39"/>
        <v>0.38508244064338321</v>
      </c>
      <c r="N169" s="79">
        <f t="shared" si="39"/>
        <v>568.55992158072695</v>
      </c>
      <c r="O169" s="79">
        <f t="shared" si="39"/>
        <v>38.47600808246311</v>
      </c>
      <c r="P169" s="79">
        <f t="shared" si="39"/>
        <v>870.39798551760146</v>
      </c>
      <c r="Q169" s="79">
        <f t="shared" si="39"/>
        <v>38.541706857600587</v>
      </c>
      <c r="R169" s="79">
        <f t="shared" si="39"/>
        <v>-0.60884739578844294</v>
      </c>
      <c r="S169" s="79">
        <f t="shared" si="39"/>
        <v>0</v>
      </c>
      <c r="T169" s="79">
        <f t="shared" si="39"/>
        <v>-6.9433017797462853</v>
      </c>
      <c r="U169" s="79">
        <f t="shared" si="39"/>
        <v>0</v>
      </c>
      <c r="V169" s="79">
        <f t="shared" si="39"/>
        <v>-1.4323581207018117</v>
      </c>
      <c r="W169" s="79">
        <f t="shared" si="39"/>
        <v>0</v>
      </c>
      <c r="X169" s="79">
        <f t="shared" si="39"/>
        <v>-135.77623651299345</v>
      </c>
      <c r="Y169" s="79">
        <f t="shared" si="39"/>
        <v>0</v>
      </c>
      <c r="AQ169" s="3"/>
    </row>
    <row r="170" spans="3:43" x14ac:dyDescent="0.25">
      <c r="C170" s="27"/>
      <c r="F170" t="s">
        <v>193</v>
      </c>
      <c r="G170" t="s">
        <v>172</v>
      </c>
      <c r="H170" s="53"/>
      <c r="J170" s="79">
        <f t="shared" ref="J170:Y170" si="40">J144 * (1 - J25)</f>
        <v>594.849889668841</v>
      </c>
      <c r="K170" s="79">
        <f t="shared" si="40"/>
        <v>0.30532503014111911</v>
      </c>
      <c r="L170" s="79">
        <f t="shared" si="40"/>
        <v>193.43178427995795</v>
      </c>
      <c r="M170" s="79">
        <f t="shared" si="40"/>
        <v>0.11791917992342255</v>
      </c>
      <c r="N170" s="79">
        <f t="shared" si="40"/>
        <v>174.10328961795722</v>
      </c>
      <c r="O170" s="79">
        <f t="shared" si="40"/>
        <v>11.782046754016246</v>
      </c>
      <c r="P170" s="79">
        <f t="shared" si="40"/>
        <v>309.38549371093791</v>
      </c>
      <c r="Q170" s="79">
        <f t="shared" si="40"/>
        <v>11.802164902413876</v>
      </c>
      <c r="R170" s="79">
        <f t="shared" si="40"/>
        <v>-0.18644003992997521</v>
      </c>
      <c r="S170" s="79">
        <f t="shared" si="40"/>
        <v>0</v>
      </c>
      <c r="T170" s="79">
        <f t="shared" si="40"/>
        <v>-2.1261640766080738</v>
      </c>
      <c r="U170" s="79">
        <f t="shared" si="40"/>
        <v>0</v>
      </c>
      <c r="V170" s="79">
        <f t="shared" si="40"/>
        <v>-0.43861385802898606</v>
      </c>
      <c r="W170" s="79">
        <f t="shared" si="40"/>
        <v>0</v>
      </c>
      <c r="X170" s="79">
        <f t="shared" si="40"/>
        <v>-41.577129395853063</v>
      </c>
      <c r="Y170" s="79">
        <f t="shared" si="40"/>
        <v>0</v>
      </c>
      <c r="AQ170" s="3"/>
    </row>
    <row r="171" spans="3:43" x14ac:dyDescent="0.25">
      <c r="C171" s="27"/>
      <c r="F171" t="s">
        <v>194</v>
      </c>
      <c r="G171" t="s">
        <v>172</v>
      </c>
      <c r="H171" s="53"/>
      <c r="J171" s="79">
        <f t="shared" ref="J171:Y171" si="41">J145 * (1 - J26)</f>
        <v>584.86282508132308</v>
      </c>
      <c r="K171" s="79">
        <f t="shared" si="41"/>
        <v>0.29843620765006668</v>
      </c>
      <c r="L171" s="79">
        <f t="shared" si="41"/>
        <v>185.52031086953261</v>
      </c>
      <c r="M171" s="79">
        <f t="shared" si="41"/>
        <v>0.11347986652802843</v>
      </c>
      <c r="N171" s="79">
        <f t="shared" si="41"/>
        <v>167.58240333938238</v>
      </c>
      <c r="O171" s="79">
        <f t="shared" si="41"/>
        <v>11.35228949759621</v>
      </c>
      <c r="P171" s="79">
        <f t="shared" si="41"/>
        <v>238.88998020459576</v>
      </c>
      <c r="Q171" s="79">
        <f t="shared" si="41"/>
        <v>12.21192049909282</v>
      </c>
      <c r="R171" s="79">
        <f t="shared" si="41"/>
        <v>-0.17636464198831733</v>
      </c>
      <c r="S171" s="79">
        <f t="shared" si="41"/>
        <v>0</v>
      </c>
      <c r="T171" s="79">
        <f t="shared" si="41"/>
        <v>-2.025877875157899</v>
      </c>
      <c r="U171" s="79">
        <f t="shared" si="41"/>
        <v>0</v>
      </c>
      <c r="V171" s="79">
        <f t="shared" si="41"/>
        <v>-0.42402423773953513</v>
      </c>
      <c r="W171" s="79">
        <f t="shared" si="41"/>
        <v>0</v>
      </c>
      <c r="X171" s="79">
        <f t="shared" si="41"/>
        <v>-40.501799980031819</v>
      </c>
      <c r="Y171" s="79">
        <f t="shared" si="41"/>
        <v>0</v>
      </c>
      <c r="AQ171" s="3"/>
    </row>
    <row r="172" spans="3:43" x14ac:dyDescent="0.25">
      <c r="C172" s="27"/>
      <c r="F172" t="s">
        <v>195</v>
      </c>
      <c r="G172" t="s">
        <v>172</v>
      </c>
      <c r="H172" s="53"/>
      <c r="J172" s="79">
        <f t="shared" ref="J172:Y172" si="42">J146 * (1 - J27)</f>
        <v>580.93002990786567</v>
      </c>
      <c r="K172" s="79">
        <f t="shared" si="42"/>
        <v>0.29642943199824112</v>
      </c>
      <c r="L172" s="79">
        <f t="shared" si="42"/>
        <v>184.27281598376248</v>
      </c>
      <c r="M172" s="79">
        <f t="shared" si="42"/>
        <v>0.11271679345819538</v>
      </c>
      <c r="N172" s="79">
        <f t="shared" si="42"/>
        <v>166.45552838897348</v>
      </c>
      <c r="O172" s="79">
        <f t="shared" si="42"/>
        <v>11.27595325697837</v>
      </c>
      <c r="P172" s="79">
        <f t="shared" si="42"/>
        <v>0</v>
      </c>
      <c r="Q172" s="79">
        <f t="shared" si="42"/>
        <v>12.129803838676249</v>
      </c>
      <c r="R172" s="79">
        <f t="shared" si="42"/>
        <v>-0.17517871259934692</v>
      </c>
      <c r="S172" s="79">
        <f t="shared" si="42"/>
        <v>0</v>
      </c>
      <c r="T172" s="79">
        <f t="shared" si="42"/>
        <v>-2.0122552573614487</v>
      </c>
      <c r="U172" s="79">
        <f t="shared" si="42"/>
        <v>0</v>
      </c>
      <c r="V172" s="79">
        <f t="shared" si="42"/>
        <v>-0.42117297005060456</v>
      </c>
      <c r="W172" s="79">
        <f t="shared" si="42"/>
        <v>0</v>
      </c>
      <c r="X172" s="79">
        <f t="shared" si="42"/>
        <v>-40.229453582471564</v>
      </c>
      <c r="Y172" s="79">
        <f t="shared" si="42"/>
        <v>0</v>
      </c>
      <c r="AQ172" s="3"/>
    </row>
    <row r="173" spans="3:43" x14ac:dyDescent="0.25">
      <c r="C173" s="27"/>
      <c r="F173" t="s">
        <v>196</v>
      </c>
      <c r="G173" t="s">
        <v>172</v>
      </c>
      <c r="H173" s="53"/>
      <c r="J173" s="79">
        <f t="shared" ref="J173:Y173" si="43">J147 * (1 - J28)</f>
        <v>1301.4165531903816</v>
      </c>
      <c r="K173" s="79">
        <f t="shared" si="43"/>
        <v>0.66799213588190487</v>
      </c>
      <c r="L173" s="79">
        <f t="shared" si="43"/>
        <v>423.1913468374886</v>
      </c>
      <c r="M173" s="79">
        <f t="shared" si="43"/>
        <v>0.25798436774765293</v>
      </c>
      <c r="N173" s="79">
        <f t="shared" si="43"/>
        <v>380.90433739484854</v>
      </c>
      <c r="O173" s="79">
        <f t="shared" si="43"/>
        <v>25.776840413765534</v>
      </c>
      <c r="P173" s="79">
        <f t="shared" si="43"/>
        <v>0</v>
      </c>
      <c r="Q173" s="79">
        <f t="shared" si="43"/>
        <v>25.820855032913887</v>
      </c>
      <c r="R173" s="79">
        <f t="shared" si="43"/>
        <v>-0.40789476194981478</v>
      </c>
      <c r="S173" s="79">
        <f t="shared" si="43"/>
        <v>0</v>
      </c>
      <c r="T173" s="79">
        <f t="shared" si="43"/>
        <v>-4.6516359373234835</v>
      </c>
      <c r="U173" s="79">
        <f t="shared" si="43"/>
        <v>0</v>
      </c>
      <c r="V173" s="79">
        <f t="shared" si="43"/>
        <v>-0.95960232188224737</v>
      </c>
      <c r="W173" s="79">
        <f t="shared" si="43"/>
        <v>0</v>
      </c>
      <c r="X173" s="79">
        <f t="shared" si="43"/>
        <v>-90.962720796711778</v>
      </c>
      <c r="Y173" s="79">
        <f t="shared" si="43"/>
        <v>0</v>
      </c>
      <c r="AQ173" s="3"/>
    </row>
    <row r="174" spans="3:43" x14ac:dyDescent="0.25">
      <c r="C174" s="27"/>
      <c r="F174" t="s">
        <v>197</v>
      </c>
      <c r="G174" t="s">
        <v>172</v>
      </c>
      <c r="H174" s="53"/>
      <c r="J174" s="79">
        <f t="shared" ref="J174:Y174" si="44">J148 * (1 - J29)</f>
        <v>1866.3003008043083</v>
      </c>
      <c r="K174" s="79">
        <f t="shared" si="44"/>
        <v>0.95231148266394183</v>
      </c>
      <c r="L174" s="79">
        <f t="shared" si="44"/>
        <v>591.99627183173186</v>
      </c>
      <c r="M174" s="79">
        <f t="shared" si="44"/>
        <v>0.36211484121433768</v>
      </c>
      <c r="N174" s="79">
        <f t="shared" si="44"/>
        <v>427.80505287654114</v>
      </c>
      <c r="O174" s="79">
        <f t="shared" si="44"/>
        <v>0</v>
      </c>
      <c r="P174" s="79">
        <f t="shared" si="44"/>
        <v>0</v>
      </c>
      <c r="Q174" s="79">
        <f t="shared" si="44"/>
        <v>38.968301494775645</v>
      </c>
      <c r="R174" s="79">
        <f t="shared" si="44"/>
        <v>-0.56278048506207212</v>
      </c>
      <c r="S174" s="79">
        <f t="shared" si="44"/>
        <v>0</v>
      </c>
      <c r="T174" s="79">
        <f t="shared" si="44"/>
        <v>-6.4645867811383981</v>
      </c>
      <c r="U174" s="79">
        <f t="shared" si="44"/>
        <v>0</v>
      </c>
      <c r="V174" s="79">
        <f t="shared" si="44"/>
        <v>-1.3530635364481867</v>
      </c>
      <c r="W174" s="79">
        <f t="shared" si="44"/>
        <v>0</v>
      </c>
      <c r="X174" s="79">
        <f t="shared" si="44"/>
        <v>0</v>
      </c>
      <c r="Y174" s="79">
        <f t="shared" si="44"/>
        <v>0</v>
      </c>
      <c r="AQ174" s="3"/>
    </row>
    <row r="175" spans="3:43" x14ac:dyDescent="0.25">
      <c r="C175" s="27"/>
      <c r="F175" t="s">
        <v>198</v>
      </c>
      <c r="G175" t="s">
        <v>172</v>
      </c>
      <c r="H175" s="53"/>
      <c r="J175" s="79">
        <f t="shared" ref="J175:Y175" si="45">J149 * (1 - J30)</f>
        <v>1836.6764865058276</v>
      </c>
      <c r="K175" s="79">
        <f t="shared" si="45"/>
        <v>0.93719542738356187</v>
      </c>
      <c r="L175" s="79">
        <f t="shared" si="45"/>
        <v>582.59950561218056</v>
      </c>
      <c r="M175" s="79">
        <f t="shared" si="45"/>
        <v>0.35636698659188792</v>
      </c>
      <c r="N175" s="79">
        <f t="shared" si="45"/>
        <v>0</v>
      </c>
      <c r="O175" s="79">
        <f t="shared" si="45"/>
        <v>0</v>
      </c>
      <c r="P175" s="79">
        <f t="shared" si="45"/>
        <v>0</v>
      </c>
      <c r="Q175" s="79">
        <f t="shared" si="45"/>
        <v>38.349757026604607</v>
      </c>
      <c r="R175" s="79">
        <f t="shared" si="45"/>
        <v>-0.55384746148965835</v>
      </c>
      <c r="S175" s="79">
        <f t="shared" si="45"/>
        <v>0</v>
      </c>
      <c r="T175" s="79">
        <f t="shared" si="45"/>
        <v>-6.3619742925488998</v>
      </c>
      <c r="U175" s="79">
        <f t="shared" si="45"/>
        <v>0</v>
      </c>
      <c r="V175" s="79">
        <f t="shared" si="45"/>
        <v>0</v>
      </c>
      <c r="W175" s="79">
        <f t="shared" si="45"/>
        <v>0</v>
      </c>
      <c r="X175" s="79">
        <f t="shared" si="45"/>
        <v>0</v>
      </c>
      <c r="Y175" s="79">
        <f t="shared" si="45"/>
        <v>0</v>
      </c>
      <c r="AQ175" s="3"/>
    </row>
    <row r="176" spans="3:43" x14ac:dyDescent="0.2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37.57784974885044</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100</v>
      </c>
      <c r="G177" s="98" t="s">
        <v>172</v>
      </c>
      <c r="H177" s="158"/>
      <c r="I177" s="98"/>
      <c r="J177" s="157">
        <f t="shared" ref="J177:Y177" si="47">SUM(J168:J176)</f>
        <v>10782.323813546769</v>
      </c>
      <c r="K177" s="157">
        <f t="shared" si="47"/>
        <v>4.9504587278242678</v>
      </c>
      <c r="L177" s="157">
        <f t="shared" si="47"/>
        <v>3419.8402491935876</v>
      </c>
      <c r="M177" s="157">
        <f t="shared" si="47"/>
        <v>1.9979706856157005</v>
      </c>
      <c r="N177" s="157">
        <f t="shared" si="47"/>
        <v>2436.1695297780871</v>
      </c>
      <c r="O177" s="157">
        <f t="shared" si="47"/>
        <v>137.23955745482414</v>
      </c>
      <c r="P177" s="157">
        <f t="shared" si="47"/>
        <v>2419.6838007743827</v>
      </c>
      <c r="Q177" s="157">
        <f t="shared" si="47"/>
        <v>261.23144706464615</v>
      </c>
      <c r="R177" s="157">
        <f t="shared" si="47"/>
        <v>-3.2743204364467839</v>
      </c>
      <c r="S177" s="157">
        <f t="shared" si="47"/>
        <v>0</v>
      </c>
      <c r="T177" s="157">
        <f t="shared" si="47"/>
        <v>-37.370694033804831</v>
      </c>
      <c r="U177" s="157">
        <f t="shared" si="47"/>
        <v>0</v>
      </c>
      <c r="V177" s="157">
        <f t="shared" si="47"/>
        <v>-6.4414210313481854</v>
      </c>
      <c r="W177" s="157">
        <f t="shared" si="47"/>
        <v>0</v>
      </c>
      <c r="X177" s="157">
        <f t="shared" si="47"/>
        <v>-496.06433744794822</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control'!$H$36:$H$59,MATCH($A$1,'Version control'!$F$36:$F$59,0),1)&amp;"-E: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250</v>
      </c>
      <c r="G188" t="s">
        <v>251</v>
      </c>
      <c r="J188" s="110">
        <f>'Volume adjustments'!J286</f>
        <v>0</v>
      </c>
      <c r="K188" s="110">
        <f>'Volume adjustments'!K286</f>
        <v>0</v>
      </c>
      <c r="L188" s="110">
        <f>'Volume adjustments'!L286</f>
        <v>0</v>
      </c>
      <c r="M188" s="110">
        <f>'Volume adjustments'!M286</f>
        <v>0</v>
      </c>
      <c r="N188" s="110">
        <f>'Volume adjustments'!N286</f>
        <v>1688251.2092555952</v>
      </c>
      <c r="O188" s="110">
        <f>'Volume adjustments'!O286</f>
        <v>140433.83894675761</v>
      </c>
      <c r="P188" s="110">
        <f>'Volume adjustments'!P286</f>
        <v>2945775.2885720842</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252</v>
      </c>
      <c r="G189" t="s">
        <v>251</v>
      </c>
      <c r="J189" s="110">
        <f>'Volume adjustments'!J297</f>
        <v>0</v>
      </c>
      <c r="K189" s="110">
        <f>'Volume adjustments'!K297</f>
        <v>0</v>
      </c>
      <c r="L189" s="110">
        <f>'Volume adjustments'!L297</f>
        <v>0</v>
      </c>
      <c r="M189" s="110">
        <f>'Volume adjustments'!M297</f>
        <v>0</v>
      </c>
      <c r="N189" s="110">
        <f>'Volume adjustments'!N297</f>
        <v>27110.80719498116</v>
      </c>
      <c r="O189" s="110">
        <f>'Volume adjustments'!O297</f>
        <v>674.03823773448414</v>
      </c>
      <c r="P189" s="110">
        <f>'Volume adjustments'!P297</f>
        <v>43384.754615954946</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251</v>
      </c>
      <c r="J191" s="79">
        <f t="shared" ref="J191:Y191" si="48">SUM(J188:J189)</f>
        <v>0</v>
      </c>
      <c r="K191" s="79">
        <f t="shared" si="48"/>
        <v>0</v>
      </c>
      <c r="L191" s="79">
        <f t="shared" si="48"/>
        <v>0</v>
      </c>
      <c r="M191" s="79">
        <f t="shared" si="48"/>
        <v>0</v>
      </c>
      <c r="N191" s="79">
        <f t="shared" si="48"/>
        <v>1715362.0164505765</v>
      </c>
      <c r="O191" s="79">
        <f t="shared" si="48"/>
        <v>141107.8771844921</v>
      </c>
      <c r="P191" s="79">
        <f t="shared" si="48"/>
        <v>2989160.0431880392</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172</v>
      </c>
      <c r="J192" s="79">
        <f t="shared" ref="J192:Y192" si="49">J191 * PowerFactor / thousand</f>
        <v>0</v>
      </c>
      <c r="K192" s="79">
        <f t="shared" si="49"/>
        <v>0</v>
      </c>
      <c r="L192" s="79">
        <f t="shared" si="49"/>
        <v>0</v>
      </c>
      <c r="M192" s="79">
        <f t="shared" si="49"/>
        <v>0</v>
      </c>
      <c r="N192" s="79">
        <f t="shared" si="49"/>
        <v>1629.5939156280476</v>
      </c>
      <c r="O192" s="79">
        <f t="shared" si="49"/>
        <v>134.0524833252675</v>
      </c>
      <c r="P192" s="79">
        <f t="shared" si="49"/>
        <v>2839.7020410286368</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control'!$H$36:$H$59,MATCH($A$1,'Version control'!$F$36:$F$59,0),1)&amp;"-F: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172</v>
      </c>
      <c r="H200" s="53"/>
      <c r="I200" t="s">
        <v>154</v>
      </c>
      <c r="J200" s="111">
        <f t="shared" ref="J200:Q200" si="50">IF(J61 = 0, 0, J59 / (hours_in_year * J61))</f>
        <v>2220.3885371315978</v>
      </c>
      <c r="K200" s="111">
        <f t="shared" si="50"/>
        <v>8.8310420000802416</v>
      </c>
      <c r="L200" s="111">
        <f t="shared" si="50"/>
        <v>751.72923934301343</v>
      </c>
      <c r="M200" s="111">
        <f t="shared" si="50"/>
        <v>1.7376012684441982</v>
      </c>
      <c r="N200" s="111">
        <f t="shared" si="50"/>
        <v>646.8514965964647</v>
      </c>
      <c r="O200" s="111">
        <f t="shared" si="50"/>
        <v>42.956575094852184</v>
      </c>
      <c r="P200" s="111">
        <f t="shared" si="50"/>
        <v>1221.2246184147441</v>
      </c>
      <c r="Q200" s="111">
        <f t="shared" si="50"/>
        <v>52.070192769600695</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172</v>
      </c>
      <c r="H202" s="53"/>
      <c r="I202" t="s">
        <v>154</v>
      </c>
      <c r="J202" s="79">
        <f t="shared" ref="J202:Y202" si="51">J192 * J42 / $H53</f>
        <v>0</v>
      </c>
      <c r="K202" s="79">
        <f t="shared" si="51"/>
        <v>0</v>
      </c>
      <c r="L202" s="79">
        <f t="shared" si="51"/>
        <v>0</v>
      </c>
      <c r="M202" s="79">
        <f t="shared" si="51"/>
        <v>0</v>
      </c>
      <c r="N202" s="79">
        <f t="shared" si="51"/>
        <v>1629.5939156280476</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172</v>
      </c>
      <c r="H204" s="53"/>
      <c r="J204" s="79">
        <f t="shared" ref="J204:Y204" si="52">IF(J198, J$200 * J42 / $H53, 0)</f>
        <v>2220.3885371315978</v>
      </c>
      <c r="K204" s="79">
        <f t="shared" si="52"/>
        <v>0</v>
      </c>
      <c r="L204" s="79">
        <f t="shared" si="52"/>
        <v>751.72923934301343</v>
      </c>
      <c r="M204" s="79">
        <f t="shared" si="52"/>
        <v>0</v>
      </c>
      <c r="N204" s="79">
        <f t="shared" si="52"/>
        <v>646.8514965964647</v>
      </c>
      <c r="O204" s="79">
        <f t="shared" si="52"/>
        <v>0</v>
      </c>
      <c r="P204" s="79">
        <f t="shared" si="52"/>
        <v>0</v>
      </c>
      <c r="Q204" s="79">
        <f t="shared" si="52"/>
        <v>52.070192769600695</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172</v>
      </c>
      <c r="H206" s="53"/>
      <c r="J206" s="79">
        <f t="shared" ref="J206:Y206" si="53">IF(J202 = 0, J204, J202)</f>
        <v>2220.3885371315978</v>
      </c>
      <c r="K206" s="79">
        <f t="shared" si="53"/>
        <v>0</v>
      </c>
      <c r="L206" s="79">
        <f t="shared" si="53"/>
        <v>751.72923934301343</v>
      </c>
      <c r="M206" s="79">
        <f t="shared" si="53"/>
        <v>0</v>
      </c>
      <c r="N206" s="79">
        <f t="shared" si="53"/>
        <v>1629.5939156280476</v>
      </c>
      <c r="O206" s="79">
        <f t="shared" si="53"/>
        <v>0</v>
      </c>
      <c r="P206" s="79">
        <f t="shared" si="53"/>
        <v>0</v>
      </c>
      <c r="Q206" s="79">
        <f t="shared" si="53"/>
        <v>52.070192769600695</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172</v>
      </c>
      <c r="H208" s="53"/>
      <c r="I208" t="s">
        <v>154</v>
      </c>
      <c r="J208" s="79">
        <f t="shared" ref="J208:Y208" si="54">J150</f>
        <v>1799.7077008671008</v>
      </c>
      <c r="K208" s="79">
        <f t="shared" si="54"/>
        <v>0.918331475505759</v>
      </c>
      <c r="L208" s="79">
        <f t="shared" si="54"/>
        <v>570.87289159253919</v>
      </c>
      <c r="M208" s="79">
        <f t="shared" si="54"/>
        <v>0.34919400058546379</v>
      </c>
      <c r="N208" s="79">
        <f t="shared" si="54"/>
        <v>515.67534964761478</v>
      </c>
      <c r="O208" s="79">
        <f t="shared" si="54"/>
        <v>0</v>
      </c>
      <c r="P208" s="79">
        <f t="shared" si="54"/>
        <v>0</v>
      </c>
      <c r="Q208" s="79">
        <f t="shared" si="54"/>
        <v>37.57784974885044</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167</v>
      </c>
      <c r="H210" s="161">
        <f>SUM(J206:Y206) / SUM(J208:Y208) - 1</f>
        <v>0.5909814327787748</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191</v>
      </c>
      <c r="G214" s="19" t="s">
        <v>167</v>
      </c>
      <c r="H214" s="97">
        <f t="array" ref="H214:H222">TRANSPOSE('Load &amp; loss characteristics'!K23:S23)</f>
        <v>5.649040831841079E-2</v>
      </c>
      <c r="J214" s="53"/>
      <c r="K214" s="74"/>
      <c r="L214" s="53"/>
      <c r="M214" s="74"/>
      <c r="AQ214" s="3"/>
    </row>
    <row r="215" spans="5:43" x14ac:dyDescent="0.25">
      <c r="E215" s="27"/>
      <c r="F215" t="s">
        <v>192</v>
      </c>
      <c r="G215" t="s">
        <v>167</v>
      </c>
      <c r="H215" s="21">
        <v>8.3503476129090037E-2</v>
      </c>
      <c r="J215" s="53"/>
      <c r="L215" s="53"/>
      <c r="AQ215" s="3"/>
    </row>
    <row r="216" spans="5:43" x14ac:dyDescent="0.25">
      <c r="E216" s="27"/>
      <c r="F216" t="s">
        <v>193</v>
      </c>
      <c r="G216" t="s">
        <v>167</v>
      </c>
      <c r="H216" s="21">
        <v>8.3503476129090037E-2</v>
      </c>
      <c r="J216" s="53"/>
      <c r="L216" s="53"/>
      <c r="AQ216" s="3"/>
    </row>
    <row r="217" spans="5:43" x14ac:dyDescent="0.25">
      <c r="E217" s="27"/>
      <c r="F217" t="s">
        <v>194</v>
      </c>
      <c r="G217" t="s">
        <v>167</v>
      </c>
      <c r="H217" s="21">
        <v>0.11235890369236912</v>
      </c>
      <c r="J217" s="53"/>
      <c r="L217" s="53"/>
      <c r="AQ217" s="3"/>
    </row>
    <row r="218" spans="5:43" x14ac:dyDescent="0.25">
      <c r="E218" s="27"/>
      <c r="F218" t="s">
        <v>195</v>
      </c>
      <c r="G218" t="s">
        <v>167</v>
      </c>
      <c r="H218" s="21">
        <v>0.11235890369236912</v>
      </c>
      <c r="J218" s="53"/>
      <c r="L218" s="53"/>
      <c r="AQ218" s="3"/>
    </row>
    <row r="219" spans="5:43" x14ac:dyDescent="0.25">
      <c r="E219" s="27"/>
      <c r="F219" t="s">
        <v>196</v>
      </c>
      <c r="G219" t="s">
        <v>167</v>
      </c>
      <c r="H219" s="21">
        <v>8.3503476129090037E-2</v>
      </c>
      <c r="J219" s="53"/>
      <c r="L219" s="53"/>
      <c r="AQ219" s="3"/>
    </row>
    <row r="220" spans="5:43" x14ac:dyDescent="0.25">
      <c r="E220" s="27"/>
      <c r="F220" t="s">
        <v>197</v>
      </c>
      <c r="G220" t="s">
        <v>167</v>
      </c>
      <c r="H220" s="21">
        <v>0.49056093094777475</v>
      </c>
      <c r="J220" s="53"/>
      <c r="L220" s="53"/>
      <c r="AQ220" s="3"/>
    </row>
    <row r="221" spans="5:43" x14ac:dyDescent="0.25">
      <c r="E221" s="27"/>
      <c r="F221" t="s">
        <v>198</v>
      </c>
      <c r="G221" t="s">
        <v>167</v>
      </c>
      <c r="H221" s="21">
        <v>0.49056093094777475</v>
      </c>
      <c r="J221" s="53"/>
      <c r="L221" s="53"/>
      <c r="AQ221" s="3"/>
    </row>
    <row r="222" spans="5:43" x14ac:dyDescent="0.25">
      <c r="E222" s="27"/>
      <c r="F222" s="28" t="s">
        <v>199</v>
      </c>
      <c r="G222" s="28" t="s">
        <v>167</v>
      </c>
      <c r="H222" s="131">
        <v>0.49056093094777475</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191</v>
      </c>
      <c r="G226" s="19" t="s">
        <v>167</v>
      </c>
      <c r="H226" s="162">
        <f t="shared" ref="H226:H233" si="55">IF(F226 = $F$234, $H$210, H214)</f>
        <v>5.649040831841079E-2</v>
      </c>
      <c r="J226" s="53"/>
      <c r="L226" s="53"/>
      <c r="AQ226" s="3"/>
    </row>
    <row r="227" spans="3:43" x14ac:dyDescent="0.25">
      <c r="C227" s="27"/>
      <c r="F227" t="s">
        <v>192</v>
      </c>
      <c r="G227" t="s">
        <v>167</v>
      </c>
      <c r="H227" s="101">
        <f t="shared" si="55"/>
        <v>8.3503476129090037E-2</v>
      </c>
      <c r="J227" s="53"/>
      <c r="L227" s="53"/>
      <c r="AQ227" s="3"/>
    </row>
    <row r="228" spans="3:43" x14ac:dyDescent="0.25">
      <c r="C228" s="27"/>
      <c r="F228" t="s">
        <v>193</v>
      </c>
      <c r="G228" t="s">
        <v>167</v>
      </c>
      <c r="H228" s="101">
        <f t="shared" si="55"/>
        <v>8.3503476129090037E-2</v>
      </c>
      <c r="J228" s="53"/>
      <c r="L228" s="53"/>
      <c r="AQ228" s="3"/>
    </row>
    <row r="229" spans="3:43" x14ac:dyDescent="0.25">
      <c r="C229" s="27"/>
      <c r="F229" t="s">
        <v>194</v>
      </c>
      <c r="G229" t="s">
        <v>167</v>
      </c>
      <c r="H229" s="101">
        <f t="shared" si="55"/>
        <v>0.11235890369236912</v>
      </c>
      <c r="J229" s="53"/>
      <c r="L229" s="53"/>
      <c r="AQ229" s="3"/>
    </row>
    <row r="230" spans="3:43" x14ac:dyDescent="0.25">
      <c r="C230" s="27"/>
      <c r="F230" t="s">
        <v>195</v>
      </c>
      <c r="G230" t="s">
        <v>167</v>
      </c>
      <c r="H230" s="101">
        <f t="shared" si="55"/>
        <v>0.11235890369236912</v>
      </c>
      <c r="J230" s="53"/>
      <c r="L230" s="53"/>
      <c r="AQ230" s="3"/>
    </row>
    <row r="231" spans="3:43" x14ac:dyDescent="0.25">
      <c r="C231" s="27"/>
      <c r="F231" t="s">
        <v>196</v>
      </c>
      <c r="G231" t="s">
        <v>167</v>
      </c>
      <c r="H231" s="101">
        <f t="shared" si="55"/>
        <v>8.3503476129090037E-2</v>
      </c>
      <c r="J231" s="53"/>
      <c r="L231" s="53"/>
      <c r="AQ231" s="3"/>
    </row>
    <row r="232" spans="3:43" x14ac:dyDescent="0.25">
      <c r="C232" s="27"/>
      <c r="F232" t="s">
        <v>197</v>
      </c>
      <c r="G232" t="s">
        <v>167</v>
      </c>
      <c r="H232" s="101">
        <f t="shared" si="55"/>
        <v>0.49056093094777475</v>
      </c>
      <c r="J232" s="53"/>
      <c r="L232" s="53"/>
      <c r="AQ232" s="3"/>
    </row>
    <row r="233" spans="3:43" x14ac:dyDescent="0.25">
      <c r="C233" s="27"/>
      <c r="F233" t="s">
        <v>198</v>
      </c>
      <c r="G233" t="s">
        <v>167</v>
      </c>
      <c r="H233" s="101">
        <f t="shared" si="55"/>
        <v>0.49056093094777475</v>
      </c>
      <c r="J233" s="53"/>
      <c r="L233" s="53"/>
      <c r="AQ233" s="3"/>
    </row>
    <row r="234" spans="3:43" x14ac:dyDescent="0.25">
      <c r="C234" s="27"/>
      <c r="F234" s="28" t="s">
        <v>199</v>
      </c>
      <c r="G234" s="28" t="s">
        <v>167</v>
      </c>
      <c r="H234" s="133">
        <f>IF(F234 = $F$234, $H$210, H222)</f>
        <v>0.5909814327787748</v>
      </c>
      <c r="J234" s="53"/>
      <c r="L234" s="53"/>
      <c r="AQ234" s="3"/>
    </row>
    <row r="235" spans="3:43" x14ac:dyDescent="0.25">
      <c r="H235" s="156"/>
    </row>
    <row r="236" spans="3:43" x14ac:dyDescent="0.25">
      <c r="C236" s="26" t="str">
        <f ca="1">INDEX('Version control'!$H$36:$H$59,MATCH($A$1,'Version control'!$F$36:$F$59,0),1)&amp;"-G: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379.96582337538615</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160.00381049473222</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794.63948151562477</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1837.7789824160125</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197</v>
      </c>
      <c r="G245" t="s">
        <v>172</v>
      </c>
      <c r="H245" s="53"/>
      <c r="J245" s="79">
        <f t="shared" ref="J245:Y245" si="62">J$192 * J29 * J40 / (1 + $H232) / $H51</f>
        <v>0</v>
      </c>
      <c r="K245" s="79">
        <f t="shared" si="62"/>
        <v>0</v>
      </c>
      <c r="L245" s="79">
        <f t="shared" si="62"/>
        <v>0</v>
      </c>
      <c r="M245" s="79">
        <f t="shared" si="62"/>
        <v>0</v>
      </c>
      <c r="N245" s="79">
        <f t="shared" si="62"/>
        <v>226.74577705996012</v>
      </c>
      <c r="O245" s="79">
        <f t="shared" si="62"/>
        <v>91.384805092457484</v>
      </c>
      <c r="P245" s="79">
        <f t="shared" si="62"/>
        <v>1905.1230862619009</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198</v>
      </c>
      <c r="G246" t="s">
        <v>172</v>
      </c>
      <c r="H246" s="53"/>
      <c r="J246" s="79">
        <f t="shared" ref="J246:Y246" si="63">J$192 * J30 * J41 / (1 + $H233) / $H52</f>
        <v>0</v>
      </c>
      <c r="K246" s="79">
        <f t="shared" si="63"/>
        <v>0</v>
      </c>
      <c r="L246" s="79">
        <f t="shared" si="63"/>
        <v>0</v>
      </c>
      <c r="M246" s="79">
        <f t="shared" si="63"/>
        <v>0</v>
      </c>
      <c r="N246" s="79">
        <f t="shared" si="63"/>
        <v>1115.7331887077405</v>
      </c>
      <c r="O246" s="79">
        <f t="shared" si="63"/>
        <v>89.934252630672447</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1024.269599917224</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control'!$H$36:$H$59,MATCH($A$1,'Version control'!$F$36:$F$59,0),1)&amp;"-H: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199</v>
      </c>
      <c r="G260" s="120" t="s">
        <v>172</v>
      </c>
      <c r="H260" s="120"/>
      <c r="I260" s="28"/>
      <c r="J260" s="72">
        <f t="shared" ref="J260:Y260" si="73">IF(AND(J$192 = 0, J$198), J$200 * J31 * J42 / (1 + $H234) / $H53, 0)</f>
        <v>1395.6093335756368</v>
      </c>
      <c r="K260" s="72">
        <f t="shared" si="73"/>
        <v>0</v>
      </c>
      <c r="L260" s="72">
        <f t="shared" si="73"/>
        <v>472.49403660862271</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control'!$H$36:$H$59,MATCH($A$1,'Version control'!$F$36:$F$59,0),1)&amp;"-I: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191</v>
      </c>
      <c r="G269" s="19" t="s">
        <v>172</v>
      </c>
      <c r="H269" s="91">
        <f t="shared" ref="H269:H277" si="74">SUM(J269:Y269)</f>
        <v>4183.0114830936227</v>
      </c>
      <c r="I269" s="148"/>
      <c r="J269" s="148">
        <f t="shared" ref="J269:Y269" si="75">J239 + J252 + J168</f>
        <v>2074.7178472299452</v>
      </c>
      <c r="K269" s="148">
        <f t="shared" si="75"/>
        <v>0.49568518000440476</v>
      </c>
      <c r="L269" s="148">
        <f t="shared" si="75"/>
        <v>627.14824757748045</v>
      </c>
      <c r="M269" s="148">
        <f t="shared" si="75"/>
        <v>0.29230620950879255</v>
      </c>
      <c r="N269" s="148">
        <f t="shared" si="75"/>
        <v>550.75899657965738</v>
      </c>
      <c r="O269" s="148">
        <f t="shared" si="75"/>
        <v>38.576419450004643</v>
      </c>
      <c r="P269" s="148">
        <f t="shared" si="75"/>
        <v>1001.0103413412476</v>
      </c>
      <c r="Q269" s="148">
        <f t="shared" si="75"/>
        <v>45.829087663718013</v>
      </c>
      <c r="R269" s="148">
        <f t="shared" si="75"/>
        <v>-0.60296693763915599</v>
      </c>
      <c r="S269" s="148">
        <f t="shared" si="75"/>
        <v>0</v>
      </c>
      <c r="T269" s="148">
        <f t="shared" si="75"/>
        <v>-6.7848980339203475</v>
      </c>
      <c r="U269" s="148">
        <f t="shared" si="75"/>
        <v>0</v>
      </c>
      <c r="V269" s="148">
        <f t="shared" si="75"/>
        <v>-1.4125859864968131</v>
      </c>
      <c r="W269" s="148">
        <f t="shared" si="75"/>
        <v>0</v>
      </c>
      <c r="X269" s="148">
        <f t="shared" si="75"/>
        <v>-147.01699717988657</v>
      </c>
      <c r="Y269" s="148">
        <f t="shared" si="75"/>
        <v>0</v>
      </c>
      <c r="AQ269" s="3"/>
    </row>
    <row r="270" spans="2:43" x14ac:dyDescent="0.25">
      <c r="C270" s="27"/>
      <c r="F270" t="s">
        <v>192</v>
      </c>
      <c r="G270" t="s">
        <v>172</v>
      </c>
      <c r="H270" s="111">
        <f t="shared" si="74"/>
        <v>4326.8127152370225</v>
      </c>
      <c r="I270" s="79"/>
      <c r="J270" s="79">
        <f t="shared" ref="J270:Y270" si="76">J240 + J253 + J169</f>
        <v>1942.5698811582772</v>
      </c>
      <c r="K270" s="79">
        <f t="shared" si="76"/>
        <v>0.99708383210102725</v>
      </c>
      <c r="L270" s="79">
        <f t="shared" si="76"/>
        <v>631.679966201453</v>
      </c>
      <c r="M270" s="79">
        <f t="shared" si="76"/>
        <v>0.38508244064338321</v>
      </c>
      <c r="N270" s="79">
        <f t="shared" si="76"/>
        <v>568.55992158072695</v>
      </c>
      <c r="O270" s="79">
        <f t="shared" si="76"/>
        <v>38.47600808246311</v>
      </c>
      <c r="P270" s="79">
        <f t="shared" si="76"/>
        <v>1250.3638088929877</v>
      </c>
      <c r="Q270" s="79">
        <f t="shared" si="76"/>
        <v>38.541706857600587</v>
      </c>
      <c r="R270" s="79">
        <f t="shared" si="76"/>
        <v>-0.60884739578844294</v>
      </c>
      <c r="S270" s="79">
        <f t="shared" si="76"/>
        <v>0</v>
      </c>
      <c r="T270" s="79">
        <f t="shared" si="76"/>
        <v>-6.9433017797462853</v>
      </c>
      <c r="U270" s="79">
        <f t="shared" si="76"/>
        <v>0</v>
      </c>
      <c r="V270" s="79">
        <f t="shared" si="76"/>
        <v>-1.4323581207018117</v>
      </c>
      <c r="W270" s="79">
        <f t="shared" si="76"/>
        <v>0</v>
      </c>
      <c r="X270" s="79">
        <f t="shared" si="76"/>
        <v>-135.77623651299345</v>
      </c>
      <c r="Y270" s="79">
        <f t="shared" si="76"/>
        <v>0</v>
      </c>
      <c r="AQ270" s="3"/>
    </row>
    <row r="271" spans="2:43" x14ac:dyDescent="0.25">
      <c r="C271" s="27"/>
      <c r="F271" t="s">
        <v>193</v>
      </c>
      <c r="G271" t="s">
        <v>172</v>
      </c>
      <c r="H271" s="111">
        <f t="shared" si="74"/>
        <v>1251.4495657737687</v>
      </c>
      <c r="I271" s="79"/>
      <c r="J271" s="79">
        <f t="shared" ref="J271:Y271" si="77">J241 + J254 + J170</f>
        <v>594.849889668841</v>
      </c>
      <c r="K271" s="79">
        <f t="shared" si="77"/>
        <v>0.30532503014111911</v>
      </c>
      <c r="L271" s="79">
        <f t="shared" si="77"/>
        <v>193.43178427995795</v>
      </c>
      <c r="M271" s="79">
        <f t="shared" si="77"/>
        <v>0.11791917992342255</v>
      </c>
      <c r="N271" s="79">
        <f t="shared" si="77"/>
        <v>174.10328961795722</v>
      </c>
      <c r="O271" s="79">
        <f t="shared" si="77"/>
        <v>11.782046754016246</v>
      </c>
      <c r="P271" s="79">
        <f t="shared" si="77"/>
        <v>309.38549371093791</v>
      </c>
      <c r="Q271" s="79">
        <f t="shared" si="77"/>
        <v>11.802164902413876</v>
      </c>
      <c r="R271" s="79">
        <f t="shared" si="77"/>
        <v>-0.18644003992997521</v>
      </c>
      <c r="S271" s="79">
        <f t="shared" si="77"/>
        <v>0</v>
      </c>
      <c r="T271" s="79">
        <f t="shared" si="77"/>
        <v>-2.1261640766080738</v>
      </c>
      <c r="U271" s="79">
        <f t="shared" si="77"/>
        <v>0</v>
      </c>
      <c r="V271" s="79">
        <f t="shared" si="77"/>
        <v>-0.43861385802898606</v>
      </c>
      <c r="W271" s="79">
        <f t="shared" si="77"/>
        <v>0</v>
      </c>
      <c r="X271" s="79">
        <f t="shared" si="77"/>
        <v>-41.577129395853063</v>
      </c>
      <c r="Y271" s="79">
        <f t="shared" si="77"/>
        <v>0</v>
      </c>
      <c r="AQ271" s="3"/>
    </row>
    <row r="272" spans="2:43" x14ac:dyDescent="0.25">
      <c r="C272" s="27"/>
      <c r="F272" t="s">
        <v>194</v>
      </c>
      <c r="G272" t="s">
        <v>172</v>
      </c>
      <c r="H272" s="111">
        <f t="shared" si="74"/>
        <v>1317.7073893255156</v>
      </c>
      <c r="I272" s="79"/>
      <c r="J272" s="79">
        <f t="shared" ref="J272:Y272" si="78">J242 + J255 + J171</f>
        <v>584.86282508132308</v>
      </c>
      <c r="K272" s="79">
        <f t="shared" si="78"/>
        <v>0.29843620765006668</v>
      </c>
      <c r="L272" s="79">
        <f t="shared" si="78"/>
        <v>185.52031086953261</v>
      </c>
      <c r="M272" s="79">
        <f t="shared" si="78"/>
        <v>0.11347986652802843</v>
      </c>
      <c r="N272" s="79">
        <f t="shared" si="78"/>
        <v>167.58240333938238</v>
      </c>
      <c r="O272" s="79">
        <f t="shared" si="78"/>
        <v>11.35228949759621</v>
      </c>
      <c r="P272" s="79">
        <f t="shared" si="78"/>
        <v>398.89379069932795</v>
      </c>
      <c r="Q272" s="79">
        <f t="shared" si="78"/>
        <v>12.21192049909282</v>
      </c>
      <c r="R272" s="79">
        <f t="shared" si="78"/>
        <v>-0.17636464198831733</v>
      </c>
      <c r="S272" s="79">
        <f t="shared" si="78"/>
        <v>0</v>
      </c>
      <c r="T272" s="79">
        <f t="shared" si="78"/>
        <v>-2.025877875157899</v>
      </c>
      <c r="U272" s="79">
        <f t="shared" si="78"/>
        <v>0</v>
      </c>
      <c r="V272" s="79">
        <f t="shared" si="78"/>
        <v>-0.42402423773953513</v>
      </c>
      <c r="W272" s="79">
        <f t="shared" si="78"/>
        <v>0</v>
      </c>
      <c r="X272" s="79">
        <f t="shared" si="78"/>
        <v>-40.501799980031819</v>
      </c>
      <c r="Y272" s="79">
        <f t="shared" si="78"/>
        <v>0</v>
      </c>
      <c r="AQ272" s="3"/>
    </row>
    <row r="273" spans="2:43" x14ac:dyDescent="0.25">
      <c r="C273" s="27"/>
      <c r="F273" t="s">
        <v>195</v>
      </c>
      <c r="G273" t="s">
        <v>172</v>
      </c>
      <c r="H273" s="111">
        <f t="shared" si="74"/>
        <v>1707.2746985948547</v>
      </c>
      <c r="I273" s="79"/>
      <c r="J273" s="79">
        <f t="shared" ref="J273:Y273" si="79">J243 + J256 + J172</f>
        <v>580.93002990786567</v>
      </c>
      <c r="K273" s="79">
        <f t="shared" si="79"/>
        <v>0.29642943199824112</v>
      </c>
      <c r="L273" s="79">
        <f t="shared" si="79"/>
        <v>184.27281598376248</v>
      </c>
      <c r="M273" s="79">
        <f t="shared" si="79"/>
        <v>0.11271679345819538</v>
      </c>
      <c r="N273" s="79">
        <f t="shared" si="79"/>
        <v>166.45552838897348</v>
      </c>
      <c r="O273" s="79">
        <f t="shared" si="79"/>
        <v>11.27595325697837</v>
      </c>
      <c r="P273" s="79">
        <f t="shared" si="79"/>
        <v>794.63948151562477</v>
      </c>
      <c r="Q273" s="79">
        <f t="shared" si="79"/>
        <v>12.129803838676249</v>
      </c>
      <c r="R273" s="79">
        <f t="shared" si="79"/>
        <v>-0.17517871259934692</v>
      </c>
      <c r="S273" s="79">
        <f t="shared" si="79"/>
        <v>0</v>
      </c>
      <c r="T273" s="79">
        <f t="shared" si="79"/>
        <v>-2.0122552573614487</v>
      </c>
      <c r="U273" s="79">
        <f t="shared" si="79"/>
        <v>0</v>
      </c>
      <c r="V273" s="79">
        <f t="shared" si="79"/>
        <v>-0.42117297005060456</v>
      </c>
      <c r="W273" s="79">
        <f t="shared" si="79"/>
        <v>0</v>
      </c>
      <c r="X273" s="79">
        <f t="shared" si="79"/>
        <v>-40.229453582471564</v>
      </c>
      <c r="Y273" s="79">
        <f t="shared" si="79"/>
        <v>0</v>
      </c>
      <c r="AQ273" s="3"/>
    </row>
    <row r="274" spans="2:43" x14ac:dyDescent="0.25">
      <c r="C274" s="27"/>
      <c r="F274" t="s">
        <v>196</v>
      </c>
      <c r="G274" t="s">
        <v>172</v>
      </c>
      <c r="H274" s="111">
        <f t="shared" si="74"/>
        <v>3898.8330379711724</v>
      </c>
      <c r="I274" s="79"/>
      <c r="J274" s="79">
        <f t="shared" ref="J274:Y274" si="80">J244 + J257 + J173</f>
        <v>1301.4165531903816</v>
      </c>
      <c r="K274" s="79">
        <f t="shared" si="80"/>
        <v>0.66799213588190487</v>
      </c>
      <c r="L274" s="79">
        <f t="shared" si="80"/>
        <v>423.1913468374886</v>
      </c>
      <c r="M274" s="79">
        <f t="shared" si="80"/>
        <v>0.25798436774765293</v>
      </c>
      <c r="N274" s="79">
        <f t="shared" si="80"/>
        <v>380.90433739484854</v>
      </c>
      <c r="O274" s="79">
        <f t="shared" si="80"/>
        <v>25.776840413765534</v>
      </c>
      <c r="P274" s="79">
        <f t="shared" si="80"/>
        <v>1837.7789824160125</v>
      </c>
      <c r="Q274" s="79">
        <f t="shared" si="80"/>
        <v>25.820855032913887</v>
      </c>
      <c r="R274" s="79">
        <f t="shared" si="80"/>
        <v>-0.40789476194981478</v>
      </c>
      <c r="S274" s="79">
        <f t="shared" si="80"/>
        <v>0</v>
      </c>
      <c r="T274" s="79">
        <f t="shared" si="80"/>
        <v>-4.6516359373234835</v>
      </c>
      <c r="U274" s="79">
        <f t="shared" si="80"/>
        <v>0</v>
      </c>
      <c r="V274" s="79">
        <f t="shared" si="80"/>
        <v>-0.95960232188224737</v>
      </c>
      <c r="W274" s="79">
        <f t="shared" si="80"/>
        <v>0</v>
      </c>
      <c r="X274" s="79">
        <f t="shared" si="80"/>
        <v>-90.962720796711778</v>
      </c>
      <c r="Y274" s="79">
        <f t="shared" si="80"/>
        <v>0</v>
      </c>
      <c r="AQ274" s="3"/>
    </row>
    <row r="275" spans="2:43" x14ac:dyDescent="0.25">
      <c r="C275" s="27"/>
      <c r="F275" t="s">
        <v>197</v>
      </c>
      <c r="G275" t="s">
        <v>172</v>
      </c>
      <c r="H275" s="111">
        <f t="shared" si="74"/>
        <v>5141.2575909429061</v>
      </c>
      <c r="I275" s="79"/>
      <c r="J275" s="79">
        <f t="shared" ref="J275:Y275" si="81">J245 + J258 + J174</f>
        <v>1866.3003008043083</v>
      </c>
      <c r="K275" s="79">
        <f t="shared" si="81"/>
        <v>0.95231148266394183</v>
      </c>
      <c r="L275" s="79">
        <f t="shared" si="81"/>
        <v>591.99627183173186</v>
      </c>
      <c r="M275" s="79">
        <f t="shared" si="81"/>
        <v>0.36211484121433768</v>
      </c>
      <c r="N275" s="79">
        <f t="shared" si="81"/>
        <v>654.55082993650126</v>
      </c>
      <c r="O275" s="79">
        <f t="shared" si="81"/>
        <v>91.384805092457484</v>
      </c>
      <c r="P275" s="79">
        <f t="shared" si="81"/>
        <v>1905.1230862619009</v>
      </c>
      <c r="Q275" s="79">
        <f t="shared" si="81"/>
        <v>38.968301494775645</v>
      </c>
      <c r="R275" s="79">
        <f t="shared" si="81"/>
        <v>-0.56278048506207212</v>
      </c>
      <c r="S275" s="79">
        <f t="shared" si="81"/>
        <v>0</v>
      </c>
      <c r="T275" s="79">
        <f t="shared" si="81"/>
        <v>-6.4645867811383981</v>
      </c>
      <c r="U275" s="79">
        <f t="shared" si="81"/>
        <v>0</v>
      </c>
      <c r="V275" s="79">
        <f t="shared" si="81"/>
        <v>-1.3530635364481867</v>
      </c>
      <c r="W275" s="79">
        <f t="shared" si="81"/>
        <v>0</v>
      </c>
      <c r="X275" s="79">
        <f t="shared" si="81"/>
        <v>0</v>
      </c>
      <c r="Y275" s="79">
        <f t="shared" si="81"/>
        <v>0</v>
      </c>
      <c r="AQ275" s="3"/>
    </row>
    <row r="276" spans="2:43" x14ac:dyDescent="0.25">
      <c r="C276" s="27"/>
      <c r="F276" t="s">
        <v>198</v>
      </c>
      <c r="G276" t="s">
        <v>172</v>
      </c>
      <c r="H276" s="111">
        <f t="shared" si="74"/>
        <v>3657.6709311429622</v>
      </c>
      <c r="I276" s="79"/>
      <c r="J276" s="79">
        <f t="shared" ref="J276:Y276" si="82">J246 + J259 + J175</f>
        <v>1836.6764865058276</v>
      </c>
      <c r="K276" s="79">
        <f t="shared" si="82"/>
        <v>0.93719542738356187</v>
      </c>
      <c r="L276" s="79">
        <f t="shared" si="82"/>
        <v>582.59950561218056</v>
      </c>
      <c r="M276" s="79">
        <f t="shared" si="82"/>
        <v>0.35636698659188792</v>
      </c>
      <c r="N276" s="79">
        <f t="shared" si="82"/>
        <v>1115.7331887077405</v>
      </c>
      <c r="O276" s="79">
        <f t="shared" si="82"/>
        <v>89.934252630672447</v>
      </c>
      <c r="P276" s="79">
        <f t="shared" si="82"/>
        <v>0</v>
      </c>
      <c r="Q276" s="79">
        <f t="shared" si="82"/>
        <v>38.349757026604607</v>
      </c>
      <c r="R276" s="79">
        <f t="shared" si="82"/>
        <v>-0.55384746148965835</v>
      </c>
      <c r="S276" s="79">
        <f t="shared" si="82"/>
        <v>0</v>
      </c>
      <c r="T276" s="79">
        <f t="shared" si="82"/>
        <v>-6.3619742925488998</v>
      </c>
      <c r="U276" s="79">
        <f t="shared" si="82"/>
        <v>0</v>
      </c>
      <c r="V276" s="79">
        <f t="shared" si="82"/>
        <v>0</v>
      </c>
      <c r="W276" s="79">
        <f t="shared" si="82"/>
        <v>0</v>
      </c>
      <c r="X276" s="79">
        <f t="shared" si="82"/>
        <v>0</v>
      </c>
      <c r="Y276" s="79">
        <f t="shared" si="82"/>
        <v>0</v>
      </c>
      <c r="AQ276" s="3"/>
    </row>
    <row r="277" spans="2:43" x14ac:dyDescent="0.25">
      <c r="C277" s="27"/>
      <c r="F277" s="28" t="s">
        <v>199</v>
      </c>
      <c r="G277" s="28" t="s">
        <v>172</v>
      </c>
      <c r="H277" s="121">
        <f t="shared" si="74"/>
        <v>2929.950819850334</v>
      </c>
      <c r="I277" s="72"/>
      <c r="J277" s="72">
        <f t="shared" ref="J277:Y277" si="83">J247 + J260 + J176</f>
        <v>1395.6093335756368</v>
      </c>
      <c r="K277" s="72">
        <f t="shared" si="83"/>
        <v>0</v>
      </c>
      <c r="L277" s="72">
        <f t="shared" si="83"/>
        <v>472.49403660862271</v>
      </c>
      <c r="M277" s="72">
        <f t="shared" si="83"/>
        <v>0</v>
      </c>
      <c r="N277" s="72">
        <f t="shared" si="83"/>
        <v>1024.269599917224</v>
      </c>
      <c r="O277" s="72">
        <f t="shared" si="83"/>
        <v>0</v>
      </c>
      <c r="P277" s="72">
        <f t="shared" si="83"/>
        <v>0</v>
      </c>
      <c r="Q277" s="72">
        <f t="shared" si="83"/>
        <v>37.57784974885044</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232</v>
      </c>
      <c r="G281" s="6" t="s">
        <v>55</v>
      </c>
      <c r="H281" s="93">
        <f t="array" ref="H281">SUM(IF(ISERROR(H23:Y277), 1))</f>
        <v>0</v>
      </c>
    </row>
    <row r="283" spans="2:43" x14ac:dyDescent="0.2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control'!$H$36:$H$59,MATCH($A$1,'Version control'!$F$36:$F$59,0),1)&amp;"-A: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212</v>
      </c>
      <c r="J16" s="110">
        <f>'Volume adjustments'!J275</f>
        <v>2389874.3672400983</v>
      </c>
      <c r="K16" s="110">
        <f>'Volume adjustments'!K275</f>
        <v>0</v>
      </c>
      <c r="L16" s="110">
        <f>'Volume adjustments'!L275</f>
        <v>182119.39252602615</v>
      </c>
      <c r="M16" s="110">
        <f>'Volume adjustments'!M275</f>
        <v>0</v>
      </c>
      <c r="N16" s="110">
        <f>'Volume adjustments'!N275</f>
        <v>15164.046539113073</v>
      </c>
      <c r="O16" s="110">
        <f>'Volume adjustments'!O275</f>
        <v>341.39097829602707</v>
      </c>
      <c r="P16" s="110">
        <f>'Volume adjustments'!P275</f>
        <v>4152.6803191912959</v>
      </c>
      <c r="Q16" s="110">
        <f>'Volume adjustments'!Q275</f>
        <v>2294</v>
      </c>
      <c r="R16" s="110">
        <f>'Volume adjustments'!R275</f>
        <v>0</v>
      </c>
      <c r="S16" s="110">
        <f>'Volume adjustments'!S275</f>
        <v>0</v>
      </c>
      <c r="T16" s="110">
        <f>'Volume adjustments'!T275</f>
        <v>633.94808743169403</v>
      </c>
      <c r="U16" s="110">
        <f>'Volume adjustments'!U275</f>
        <v>0</v>
      </c>
      <c r="V16" s="110">
        <f>'Volume adjustments'!V275</f>
        <v>35.618169398907106</v>
      </c>
      <c r="W16" s="110">
        <f>'Volume adjustments'!W275</f>
        <v>0</v>
      </c>
      <c r="X16" s="110">
        <f>'Volume adjustments'!X275</f>
        <v>338.62978142076497</v>
      </c>
      <c r="Y16" s="110">
        <f>'Volume adjustments'!Y275</f>
        <v>0</v>
      </c>
    </row>
    <row r="17" spans="5:27" x14ac:dyDescent="0.25">
      <c r="E17" s="23" t="s">
        <v>549</v>
      </c>
      <c r="G17" s="23" t="s">
        <v>207</v>
      </c>
      <c r="J17" s="114">
        <f>'Volume adjustments'!J264</f>
        <v>8748940.3260784</v>
      </c>
      <c r="K17" s="114">
        <f>'Volume adjustments'!K264</f>
        <v>13562.288229709251</v>
      </c>
      <c r="L17" s="114">
        <f>'Volume adjustments'!L264</f>
        <v>2873790.8007473191</v>
      </c>
      <c r="M17" s="114">
        <f>'Volume adjustments'!M264</f>
        <v>3447.5456205943838</v>
      </c>
      <c r="N17" s="114">
        <f>'Volume adjustments'!N264</f>
        <v>2915737.8764526201</v>
      </c>
      <c r="O17" s="114">
        <f>'Volume adjustments'!O264</f>
        <v>205132.11323306401</v>
      </c>
      <c r="P17" s="114">
        <f>'Volume adjustments'!P264</f>
        <v>7037398.5340495091</v>
      </c>
      <c r="Q17" s="114">
        <f>'Volume adjustments'!Q264</f>
        <v>238843.331838477</v>
      </c>
      <c r="R17" s="114">
        <f>'Volume adjustments'!R264</f>
        <v>3263.663</v>
      </c>
      <c r="S17" s="114">
        <f>'Volume adjustments'!S264</f>
        <v>0</v>
      </c>
      <c r="T17" s="114">
        <f>'Volume adjustments'!T264</f>
        <v>44340.034533333339</v>
      </c>
      <c r="U17" s="114">
        <f>'Volume adjustments'!U264</f>
        <v>0</v>
      </c>
      <c r="V17" s="114">
        <f>'Volume adjustments'!V264</f>
        <v>11016.134666666667</v>
      </c>
      <c r="W17" s="114">
        <f>'Volume adjustments'!W264</f>
        <v>0</v>
      </c>
      <c r="X17" s="114">
        <f>'Volume adjustments'!X264</f>
        <v>811740.68483333325</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261</v>
      </c>
      <c r="H21" s="164"/>
      <c r="I21" s="19"/>
      <c r="J21" s="114">
        <f>'Inputs by customer type'!J187</f>
        <v>253.13373247962596</v>
      </c>
      <c r="K21" s="114">
        <f>'Inputs by customer type'!K187</f>
        <v>0</v>
      </c>
      <c r="L21" s="114">
        <f>'Inputs by customer type'!L187</f>
        <v>742.22260051721889</v>
      </c>
      <c r="M21" s="114">
        <f>'Inputs by customer type'!M187</f>
        <v>0</v>
      </c>
      <c r="N21" s="114">
        <f>'Inputs by customer type'!N187</f>
        <v>1480.8362698875537</v>
      </c>
      <c r="O21" s="114">
        <f>'Inputs by customer type'!O187</f>
        <v>1155.9518448856218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10671.557449351454</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6678.7161499432686</v>
      </c>
      <c r="Y22" s="110">
        <f>'Inputs by customer type'!Y188</f>
        <v>6678.7161499432686</v>
      </c>
    </row>
    <row r="23" spans="5:27" x14ac:dyDescent="0.25">
      <c r="E23" s="78"/>
      <c r="F23" s="28" t="s">
        <v>552</v>
      </c>
      <c r="G23" s="28" t="s">
        <v>264</v>
      </c>
      <c r="H23" s="28"/>
      <c r="I23" s="28"/>
      <c r="J23" s="295"/>
      <c r="K23" s="295"/>
      <c r="L23" s="295"/>
      <c r="M23" s="295"/>
      <c r="N23" s="295"/>
      <c r="O23" s="295"/>
      <c r="P23" s="295"/>
      <c r="Q23" s="207">
        <f>'Inputs by customer type'!Q190</f>
        <v>286.15161957169067</v>
      </c>
      <c r="R23" s="295"/>
      <c r="S23" s="295"/>
      <c r="T23" s="295"/>
      <c r="U23" s="295"/>
      <c r="V23" s="295"/>
      <c r="W23" s="295"/>
      <c r="X23" s="295"/>
      <c r="Y23" s="295"/>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154</v>
      </c>
      <c r="J26" s="79"/>
      <c r="K26" s="79"/>
      <c r="L26" s="79"/>
      <c r="M26" s="79"/>
      <c r="N26" s="79"/>
      <c r="O26" s="79"/>
      <c r="P26" s="79"/>
      <c r="Q26" s="79"/>
      <c r="R26" s="79"/>
      <c r="S26" s="79"/>
      <c r="T26" s="79"/>
      <c r="U26" s="79"/>
      <c r="V26" s="79"/>
      <c r="W26" s="79"/>
      <c r="X26" s="79"/>
      <c r="Y26" s="79"/>
      <c r="AA26" t="s">
        <v>899</v>
      </c>
    </row>
    <row r="27" spans="5:27" x14ac:dyDescent="0.25">
      <c r="F27" s="19" t="s">
        <v>375</v>
      </c>
      <c r="G27" s="19" t="s">
        <v>277</v>
      </c>
      <c r="H27" s="119"/>
      <c r="I27" s="19"/>
      <c r="J27" s="116">
        <f t="shared" ref="J27:Y27" si="0">J21 * J$16</f>
        <v>604957818.73687041</v>
      </c>
      <c r="K27" s="116">
        <f t="shared" si="0"/>
        <v>0</v>
      </c>
      <c r="L27" s="116">
        <f t="shared" si="0"/>
        <v>135173129.12528327</v>
      </c>
      <c r="M27" s="116">
        <f t="shared" si="0"/>
        <v>0</v>
      </c>
      <c r="N27" s="116">
        <f t="shared" si="0"/>
        <v>22455470.113381471</v>
      </c>
      <c r="O27" s="116">
        <f t="shared" si="0"/>
        <v>394631.53118859977</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44315566.595041052</v>
      </c>
      <c r="Q28" s="88">
        <f t="shared" si="1"/>
        <v>0</v>
      </c>
      <c r="R28" s="88">
        <f t="shared" si="1"/>
        <v>0</v>
      </c>
      <c r="S28" s="88">
        <f t="shared" si="1"/>
        <v>0</v>
      </c>
      <c r="T28" s="88">
        <f t="shared" si="1"/>
        <v>0</v>
      </c>
      <c r="U28" s="88">
        <f t="shared" si="1"/>
        <v>0</v>
      </c>
      <c r="V28" s="88">
        <f t="shared" si="1"/>
        <v>0</v>
      </c>
      <c r="W28" s="88">
        <f t="shared" si="1"/>
        <v>0</v>
      </c>
      <c r="X28" s="88">
        <f t="shared" si="1"/>
        <v>2261612.1900266218</v>
      </c>
      <c r="Y28" s="88">
        <f t="shared" si="1"/>
        <v>0</v>
      </c>
    </row>
    <row r="29" spans="5:27" x14ac:dyDescent="0.25">
      <c r="F29" s="28" t="s">
        <v>552</v>
      </c>
      <c r="G29" s="28" t="s">
        <v>277</v>
      </c>
      <c r="H29" s="120"/>
      <c r="I29" s="28"/>
      <c r="J29" s="295"/>
      <c r="K29" s="295"/>
      <c r="L29" s="295"/>
      <c r="M29" s="295"/>
      <c r="N29" s="295"/>
      <c r="O29" s="295"/>
      <c r="P29" s="295"/>
      <c r="Q29" s="143">
        <f t="shared" ref="Q29" si="2">Q23 * Q$17</f>
        <v>68345406.22947894</v>
      </c>
      <c r="R29" s="295"/>
      <c r="S29" s="295"/>
      <c r="T29" s="295"/>
      <c r="U29" s="295"/>
      <c r="V29" s="295"/>
      <c r="W29" s="295"/>
      <c r="X29" s="295"/>
      <c r="Y29" s="295"/>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277</v>
      </c>
      <c r="H33" s="91">
        <f>SUM(J33:Y33)</f>
        <v>831326455.73620272</v>
      </c>
      <c r="I33" s="19"/>
      <c r="J33" s="148">
        <f t="shared" ref="J33:Y33" si="3">J27 +J29</f>
        <v>604957818.73687041</v>
      </c>
      <c r="K33" s="148">
        <f t="shared" si="3"/>
        <v>0</v>
      </c>
      <c r="L33" s="148">
        <f t="shared" si="3"/>
        <v>135173129.12528327</v>
      </c>
      <c r="M33" s="148">
        <f t="shared" si="3"/>
        <v>0</v>
      </c>
      <c r="N33" s="148">
        <f t="shared" si="3"/>
        <v>22455470.113381471</v>
      </c>
      <c r="O33" s="148">
        <f t="shared" si="3"/>
        <v>394631.53118859977</v>
      </c>
      <c r="P33" s="148">
        <f t="shared" si="3"/>
        <v>0</v>
      </c>
      <c r="Q33" s="148">
        <f t="shared" si="3"/>
        <v>68345406.22947894</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277</v>
      </c>
      <c r="H34" s="121">
        <f>SUM(J34:Y34)</f>
        <v>46577178.78506767</v>
      </c>
      <c r="I34" s="28"/>
      <c r="J34" s="157">
        <f t="shared" ref="J34:Y34" si="4">J28</f>
        <v>0</v>
      </c>
      <c r="K34" s="157">
        <f t="shared" si="4"/>
        <v>0</v>
      </c>
      <c r="L34" s="157">
        <f t="shared" si="4"/>
        <v>0</v>
      </c>
      <c r="M34" s="157">
        <f t="shared" si="4"/>
        <v>0</v>
      </c>
      <c r="N34" s="157">
        <f t="shared" si="4"/>
        <v>0</v>
      </c>
      <c r="O34" s="157">
        <f t="shared" si="4"/>
        <v>0</v>
      </c>
      <c r="P34" s="157">
        <f t="shared" si="4"/>
        <v>44315566.595041052</v>
      </c>
      <c r="Q34" s="157">
        <f t="shared" si="4"/>
        <v>0</v>
      </c>
      <c r="R34" s="157">
        <f t="shared" si="4"/>
        <v>0</v>
      </c>
      <c r="S34" s="157">
        <f t="shared" si="4"/>
        <v>0</v>
      </c>
      <c r="T34" s="157">
        <f t="shared" si="4"/>
        <v>0</v>
      </c>
      <c r="U34" s="157">
        <f t="shared" si="4"/>
        <v>0</v>
      </c>
      <c r="V34" s="157">
        <f t="shared" si="4"/>
        <v>0</v>
      </c>
      <c r="W34" s="157">
        <f t="shared" si="4"/>
        <v>0</v>
      </c>
      <c r="X34" s="157">
        <f t="shared" si="4"/>
        <v>2261612.1900266218</v>
      </c>
      <c r="Y34" s="157">
        <f t="shared" si="4"/>
        <v>0</v>
      </c>
    </row>
    <row r="36" spans="2:43" x14ac:dyDescent="0.2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232</v>
      </c>
      <c r="G38" s="6" t="s">
        <v>55</v>
      </c>
      <c r="H38" s="93">
        <f t="array" ref="H38">SUM(IF(ISERROR(H16:Y35), 1))</f>
        <v>0</v>
      </c>
    </row>
    <row r="40" spans="2:43" x14ac:dyDescent="0.2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WPD West Midlands - Final</v>
      </c>
    </row>
    <row r="3" spans="1:23" s="5" customFormat="1" x14ac:dyDescent="0.25">
      <c r="A3" s="5" t="str">
        <f>Cover!D2&amp;" - "&amp;Cover!D8&amp;" v"&amp;Cover!D10&amp;" - "&amp;Cover!D19</f>
        <v>CDCM charging model - Release for charge setting v8 - 2023/24</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3"/>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control'!$H$36:$H$59,MATCH($A$1,'Version control'!$F$36:$F$59,0),1)&amp;"-A: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154</v>
      </c>
      <c r="J21" s="3"/>
      <c r="K21" s="3"/>
      <c r="L21" s="3"/>
      <c r="M21" s="3"/>
      <c r="N21" s="3"/>
      <c r="O21" s="3"/>
      <c r="P21" s="3"/>
      <c r="Q21" s="3"/>
      <c r="R21" s="3"/>
      <c r="S21" s="3"/>
      <c r="T21" s="3"/>
      <c r="U21" s="3"/>
      <c r="W21" s="3" t="s">
        <v>165</v>
      </c>
    </row>
    <row r="22" spans="3:25" x14ac:dyDescent="0.25">
      <c r="D22" s="24"/>
    </row>
    <row r="23" spans="3:25" x14ac:dyDescent="0.25">
      <c r="D23" s="78"/>
      <c r="E23" s="23" t="s">
        <v>352</v>
      </c>
      <c r="G23" s="23" t="s">
        <v>167</v>
      </c>
      <c r="H23" s="106">
        <f>'General inputs'!H92</f>
        <v>3.2399999999999998E-2</v>
      </c>
      <c r="I23" s="3"/>
      <c r="J23" s="3"/>
      <c r="K23" s="3"/>
      <c r="L23" s="3"/>
      <c r="M23" s="3"/>
      <c r="N23" s="3"/>
      <c r="O23" s="3"/>
      <c r="P23" s="3"/>
      <c r="Q23" s="3"/>
      <c r="R23" s="3"/>
      <c r="S23" s="3"/>
      <c r="T23" s="3"/>
      <c r="U23" s="3"/>
    </row>
    <row r="24" spans="3:25" x14ac:dyDescent="0.25">
      <c r="D24" s="78"/>
      <c r="E24" s="23" t="s">
        <v>163</v>
      </c>
      <c r="G24" s="23" t="s">
        <v>164</v>
      </c>
      <c r="H24" s="42">
        <f>'Fixed inputs'!H35</f>
        <v>40</v>
      </c>
      <c r="I24" s="3"/>
      <c r="J24" s="3"/>
      <c r="K24" s="3"/>
      <c r="L24" s="3"/>
      <c r="M24" s="3"/>
      <c r="N24" s="3"/>
      <c r="O24" s="3"/>
      <c r="P24" s="3"/>
      <c r="Q24" s="3"/>
      <c r="R24" s="3"/>
      <c r="S24" s="3"/>
      <c r="T24" s="3"/>
      <c r="U24" s="3"/>
      <c r="W24" s="3"/>
    </row>
    <row r="25" spans="3:25" x14ac:dyDescent="0.25">
      <c r="E25" s="23" t="s">
        <v>567</v>
      </c>
      <c r="G25" s="23" t="s">
        <v>167</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control'!$H$36:$H$59,MATCH($A$1,'Version control'!$F$36:$F$59,0),1)&amp;"-B: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1.0069999999999999</v>
      </c>
      <c r="M31" s="110">
        <f>'Load &amp; loss characteristics'!M29</f>
        <v>1.0109999999999999</v>
      </c>
      <c r="N31" s="110">
        <f>'Load &amp; loss characteristics'!N29</f>
        <v>1.034</v>
      </c>
      <c r="O31" s="110">
        <f>'Load &amp; loss characteristics'!O29</f>
        <v>1.0409999999999999</v>
      </c>
      <c r="P31" s="110">
        <f>'Load &amp; loss characteristics'!P29</f>
        <v>1.0409999999999999</v>
      </c>
      <c r="Q31" s="110">
        <f>'Load &amp; loss characteristics'!Q29</f>
        <v>1.054</v>
      </c>
      <c r="R31" s="110">
        <f>'Load &amp; loss characteristics'!R29</f>
        <v>1.071</v>
      </c>
      <c r="S31" s="110">
        <f>'Load &amp; loss characteristics'!S29</f>
        <v>1.093</v>
      </c>
      <c r="T31" s="69"/>
      <c r="U31" s="69"/>
    </row>
    <row r="32" spans="3:25" x14ac:dyDescent="0.25">
      <c r="E32" t="s">
        <v>571</v>
      </c>
      <c r="F32" s="167"/>
      <c r="G32" s="23" t="s">
        <v>167</v>
      </c>
      <c r="H32" s="3"/>
      <c r="I32" s="3"/>
      <c r="J32" s="168"/>
      <c r="K32" s="169">
        <f>'Load &amp; loss characteristics'!$K$23</f>
        <v>5.649040831841079E-2</v>
      </c>
      <c r="L32" s="170"/>
      <c r="M32" s="170"/>
      <c r="N32" s="170"/>
      <c r="O32" s="170"/>
      <c r="P32" s="168"/>
      <c r="Q32" s="170"/>
      <c r="R32" s="170"/>
      <c r="S32" s="170"/>
      <c r="T32" s="168"/>
      <c r="U32" s="168"/>
      <c r="Y32" s="171"/>
    </row>
    <row r="33" spans="3:23" x14ac:dyDescent="0.25">
      <c r="E33" t="s">
        <v>572</v>
      </c>
      <c r="F33" s="109"/>
      <c r="G33" s="23" t="s">
        <v>167</v>
      </c>
      <c r="H33" s="3"/>
      <c r="I33" s="3"/>
      <c r="J33" s="60"/>
      <c r="K33" s="166">
        <f xml:space="preserve"> 1 / (1 + K32)</f>
        <v>0.946530126659337</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control'!$H$36:$H$59,MATCH($A$1,'Version control'!$F$36:$F$59,0),1)&amp;"-C: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172</v>
      </c>
      <c r="H40" s="3"/>
      <c r="I40" s="3" t="s">
        <v>154</v>
      </c>
      <c r="J40" s="69"/>
      <c r="K40" s="172">
        <f t="shared" ref="K40:S40" si="0">$H$39 * $K$33 / K31</f>
        <v>473.26506332966852</v>
      </c>
      <c r="L40" s="172">
        <f t="shared" si="0"/>
        <v>469.97523667295786</v>
      </c>
      <c r="M40" s="172">
        <f t="shared" si="0"/>
        <v>468.1157896435891</v>
      </c>
      <c r="N40" s="172">
        <f t="shared" si="0"/>
        <v>457.70315602482447</v>
      </c>
      <c r="O40" s="172">
        <f t="shared" si="0"/>
        <v>454.62542106596402</v>
      </c>
      <c r="P40" s="172">
        <f t="shared" si="0"/>
        <v>454.62542106596402</v>
      </c>
      <c r="Q40" s="172">
        <f t="shared" si="0"/>
        <v>449.01808665053937</v>
      </c>
      <c r="R40" s="172">
        <f t="shared" si="0"/>
        <v>441.89081543386419</v>
      </c>
      <c r="S40" s="172">
        <f t="shared" si="0"/>
        <v>432.99639828880925</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control'!$H$36:$H$59,MATCH($A$1,'Version control'!$F$36:$F$59,0),1)&amp;"-D: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281</v>
      </c>
      <c r="G46" s="23" t="s">
        <v>167</v>
      </c>
      <c r="H46" s="3"/>
      <c r="I46" s="3"/>
      <c r="J46" s="170"/>
      <c r="K46" s="170"/>
      <c r="L46" s="170"/>
      <c r="M46" s="170"/>
      <c r="N46" s="170"/>
      <c r="O46" s="170"/>
      <c r="P46" s="169">
        <f>'Inputs by network level'!P17</f>
        <v>0.69256562916818787</v>
      </c>
      <c r="Q46" s="170"/>
      <c r="R46" s="170"/>
      <c r="S46" s="170"/>
      <c r="T46" s="170"/>
      <c r="U46" s="170"/>
      <c r="W46" s="3"/>
    </row>
    <row r="47" spans="3:23" x14ac:dyDescent="0.25">
      <c r="E47" s="23" t="s">
        <v>577</v>
      </c>
      <c r="G47" s="23" t="s">
        <v>167</v>
      </c>
      <c r="H47" s="3"/>
      <c r="I47" s="3"/>
      <c r="J47" s="170"/>
      <c r="K47" s="170"/>
      <c r="L47" s="170"/>
      <c r="M47" s="166">
        <f>IF(M46 = "", 1 - $P$46, M46)</f>
        <v>0.30743437083181213</v>
      </c>
      <c r="N47" s="166">
        <f>IF(N46 = "", 1 - $P$46, N46)</f>
        <v>0.30743437083181213</v>
      </c>
      <c r="O47" s="166">
        <f>IF(O46 = "", 1 - $P$46, O46)</f>
        <v>0.30743437083181213</v>
      </c>
      <c r="P47" s="166">
        <f>IF(P46 = "", 1 - $P$46, P46)</f>
        <v>0.69256562916818787</v>
      </c>
      <c r="Q47" s="170"/>
      <c r="R47" s="170"/>
      <c r="S47" s="170"/>
      <c r="T47" s="170"/>
      <c r="U47" s="170"/>
      <c r="W47" s="3"/>
    </row>
    <row r="48" spans="3:23" x14ac:dyDescent="0.25">
      <c r="E48" s="23" t="s">
        <v>578</v>
      </c>
      <c r="G48" s="23" t="s">
        <v>172</v>
      </c>
      <c r="H48" s="3"/>
      <c r="I48" s="3"/>
      <c r="J48" s="69"/>
      <c r="K48" s="88">
        <f t="shared" ref="K48:S48" si="1">IF(K47 = "", K40, K47 * K40)</f>
        <v>473.26506332966852</v>
      </c>
      <c r="L48" s="88">
        <f t="shared" si="1"/>
        <v>469.97523667295786</v>
      </c>
      <c r="M48" s="88">
        <f t="shared" si="1"/>
        <v>143.91488326551374</v>
      </c>
      <c r="N48" s="88">
        <f t="shared" si="1"/>
        <v>140.71368180022665</v>
      </c>
      <c r="O48" s="88">
        <f t="shared" si="1"/>
        <v>139.76748028956231</v>
      </c>
      <c r="P48" s="88">
        <f t="shared" si="1"/>
        <v>314.85794077640168</v>
      </c>
      <c r="Q48" s="88">
        <f t="shared" si="1"/>
        <v>449.01808665053937</v>
      </c>
      <c r="R48" s="88">
        <f t="shared" si="1"/>
        <v>441.89081543386419</v>
      </c>
      <c r="S48" s="88">
        <f t="shared" si="1"/>
        <v>432.99639828880925</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control'!$H$36:$H$59,MATCH($A$1,'Version control'!$F$36:$F$59,0),1)&amp;"-E: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277</v>
      </c>
      <c r="H54" s="3"/>
      <c r="I54" s="3"/>
      <c r="J54" s="69"/>
      <c r="K54" s="69"/>
      <c r="L54" s="110">
        <f>'Inputs by network level'!L33</f>
        <v>52351668.257857002</v>
      </c>
      <c r="M54" s="110">
        <f>'Inputs by network level'!M33</f>
        <v>12394111.152143944</v>
      </c>
      <c r="N54" s="110">
        <f>'Inputs by network level'!N33</f>
        <v>12597790.288510997</v>
      </c>
      <c r="O54" s="110">
        <f>'Inputs by network level'!O33</f>
        <v>24284610.94556376</v>
      </c>
      <c r="P54" s="110">
        <f>'Inputs by network level'!P33</f>
        <v>25926729.677932981</v>
      </c>
      <c r="Q54" s="110">
        <f>'Inputs by network level'!Q33</f>
        <v>154966442.12460211</v>
      </c>
      <c r="R54" s="110">
        <f>'Inputs by network level'!R33</f>
        <v>75500847.569057524</v>
      </c>
      <c r="S54" s="110">
        <f>'Inputs by network level'!S33</f>
        <v>173310019.94654039</v>
      </c>
      <c r="T54" s="69"/>
      <c r="U54" s="69"/>
      <c r="W54" s="3"/>
    </row>
    <row r="55" spans="2:23" x14ac:dyDescent="0.25">
      <c r="E55" t="s">
        <v>581</v>
      </c>
      <c r="F55" s="167"/>
      <c r="G55" s="23" t="s">
        <v>582</v>
      </c>
      <c r="H55" s="3"/>
      <c r="I55" s="3"/>
      <c r="J55" s="69"/>
      <c r="K55" s="69"/>
      <c r="L55" s="88">
        <f t="shared" ref="L55:S55" si="2">IF(L48 = 0, 0, L54 / (L48 * thousand))</f>
        <v>111.39239724302115</v>
      </c>
      <c r="M55" s="88">
        <f t="shared" si="2"/>
        <v>86.1211215331885</v>
      </c>
      <c r="N55" s="88">
        <f t="shared" si="2"/>
        <v>89.527827907994549</v>
      </c>
      <c r="O55" s="88">
        <f t="shared" si="2"/>
        <v>173.75008045685794</v>
      </c>
      <c r="P55" s="88">
        <f t="shared" si="2"/>
        <v>82.34421407318105</v>
      </c>
      <c r="Q55" s="88">
        <f t="shared" si="2"/>
        <v>345.1229398810587</v>
      </c>
      <c r="R55" s="88">
        <f t="shared" si="2"/>
        <v>170.85860337451933</v>
      </c>
      <c r="S55" s="88">
        <f t="shared" si="2"/>
        <v>400.25741699343735</v>
      </c>
      <c r="T55" s="69"/>
      <c r="U55" s="69"/>
      <c r="W55" s="3"/>
    </row>
    <row r="56" spans="2:23" x14ac:dyDescent="0.25">
      <c r="E56" t="s">
        <v>583</v>
      </c>
      <c r="F56" s="167"/>
      <c r="G56" s="23" t="s">
        <v>584</v>
      </c>
      <c r="H56" s="3"/>
      <c r="I56" s="3" t="s">
        <v>154</v>
      </c>
      <c r="J56" s="69"/>
      <c r="K56" s="69"/>
      <c r="L56" s="88">
        <f t="shared" ref="L56:S56" si="3">L55 * $H$25</f>
        <v>5.0078304360215355</v>
      </c>
      <c r="M56" s="88">
        <f t="shared" si="3"/>
        <v>3.8717182166149238</v>
      </c>
      <c r="N56" s="88">
        <f t="shared" si="3"/>
        <v>4.0248723662030921</v>
      </c>
      <c r="O56" s="88">
        <f t="shared" si="3"/>
        <v>7.8112237702789642</v>
      </c>
      <c r="P56" s="88">
        <f t="shared" si="3"/>
        <v>3.7019210616888309</v>
      </c>
      <c r="Q56" s="88">
        <f t="shared" si="3"/>
        <v>15.515575616305153</v>
      </c>
      <c r="R56" s="88">
        <f t="shared" si="3"/>
        <v>7.6812326102323452</v>
      </c>
      <c r="S56" s="88">
        <f t="shared" si="3"/>
        <v>17.994237709869179</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control'!$H$36:$H$59,MATCH($A$1,'Version control'!$F$36:$F$59,0),1)&amp;"-F: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172</v>
      </c>
      <c r="J64" s="69"/>
      <c r="K64" s="110">
        <f t="array" ref="K64:S64">TRANSPOSE('System peak demand'!H269:H277)</f>
        <v>4183.0114830936227</v>
      </c>
      <c r="L64" s="110">
        <v>4326.8127152370225</v>
      </c>
      <c r="M64" s="110">
        <v>1251.4495657737687</v>
      </c>
      <c r="N64" s="110">
        <v>1317.7073893255156</v>
      </c>
      <c r="O64" s="110">
        <v>1707.2746985948547</v>
      </c>
      <c r="P64" s="110">
        <v>3898.8330379711724</v>
      </c>
      <c r="Q64" s="110">
        <v>5141.2575909429061</v>
      </c>
      <c r="R64" s="110">
        <v>3657.6709311429622</v>
      </c>
      <c r="S64" s="110">
        <v>2929.950819850334</v>
      </c>
      <c r="T64" s="69"/>
      <c r="U64" s="69"/>
    </row>
    <row r="65" spans="3:24" x14ac:dyDescent="0.25">
      <c r="E65" s="23" t="s">
        <v>589</v>
      </c>
      <c r="F65" s="23"/>
      <c r="G65" s="23" t="s">
        <v>172</v>
      </c>
      <c r="H65" s="92"/>
      <c r="J65" s="88">
        <f>K64</f>
        <v>4183.0114830936227</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4183011.4830936226</v>
      </c>
      <c r="K67" s="88">
        <f t="shared" si="4"/>
        <v>4183011.4830936226</v>
      </c>
      <c r="L67" s="88">
        <f t="shared" si="4"/>
        <v>4326812.7152370224</v>
      </c>
      <c r="M67" s="88">
        <f t="shared" si="4"/>
        <v>1251449.5657737686</v>
      </c>
      <c r="N67" s="88">
        <f t="shared" si="4"/>
        <v>1317707.3893255156</v>
      </c>
      <c r="O67" s="88">
        <f t="shared" si="4"/>
        <v>1707274.6985948547</v>
      </c>
      <c r="P67" s="88">
        <f t="shared" si="4"/>
        <v>3898833.0379711725</v>
      </c>
      <c r="Q67" s="88">
        <f t="shared" si="4"/>
        <v>5141257.5909429062</v>
      </c>
      <c r="R67" s="88">
        <f t="shared" si="4"/>
        <v>3657670.9311429621</v>
      </c>
      <c r="S67" s="88">
        <f t="shared" si="4"/>
        <v>2929950.819850334</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control'!$H$36:$H$59,MATCH($A$1,'Version control'!$F$36:$F$59,0),1)&amp;"-G: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277</v>
      </c>
      <c r="J73" s="69"/>
      <c r="K73" s="69"/>
      <c r="L73" s="88">
        <f t="shared" ref="L73:S73" si="5">L67 * L55</f>
        <v>481974040.77183735</v>
      </c>
      <c r="M73" s="88">
        <f t="shared" si="5"/>
        <v>107776240.1466587</v>
      </c>
      <c r="N73" s="88">
        <f t="shared" si="5"/>
        <v>117971480.38462754</v>
      </c>
      <c r="O73" s="88">
        <f t="shared" si="5"/>
        <v>296639116.24281389</v>
      </c>
      <c r="P73" s="88">
        <f t="shared" si="5"/>
        <v>321046342.31428903</v>
      </c>
      <c r="Q73" s="88">
        <f t="shared" si="5"/>
        <v>1774365934.4720254</v>
      </c>
      <c r="R73" s="88">
        <f t="shared" si="5"/>
        <v>624944546.89866412</v>
      </c>
      <c r="S73" s="88">
        <f t="shared" si="5"/>
        <v>1172734547.0710988</v>
      </c>
      <c r="T73" s="69"/>
      <c r="U73" s="69"/>
      <c r="X73" s="53"/>
    </row>
    <row r="74" spans="3:24" x14ac:dyDescent="0.25">
      <c r="E74" s="23" t="s">
        <v>592</v>
      </c>
      <c r="F74" s="23"/>
      <c r="G74" s="23" t="s">
        <v>277</v>
      </c>
      <c r="J74" s="69"/>
      <c r="K74" s="69"/>
      <c r="L74" s="69"/>
      <c r="M74" s="69"/>
      <c r="N74" s="69"/>
      <c r="O74" s="69"/>
      <c r="P74" s="69"/>
      <c r="Q74" s="69"/>
      <c r="R74" s="69"/>
      <c r="S74" s="69"/>
      <c r="T74" s="110">
        <f>'Service model assets'!H33</f>
        <v>831326455.73620272</v>
      </c>
      <c r="U74" s="110">
        <f>'Service model assets'!H34</f>
        <v>46577178.78506767</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277</v>
      </c>
      <c r="I76" t="s">
        <v>154</v>
      </c>
      <c r="J76" s="69"/>
      <c r="K76" s="88">
        <f t="shared" ref="K76:U76" si="6">K73 + K74</f>
        <v>0</v>
      </c>
      <c r="L76" s="88">
        <f t="shared" si="6"/>
        <v>481974040.77183735</v>
      </c>
      <c r="M76" s="88">
        <f t="shared" si="6"/>
        <v>107776240.1466587</v>
      </c>
      <c r="N76" s="88">
        <f t="shared" si="6"/>
        <v>117971480.38462754</v>
      </c>
      <c r="O76" s="88">
        <f t="shared" si="6"/>
        <v>296639116.24281389</v>
      </c>
      <c r="P76" s="88">
        <f t="shared" si="6"/>
        <v>321046342.31428903</v>
      </c>
      <c r="Q76" s="88">
        <f t="shared" si="6"/>
        <v>1774365934.4720254</v>
      </c>
      <c r="R76" s="88">
        <f t="shared" si="6"/>
        <v>624944546.89866412</v>
      </c>
      <c r="S76" s="88">
        <f t="shared" si="6"/>
        <v>1172734547.0710988</v>
      </c>
      <c r="T76" s="88">
        <f t="shared" si="6"/>
        <v>831326455.73620272</v>
      </c>
      <c r="U76" s="88">
        <f t="shared" si="6"/>
        <v>46577178.78506767</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167</v>
      </c>
      <c r="J78" s="170"/>
      <c r="K78" s="135">
        <f t="shared" ref="K78:U78" si="7">K76 / SUM($K$76:$U$76)</f>
        <v>0</v>
      </c>
      <c r="L78" s="135">
        <f t="shared" si="7"/>
        <v>8.3453565555205944E-2</v>
      </c>
      <c r="M78" s="135">
        <f t="shared" si="7"/>
        <v>1.8661402402439006E-2</v>
      </c>
      <c r="N78" s="135">
        <f t="shared" si="7"/>
        <v>2.0426703181269087E-2</v>
      </c>
      <c r="O78" s="135">
        <f t="shared" si="7"/>
        <v>5.1362915508819128E-2</v>
      </c>
      <c r="P78" s="135">
        <f t="shared" si="7"/>
        <v>5.5589014569496172E-2</v>
      </c>
      <c r="Q78" s="135">
        <f t="shared" si="7"/>
        <v>0.30723057946078047</v>
      </c>
      <c r="R78" s="135">
        <f t="shared" si="7"/>
        <v>0.10820883761593575</v>
      </c>
      <c r="S78" s="135">
        <f t="shared" si="7"/>
        <v>0.20305840382217399</v>
      </c>
      <c r="T78" s="135">
        <f t="shared" si="7"/>
        <v>0.14394376253222485</v>
      </c>
      <c r="U78" s="135">
        <f t="shared" si="7"/>
        <v>8.064815351655593E-3</v>
      </c>
      <c r="X78" s="53"/>
    </row>
    <row r="79" spans="3:24" x14ac:dyDescent="0.25">
      <c r="E79" s="27"/>
      <c r="L79" s="53"/>
      <c r="M79" s="53"/>
      <c r="N79" s="53"/>
      <c r="O79" s="53"/>
      <c r="P79" s="53"/>
      <c r="Q79" s="53"/>
      <c r="R79" s="53"/>
      <c r="S79" s="53"/>
      <c r="T79" s="53"/>
      <c r="U79" s="53"/>
    </row>
    <row r="80" spans="3:24" x14ac:dyDescent="0.25">
      <c r="C80" s="26" t="str">
        <f ca="1">INDEX('Version control'!$H$36:$H$59,MATCH($A$1,'Version control'!$F$36:$F$59,0),1)&amp;"-H: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169</v>
      </c>
      <c r="F84" s="23"/>
      <c r="G84" s="23" t="s">
        <v>167</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51910347.550715439</v>
      </c>
      <c r="L86" s="53"/>
      <c r="M86" s="53"/>
      <c r="N86" s="53"/>
      <c r="O86" s="53"/>
      <c r="P86" s="53"/>
      <c r="Q86" s="53"/>
      <c r="R86" s="53"/>
      <c r="S86" s="53"/>
      <c r="T86" s="53"/>
      <c r="U86" s="53"/>
    </row>
    <row r="87" spans="3:23" x14ac:dyDescent="0.25">
      <c r="E87" s="23" t="s">
        <v>360</v>
      </c>
      <c r="F87" s="23"/>
      <c r="G87" s="23" t="s">
        <v>356</v>
      </c>
      <c r="H87" s="110">
        <f>'General inputs'!H104</f>
        <v>195431317.47271985</v>
      </c>
      <c r="L87" s="53"/>
      <c r="M87" s="53"/>
      <c r="N87" s="53"/>
      <c r="O87" s="53"/>
      <c r="P87" s="53"/>
      <c r="Q87" s="53"/>
      <c r="R87" s="53"/>
      <c r="S87" s="53"/>
      <c r="T87" s="53"/>
      <c r="U87" s="53"/>
    </row>
    <row r="88" spans="3:23" x14ac:dyDescent="0.25">
      <c r="E88" s="23" t="s">
        <v>361</v>
      </c>
      <c r="F88" s="23"/>
      <c r="G88" s="23" t="s">
        <v>356</v>
      </c>
      <c r="H88" s="110">
        <f>'General inputs'!H105</f>
        <v>33072605.267400634</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202241743.30174798</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control'!$H$36:$H$59,MATCH($A$1,'Version control'!$F$36:$F$59,0),1)&amp;"-I: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154</v>
      </c>
      <c r="J97" s="69"/>
      <c r="K97" s="88">
        <f t="shared" ref="K97:U97" si="8">K78 * $H$90</f>
        <v>0</v>
      </c>
      <c r="L97" s="88">
        <f t="shared" si="8"/>
        <v>16877794.582631558</v>
      </c>
      <c r="M97" s="88">
        <f t="shared" si="8"/>
        <v>3774114.5543246926</v>
      </c>
      <c r="N97" s="88">
        <f t="shared" si="8"/>
        <v>4131132.0612872215</v>
      </c>
      <c r="O97" s="88">
        <f t="shared" si="8"/>
        <v>10387725.573563969</v>
      </c>
      <c r="P97" s="88">
        <f t="shared" si="8"/>
        <v>11242419.214961173</v>
      </c>
      <c r="Q97" s="88">
        <f t="shared" si="8"/>
        <v>62134847.985754453</v>
      </c>
      <c r="R97" s="88">
        <f t="shared" si="8"/>
        <v>21884343.960102607</v>
      </c>
      <c r="S97" s="88">
        <f t="shared" si="8"/>
        <v>41066885.581066795</v>
      </c>
      <c r="T97" s="88">
        <f t="shared" si="8"/>
        <v>29111437.471929986</v>
      </c>
      <c r="U97" s="88">
        <f t="shared" si="8"/>
        <v>1631042.3161255268</v>
      </c>
      <c r="W97" s="3" t="s">
        <v>601</v>
      </c>
    </row>
    <row r="98" spans="2:23" x14ac:dyDescent="0.25">
      <c r="E98" s="23" t="s">
        <v>355</v>
      </c>
      <c r="F98" s="23"/>
      <c r="G98" s="23" t="s">
        <v>356</v>
      </c>
      <c r="H98" s="53"/>
      <c r="I98" s="53"/>
      <c r="J98" s="110">
        <f>'General inputs'!$H$98</f>
        <v>10309583.570449628</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154</v>
      </c>
      <c r="J100" s="88">
        <f t="shared" ref="J100:S100" si="9">IF(J$67 = 0, 0, SUM(J97:J98) / J$67)</f>
        <v>2.4646319074469734</v>
      </c>
      <c r="K100" s="88">
        <f t="shared" si="9"/>
        <v>0</v>
      </c>
      <c r="L100" s="88">
        <f t="shared" si="9"/>
        <v>3.9007453507742116</v>
      </c>
      <c r="M100" s="88">
        <f t="shared" si="9"/>
        <v>3.0157943696206133</v>
      </c>
      <c r="N100" s="88">
        <f t="shared" si="9"/>
        <v>3.1350906086986363</v>
      </c>
      <c r="O100" s="88">
        <f t="shared" si="9"/>
        <v>6.0843902753982242</v>
      </c>
      <c r="P100" s="88">
        <f t="shared" si="9"/>
        <v>2.8835344077240523</v>
      </c>
      <c r="Q100" s="88">
        <f t="shared" si="9"/>
        <v>12.085534888431631</v>
      </c>
      <c r="R100" s="88">
        <f t="shared" si="9"/>
        <v>5.9831363652126326</v>
      </c>
      <c r="S100" s="88">
        <f t="shared" si="9"/>
        <v>14.016237167818588</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control'!$H$36:$H$59,MATCH($A$1,'Version control'!$F$36:$F$59,0),1)&amp;"-J: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277</v>
      </c>
      <c r="J108" s="69"/>
      <c r="K108" s="111">
        <f t="shared" ref="K108:U108" si="10">K76</f>
        <v>0</v>
      </c>
      <c r="L108" s="111">
        <f t="shared" si="10"/>
        <v>481974040.77183735</v>
      </c>
      <c r="M108" s="111">
        <f t="shared" si="10"/>
        <v>107776240.1466587</v>
      </c>
      <c r="N108" s="111">
        <f t="shared" si="10"/>
        <v>117971480.38462754</v>
      </c>
      <c r="O108" s="111">
        <f t="shared" si="10"/>
        <v>296639116.24281389</v>
      </c>
      <c r="P108" s="111">
        <f t="shared" si="10"/>
        <v>321046342.31428903</v>
      </c>
      <c r="Q108" s="111">
        <f t="shared" si="10"/>
        <v>1774365934.4720254</v>
      </c>
      <c r="R108" s="111">
        <f t="shared" si="10"/>
        <v>624944546.89866412</v>
      </c>
      <c r="S108" s="111">
        <f t="shared" si="10"/>
        <v>1172734547.0710988</v>
      </c>
      <c r="T108" s="111">
        <f t="shared" si="10"/>
        <v>831326455.73620272</v>
      </c>
      <c r="U108" s="111">
        <f t="shared" si="10"/>
        <v>46577178.78506767</v>
      </c>
    </row>
    <row r="109" spans="2:23" x14ac:dyDescent="0.25">
      <c r="B109" s="24"/>
    </row>
    <row r="110" spans="2:23" x14ac:dyDescent="0.25">
      <c r="C110" s="26" t="str">
        <f ca="1">INDEX('Version control'!$H$36:$H$59,MATCH($A$1,'Version control'!$F$36:$F$59,0),1)&amp;"-K: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5.0078304360215355</v>
      </c>
      <c r="M114" s="111">
        <f t="shared" si="11"/>
        <v>3.8717182166149238</v>
      </c>
      <c r="N114" s="111">
        <f t="shared" si="11"/>
        <v>4.0248723662030921</v>
      </c>
      <c r="O114" s="111">
        <f t="shared" si="11"/>
        <v>7.8112237702789642</v>
      </c>
      <c r="P114" s="111">
        <f t="shared" si="11"/>
        <v>3.7019210616888309</v>
      </c>
      <c r="Q114" s="111">
        <f t="shared" si="11"/>
        <v>15.515575616305153</v>
      </c>
      <c r="R114" s="111">
        <f t="shared" si="11"/>
        <v>7.6812326102323452</v>
      </c>
      <c r="S114" s="111">
        <f t="shared" si="11"/>
        <v>17.994237709869179</v>
      </c>
      <c r="T114" s="69"/>
      <c r="U114" s="69"/>
    </row>
    <row r="115" spans="2:24" x14ac:dyDescent="0.25">
      <c r="B115" s="24"/>
      <c r="E115" t="s">
        <v>602</v>
      </c>
      <c r="F115" s="23"/>
      <c r="G115" s="23" t="s">
        <v>603</v>
      </c>
      <c r="J115" s="111">
        <f t="shared" ref="J115:S115" si="12">J100</f>
        <v>2.4646319074469734</v>
      </c>
      <c r="K115" s="111">
        <f t="shared" si="12"/>
        <v>0</v>
      </c>
      <c r="L115" s="111">
        <f t="shared" si="12"/>
        <v>3.9007453507742116</v>
      </c>
      <c r="M115" s="111">
        <f t="shared" si="12"/>
        <v>3.0157943696206133</v>
      </c>
      <c r="N115" s="111">
        <f t="shared" si="12"/>
        <v>3.1350906086986363</v>
      </c>
      <c r="O115" s="111">
        <f t="shared" si="12"/>
        <v>6.0843902753982242</v>
      </c>
      <c r="P115" s="111">
        <f t="shared" si="12"/>
        <v>2.8835344077240523</v>
      </c>
      <c r="Q115" s="111">
        <f t="shared" si="12"/>
        <v>12.085534888431631</v>
      </c>
      <c r="R115" s="111">
        <f t="shared" si="12"/>
        <v>5.9831363652126326</v>
      </c>
      <c r="S115" s="111">
        <f t="shared" si="12"/>
        <v>14.016237167818588</v>
      </c>
      <c r="T115" s="69"/>
      <c r="U115" s="69"/>
    </row>
    <row r="116" spans="2:24" x14ac:dyDescent="0.25">
      <c r="B116" s="24"/>
    </row>
    <row r="117" spans="2:24" x14ac:dyDescent="0.25">
      <c r="C117" s="26" t="str">
        <f ca="1">INDEX('Version control'!$H$36:$H$59,MATCH($A$1,'Version control'!$F$36:$F$59,0),1)&amp;"-L: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167</v>
      </c>
      <c r="H121" s="176">
        <f>H25</f>
        <v>4.4956662752271281E-2</v>
      </c>
    </row>
    <row r="122" spans="2:24" x14ac:dyDescent="0.25">
      <c r="B122" s="24"/>
      <c r="C122" s="27"/>
      <c r="E122" t="s">
        <v>597</v>
      </c>
      <c r="F122" s="23"/>
      <c r="G122" s="23" t="s">
        <v>356</v>
      </c>
      <c r="H122" s="111">
        <f>H90</f>
        <v>202241743.30174798</v>
      </c>
    </row>
    <row r="123" spans="2:24" x14ac:dyDescent="0.25">
      <c r="E123" t="s">
        <v>593</v>
      </c>
      <c r="F123" s="23"/>
      <c r="G123" s="23" t="s">
        <v>277</v>
      </c>
      <c r="H123" s="111">
        <f>SUM(K76:U76)</f>
        <v>5775355882.8232851</v>
      </c>
      <c r="X123" s="53"/>
    </row>
    <row r="124" spans="2:24" x14ac:dyDescent="0.25">
      <c r="B124" s="24"/>
      <c r="C124" s="27"/>
    </row>
    <row r="125" spans="2:24" x14ac:dyDescent="0.2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232</v>
      </c>
      <c r="G127" s="6" t="s">
        <v>55</v>
      </c>
      <c r="H127" s="177">
        <f t="array" ref="H127">SUM(IF(ISERROR(H23:U123), 1))</f>
        <v>0</v>
      </c>
    </row>
    <row r="129" spans="2:23" x14ac:dyDescent="0.2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239</v>
      </c>
      <c r="G131" s="6" t="s">
        <v>55</v>
      </c>
      <c r="H131" s="93">
        <f>H127 + H129</f>
        <v>0</v>
      </c>
    </row>
    <row r="133" spans="2:23" x14ac:dyDescent="0.2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25">
      <c r="H6" s="3"/>
      <c r="I6" s="3"/>
      <c r="J6" s="3"/>
      <c r="K6" s="3"/>
      <c r="L6" s="3"/>
      <c r="M6" s="3"/>
      <c r="N6" s="3"/>
      <c r="P6" s="3"/>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control'!$H$36:$H$59,MATCH($A$1,'Version control'!$F$36:$F$59,0),1)&amp;"-A: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154</v>
      </c>
      <c r="AA17" t="s">
        <v>614</v>
      </c>
    </row>
    <row r="18" spans="5:27" x14ac:dyDescent="0.25">
      <c r="F18" s="180" t="s">
        <v>189</v>
      </c>
      <c r="G18" s="54" t="s">
        <v>584</v>
      </c>
      <c r="H18" s="73"/>
    </row>
    <row r="19" spans="5:27" x14ac:dyDescent="0.25">
      <c r="F19" s="181" t="s">
        <v>191</v>
      </c>
      <c r="G19" s="23" t="s">
        <v>584</v>
      </c>
      <c r="H19" s="69"/>
    </row>
    <row r="20" spans="5:27" x14ac:dyDescent="0.25">
      <c r="F20" s="181" t="s">
        <v>192</v>
      </c>
      <c r="G20" s="23" t="s">
        <v>584</v>
      </c>
      <c r="H20" s="184">
        <f t="array" ref="H20:H27">TRANSPOSE('Unit costs'!L114:S114)</f>
        <v>5.0078304360215355</v>
      </c>
    </row>
    <row r="21" spans="5:27" x14ac:dyDescent="0.25">
      <c r="F21" s="181" t="s">
        <v>193</v>
      </c>
      <c r="G21" s="23" t="s">
        <v>584</v>
      </c>
      <c r="H21" s="184">
        <v>3.8717182166149238</v>
      </c>
    </row>
    <row r="22" spans="5:27" x14ac:dyDescent="0.25">
      <c r="F22" s="181" t="s">
        <v>194</v>
      </c>
      <c r="G22" s="23" t="s">
        <v>584</v>
      </c>
      <c r="H22" s="184">
        <v>4.0248723662030921</v>
      </c>
    </row>
    <row r="23" spans="5:27" x14ac:dyDescent="0.25">
      <c r="F23" s="181" t="s">
        <v>195</v>
      </c>
      <c r="G23" s="23" t="s">
        <v>584</v>
      </c>
      <c r="H23" s="184">
        <v>7.8112237702789642</v>
      </c>
    </row>
    <row r="24" spans="5:27" x14ac:dyDescent="0.25">
      <c r="F24" s="181" t="s">
        <v>196</v>
      </c>
      <c r="G24" s="23" t="s">
        <v>584</v>
      </c>
      <c r="H24" s="184">
        <v>3.7019210616888309</v>
      </c>
    </row>
    <row r="25" spans="5:27" x14ac:dyDescent="0.25">
      <c r="F25" s="181" t="s">
        <v>197</v>
      </c>
      <c r="G25" s="23" t="s">
        <v>584</v>
      </c>
      <c r="H25" s="184">
        <v>15.515575616305153</v>
      </c>
    </row>
    <row r="26" spans="5:27" x14ac:dyDescent="0.25">
      <c r="F26" s="181" t="s">
        <v>198</v>
      </c>
      <c r="G26" s="23" t="s">
        <v>584</v>
      </c>
      <c r="H26" s="184">
        <v>7.6812326102323452</v>
      </c>
    </row>
    <row r="27" spans="5:27" x14ac:dyDescent="0.25">
      <c r="F27" s="182" t="s">
        <v>199</v>
      </c>
      <c r="G27" s="57" t="s">
        <v>584</v>
      </c>
      <c r="H27" s="185">
        <v>17.994237709869179</v>
      </c>
    </row>
    <row r="28" spans="5:27" x14ac:dyDescent="0.25">
      <c r="F28" s="181"/>
      <c r="G28" s="23"/>
      <c r="H28" s="110"/>
    </row>
    <row r="29" spans="5:27" x14ac:dyDescent="0.25">
      <c r="E29" s="27" t="s">
        <v>615</v>
      </c>
      <c r="G29" s="23"/>
      <c r="H29" s="79"/>
    </row>
    <row r="30" spans="5:27" x14ac:dyDescent="0.25">
      <c r="F30" s="180" t="s">
        <v>189</v>
      </c>
      <c r="G30" s="54" t="s">
        <v>603</v>
      </c>
      <c r="H30" s="183">
        <f t="array" ref="H30:H39">TRANSPOSE('Unit costs'!J115:S115)</f>
        <v>2.4646319074469734</v>
      </c>
    </row>
    <row r="31" spans="5:27" x14ac:dyDescent="0.25">
      <c r="F31" s="181" t="s">
        <v>191</v>
      </c>
      <c r="G31" s="23" t="s">
        <v>603</v>
      </c>
      <c r="H31" s="184">
        <v>0</v>
      </c>
    </row>
    <row r="32" spans="5:27" x14ac:dyDescent="0.25">
      <c r="F32" s="181" t="s">
        <v>192</v>
      </c>
      <c r="G32" s="23" t="s">
        <v>603</v>
      </c>
      <c r="H32" s="184">
        <v>3.9007453507742116</v>
      </c>
    </row>
    <row r="33" spans="5:16" x14ac:dyDescent="0.25">
      <c r="F33" s="181" t="s">
        <v>193</v>
      </c>
      <c r="G33" s="23" t="s">
        <v>603</v>
      </c>
      <c r="H33" s="184">
        <v>3.0157943696206133</v>
      </c>
      <c r="J33" s="53"/>
      <c r="K33" s="53"/>
      <c r="L33" s="53"/>
      <c r="M33" s="53"/>
      <c r="N33" s="53"/>
    </row>
    <row r="34" spans="5:16" x14ac:dyDescent="0.25">
      <c r="F34" s="181" t="s">
        <v>194</v>
      </c>
      <c r="G34" s="23" t="s">
        <v>603</v>
      </c>
      <c r="H34" s="184">
        <v>3.1350906086986363</v>
      </c>
      <c r="J34" s="53"/>
      <c r="K34" s="53"/>
      <c r="L34" s="53"/>
      <c r="M34" s="53"/>
      <c r="N34" s="53"/>
    </row>
    <row r="35" spans="5:16" x14ac:dyDescent="0.25">
      <c r="F35" s="181" t="s">
        <v>195</v>
      </c>
      <c r="G35" s="23" t="s">
        <v>603</v>
      </c>
      <c r="H35" s="184">
        <v>6.0843902753982242</v>
      </c>
      <c r="J35" s="53"/>
      <c r="K35" s="53"/>
      <c r="L35" s="53"/>
      <c r="M35" s="53"/>
      <c r="N35" s="53"/>
    </row>
    <row r="36" spans="5:16" x14ac:dyDescent="0.25">
      <c r="F36" s="181" t="s">
        <v>196</v>
      </c>
      <c r="G36" s="23" t="s">
        <v>603</v>
      </c>
      <c r="H36" s="184">
        <v>2.8835344077240523</v>
      </c>
      <c r="J36" s="53"/>
      <c r="K36" s="53"/>
      <c r="L36" s="53"/>
      <c r="M36" s="53"/>
      <c r="N36" s="53"/>
    </row>
    <row r="37" spans="5:16" x14ac:dyDescent="0.25">
      <c r="F37" s="181" t="s">
        <v>197</v>
      </c>
      <c r="G37" s="23" t="s">
        <v>603</v>
      </c>
      <c r="H37" s="184">
        <v>12.085534888431631</v>
      </c>
      <c r="J37" s="53"/>
      <c r="K37" s="53"/>
      <c r="L37" s="53"/>
      <c r="M37" s="53"/>
      <c r="N37" s="53"/>
      <c r="O37" s="53"/>
    </row>
    <row r="38" spans="5:16" x14ac:dyDescent="0.25">
      <c r="F38" s="181" t="s">
        <v>198</v>
      </c>
      <c r="G38" s="23" t="s">
        <v>603</v>
      </c>
      <c r="H38" s="184">
        <v>5.9831363652126326</v>
      </c>
      <c r="J38" s="53"/>
      <c r="K38" s="53"/>
      <c r="L38" s="53"/>
      <c r="M38" s="53"/>
      <c r="N38" s="53"/>
      <c r="O38" s="53"/>
    </row>
    <row r="39" spans="5:16" x14ac:dyDescent="0.25">
      <c r="F39" s="182" t="s">
        <v>199</v>
      </c>
      <c r="G39" s="57" t="s">
        <v>603</v>
      </c>
      <c r="H39" s="185">
        <v>14.016237167818588</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189</v>
      </c>
      <c r="G43" s="19" t="s">
        <v>283</v>
      </c>
      <c r="H43" s="114">
        <f t="array" ref="H43:H52">TRANSPOSE('Load &amp; loss characteristics'!J29:S29)</f>
        <v>1</v>
      </c>
      <c r="I43" s="3"/>
      <c r="J43" s="53"/>
      <c r="K43" s="53"/>
      <c r="L43" s="53"/>
      <c r="M43" s="53"/>
      <c r="N43" s="53"/>
      <c r="O43" s="53"/>
    </row>
    <row r="44" spans="5:16" x14ac:dyDescent="0.25">
      <c r="F44" t="s">
        <v>191</v>
      </c>
      <c r="G44" t="s">
        <v>283</v>
      </c>
      <c r="H44" s="110">
        <v>1</v>
      </c>
      <c r="I44" s="3"/>
      <c r="J44" s="53"/>
      <c r="K44" s="53"/>
      <c r="L44" s="53"/>
      <c r="M44" s="53"/>
      <c r="N44" s="53"/>
      <c r="O44" s="53"/>
    </row>
    <row r="45" spans="5:16" x14ac:dyDescent="0.25">
      <c r="F45" t="s">
        <v>192</v>
      </c>
      <c r="G45" t="s">
        <v>283</v>
      </c>
      <c r="H45" s="110">
        <v>1.0069999999999999</v>
      </c>
      <c r="I45" s="3"/>
      <c r="J45" s="53"/>
      <c r="K45" s="53"/>
      <c r="L45" s="53"/>
      <c r="M45" s="53"/>
      <c r="N45" s="53"/>
      <c r="O45" s="53"/>
    </row>
    <row r="46" spans="5:16" x14ac:dyDescent="0.25">
      <c r="F46" t="s">
        <v>193</v>
      </c>
      <c r="G46" t="s">
        <v>283</v>
      </c>
      <c r="H46" s="110">
        <v>1.0109999999999999</v>
      </c>
      <c r="J46" s="53"/>
      <c r="K46" s="53"/>
      <c r="L46" s="53"/>
      <c r="M46" s="53"/>
      <c r="N46" s="53"/>
      <c r="O46" s="53"/>
    </row>
    <row r="47" spans="5:16" x14ac:dyDescent="0.25">
      <c r="F47" t="s">
        <v>194</v>
      </c>
      <c r="G47" t="s">
        <v>283</v>
      </c>
      <c r="H47" s="110">
        <v>1.034</v>
      </c>
      <c r="I47" s="3"/>
      <c r="J47" s="53"/>
      <c r="K47" s="53"/>
      <c r="L47" s="53"/>
      <c r="M47" s="53"/>
      <c r="N47" s="53"/>
      <c r="O47" s="53"/>
    </row>
    <row r="48" spans="5:16" x14ac:dyDescent="0.25">
      <c r="F48" t="s">
        <v>195</v>
      </c>
      <c r="G48" t="s">
        <v>283</v>
      </c>
      <c r="H48" s="110">
        <v>1.0409999999999999</v>
      </c>
      <c r="I48" s="3"/>
      <c r="J48" s="53"/>
      <c r="K48" s="53"/>
      <c r="L48" s="53"/>
      <c r="M48" s="53"/>
      <c r="N48" s="53"/>
      <c r="O48" s="53"/>
    </row>
    <row r="49" spans="4:25" x14ac:dyDescent="0.25">
      <c r="F49" t="s">
        <v>196</v>
      </c>
      <c r="G49" t="s">
        <v>283</v>
      </c>
      <c r="H49" s="110">
        <v>1.0409999999999999</v>
      </c>
      <c r="I49" s="3"/>
      <c r="J49" s="53"/>
      <c r="K49" s="53"/>
      <c r="L49" s="53"/>
      <c r="M49" s="53"/>
      <c r="N49" s="53"/>
      <c r="O49" s="53"/>
    </row>
    <row r="50" spans="4:25" x14ac:dyDescent="0.25">
      <c r="F50" t="s">
        <v>197</v>
      </c>
      <c r="G50" t="s">
        <v>283</v>
      </c>
      <c r="H50" s="110">
        <v>1.054</v>
      </c>
      <c r="J50" s="53"/>
      <c r="K50" s="53"/>
      <c r="L50" s="53"/>
      <c r="M50" s="53"/>
      <c r="N50" s="53"/>
      <c r="O50" s="53"/>
    </row>
    <row r="51" spans="4:25" x14ac:dyDescent="0.25">
      <c r="F51" t="s">
        <v>198</v>
      </c>
      <c r="G51" t="s">
        <v>283</v>
      </c>
      <c r="H51" s="110">
        <v>1.071</v>
      </c>
      <c r="I51" s="3"/>
      <c r="J51" s="53"/>
      <c r="K51" s="53"/>
      <c r="L51" s="53"/>
      <c r="M51" s="53"/>
      <c r="N51" s="53"/>
      <c r="O51" s="53"/>
    </row>
    <row r="52" spans="4:25" x14ac:dyDescent="0.25">
      <c r="F52" s="28" t="s">
        <v>199</v>
      </c>
      <c r="G52" s="28" t="s">
        <v>283</v>
      </c>
      <c r="H52" s="115">
        <v>1.093</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189</v>
      </c>
      <c r="G55" s="19" t="s">
        <v>283</v>
      </c>
      <c r="H55" s="19"/>
      <c r="I55" s="19"/>
      <c r="J55" s="183">
        <f t="array" ref="J55:Y64">TRANSPOSE('Load &amp; loss characteristics'!J145:S160)</f>
        <v>1.093</v>
      </c>
      <c r="K55" s="183">
        <v>1.093</v>
      </c>
      <c r="L55" s="183">
        <v>1.093</v>
      </c>
      <c r="M55" s="183">
        <v>1.093</v>
      </c>
      <c r="N55" s="183">
        <v>1.093</v>
      </c>
      <c r="O55" s="183">
        <v>1.071</v>
      </c>
      <c r="P55" s="183">
        <v>1.054</v>
      </c>
      <c r="Q55" s="183">
        <v>1.093</v>
      </c>
      <c r="R55" s="183">
        <v>-1.093</v>
      </c>
      <c r="S55" s="183">
        <v>-1.071</v>
      </c>
      <c r="T55" s="183">
        <v>-1.093</v>
      </c>
      <c r="U55" s="183">
        <v>-1.093</v>
      </c>
      <c r="V55" s="183">
        <v>-1.071</v>
      </c>
      <c r="W55" s="183">
        <v>-1.071</v>
      </c>
      <c r="X55" s="183">
        <v>-1.054</v>
      </c>
      <c r="Y55" s="183">
        <v>-1.054</v>
      </c>
    </row>
    <row r="56" spans="4:25" x14ac:dyDescent="0.25">
      <c r="D56" s="27"/>
      <c r="E56" s="27"/>
      <c r="F56" s="181" t="s">
        <v>191</v>
      </c>
      <c r="G56" t="s">
        <v>283</v>
      </c>
      <c r="J56" s="184">
        <v>1.093</v>
      </c>
      <c r="K56" s="184">
        <v>1.093</v>
      </c>
      <c r="L56" s="184">
        <v>1.093</v>
      </c>
      <c r="M56" s="184">
        <v>1.093</v>
      </c>
      <c r="N56" s="184">
        <v>1.093</v>
      </c>
      <c r="O56" s="184">
        <v>1.071</v>
      </c>
      <c r="P56" s="184">
        <v>1.054</v>
      </c>
      <c r="Q56" s="184">
        <v>1.093</v>
      </c>
      <c r="R56" s="184">
        <v>-1.093</v>
      </c>
      <c r="S56" s="184">
        <v>-1.071</v>
      </c>
      <c r="T56" s="184">
        <v>-1.093</v>
      </c>
      <c r="U56" s="184">
        <v>-1.093</v>
      </c>
      <c r="V56" s="184">
        <v>-1.071</v>
      </c>
      <c r="W56" s="184">
        <v>-1.071</v>
      </c>
      <c r="X56" s="184">
        <v>-1.054</v>
      </c>
      <c r="Y56" s="184">
        <v>-1.054</v>
      </c>
    </row>
    <row r="57" spans="4:25" x14ac:dyDescent="0.25">
      <c r="D57" s="27"/>
      <c r="E57" s="27"/>
      <c r="F57" s="181" t="s">
        <v>192</v>
      </c>
      <c r="G57" t="s">
        <v>283</v>
      </c>
      <c r="J57" s="184">
        <v>1.093</v>
      </c>
      <c r="K57" s="184">
        <v>1.093</v>
      </c>
      <c r="L57" s="184">
        <v>1.093</v>
      </c>
      <c r="M57" s="184">
        <v>1.093</v>
      </c>
      <c r="N57" s="184">
        <v>1.093</v>
      </c>
      <c r="O57" s="184">
        <v>1.071</v>
      </c>
      <c r="P57" s="184">
        <v>1.054</v>
      </c>
      <c r="Q57" s="184">
        <v>1.093</v>
      </c>
      <c r="R57" s="184">
        <v>-1.093</v>
      </c>
      <c r="S57" s="184">
        <v>-1.071</v>
      </c>
      <c r="T57" s="184">
        <v>-1.093</v>
      </c>
      <c r="U57" s="184">
        <v>-1.093</v>
      </c>
      <c r="V57" s="184">
        <v>-1.071</v>
      </c>
      <c r="W57" s="184">
        <v>-1.071</v>
      </c>
      <c r="X57" s="184">
        <v>-1.054</v>
      </c>
      <c r="Y57" s="184">
        <v>-1.054</v>
      </c>
    </row>
    <row r="58" spans="4:25" x14ac:dyDescent="0.25">
      <c r="D58" s="27"/>
      <c r="E58" s="27"/>
      <c r="F58" s="181" t="s">
        <v>193</v>
      </c>
      <c r="G58" t="s">
        <v>283</v>
      </c>
      <c r="J58" s="184">
        <v>0.33602576731917067</v>
      </c>
      <c r="K58" s="184">
        <v>0.33602576731917067</v>
      </c>
      <c r="L58" s="184">
        <v>0.33602576731917067</v>
      </c>
      <c r="M58" s="184">
        <v>0.33602576731917067</v>
      </c>
      <c r="N58" s="184">
        <v>0.33602576731917067</v>
      </c>
      <c r="O58" s="184">
        <v>0.32926221116087079</v>
      </c>
      <c r="P58" s="184">
        <v>0.32403582685672999</v>
      </c>
      <c r="Q58" s="184">
        <v>0.33602576731917067</v>
      </c>
      <c r="R58" s="184">
        <v>-0.33602576731917067</v>
      </c>
      <c r="S58" s="184">
        <v>-0.32926221116087079</v>
      </c>
      <c r="T58" s="184">
        <v>-0.33602576731917067</v>
      </c>
      <c r="U58" s="184">
        <v>-0.33602576731917067</v>
      </c>
      <c r="V58" s="184">
        <v>-0.32926221116087079</v>
      </c>
      <c r="W58" s="184">
        <v>-0.32926221116087079</v>
      </c>
      <c r="X58" s="184">
        <v>-0.32403582685672999</v>
      </c>
      <c r="Y58" s="184">
        <v>-0.32403582685672999</v>
      </c>
    </row>
    <row r="59" spans="4:25" x14ac:dyDescent="0.25">
      <c r="D59" s="27"/>
      <c r="E59" s="27"/>
      <c r="F59" s="181" t="s">
        <v>194</v>
      </c>
      <c r="G59" t="s">
        <v>283</v>
      </c>
      <c r="J59" s="184">
        <v>0.33602576731917067</v>
      </c>
      <c r="K59" s="184">
        <v>0.33602576731917067</v>
      </c>
      <c r="L59" s="184">
        <v>0.33602576731917067</v>
      </c>
      <c r="M59" s="184">
        <v>0.33602576731917067</v>
      </c>
      <c r="N59" s="184">
        <v>0.33602576731917067</v>
      </c>
      <c r="O59" s="184">
        <v>0.32926221116087079</v>
      </c>
      <c r="P59" s="184">
        <v>0.32403582685672999</v>
      </c>
      <c r="Q59" s="184">
        <v>0.33602576731917067</v>
      </c>
      <c r="R59" s="184">
        <v>-0.33602576731917067</v>
      </c>
      <c r="S59" s="184">
        <v>-0.32926221116087079</v>
      </c>
      <c r="T59" s="184">
        <v>-0.33602576731917067</v>
      </c>
      <c r="U59" s="184">
        <v>-0.33602576731917067</v>
      </c>
      <c r="V59" s="184">
        <v>-0.32926221116087079</v>
      </c>
      <c r="W59" s="184">
        <v>-0.32926221116087079</v>
      </c>
      <c r="X59" s="184">
        <v>-0.32403582685672999</v>
      </c>
      <c r="Y59" s="184">
        <v>-0.32403582685672999</v>
      </c>
    </row>
    <row r="60" spans="4:25" x14ac:dyDescent="0.25">
      <c r="D60" s="27"/>
      <c r="E60" s="27"/>
      <c r="F60" s="181" t="s">
        <v>195</v>
      </c>
      <c r="G60" t="s">
        <v>283</v>
      </c>
      <c r="J60" s="184">
        <v>0.33602576731917067</v>
      </c>
      <c r="K60" s="184">
        <v>0.33602576731917067</v>
      </c>
      <c r="L60" s="184">
        <v>0.33602576731917067</v>
      </c>
      <c r="M60" s="184">
        <v>0.33602576731917067</v>
      </c>
      <c r="N60" s="184">
        <v>0.33602576731917067</v>
      </c>
      <c r="O60" s="184">
        <v>0.32926221116087079</v>
      </c>
      <c r="P60" s="184">
        <v>0.32403582685672999</v>
      </c>
      <c r="Q60" s="184">
        <v>0.33602576731917067</v>
      </c>
      <c r="R60" s="184">
        <v>-0.33602576731917067</v>
      </c>
      <c r="S60" s="184">
        <v>-0.32926221116087079</v>
      </c>
      <c r="T60" s="184">
        <v>-0.33602576731917067</v>
      </c>
      <c r="U60" s="184">
        <v>-0.33602576731917067</v>
      </c>
      <c r="V60" s="184">
        <v>-0.32926221116087079</v>
      </c>
      <c r="W60" s="184">
        <v>-0.32926221116087079</v>
      </c>
      <c r="X60" s="184">
        <v>-0.32403582685672999</v>
      </c>
      <c r="Y60" s="184">
        <v>-0.32403582685672999</v>
      </c>
    </row>
    <row r="61" spans="4:25" x14ac:dyDescent="0.25">
      <c r="D61" s="27"/>
      <c r="E61" s="27"/>
      <c r="F61" s="181" t="s">
        <v>196</v>
      </c>
      <c r="G61" t="s">
        <v>283</v>
      </c>
      <c r="J61" s="184">
        <v>0.75697423268082931</v>
      </c>
      <c r="K61" s="184">
        <v>0.75697423268082931</v>
      </c>
      <c r="L61" s="184">
        <v>0.75697423268082931</v>
      </c>
      <c r="M61" s="184">
        <v>0.75697423268082931</v>
      </c>
      <c r="N61" s="184">
        <v>0.75697423268082931</v>
      </c>
      <c r="O61" s="184">
        <v>0.74173778883912922</v>
      </c>
      <c r="P61" s="184">
        <v>0.72996417314327</v>
      </c>
      <c r="Q61" s="184">
        <v>0.75697423268082931</v>
      </c>
      <c r="R61" s="184">
        <v>-0.75697423268082931</v>
      </c>
      <c r="S61" s="184">
        <v>-0.74173778883912922</v>
      </c>
      <c r="T61" s="184">
        <v>-0.75697423268082931</v>
      </c>
      <c r="U61" s="184">
        <v>-0.75697423268082931</v>
      </c>
      <c r="V61" s="184">
        <v>-0.74173778883912922</v>
      </c>
      <c r="W61" s="184">
        <v>-0.74173778883912922</v>
      </c>
      <c r="X61" s="184">
        <v>-0.72996417314327</v>
      </c>
      <c r="Y61" s="184">
        <v>-0.72996417314327</v>
      </c>
    </row>
    <row r="62" spans="4:25" x14ac:dyDescent="0.25">
      <c r="D62" s="27"/>
      <c r="E62" s="27"/>
      <c r="F62" s="181" t="s">
        <v>197</v>
      </c>
      <c r="G62" t="s">
        <v>283</v>
      </c>
      <c r="J62" s="184">
        <v>1.093</v>
      </c>
      <c r="K62" s="184">
        <v>1.093</v>
      </c>
      <c r="L62" s="184">
        <v>1.093</v>
      </c>
      <c r="M62" s="184">
        <v>1.093</v>
      </c>
      <c r="N62" s="184">
        <v>1.093</v>
      </c>
      <c r="O62" s="184">
        <v>1.071</v>
      </c>
      <c r="P62" s="184">
        <v>1.054</v>
      </c>
      <c r="Q62" s="184">
        <v>1.093</v>
      </c>
      <c r="R62" s="184">
        <v>-1.093</v>
      </c>
      <c r="S62" s="184">
        <v>-1.071</v>
      </c>
      <c r="T62" s="184">
        <v>-1.093</v>
      </c>
      <c r="U62" s="184">
        <v>-1.093</v>
      </c>
      <c r="V62" s="184">
        <v>-1.071</v>
      </c>
      <c r="W62" s="184">
        <v>-1.071</v>
      </c>
      <c r="X62" s="184">
        <v>0</v>
      </c>
      <c r="Y62" s="184">
        <v>0</v>
      </c>
    </row>
    <row r="63" spans="4:25" x14ac:dyDescent="0.25">
      <c r="D63" s="27"/>
      <c r="E63" s="27"/>
      <c r="F63" s="181" t="s">
        <v>198</v>
      </c>
      <c r="G63" t="s">
        <v>283</v>
      </c>
      <c r="J63" s="184">
        <v>1.093</v>
      </c>
      <c r="K63" s="184">
        <v>1.093</v>
      </c>
      <c r="L63" s="184">
        <v>1.093</v>
      </c>
      <c r="M63" s="184">
        <v>1.093</v>
      </c>
      <c r="N63" s="184">
        <v>1.093</v>
      </c>
      <c r="O63" s="184">
        <v>1.071</v>
      </c>
      <c r="P63" s="184">
        <v>0</v>
      </c>
      <c r="Q63" s="184">
        <v>1.093</v>
      </c>
      <c r="R63" s="184">
        <v>-1.093</v>
      </c>
      <c r="S63" s="184">
        <v>0</v>
      </c>
      <c r="T63" s="184">
        <v>-1.093</v>
      </c>
      <c r="U63" s="184">
        <v>-1.093</v>
      </c>
      <c r="V63" s="184">
        <v>0</v>
      </c>
      <c r="W63" s="184">
        <v>0</v>
      </c>
      <c r="X63" s="184">
        <v>0</v>
      </c>
      <c r="Y63" s="184">
        <v>0</v>
      </c>
    </row>
    <row r="64" spans="4:25" x14ac:dyDescent="0.25">
      <c r="D64" s="27"/>
      <c r="E64" s="27"/>
      <c r="F64" s="182" t="s">
        <v>199</v>
      </c>
      <c r="G64" s="28" t="s">
        <v>283</v>
      </c>
      <c r="H64" s="28"/>
      <c r="I64" s="28"/>
      <c r="J64" s="185">
        <v>1.093</v>
      </c>
      <c r="K64" s="185">
        <v>1.093</v>
      </c>
      <c r="L64" s="185">
        <v>1.093</v>
      </c>
      <c r="M64" s="185">
        <v>1.093</v>
      </c>
      <c r="N64" s="185">
        <v>1.093</v>
      </c>
      <c r="O64" s="185">
        <v>0</v>
      </c>
      <c r="P64" s="185">
        <v>0</v>
      </c>
      <c r="Q64" s="185">
        <v>1.093</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2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193</v>
      </c>
      <c r="G70" s="23" t="s">
        <v>167</v>
      </c>
      <c r="J70" s="184">
        <v>0</v>
      </c>
      <c r="K70" s="184">
        <v>0</v>
      </c>
      <c r="L70" s="184">
        <v>0</v>
      </c>
      <c r="M70" s="184">
        <v>0</v>
      </c>
      <c r="N70" s="184">
        <v>0</v>
      </c>
      <c r="O70" s="184">
        <v>0</v>
      </c>
      <c r="P70" s="184">
        <v>0</v>
      </c>
      <c r="Q70" s="184">
        <v>0</v>
      </c>
      <c r="R70" s="184">
        <v>0</v>
      </c>
      <c r="S70" s="184">
        <v>0</v>
      </c>
      <c r="T70" s="184">
        <v>0</v>
      </c>
      <c r="U70" s="184">
        <v>0</v>
      </c>
      <c r="V70" s="184">
        <v>0</v>
      </c>
      <c r="W70" s="184">
        <v>0</v>
      </c>
      <c r="X70" s="184">
        <v>0</v>
      </c>
      <c r="Y70" s="184">
        <v>0</v>
      </c>
    </row>
    <row r="71" spans="3:25" x14ac:dyDescent="0.25">
      <c r="D71" s="27"/>
      <c r="E71" s="27"/>
      <c r="F71" s="181" t="s">
        <v>194</v>
      </c>
      <c r="G71" s="23" t="s">
        <v>167</v>
      </c>
      <c r="J71" s="184">
        <v>0</v>
      </c>
      <c r="K71" s="184">
        <v>0</v>
      </c>
      <c r="L71" s="184">
        <v>0</v>
      </c>
      <c r="M71" s="184">
        <v>0</v>
      </c>
      <c r="N71" s="184">
        <v>0</v>
      </c>
      <c r="O71" s="184">
        <v>0</v>
      </c>
      <c r="P71" s="184">
        <v>0</v>
      </c>
      <c r="Q71" s="184">
        <v>0</v>
      </c>
      <c r="R71" s="184">
        <v>0</v>
      </c>
      <c r="S71" s="184">
        <v>0</v>
      </c>
      <c r="T71" s="184">
        <v>0</v>
      </c>
      <c r="U71" s="184">
        <v>0</v>
      </c>
      <c r="V71" s="184">
        <v>0</v>
      </c>
      <c r="W71" s="184">
        <v>0</v>
      </c>
      <c r="X71" s="184">
        <v>0</v>
      </c>
      <c r="Y71" s="184">
        <v>0</v>
      </c>
    </row>
    <row r="72" spans="3:25" x14ac:dyDescent="0.25">
      <c r="D72" s="27"/>
      <c r="E72" s="27"/>
      <c r="F72" s="181" t="s">
        <v>195</v>
      </c>
      <c r="G72" s="23" t="s">
        <v>167</v>
      </c>
      <c r="J72" s="184">
        <v>0</v>
      </c>
      <c r="K72" s="184">
        <v>0</v>
      </c>
      <c r="L72" s="184">
        <v>0</v>
      </c>
      <c r="M72" s="184">
        <v>0</v>
      </c>
      <c r="N72" s="184">
        <v>0</v>
      </c>
      <c r="O72" s="184">
        <v>0</v>
      </c>
      <c r="P72" s="184">
        <v>0.25764106948138837</v>
      </c>
      <c r="Q72" s="184">
        <v>0</v>
      </c>
      <c r="R72" s="184">
        <v>0</v>
      </c>
      <c r="S72" s="184">
        <v>0</v>
      </c>
      <c r="T72" s="184">
        <v>0</v>
      </c>
      <c r="U72" s="184">
        <v>0</v>
      </c>
      <c r="V72" s="184">
        <v>0</v>
      </c>
      <c r="W72" s="184">
        <v>0</v>
      </c>
      <c r="X72" s="184">
        <v>0.25764106948138837</v>
      </c>
      <c r="Y72" s="184">
        <v>0.25764106948138837</v>
      </c>
    </row>
    <row r="73" spans="3:25" x14ac:dyDescent="0.25">
      <c r="D73" s="27"/>
      <c r="E73" s="27"/>
      <c r="F73" s="181" t="s">
        <v>196</v>
      </c>
      <c r="G73" s="23" t="s">
        <v>167</v>
      </c>
      <c r="J73" s="184">
        <v>0</v>
      </c>
      <c r="K73" s="184">
        <v>0</v>
      </c>
      <c r="L73" s="184">
        <v>0</v>
      </c>
      <c r="M73" s="184">
        <v>0</v>
      </c>
      <c r="N73" s="184">
        <v>0</v>
      </c>
      <c r="O73" s="184">
        <v>0</v>
      </c>
      <c r="P73" s="184">
        <v>0.25764106948138837</v>
      </c>
      <c r="Q73" s="184">
        <v>0</v>
      </c>
      <c r="R73" s="184">
        <v>0</v>
      </c>
      <c r="S73" s="184">
        <v>0</v>
      </c>
      <c r="T73" s="184">
        <v>0</v>
      </c>
      <c r="U73" s="184">
        <v>0</v>
      </c>
      <c r="V73" s="184">
        <v>0</v>
      </c>
      <c r="W73" s="184">
        <v>0</v>
      </c>
      <c r="X73" s="184">
        <v>0.25764106948138837</v>
      </c>
      <c r="Y73" s="184">
        <v>0.25764106948138837</v>
      </c>
    </row>
    <row r="74" spans="3:25" x14ac:dyDescent="0.25">
      <c r="D74" s="27"/>
      <c r="E74" s="27"/>
      <c r="F74" s="181" t="s">
        <v>197</v>
      </c>
      <c r="G74" s="23" t="s">
        <v>167</v>
      </c>
      <c r="J74" s="184">
        <v>0.38684969697494365</v>
      </c>
      <c r="K74" s="184">
        <v>0.38684969697494365</v>
      </c>
      <c r="L74" s="184">
        <v>0.38684969697494365</v>
      </c>
      <c r="M74" s="184">
        <v>0.38684969697494365</v>
      </c>
      <c r="N74" s="184">
        <v>0.38684969697494365</v>
      </c>
      <c r="O74" s="184">
        <v>0.38684969697494365</v>
      </c>
      <c r="P74" s="184">
        <v>0.51528213896277675</v>
      </c>
      <c r="Q74" s="184">
        <v>0.38684969697494365</v>
      </c>
      <c r="R74" s="184">
        <v>0.38684969697494365</v>
      </c>
      <c r="S74" s="184">
        <v>0.38684969697494365</v>
      </c>
      <c r="T74" s="184">
        <v>0.38684969697494365</v>
      </c>
      <c r="U74" s="184">
        <v>0.38684969697494365</v>
      </c>
      <c r="V74" s="184">
        <v>0.38684969697494365</v>
      </c>
      <c r="W74" s="184">
        <v>0.38684969697494365</v>
      </c>
      <c r="X74" s="184">
        <v>0.51528213896277675</v>
      </c>
      <c r="Y74" s="184">
        <v>0.51528213896277675</v>
      </c>
    </row>
    <row r="75" spans="3:25" x14ac:dyDescent="0.25">
      <c r="D75" s="27"/>
      <c r="E75" s="27"/>
      <c r="F75" s="181" t="s">
        <v>198</v>
      </c>
      <c r="G75" s="23" t="s">
        <v>167</v>
      </c>
      <c r="J75" s="184">
        <v>0.64124825573068889</v>
      </c>
      <c r="K75" s="184">
        <v>0.64124825573068889</v>
      </c>
      <c r="L75" s="184">
        <v>0.64124825573068889</v>
      </c>
      <c r="M75" s="184">
        <v>0.64124825573068889</v>
      </c>
      <c r="N75" s="184">
        <v>0.64124825573068889</v>
      </c>
      <c r="O75" s="184">
        <v>0.64124825573068889</v>
      </c>
      <c r="P75" s="184">
        <v>0</v>
      </c>
      <c r="Q75" s="184">
        <v>0.64124825573068889</v>
      </c>
      <c r="R75" s="184">
        <v>0.64124825573068889</v>
      </c>
      <c r="S75" s="184">
        <v>0.64124825573068889</v>
      </c>
      <c r="T75" s="184">
        <v>0.64124825573068889</v>
      </c>
      <c r="U75" s="184">
        <v>0.64124825573068889</v>
      </c>
      <c r="V75" s="184">
        <v>0.64124825573068889</v>
      </c>
      <c r="W75" s="184">
        <v>0.64124825573068889</v>
      </c>
      <c r="X75" s="184">
        <v>0</v>
      </c>
      <c r="Y75" s="184">
        <v>0</v>
      </c>
    </row>
    <row r="76" spans="3:25" x14ac:dyDescent="0.25">
      <c r="D76" s="27"/>
      <c r="E76" s="27"/>
      <c r="F76" s="182" t="s">
        <v>199</v>
      </c>
      <c r="G76" s="57" t="s">
        <v>167</v>
      </c>
      <c r="H76" s="28"/>
      <c r="I76" s="28"/>
      <c r="J76" s="185">
        <v>0.89564681448643413</v>
      </c>
      <c r="K76" s="185">
        <v>0.89564681448643413</v>
      </c>
      <c r="L76" s="185">
        <v>0.89564681448643413</v>
      </c>
      <c r="M76" s="185">
        <v>0.89564681448643413</v>
      </c>
      <c r="N76" s="185">
        <v>0.89564681448643413</v>
      </c>
      <c r="O76" s="185">
        <v>0</v>
      </c>
      <c r="P76" s="185">
        <v>0</v>
      </c>
      <c r="Q76" s="185">
        <v>0.89564681448643413</v>
      </c>
      <c r="R76" s="185">
        <v>0.89564681448643413</v>
      </c>
      <c r="S76" s="185">
        <v>0</v>
      </c>
      <c r="T76" s="185">
        <v>0.89564681448643413</v>
      </c>
      <c r="U76" s="185">
        <v>0.89564681448643413</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283</v>
      </c>
      <c r="J78" s="184">
        <f>'Pseudo-load coefficients'!J267</f>
        <v>1.9768840093976425</v>
      </c>
      <c r="K78" s="184">
        <f>'Pseudo-load coefficients'!K267</f>
        <v>1.9768840093976425</v>
      </c>
      <c r="L78" s="184">
        <f>'Pseudo-load coefficients'!L267</f>
        <v>1.6927989788869366</v>
      </c>
      <c r="M78" s="184">
        <f>'Pseudo-load coefficients'!M267</f>
        <v>1.6927989788869366</v>
      </c>
      <c r="N78" s="184">
        <f>'Pseudo-load coefficients'!N267</f>
        <v>1.4516358663878728</v>
      </c>
      <c r="O78" s="184">
        <f>'Pseudo-load coefficients'!O267</f>
        <v>1.5082403379600262</v>
      </c>
      <c r="P78" s="184">
        <f>'Pseudo-load coefficients'!P267</f>
        <v>1.1537635314633596</v>
      </c>
      <c r="Q78" s="184">
        <f>'Pseudo-load coefficients'!Q267</f>
        <v>1.8371876882397689</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189</v>
      </c>
      <c r="G81" s="54" t="s">
        <v>283</v>
      </c>
      <c r="H81" s="19"/>
      <c r="I81" s="19"/>
      <c r="J81" s="420">
        <f>'Pseudo-load coefficients'!J272</f>
        <v>14.13014453080276</v>
      </c>
      <c r="K81" s="420">
        <f>'Pseudo-load coefficients'!K272</f>
        <v>14.13014453080276</v>
      </c>
      <c r="L81" s="420">
        <f>'Pseudo-load coefficients'!L272</f>
        <v>13.100142963259696</v>
      </c>
      <c r="M81" s="420">
        <f>'Pseudo-load coefficients'!M272</f>
        <v>13.100142963259696</v>
      </c>
      <c r="N81" s="420">
        <f>'Pseudo-load coefficients'!N272</f>
        <v>13.327703102584305</v>
      </c>
      <c r="O81" s="420">
        <f>'Pseudo-load coefficients'!O272</f>
        <v>11.730421029323111</v>
      </c>
      <c r="P81" s="420">
        <f>'Pseudo-load coefficients'!P272</f>
        <v>9.7580826956250437</v>
      </c>
      <c r="Q81" s="420">
        <f>'Pseudo-load coefficients'!Q272</f>
        <v>30.523107031593884</v>
      </c>
      <c r="R81" s="420">
        <f>'Pseudo-load coefficients'!R272</f>
        <v>9.0248377730632061</v>
      </c>
      <c r="S81" s="420">
        <f>'Pseudo-load coefficients'!S272</f>
        <v>9.0248377730632061</v>
      </c>
      <c r="T81" s="420">
        <f>'Pseudo-load coefficients'!T272</f>
        <v>9.0248377730632061</v>
      </c>
      <c r="U81" s="420">
        <f>'Pseudo-load coefficients'!U272</f>
        <v>9.0248377730632061</v>
      </c>
      <c r="V81" s="420">
        <f>'Pseudo-load coefficients'!V272</f>
        <v>9.0248377730632061</v>
      </c>
      <c r="W81" s="420">
        <f>'Pseudo-load coefficients'!W272</f>
        <v>9.0248377730632061</v>
      </c>
      <c r="X81" s="420">
        <f>'Pseudo-load coefficients'!X272</f>
        <v>9.0248377730632061</v>
      </c>
      <c r="Y81" s="420">
        <f>'Pseudo-load coefficients'!Y272</f>
        <v>9.0248377730632061</v>
      </c>
    </row>
    <row r="82" spans="5:25" x14ac:dyDescent="0.25">
      <c r="E82" s="27"/>
      <c r="F82" s="181" t="s">
        <v>191</v>
      </c>
      <c r="G82" s="23" t="s">
        <v>283</v>
      </c>
      <c r="J82" s="184">
        <f>'Pseudo-load coefficients'!J272</f>
        <v>14.13014453080276</v>
      </c>
      <c r="K82" s="184">
        <f>'Pseudo-load coefficients'!K272</f>
        <v>14.13014453080276</v>
      </c>
      <c r="L82" s="184">
        <f>'Pseudo-load coefficients'!L272</f>
        <v>13.100142963259696</v>
      </c>
      <c r="M82" s="184">
        <f>'Pseudo-load coefficients'!M272</f>
        <v>13.100142963259696</v>
      </c>
      <c r="N82" s="184">
        <f>'Pseudo-load coefficients'!N272</f>
        <v>13.327703102584305</v>
      </c>
      <c r="O82" s="184">
        <f>'Pseudo-load coefficients'!O272</f>
        <v>11.730421029323111</v>
      </c>
      <c r="P82" s="184">
        <f>'Pseudo-load coefficients'!P272</f>
        <v>9.7580826956250437</v>
      </c>
      <c r="Q82" s="184">
        <f>'Pseudo-load coefficients'!Q272</f>
        <v>30.523107031593884</v>
      </c>
      <c r="R82" s="184">
        <f>'Pseudo-load coefficients'!R272</f>
        <v>9.0248377730632061</v>
      </c>
      <c r="S82" s="184">
        <f>'Pseudo-load coefficients'!S272</f>
        <v>9.0248377730632061</v>
      </c>
      <c r="T82" s="184">
        <f>'Pseudo-load coefficients'!T272</f>
        <v>9.0248377730632061</v>
      </c>
      <c r="U82" s="184">
        <f>'Pseudo-load coefficients'!U272</f>
        <v>9.0248377730632061</v>
      </c>
      <c r="V82" s="184">
        <f>'Pseudo-load coefficients'!V272</f>
        <v>9.0248377730632061</v>
      </c>
      <c r="W82" s="184">
        <f>'Pseudo-load coefficients'!W272</f>
        <v>9.0248377730632061</v>
      </c>
      <c r="X82" s="184">
        <f>'Pseudo-load coefficients'!X272</f>
        <v>9.0248377730632061</v>
      </c>
      <c r="Y82" s="184">
        <f>'Pseudo-load coefficients'!Y272</f>
        <v>9.0248377730632061</v>
      </c>
    </row>
    <row r="83" spans="5:25" x14ac:dyDescent="0.25">
      <c r="E83" s="27"/>
      <c r="F83" s="181" t="s">
        <v>192</v>
      </c>
      <c r="G83" s="23" t="s">
        <v>283</v>
      </c>
      <c r="J83" s="184">
        <f>'Pseudo-load coefficients'!J273</f>
        <v>9.3592489329932889</v>
      </c>
      <c r="K83" s="184">
        <f>'Pseudo-load coefficients'!K273</f>
        <v>9.3592489329932889</v>
      </c>
      <c r="L83" s="184">
        <f>'Pseudo-load coefficients'!L273</f>
        <v>8.6770166280799028</v>
      </c>
      <c r="M83" s="184">
        <f>'Pseudo-load coefficients'!M273</f>
        <v>8.6770166280799028</v>
      </c>
      <c r="N83" s="184">
        <f>'Pseudo-load coefficients'!N273</f>
        <v>8.827743465057603</v>
      </c>
      <c r="O83" s="184">
        <f>'Pseudo-load coefficients'!O273</f>
        <v>7.7697669873739859</v>
      </c>
      <c r="P83" s="184">
        <f>'Pseudo-load coefficients'!P273</f>
        <v>6.4633680751105835</v>
      </c>
      <c r="Q83" s="184">
        <f>'Pseudo-load coefficients'!Q273</f>
        <v>20.549664492266398</v>
      </c>
      <c r="R83" s="184">
        <f>'Pseudo-load coefficients'!R273</f>
        <v>5.9776956360106448</v>
      </c>
      <c r="S83" s="184">
        <f>'Pseudo-load coefficients'!S273</f>
        <v>5.9776956360106448</v>
      </c>
      <c r="T83" s="184">
        <f>'Pseudo-load coefficients'!T273</f>
        <v>5.9776956360106448</v>
      </c>
      <c r="U83" s="184">
        <f>'Pseudo-load coefficients'!U273</f>
        <v>5.9776956360106448</v>
      </c>
      <c r="V83" s="184">
        <f>'Pseudo-load coefficients'!V273</f>
        <v>5.9776956360106448</v>
      </c>
      <c r="W83" s="184">
        <f>'Pseudo-load coefficients'!W273</f>
        <v>5.9776956360106448</v>
      </c>
      <c r="X83" s="184">
        <f>'Pseudo-load coefficients'!X273</f>
        <v>5.9776956360106448</v>
      </c>
      <c r="Y83" s="184">
        <f>'Pseudo-load coefficients'!Y273</f>
        <v>5.9776956360106448</v>
      </c>
    </row>
    <row r="84" spans="5:25" x14ac:dyDescent="0.25">
      <c r="E84" s="27"/>
      <c r="F84" s="181" t="s">
        <v>193</v>
      </c>
      <c r="G84" s="23" t="s">
        <v>283</v>
      </c>
      <c r="J84" s="184">
        <f>'Pseudo-load coefficients'!J274</f>
        <v>9.3592489329932889</v>
      </c>
      <c r="K84" s="184">
        <f>'Pseudo-load coefficients'!K274</f>
        <v>9.3592489329932889</v>
      </c>
      <c r="L84" s="184">
        <f>'Pseudo-load coefficients'!L274</f>
        <v>8.6770166280799028</v>
      </c>
      <c r="M84" s="184">
        <f>'Pseudo-load coefficients'!M274</f>
        <v>8.6770166280799028</v>
      </c>
      <c r="N84" s="184">
        <f>'Pseudo-load coefficients'!N274</f>
        <v>8.827743465057603</v>
      </c>
      <c r="O84" s="184">
        <f>'Pseudo-load coefficients'!O274</f>
        <v>7.7697669873739859</v>
      </c>
      <c r="P84" s="184">
        <f>'Pseudo-load coefficients'!P274</f>
        <v>6.4633680751105835</v>
      </c>
      <c r="Q84" s="184">
        <f>'Pseudo-load coefficients'!Q274</f>
        <v>20.549664492266398</v>
      </c>
      <c r="R84" s="184">
        <f>'Pseudo-load coefficients'!R274</f>
        <v>5.9776956360106448</v>
      </c>
      <c r="S84" s="184">
        <f>'Pseudo-load coefficients'!S274</f>
        <v>5.9776956360106448</v>
      </c>
      <c r="T84" s="184">
        <f>'Pseudo-load coefficients'!T274</f>
        <v>5.9776956360106448</v>
      </c>
      <c r="U84" s="184">
        <f>'Pseudo-load coefficients'!U274</f>
        <v>5.9776956360106448</v>
      </c>
      <c r="V84" s="184">
        <f>'Pseudo-load coefficients'!V274</f>
        <v>5.9776956360106448</v>
      </c>
      <c r="W84" s="184">
        <f>'Pseudo-load coefficients'!W274</f>
        <v>5.9776956360106448</v>
      </c>
      <c r="X84" s="184">
        <f>'Pseudo-load coefficients'!X274</f>
        <v>5.9776956360106448</v>
      </c>
      <c r="Y84" s="184">
        <f>'Pseudo-load coefficients'!Y274</f>
        <v>5.9776956360106448</v>
      </c>
    </row>
    <row r="85" spans="5:25" x14ac:dyDescent="0.25">
      <c r="E85" s="27"/>
      <c r="F85" s="181" t="s">
        <v>194</v>
      </c>
      <c r="G85" s="23" t="s">
        <v>283</v>
      </c>
      <c r="J85" s="184">
        <f>'Pseudo-load coefficients'!J275</f>
        <v>9.9926325201122523</v>
      </c>
      <c r="K85" s="184">
        <f>'Pseudo-load coefficients'!K275</f>
        <v>9.9926325201122523</v>
      </c>
      <c r="L85" s="184">
        <f>'Pseudo-load coefficients'!L275</f>
        <v>9.264230405246364</v>
      </c>
      <c r="M85" s="184">
        <f>'Pseudo-load coefficients'!M275</f>
        <v>9.264230405246364</v>
      </c>
      <c r="N85" s="184">
        <f>'Pseudo-load coefficients'!N275</f>
        <v>9.4251576231909038</v>
      </c>
      <c r="O85" s="184">
        <f>'Pseudo-load coefficients'!O275</f>
        <v>8.295582992565711</v>
      </c>
      <c r="P85" s="184">
        <f>'Pseudo-load coefficients'!P275</f>
        <v>6.9007740342417998</v>
      </c>
      <c r="Q85" s="184">
        <f>'Pseudo-load coefficients'!Q275</f>
        <v>22.335334277851661</v>
      </c>
      <c r="R85" s="184">
        <f>'Pseudo-load coefficients'!R275</f>
        <v>6.382233898829444</v>
      </c>
      <c r="S85" s="184">
        <f>'Pseudo-load coefficients'!S275</f>
        <v>6.382233898829444</v>
      </c>
      <c r="T85" s="184">
        <f>'Pseudo-load coefficients'!T275</f>
        <v>6.382233898829444</v>
      </c>
      <c r="U85" s="184">
        <f>'Pseudo-load coefficients'!U275</f>
        <v>6.382233898829444</v>
      </c>
      <c r="V85" s="184">
        <f>'Pseudo-load coefficients'!V275</f>
        <v>6.382233898829444</v>
      </c>
      <c r="W85" s="184">
        <f>'Pseudo-load coefficients'!W275</f>
        <v>6.382233898829444</v>
      </c>
      <c r="X85" s="184">
        <f>'Pseudo-load coefficients'!X275</f>
        <v>6.382233898829444</v>
      </c>
      <c r="Y85" s="184">
        <f>'Pseudo-load coefficients'!Y275</f>
        <v>6.382233898829444</v>
      </c>
    </row>
    <row r="86" spans="5:25" x14ac:dyDescent="0.25">
      <c r="E86" s="27"/>
      <c r="F86" s="181" t="s">
        <v>195</v>
      </c>
      <c r="G86" s="23" t="s">
        <v>283</v>
      </c>
      <c r="J86" s="184">
        <f>'Pseudo-load coefficients'!J276</f>
        <v>9.9926325201122523</v>
      </c>
      <c r="K86" s="184">
        <f>'Pseudo-load coefficients'!K276</f>
        <v>9.9926325201122523</v>
      </c>
      <c r="L86" s="184">
        <f>'Pseudo-load coefficients'!L276</f>
        <v>9.264230405246364</v>
      </c>
      <c r="M86" s="184">
        <f>'Pseudo-load coefficients'!M276</f>
        <v>9.264230405246364</v>
      </c>
      <c r="N86" s="184">
        <f>'Pseudo-load coefficients'!N276</f>
        <v>9.4251576231909038</v>
      </c>
      <c r="O86" s="184">
        <f>'Pseudo-load coefficients'!O276</f>
        <v>8.295582992565711</v>
      </c>
      <c r="P86" s="184">
        <f>'Pseudo-load coefficients'!P276</f>
        <v>6.9007740342417998</v>
      </c>
      <c r="Q86" s="184">
        <f>'Pseudo-load coefficients'!Q276</f>
        <v>22.335334277851661</v>
      </c>
      <c r="R86" s="184">
        <f>'Pseudo-load coefficients'!R276</f>
        <v>6.382233898829444</v>
      </c>
      <c r="S86" s="184">
        <f>'Pseudo-load coefficients'!S276</f>
        <v>6.382233898829444</v>
      </c>
      <c r="T86" s="184">
        <f>'Pseudo-load coefficients'!T276</f>
        <v>6.382233898829444</v>
      </c>
      <c r="U86" s="184">
        <f>'Pseudo-load coefficients'!U276</f>
        <v>6.382233898829444</v>
      </c>
      <c r="V86" s="184">
        <f>'Pseudo-load coefficients'!V276</f>
        <v>6.382233898829444</v>
      </c>
      <c r="W86" s="184">
        <f>'Pseudo-load coefficients'!W276</f>
        <v>6.382233898829444</v>
      </c>
      <c r="X86" s="184">
        <f>'Pseudo-load coefficients'!X276</f>
        <v>6.382233898829444</v>
      </c>
      <c r="Y86" s="184">
        <f>'Pseudo-load coefficients'!Y276</f>
        <v>6.382233898829444</v>
      </c>
    </row>
    <row r="87" spans="5:25" x14ac:dyDescent="0.25">
      <c r="E87" s="27"/>
      <c r="F87" s="181" t="s">
        <v>196</v>
      </c>
      <c r="G87" s="23" t="s">
        <v>283</v>
      </c>
      <c r="J87" s="184">
        <f>'Pseudo-load coefficients'!J277</f>
        <v>9.3592489329932889</v>
      </c>
      <c r="K87" s="184">
        <f>'Pseudo-load coefficients'!K277</f>
        <v>9.3592489329932889</v>
      </c>
      <c r="L87" s="184">
        <f>'Pseudo-load coefficients'!L277</f>
        <v>8.6770166280799028</v>
      </c>
      <c r="M87" s="184">
        <f>'Pseudo-load coefficients'!M277</f>
        <v>8.6770166280799028</v>
      </c>
      <c r="N87" s="184">
        <f>'Pseudo-load coefficients'!N277</f>
        <v>8.827743465057603</v>
      </c>
      <c r="O87" s="184">
        <f>'Pseudo-load coefficients'!O277</f>
        <v>7.7697669873739859</v>
      </c>
      <c r="P87" s="184">
        <f>'Pseudo-load coefficients'!P277</f>
        <v>6.4633680751105835</v>
      </c>
      <c r="Q87" s="184">
        <f>'Pseudo-load coefficients'!Q277</f>
        <v>20.549664492266398</v>
      </c>
      <c r="R87" s="184">
        <f>'Pseudo-load coefficients'!R277</f>
        <v>5.9776956360106448</v>
      </c>
      <c r="S87" s="184">
        <f>'Pseudo-load coefficients'!S277</f>
        <v>5.9776956360106448</v>
      </c>
      <c r="T87" s="184">
        <f>'Pseudo-load coefficients'!T277</f>
        <v>5.9776956360106448</v>
      </c>
      <c r="U87" s="184">
        <f>'Pseudo-load coefficients'!U277</f>
        <v>5.9776956360106448</v>
      </c>
      <c r="V87" s="184">
        <f>'Pseudo-load coefficients'!V277</f>
        <v>5.9776956360106448</v>
      </c>
      <c r="W87" s="184">
        <f>'Pseudo-load coefficients'!W277</f>
        <v>5.9776956360106448</v>
      </c>
      <c r="X87" s="184">
        <f>'Pseudo-load coefficients'!X277</f>
        <v>5.9776956360106448</v>
      </c>
      <c r="Y87" s="184">
        <f>'Pseudo-load coefficients'!Y277</f>
        <v>5.9776956360106448</v>
      </c>
    </row>
    <row r="88" spans="5:25" x14ac:dyDescent="0.25">
      <c r="E88" s="27"/>
      <c r="F88" s="181" t="s">
        <v>197</v>
      </c>
      <c r="G88" s="23" t="s">
        <v>283</v>
      </c>
      <c r="J88" s="184">
        <f>'Pseudo-load coefficients'!J278</f>
        <v>9.9926325201122523</v>
      </c>
      <c r="K88" s="184">
        <f>'Pseudo-load coefficients'!K278</f>
        <v>9.9926325201122523</v>
      </c>
      <c r="L88" s="184">
        <f>'Pseudo-load coefficients'!L278</f>
        <v>9.264230405246364</v>
      </c>
      <c r="M88" s="184">
        <f>'Pseudo-load coefficients'!M278</f>
        <v>9.264230405246364</v>
      </c>
      <c r="N88" s="184">
        <f>'Pseudo-load coefficients'!N278</f>
        <v>9.4251576231909038</v>
      </c>
      <c r="O88" s="184">
        <f>'Pseudo-load coefficients'!O278</f>
        <v>8.295582992565711</v>
      </c>
      <c r="P88" s="184">
        <f>'Pseudo-load coefficients'!P278</f>
        <v>6.9007740342417998</v>
      </c>
      <c r="Q88" s="184">
        <f>'Pseudo-load coefficients'!Q278</f>
        <v>22.335334277851661</v>
      </c>
      <c r="R88" s="184">
        <f>'Pseudo-load coefficients'!R278</f>
        <v>6.382233898829444</v>
      </c>
      <c r="S88" s="184">
        <f>'Pseudo-load coefficients'!S278</f>
        <v>6.382233898829444</v>
      </c>
      <c r="T88" s="184">
        <f>'Pseudo-load coefficients'!T278</f>
        <v>6.382233898829444</v>
      </c>
      <c r="U88" s="184">
        <f>'Pseudo-load coefficients'!U278</f>
        <v>6.382233898829444</v>
      </c>
      <c r="V88" s="184">
        <f>'Pseudo-load coefficients'!V278</f>
        <v>6.382233898829444</v>
      </c>
      <c r="W88" s="184">
        <f>'Pseudo-load coefficients'!W278</f>
        <v>6.382233898829444</v>
      </c>
      <c r="X88" s="184">
        <f>'Pseudo-load coefficients'!X278</f>
        <v>6.382233898829444</v>
      </c>
      <c r="Y88" s="184">
        <f>'Pseudo-load coefficients'!Y278</f>
        <v>6.382233898829444</v>
      </c>
    </row>
    <row r="89" spans="5:25" x14ac:dyDescent="0.25">
      <c r="E89" s="27"/>
      <c r="F89" s="181" t="s">
        <v>198</v>
      </c>
      <c r="G89" s="23" t="s">
        <v>283</v>
      </c>
      <c r="J89" s="184">
        <f>'Pseudo-load coefficients'!J279</f>
        <v>9.9926325201122523</v>
      </c>
      <c r="K89" s="184">
        <f>'Pseudo-load coefficients'!K279</f>
        <v>9.9926325201122523</v>
      </c>
      <c r="L89" s="184">
        <f>'Pseudo-load coefficients'!L279</f>
        <v>9.264230405246364</v>
      </c>
      <c r="M89" s="184">
        <f>'Pseudo-load coefficients'!M279</f>
        <v>9.264230405246364</v>
      </c>
      <c r="N89" s="184">
        <f>'Pseudo-load coefficients'!N279</f>
        <v>9.4251576231909038</v>
      </c>
      <c r="O89" s="184">
        <f>'Pseudo-load coefficients'!O279</f>
        <v>8.295582992565711</v>
      </c>
      <c r="P89" s="184">
        <f>'Pseudo-load coefficients'!P279</f>
        <v>6.9007740342417998</v>
      </c>
      <c r="Q89" s="184">
        <f>'Pseudo-load coefficients'!Q279</f>
        <v>22.335334277851661</v>
      </c>
      <c r="R89" s="184">
        <f>'Pseudo-load coefficients'!R279</f>
        <v>6.382233898829444</v>
      </c>
      <c r="S89" s="184">
        <f>'Pseudo-load coefficients'!S279</f>
        <v>6.382233898829444</v>
      </c>
      <c r="T89" s="184">
        <f>'Pseudo-load coefficients'!T279</f>
        <v>6.382233898829444</v>
      </c>
      <c r="U89" s="184">
        <f>'Pseudo-load coefficients'!U279</f>
        <v>6.382233898829444</v>
      </c>
      <c r="V89" s="184">
        <f>'Pseudo-load coefficients'!V279</f>
        <v>6.382233898829444</v>
      </c>
      <c r="W89" s="184">
        <f>'Pseudo-load coefficients'!W279</f>
        <v>6.382233898829444</v>
      </c>
      <c r="X89" s="184">
        <f>'Pseudo-load coefficients'!X279</f>
        <v>6.382233898829444</v>
      </c>
      <c r="Y89" s="184">
        <f>'Pseudo-load coefficients'!Y279</f>
        <v>6.382233898829444</v>
      </c>
    </row>
    <row r="90" spans="5:25" x14ac:dyDescent="0.25">
      <c r="E90" s="27"/>
      <c r="F90" s="182" t="s">
        <v>199</v>
      </c>
      <c r="G90" s="57" t="s">
        <v>283</v>
      </c>
      <c r="H90" s="28"/>
      <c r="I90" s="28"/>
      <c r="J90" s="185">
        <f>'Pseudo-load coefficients'!J280</f>
        <v>9.9926325201122523</v>
      </c>
      <c r="K90" s="185">
        <f>'Pseudo-load coefficients'!K280</f>
        <v>9.9926325201122523</v>
      </c>
      <c r="L90" s="185">
        <f>'Pseudo-load coefficients'!L280</f>
        <v>9.264230405246364</v>
      </c>
      <c r="M90" s="185">
        <f>'Pseudo-load coefficients'!M280</f>
        <v>9.264230405246364</v>
      </c>
      <c r="N90" s="185">
        <f>'Pseudo-load coefficients'!N280</f>
        <v>9.4251576231909038</v>
      </c>
      <c r="O90" s="185">
        <f>'Pseudo-load coefficients'!O280</f>
        <v>8.295582992565711</v>
      </c>
      <c r="P90" s="185">
        <f>'Pseudo-load coefficients'!P280</f>
        <v>6.9007740342417998</v>
      </c>
      <c r="Q90" s="185">
        <f>'Pseudo-load coefficients'!Q280</f>
        <v>22.335334277851661</v>
      </c>
      <c r="R90" s="185">
        <f>'Pseudo-load coefficients'!R280</f>
        <v>6.382233898829444</v>
      </c>
      <c r="S90" s="185">
        <f>'Pseudo-load coefficients'!S280</f>
        <v>6.382233898829444</v>
      </c>
      <c r="T90" s="185">
        <f>'Pseudo-load coefficients'!T280</f>
        <v>6.382233898829444</v>
      </c>
      <c r="U90" s="185">
        <f>'Pseudo-load coefficients'!U280</f>
        <v>6.382233898829444</v>
      </c>
      <c r="V90" s="185">
        <f>'Pseudo-load coefficients'!V280</f>
        <v>6.382233898829444</v>
      </c>
      <c r="W90" s="185">
        <f>'Pseudo-load coefficients'!W280</f>
        <v>6.382233898829444</v>
      </c>
      <c r="X90" s="185">
        <f>'Pseudo-load coefficients'!X280</f>
        <v>6.382233898829444</v>
      </c>
      <c r="Y90" s="185">
        <f>'Pseudo-load coefficients'!Y280</f>
        <v>6.382233898829444</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189</v>
      </c>
      <c r="G93" s="54" t="s">
        <v>283</v>
      </c>
      <c r="H93" s="19"/>
      <c r="I93" s="19"/>
      <c r="J93" s="420">
        <f>'Pseudo-load coefficients'!J283</f>
        <v>1.000568962964276</v>
      </c>
      <c r="K93" s="420">
        <f>'Pseudo-load coefficients'!K283</f>
        <v>1.000568962964276</v>
      </c>
      <c r="L93" s="420">
        <f>'Pseudo-load coefficients'!L283</f>
        <v>0.92763357309324312</v>
      </c>
      <c r="M93" s="420">
        <f>'Pseudo-load coefficients'!M283</f>
        <v>0.92763357309324312</v>
      </c>
      <c r="N93" s="420">
        <f>'Pseudo-load coefficients'!N283</f>
        <v>0.9437473228230977</v>
      </c>
      <c r="O93" s="420">
        <f>'Pseudo-load coefficients'!O283</f>
        <v>0.83064226122090157</v>
      </c>
      <c r="P93" s="420">
        <f>'Pseudo-load coefficients'!P283</f>
        <v>0.69097910937833185</v>
      </c>
      <c r="Q93" s="420">
        <f>'Pseudo-load coefficients'!Q283</f>
        <v>0.80610115180439157</v>
      </c>
      <c r="R93" s="420">
        <f>'Pseudo-load coefficients'!R283</f>
        <v>0.63905733956435817</v>
      </c>
      <c r="S93" s="420">
        <f>'Pseudo-load coefficients'!S283</f>
        <v>0.63905733956435817</v>
      </c>
      <c r="T93" s="420">
        <f>'Pseudo-load coefficients'!T283</f>
        <v>0.63905733956435817</v>
      </c>
      <c r="U93" s="420">
        <f>'Pseudo-load coefficients'!U283</f>
        <v>0.63905733956435817</v>
      </c>
      <c r="V93" s="420">
        <f>'Pseudo-load coefficients'!V283</f>
        <v>0.63905733956435817</v>
      </c>
      <c r="W93" s="420">
        <f>'Pseudo-load coefficients'!W283</f>
        <v>0.63905733956435817</v>
      </c>
      <c r="X93" s="420">
        <f>'Pseudo-load coefficients'!X283</f>
        <v>0.63905733956435817</v>
      </c>
      <c r="Y93" s="420">
        <f>'Pseudo-load coefficients'!Y283</f>
        <v>0.63905733956435817</v>
      </c>
    </row>
    <row r="94" spans="5:25" x14ac:dyDescent="0.25">
      <c r="E94" s="27"/>
      <c r="F94" s="181" t="s">
        <v>191</v>
      </c>
      <c r="G94" s="23" t="s">
        <v>283</v>
      </c>
      <c r="J94" s="184">
        <f>'Pseudo-load coefficients'!J283</f>
        <v>1.000568962964276</v>
      </c>
      <c r="K94" s="184">
        <f>'Pseudo-load coefficients'!K283</f>
        <v>1.000568962964276</v>
      </c>
      <c r="L94" s="184">
        <f>'Pseudo-load coefficients'!L283</f>
        <v>0.92763357309324312</v>
      </c>
      <c r="M94" s="184">
        <f>'Pseudo-load coefficients'!M283</f>
        <v>0.92763357309324312</v>
      </c>
      <c r="N94" s="184">
        <f>'Pseudo-load coefficients'!N283</f>
        <v>0.9437473228230977</v>
      </c>
      <c r="O94" s="184">
        <f>'Pseudo-load coefficients'!O283</f>
        <v>0.83064226122090157</v>
      </c>
      <c r="P94" s="184">
        <f>'Pseudo-load coefficients'!P283</f>
        <v>0.69097910937833185</v>
      </c>
      <c r="Q94" s="184">
        <f>'Pseudo-load coefficients'!Q283</f>
        <v>0.80610115180439157</v>
      </c>
      <c r="R94" s="184">
        <f>'Pseudo-load coefficients'!R283</f>
        <v>0.63905733956435817</v>
      </c>
      <c r="S94" s="184">
        <f>'Pseudo-load coefficients'!S283</f>
        <v>0.63905733956435817</v>
      </c>
      <c r="T94" s="184">
        <f>'Pseudo-load coefficients'!T283</f>
        <v>0.63905733956435817</v>
      </c>
      <c r="U94" s="184">
        <f>'Pseudo-load coefficients'!U283</f>
        <v>0.63905733956435817</v>
      </c>
      <c r="V94" s="184">
        <f>'Pseudo-load coefficients'!V283</f>
        <v>0.63905733956435817</v>
      </c>
      <c r="W94" s="184">
        <f>'Pseudo-load coefficients'!W283</f>
        <v>0.63905733956435817</v>
      </c>
      <c r="X94" s="184">
        <f>'Pseudo-load coefficients'!X283</f>
        <v>0.63905733956435817</v>
      </c>
      <c r="Y94" s="184">
        <f>'Pseudo-load coefficients'!Y283</f>
        <v>0.63905733956435817</v>
      </c>
    </row>
    <row r="95" spans="5:25" x14ac:dyDescent="0.25">
      <c r="E95" s="27"/>
      <c r="F95" s="181" t="s">
        <v>192</v>
      </c>
      <c r="G95" s="23" t="s">
        <v>283</v>
      </c>
      <c r="J95" s="184">
        <f>'Pseudo-load coefficients'!J284</f>
        <v>2.0343020326420613</v>
      </c>
      <c r="K95" s="184">
        <f>'Pseudo-load coefficients'!K284</f>
        <v>2.0343020326420613</v>
      </c>
      <c r="L95" s="184">
        <f>'Pseudo-load coefficients'!L284</f>
        <v>1.8860137912932433</v>
      </c>
      <c r="M95" s="184">
        <f>'Pseudo-load coefficients'!M284</f>
        <v>1.8860137912932433</v>
      </c>
      <c r="N95" s="184">
        <f>'Pseudo-load coefficients'!N284</f>
        <v>1.9187753849887086</v>
      </c>
      <c r="O95" s="184">
        <f>'Pseudo-load coefficients'!O284</f>
        <v>1.6888163664341145</v>
      </c>
      <c r="P95" s="184">
        <f>'Pseudo-load coefficients'!P284</f>
        <v>1.40486089290352</v>
      </c>
      <c r="Q95" s="184">
        <f>'Pseudo-load coefficients'!Q284</f>
        <v>1.3942699760958606</v>
      </c>
      <c r="R95" s="184">
        <f>'Pseudo-load coefficients'!R284</f>
        <v>1.2992963933231838</v>
      </c>
      <c r="S95" s="184">
        <f>'Pseudo-load coefficients'!S284</f>
        <v>1.2992963933231838</v>
      </c>
      <c r="T95" s="184">
        <f>'Pseudo-load coefficients'!T284</f>
        <v>1.2992963933231838</v>
      </c>
      <c r="U95" s="184">
        <f>'Pseudo-load coefficients'!U284</f>
        <v>1.2992963933231838</v>
      </c>
      <c r="V95" s="184">
        <f>'Pseudo-load coefficients'!V284</f>
        <v>1.2992963933231838</v>
      </c>
      <c r="W95" s="184">
        <f>'Pseudo-load coefficients'!W284</f>
        <v>1.2992963933231838</v>
      </c>
      <c r="X95" s="184">
        <f>'Pseudo-load coefficients'!X284</f>
        <v>1.2992963933231838</v>
      </c>
      <c r="Y95" s="184">
        <f>'Pseudo-load coefficients'!Y284</f>
        <v>1.2992963933231838</v>
      </c>
    </row>
    <row r="96" spans="5:25" x14ac:dyDescent="0.25">
      <c r="E96" s="27"/>
      <c r="F96" s="181" t="s">
        <v>193</v>
      </c>
      <c r="G96" s="23" t="s">
        <v>283</v>
      </c>
      <c r="J96" s="184">
        <f>'Pseudo-load coefficients'!J285</f>
        <v>2.0343020326420613</v>
      </c>
      <c r="K96" s="184">
        <f>'Pseudo-load coefficients'!K285</f>
        <v>2.0343020326420613</v>
      </c>
      <c r="L96" s="184">
        <f>'Pseudo-load coefficients'!L285</f>
        <v>1.8860137912932433</v>
      </c>
      <c r="M96" s="184">
        <f>'Pseudo-load coefficients'!M285</f>
        <v>1.8860137912932433</v>
      </c>
      <c r="N96" s="184">
        <f>'Pseudo-load coefficients'!N285</f>
        <v>1.9187753849887086</v>
      </c>
      <c r="O96" s="184">
        <f>'Pseudo-load coefficients'!O285</f>
        <v>1.6888163664341145</v>
      </c>
      <c r="P96" s="184">
        <f>'Pseudo-load coefficients'!P285</f>
        <v>1.40486089290352</v>
      </c>
      <c r="Q96" s="184">
        <f>'Pseudo-load coefficients'!Q285</f>
        <v>1.3942699760958606</v>
      </c>
      <c r="R96" s="184">
        <f>'Pseudo-load coefficients'!R285</f>
        <v>1.2992963933231838</v>
      </c>
      <c r="S96" s="184">
        <f>'Pseudo-load coefficients'!S285</f>
        <v>1.2992963933231838</v>
      </c>
      <c r="T96" s="184">
        <f>'Pseudo-load coefficients'!T285</f>
        <v>1.2992963933231838</v>
      </c>
      <c r="U96" s="184">
        <f>'Pseudo-load coefficients'!U285</f>
        <v>1.2992963933231838</v>
      </c>
      <c r="V96" s="184">
        <f>'Pseudo-load coefficients'!V285</f>
        <v>1.2992963933231838</v>
      </c>
      <c r="W96" s="184">
        <f>'Pseudo-load coefficients'!W285</f>
        <v>1.2992963933231838</v>
      </c>
      <c r="X96" s="184">
        <f>'Pseudo-load coefficients'!X285</f>
        <v>1.2992963933231838</v>
      </c>
      <c r="Y96" s="184">
        <f>'Pseudo-load coefficients'!Y285</f>
        <v>1.2992963933231838</v>
      </c>
    </row>
    <row r="97" spans="3:25" x14ac:dyDescent="0.25">
      <c r="E97" s="27"/>
      <c r="F97" s="181" t="s">
        <v>194</v>
      </c>
      <c r="G97" s="23" t="s">
        <v>283</v>
      </c>
      <c r="J97" s="184">
        <f>'Pseudo-load coefficients'!J286</f>
        <v>1.7176696953572435</v>
      </c>
      <c r="K97" s="184">
        <f>'Pseudo-load coefficients'!K286</f>
        <v>1.7176696953572435</v>
      </c>
      <c r="L97" s="184">
        <f>'Pseudo-load coefficients'!L286</f>
        <v>1.5924620249839905</v>
      </c>
      <c r="M97" s="184">
        <f>'Pseudo-load coefficients'!M286</f>
        <v>1.5924620249839905</v>
      </c>
      <c r="N97" s="184">
        <f>'Pseudo-load coefficients'!N286</f>
        <v>1.6201243857147722</v>
      </c>
      <c r="O97" s="184">
        <f>'Pseudo-load coefficients'!O286</f>
        <v>1.4259577226493472</v>
      </c>
      <c r="P97" s="184">
        <f>'Pseudo-load coefficients'!P286</f>
        <v>1.1861989730201881</v>
      </c>
      <c r="Q97" s="184">
        <f>'Pseudo-load coefficients'!Q286</f>
        <v>1.1630830032878909</v>
      </c>
      <c r="R97" s="184">
        <f>'Pseudo-load coefficients'!R286</f>
        <v>1.0970652362764857</v>
      </c>
      <c r="S97" s="184">
        <f>'Pseudo-load coefficients'!S286</f>
        <v>1.0970652362764857</v>
      </c>
      <c r="T97" s="184">
        <f>'Pseudo-load coefficients'!T286</f>
        <v>1.0970652362764857</v>
      </c>
      <c r="U97" s="184">
        <f>'Pseudo-load coefficients'!U286</f>
        <v>1.0970652362764857</v>
      </c>
      <c r="V97" s="184">
        <f>'Pseudo-load coefficients'!V286</f>
        <v>1.0970652362764857</v>
      </c>
      <c r="W97" s="184">
        <f>'Pseudo-load coefficients'!W286</f>
        <v>1.0970652362764857</v>
      </c>
      <c r="X97" s="184">
        <f>'Pseudo-load coefficients'!X286</f>
        <v>1.0970652362764857</v>
      </c>
      <c r="Y97" s="184">
        <f>'Pseudo-load coefficients'!Y286</f>
        <v>1.0970652362764857</v>
      </c>
    </row>
    <row r="98" spans="3:25" x14ac:dyDescent="0.25">
      <c r="E98" s="27"/>
      <c r="F98" s="181" t="s">
        <v>195</v>
      </c>
      <c r="G98" s="23" t="s">
        <v>283</v>
      </c>
      <c r="J98" s="184">
        <f>'Pseudo-load coefficients'!J287</f>
        <v>1.7176696953572435</v>
      </c>
      <c r="K98" s="184">
        <f>'Pseudo-load coefficients'!K287</f>
        <v>1.7176696953572435</v>
      </c>
      <c r="L98" s="184">
        <f>'Pseudo-load coefficients'!L287</f>
        <v>1.5924620249839905</v>
      </c>
      <c r="M98" s="184">
        <f>'Pseudo-load coefficients'!M287</f>
        <v>1.5924620249839905</v>
      </c>
      <c r="N98" s="184">
        <f>'Pseudo-load coefficients'!N287</f>
        <v>1.6201243857147722</v>
      </c>
      <c r="O98" s="184">
        <f>'Pseudo-load coefficients'!O287</f>
        <v>1.4259577226493472</v>
      </c>
      <c r="P98" s="184">
        <f>'Pseudo-load coefficients'!P287</f>
        <v>1.1861989730201881</v>
      </c>
      <c r="Q98" s="184">
        <f>'Pseudo-load coefficients'!Q287</f>
        <v>1.1630830032878909</v>
      </c>
      <c r="R98" s="184">
        <f>'Pseudo-load coefficients'!R287</f>
        <v>1.0970652362764857</v>
      </c>
      <c r="S98" s="184">
        <f>'Pseudo-load coefficients'!S287</f>
        <v>1.0970652362764857</v>
      </c>
      <c r="T98" s="184">
        <f>'Pseudo-load coefficients'!T287</f>
        <v>1.0970652362764857</v>
      </c>
      <c r="U98" s="184">
        <f>'Pseudo-load coefficients'!U287</f>
        <v>1.0970652362764857</v>
      </c>
      <c r="V98" s="184">
        <f>'Pseudo-load coefficients'!V287</f>
        <v>1.0970652362764857</v>
      </c>
      <c r="W98" s="184">
        <f>'Pseudo-load coefficients'!W287</f>
        <v>1.0970652362764857</v>
      </c>
      <c r="X98" s="184">
        <f>'Pseudo-load coefficients'!X287</f>
        <v>1.0970652362764857</v>
      </c>
      <c r="Y98" s="184">
        <f>'Pseudo-load coefficients'!Y287</f>
        <v>1.0970652362764857</v>
      </c>
    </row>
    <row r="99" spans="3:25" x14ac:dyDescent="0.25">
      <c r="E99" s="27"/>
      <c r="F99" s="181" t="s">
        <v>196</v>
      </c>
      <c r="G99" s="23" t="s">
        <v>283</v>
      </c>
      <c r="J99" s="184">
        <f>'Pseudo-load coefficients'!J288</f>
        <v>2.0343020326420613</v>
      </c>
      <c r="K99" s="184">
        <f>'Pseudo-load coefficients'!K288</f>
        <v>2.0343020326420613</v>
      </c>
      <c r="L99" s="184">
        <f>'Pseudo-load coefficients'!L288</f>
        <v>1.8860137912932433</v>
      </c>
      <c r="M99" s="184">
        <f>'Pseudo-load coefficients'!M288</f>
        <v>1.8860137912932433</v>
      </c>
      <c r="N99" s="184">
        <f>'Pseudo-load coefficients'!N288</f>
        <v>1.9187753849887086</v>
      </c>
      <c r="O99" s="184">
        <f>'Pseudo-load coefficients'!O288</f>
        <v>1.6888163664341145</v>
      </c>
      <c r="P99" s="184">
        <f>'Pseudo-load coefficients'!P288</f>
        <v>1.40486089290352</v>
      </c>
      <c r="Q99" s="184">
        <f>'Pseudo-load coefficients'!Q288</f>
        <v>1.3942699760958606</v>
      </c>
      <c r="R99" s="184">
        <f>'Pseudo-load coefficients'!R288</f>
        <v>1.2992963933231838</v>
      </c>
      <c r="S99" s="184">
        <f>'Pseudo-load coefficients'!S288</f>
        <v>1.2992963933231838</v>
      </c>
      <c r="T99" s="184">
        <f>'Pseudo-load coefficients'!T288</f>
        <v>1.2992963933231838</v>
      </c>
      <c r="U99" s="184">
        <f>'Pseudo-load coefficients'!U288</f>
        <v>1.2992963933231838</v>
      </c>
      <c r="V99" s="184">
        <f>'Pseudo-load coefficients'!V288</f>
        <v>1.2992963933231838</v>
      </c>
      <c r="W99" s="184">
        <f>'Pseudo-load coefficients'!W288</f>
        <v>1.2992963933231838</v>
      </c>
      <c r="X99" s="184">
        <f>'Pseudo-load coefficients'!X288</f>
        <v>1.2992963933231838</v>
      </c>
      <c r="Y99" s="184">
        <f>'Pseudo-load coefficients'!Y288</f>
        <v>1.2992963933231838</v>
      </c>
    </row>
    <row r="100" spans="3:25" x14ac:dyDescent="0.25">
      <c r="E100" s="27"/>
      <c r="F100" s="181" t="s">
        <v>197</v>
      </c>
      <c r="G100" s="23" t="s">
        <v>283</v>
      </c>
      <c r="J100" s="184">
        <f>'Pseudo-load coefficients'!J289</f>
        <v>1.7176696953572435</v>
      </c>
      <c r="K100" s="184">
        <f>'Pseudo-load coefficients'!K289</f>
        <v>1.7176696953572435</v>
      </c>
      <c r="L100" s="184">
        <f>'Pseudo-load coefficients'!L289</f>
        <v>1.5924620249839905</v>
      </c>
      <c r="M100" s="184">
        <f>'Pseudo-load coefficients'!M289</f>
        <v>1.5924620249839905</v>
      </c>
      <c r="N100" s="184">
        <f>'Pseudo-load coefficients'!N289</f>
        <v>1.6201243857147722</v>
      </c>
      <c r="O100" s="184">
        <f>'Pseudo-load coefficients'!O289</f>
        <v>1.4259577226493472</v>
      </c>
      <c r="P100" s="184">
        <f>'Pseudo-load coefficients'!P289</f>
        <v>1.1861989730201881</v>
      </c>
      <c r="Q100" s="184">
        <f>'Pseudo-load coefficients'!Q289</f>
        <v>1.1630830032878909</v>
      </c>
      <c r="R100" s="184">
        <f>'Pseudo-load coefficients'!R289</f>
        <v>1.0970652362764857</v>
      </c>
      <c r="S100" s="184">
        <f>'Pseudo-load coefficients'!S289</f>
        <v>1.0970652362764857</v>
      </c>
      <c r="T100" s="184">
        <f>'Pseudo-load coefficients'!T289</f>
        <v>1.0970652362764857</v>
      </c>
      <c r="U100" s="184">
        <f>'Pseudo-load coefficients'!U289</f>
        <v>1.0970652362764857</v>
      </c>
      <c r="V100" s="184">
        <f>'Pseudo-load coefficients'!V289</f>
        <v>1.0970652362764857</v>
      </c>
      <c r="W100" s="184">
        <f>'Pseudo-load coefficients'!W289</f>
        <v>1.0970652362764857</v>
      </c>
      <c r="X100" s="184">
        <f>'Pseudo-load coefficients'!X289</f>
        <v>1.0970652362764857</v>
      </c>
      <c r="Y100" s="184">
        <f>'Pseudo-load coefficients'!Y289</f>
        <v>1.0970652362764857</v>
      </c>
    </row>
    <row r="101" spans="3:25" x14ac:dyDescent="0.25">
      <c r="E101" s="27"/>
      <c r="F101" s="181" t="s">
        <v>198</v>
      </c>
      <c r="G101" s="23" t="s">
        <v>283</v>
      </c>
      <c r="J101" s="184">
        <f>'Pseudo-load coefficients'!J290</f>
        <v>1.7176696953572435</v>
      </c>
      <c r="K101" s="184">
        <f>'Pseudo-load coefficients'!K290</f>
        <v>1.7176696953572435</v>
      </c>
      <c r="L101" s="184">
        <f>'Pseudo-load coefficients'!L290</f>
        <v>1.5924620249839905</v>
      </c>
      <c r="M101" s="184">
        <f>'Pseudo-load coefficients'!M290</f>
        <v>1.5924620249839905</v>
      </c>
      <c r="N101" s="184">
        <f>'Pseudo-load coefficients'!N290</f>
        <v>1.6201243857147722</v>
      </c>
      <c r="O101" s="184">
        <f>'Pseudo-load coefficients'!O290</f>
        <v>1.4259577226493472</v>
      </c>
      <c r="P101" s="184">
        <f>'Pseudo-load coefficients'!P290</f>
        <v>1.1861989730201881</v>
      </c>
      <c r="Q101" s="184">
        <f>'Pseudo-load coefficients'!Q290</f>
        <v>1.1630830032878909</v>
      </c>
      <c r="R101" s="184">
        <f>'Pseudo-load coefficients'!R290</f>
        <v>1.0970652362764857</v>
      </c>
      <c r="S101" s="184">
        <f>'Pseudo-load coefficients'!S290</f>
        <v>1.0970652362764857</v>
      </c>
      <c r="T101" s="184">
        <f>'Pseudo-load coefficients'!T290</f>
        <v>1.0970652362764857</v>
      </c>
      <c r="U101" s="184">
        <f>'Pseudo-load coefficients'!U290</f>
        <v>1.0970652362764857</v>
      </c>
      <c r="V101" s="184">
        <f>'Pseudo-load coefficients'!V290</f>
        <v>1.0970652362764857</v>
      </c>
      <c r="W101" s="184">
        <f>'Pseudo-load coefficients'!W290</f>
        <v>1.0970652362764857</v>
      </c>
      <c r="X101" s="184">
        <f>'Pseudo-load coefficients'!X290</f>
        <v>1.0970652362764857</v>
      </c>
      <c r="Y101" s="184">
        <f>'Pseudo-load coefficients'!Y290</f>
        <v>1.0970652362764857</v>
      </c>
    </row>
    <row r="102" spans="3:25" x14ac:dyDescent="0.25">
      <c r="E102" s="27"/>
      <c r="F102" s="182" t="s">
        <v>199</v>
      </c>
      <c r="G102" s="57" t="s">
        <v>283</v>
      </c>
      <c r="H102" s="28"/>
      <c r="I102" s="28"/>
      <c r="J102" s="185">
        <f>'Pseudo-load coefficients'!J291</f>
        <v>1.7176696953572435</v>
      </c>
      <c r="K102" s="185">
        <f>'Pseudo-load coefficients'!K291</f>
        <v>1.7176696953572435</v>
      </c>
      <c r="L102" s="185">
        <f>'Pseudo-load coefficients'!L291</f>
        <v>1.5924620249839905</v>
      </c>
      <c r="M102" s="185">
        <f>'Pseudo-load coefficients'!M291</f>
        <v>1.5924620249839905</v>
      </c>
      <c r="N102" s="185">
        <f>'Pseudo-load coefficients'!N291</f>
        <v>1.6201243857147722</v>
      </c>
      <c r="O102" s="185">
        <f>'Pseudo-load coefficients'!O291</f>
        <v>1.4259577226493472</v>
      </c>
      <c r="P102" s="185">
        <f>'Pseudo-load coefficients'!P291</f>
        <v>1.1861989730201881</v>
      </c>
      <c r="Q102" s="185">
        <f>'Pseudo-load coefficients'!Q291</f>
        <v>1.1630830032878909</v>
      </c>
      <c r="R102" s="185">
        <f>'Pseudo-load coefficients'!R291</f>
        <v>1.0970652362764857</v>
      </c>
      <c r="S102" s="185">
        <f>'Pseudo-load coefficients'!S291</f>
        <v>1.0970652362764857</v>
      </c>
      <c r="T102" s="185">
        <f>'Pseudo-load coefficients'!T291</f>
        <v>1.0970652362764857</v>
      </c>
      <c r="U102" s="185">
        <f>'Pseudo-load coefficients'!U291</f>
        <v>1.0970652362764857</v>
      </c>
      <c r="V102" s="185">
        <f>'Pseudo-load coefficients'!V291</f>
        <v>1.0970652362764857</v>
      </c>
      <c r="W102" s="185">
        <f>'Pseudo-load coefficients'!W291</f>
        <v>1.0970652362764857</v>
      </c>
      <c r="X102" s="185">
        <f>'Pseudo-load coefficients'!X291</f>
        <v>1.0970652362764857</v>
      </c>
      <c r="Y102" s="185">
        <f>'Pseudo-load coefficients'!Y291</f>
        <v>1.0970652362764857</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189</v>
      </c>
      <c r="G105" s="54" t="s">
        <v>283</v>
      </c>
      <c r="H105" s="19"/>
      <c r="I105" s="19"/>
      <c r="J105" s="420">
        <f>'Pseudo-load coefficients'!J294</f>
        <v>0</v>
      </c>
      <c r="K105" s="420">
        <f>'Pseudo-load coefficients'!K294</f>
        <v>0</v>
      </c>
      <c r="L105" s="420">
        <f>'Pseudo-load coefficients'!L294</f>
        <v>0</v>
      </c>
      <c r="M105" s="420">
        <f>'Pseudo-load coefficients'!M294</f>
        <v>0</v>
      </c>
      <c r="N105" s="420">
        <f>'Pseudo-load coefficients'!N294</f>
        <v>0</v>
      </c>
      <c r="O105" s="420">
        <f>'Pseudo-load coefficients'!O294</f>
        <v>0</v>
      </c>
      <c r="P105" s="420">
        <f>'Pseudo-load coefficients'!P294</f>
        <v>0</v>
      </c>
      <c r="Q105" s="420">
        <f>'Pseudo-load coefficients'!Q294</f>
        <v>0</v>
      </c>
      <c r="R105" s="420">
        <f>'Pseudo-load coefficients'!R294</f>
        <v>0</v>
      </c>
      <c r="S105" s="420">
        <f>'Pseudo-load coefficients'!S294</f>
        <v>0</v>
      </c>
      <c r="T105" s="420">
        <f>'Pseudo-load coefficients'!T294</f>
        <v>0</v>
      </c>
      <c r="U105" s="420">
        <f>'Pseudo-load coefficients'!U294</f>
        <v>0</v>
      </c>
      <c r="V105" s="420">
        <f>'Pseudo-load coefficients'!V294</f>
        <v>0</v>
      </c>
      <c r="W105" s="420">
        <f>'Pseudo-load coefficients'!W294</f>
        <v>0</v>
      </c>
      <c r="X105" s="420">
        <f>'Pseudo-load coefficients'!X294</f>
        <v>0</v>
      </c>
      <c r="Y105" s="420">
        <f>'Pseudo-load coefficients'!Y294</f>
        <v>0</v>
      </c>
    </row>
    <row r="106" spans="3:25" x14ac:dyDescent="0.25">
      <c r="C106" s="27"/>
      <c r="E106" s="27"/>
      <c r="F106" s="181" t="s">
        <v>191</v>
      </c>
      <c r="G106" s="23" t="s">
        <v>283</v>
      </c>
      <c r="J106" s="184">
        <f>'Pseudo-load coefficients'!J294</f>
        <v>0</v>
      </c>
      <c r="K106" s="184">
        <f>'Pseudo-load coefficients'!K294</f>
        <v>0</v>
      </c>
      <c r="L106" s="184">
        <f>'Pseudo-load coefficients'!L294</f>
        <v>0</v>
      </c>
      <c r="M106" s="184">
        <f>'Pseudo-load coefficients'!M294</f>
        <v>0</v>
      </c>
      <c r="N106" s="184">
        <f>'Pseudo-load coefficients'!N294</f>
        <v>0</v>
      </c>
      <c r="O106" s="184">
        <f>'Pseudo-load coefficients'!O294</f>
        <v>0</v>
      </c>
      <c r="P106" s="184">
        <f>'Pseudo-load coefficients'!P294</f>
        <v>0</v>
      </c>
      <c r="Q106" s="184">
        <f>'Pseudo-load coefficients'!Q294</f>
        <v>0</v>
      </c>
      <c r="R106" s="184">
        <f>'Pseudo-load coefficients'!R294</f>
        <v>0</v>
      </c>
      <c r="S106" s="184">
        <f>'Pseudo-load coefficients'!S294</f>
        <v>0</v>
      </c>
      <c r="T106" s="184">
        <f>'Pseudo-load coefficients'!T294</f>
        <v>0</v>
      </c>
      <c r="U106" s="184">
        <f>'Pseudo-load coefficients'!U294</f>
        <v>0</v>
      </c>
      <c r="V106" s="184">
        <f>'Pseudo-load coefficients'!V294</f>
        <v>0</v>
      </c>
      <c r="W106" s="184">
        <f>'Pseudo-load coefficients'!W294</f>
        <v>0</v>
      </c>
      <c r="X106" s="184">
        <f>'Pseudo-load coefficients'!X294</f>
        <v>0</v>
      </c>
      <c r="Y106" s="184">
        <f>'Pseudo-load coefficients'!Y294</f>
        <v>0</v>
      </c>
    </row>
    <row r="107" spans="3:25" x14ac:dyDescent="0.25">
      <c r="C107" s="27"/>
      <c r="E107" s="27"/>
      <c r="F107" s="181" t="s">
        <v>192</v>
      </c>
      <c r="G107" s="23" t="s">
        <v>283</v>
      </c>
      <c r="J107" s="184">
        <f>'Pseudo-load coefficients'!J295</f>
        <v>0.17049815814771219</v>
      </c>
      <c r="K107" s="184">
        <f>'Pseudo-load coefficients'!K295</f>
        <v>0.17049815814771219</v>
      </c>
      <c r="L107" s="184">
        <f>'Pseudo-load coefficients'!L295</f>
        <v>0.15806987974103889</v>
      </c>
      <c r="M107" s="184">
        <f>'Pseudo-load coefficients'!M295</f>
        <v>0.15806987974103889</v>
      </c>
      <c r="N107" s="184">
        <f>'Pseudo-load coefficients'!N295</f>
        <v>0.1608156821309652</v>
      </c>
      <c r="O107" s="184">
        <f>'Pseudo-load coefficients'!O295</f>
        <v>0.14154244320975506</v>
      </c>
      <c r="P107" s="184">
        <f>'Pseudo-load coefficients'!P295</f>
        <v>0.11774367367795159</v>
      </c>
      <c r="Q107" s="184">
        <f>'Pseudo-load coefficients'!Q295</f>
        <v>0.13123018442197423</v>
      </c>
      <c r="R107" s="184">
        <f>'Pseudo-load coefficients'!R295</f>
        <v>0.10889614147504829</v>
      </c>
      <c r="S107" s="184">
        <f>'Pseudo-load coefficients'!S295</f>
        <v>0.10889614147504829</v>
      </c>
      <c r="T107" s="184">
        <f>'Pseudo-load coefficients'!T295</f>
        <v>0.10889614147504829</v>
      </c>
      <c r="U107" s="184">
        <f>'Pseudo-load coefficients'!U295</f>
        <v>0.10889614147504829</v>
      </c>
      <c r="V107" s="184">
        <f>'Pseudo-load coefficients'!V295</f>
        <v>0.10889614147504829</v>
      </c>
      <c r="W107" s="184">
        <f>'Pseudo-load coefficients'!W295</f>
        <v>0.10889614147504829</v>
      </c>
      <c r="X107" s="184">
        <f>'Pseudo-load coefficients'!X295</f>
        <v>0.10889614147504829</v>
      </c>
      <c r="Y107" s="184">
        <f>'Pseudo-load coefficients'!Y295</f>
        <v>0.10889614147504829</v>
      </c>
    </row>
    <row r="108" spans="3:25" x14ac:dyDescent="0.25">
      <c r="C108" s="27"/>
      <c r="E108" s="27"/>
      <c r="F108" s="181" t="s">
        <v>193</v>
      </c>
      <c r="G108" s="23" t="s">
        <v>283</v>
      </c>
      <c r="J108" s="184">
        <f>'Pseudo-load coefficients'!J296</f>
        <v>0.17049815814771219</v>
      </c>
      <c r="K108" s="184">
        <f>'Pseudo-load coefficients'!K296</f>
        <v>0.17049815814771219</v>
      </c>
      <c r="L108" s="184">
        <f>'Pseudo-load coefficients'!L296</f>
        <v>0.15806987974103889</v>
      </c>
      <c r="M108" s="184">
        <f>'Pseudo-load coefficients'!M296</f>
        <v>0.15806987974103889</v>
      </c>
      <c r="N108" s="184">
        <f>'Pseudo-load coefficients'!N296</f>
        <v>0.1608156821309652</v>
      </c>
      <c r="O108" s="184">
        <f>'Pseudo-load coefficients'!O296</f>
        <v>0.14154244320975506</v>
      </c>
      <c r="P108" s="184">
        <f>'Pseudo-load coefficients'!P296</f>
        <v>0.11774367367795159</v>
      </c>
      <c r="Q108" s="184">
        <f>'Pseudo-load coefficients'!Q296</f>
        <v>0.13123018442197423</v>
      </c>
      <c r="R108" s="184">
        <f>'Pseudo-load coefficients'!R296</f>
        <v>0.10889614147504829</v>
      </c>
      <c r="S108" s="184">
        <f>'Pseudo-load coefficients'!S296</f>
        <v>0.10889614147504829</v>
      </c>
      <c r="T108" s="184">
        <f>'Pseudo-load coefficients'!T296</f>
        <v>0.10889614147504829</v>
      </c>
      <c r="U108" s="184">
        <f>'Pseudo-load coefficients'!U296</f>
        <v>0.10889614147504829</v>
      </c>
      <c r="V108" s="184">
        <f>'Pseudo-load coefficients'!V296</f>
        <v>0.10889614147504829</v>
      </c>
      <c r="W108" s="184">
        <f>'Pseudo-load coefficients'!W296</f>
        <v>0.10889614147504829</v>
      </c>
      <c r="X108" s="184">
        <f>'Pseudo-load coefficients'!X296</f>
        <v>0.10889614147504829</v>
      </c>
      <c r="Y108" s="184">
        <f>'Pseudo-load coefficients'!Y296</f>
        <v>0.10889614147504829</v>
      </c>
    </row>
    <row r="109" spans="3:25" x14ac:dyDescent="0.25">
      <c r="C109" s="27"/>
      <c r="E109" s="27"/>
      <c r="F109" s="181" t="s">
        <v>194</v>
      </c>
      <c r="G109" s="23" t="s">
        <v>283</v>
      </c>
      <c r="J109" s="184">
        <f>'Pseudo-load coefficients'!J297</f>
        <v>0.2407232402172533</v>
      </c>
      <c r="K109" s="184">
        <f>'Pseudo-load coefficients'!K297</f>
        <v>0.2407232402172533</v>
      </c>
      <c r="L109" s="184">
        <f>'Pseudo-load coefficients'!L297</f>
        <v>0.22317598058184673</v>
      </c>
      <c r="M109" s="184">
        <f>'Pseudo-load coefficients'!M297</f>
        <v>0.22317598058184673</v>
      </c>
      <c r="N109" s="184">
        <f>'Pseudo-load coefficients'!N297</f>
        <v>0.22705272890265088</v>
      </c>
      <c r="O109" s="184">
        <f>'Pseudo-load coefficients'!O297</f>
        <v>0.19984119434416309</v>
      </c>
      <c r="P109" s="184">
        <f>'Pseudo-load coefficients'!P297</f>
        <v>0.16624014564593556</v>
      </c>
      <c r="Q109" s="184">
        <f>'Pseudo-load coefficients'!Q297</f>
        <v>0.18528150422010436</v>
      </c>
      <c r="R109" s="184">
        <f>'Pseudo-load coefficients'!R297</f>
        <v>0.15374847627573507</v>
      </c>
      <c r="S109" s="184">
        <f>'Pseudo-load coefficients'!S297</f>
        <v>0.15374847627573507</v>
      </c>
      <c r="T109" s="184">
        <f>'Pseudo-load coefficients'!T297</f>
        <v>0.15374847627573507</v>
      </c>
      <c r="U109" s="184">
        <f>'Pseudo-load coefficients'!U297</f>
        <v>0.15374847627573507</v>
      </c>
      <c r="V109" s="184">
        <f>'Pseudo-load coefficients'!V297</f>
        <v>0.15374847627573507</v>
      </c>
      <c r="W109" s="184">
        <f>'Pseudo-load coefficients'!W297</f>
        <v>0.15374847627573507</v>
      </c>
      <c r="X109" s="184">
        <f>'Pseudo-load coefficients'!X297</f>
        <v>0.15374847627573507</v>
      </c>
      <c r="Y109" s="184">
        <f>'Pseudo-load coefficients'!Y297</f>
        <v>0.15374847627573507</v>
      </c>
    </row>
    <row r="110" spans="3:25" x14ac:dyDescent="0.25">
      <c r="C110" s="27"/>
      <c r="E110" s="27"/>
      <c r="F110" s="181" t="s">
        <v>195</v>
      </c>
      <c r="G110" s="23" t="s">
        <v>283</v>
      </c>
      <c r="J110" s="184">
        <f>'Pseudo-load coefficients'!J298</f>
        <v>0.2407232402172533</v>
      </c>
      <c r="K110" s="184">
        <f>'Pseudo-load coefficients'!K298</f>
        <v>0.2407232402172533</v>
      </c>
      <c r="L110" s="184">
        <f>'Pseudo-load coefficients'!L298</f>
        <v>0.22317598058184673</v>
      </c>
      <c r="M110" s="184">
        <f>'Pseudo-load coefficients'!M298</f>
        <v>0.22317598058184673</v>
      </c>
      <c r="N110" s="184">
        <f>'Pseudo-load coefficients'!N298</f>
        <v>0.22705272890265088</v>
      </c>
      <c r="O110" s="184">
        <f>'Pseudo-load coefficients'!O298</f>
        <v>0.19984119434416309</v>
      </c>
      <c r="P110" s="184">
        <f>'Pseudo-load coefficients'!P298</f>
        <v>0.16624014564593556</v>
      </c>
      <c r="Q110" s="184">
        <f>'Pseudo-load coefficients'!Q298</f>
        <v>0.18528150422010436</v>
      </c>
      <c r="R110" s="184">
        <f>'Pseudo-load coefficients'!R298</f>
        <v>0.15374847627573507</v>
      </c>
      <c r="S110" s="184">
        <f>'Pseudo-load coefficients'!S298</f>
        <v>0.15374847627573507</v>
      </c>
      <c r="T110" s="184">
        <f>'Pseudo-load coefficients'!T298</f>
        <v>0.15374847627573507</v>
      </c>
      <c r="U110" s="184">
        <f>'Pseudo-load coefficients'!U298</f>
        <v>0.15374847627573507</v>
      </c>
      <c r="V110" s="184">
        <f>'Pseudo-load coefficients'!V298</f>
        <v>0.15374847627573507</v>
      </c>
      <c r="W110" s="184">
        <f>'Pseudo-load coefficients'!W298</f>
        <v>0.15374847627573507</v>
      </c>
      <c r="X110" s="184">
        <f>'Pseudo-load coefficients'!X298</f>
        <v>0.15374847627573507</v>
      </c>
      <c r="Y110" s="184">
        <f>'Pseudo-load coefficients'!Y298</f>
        <v>0.15374847627573507</v>
      </c>
    </row>
    <row r="111" spans="3:25" x14ac:dyDescent="0.25">
      <c r="C111" s="27"/>
      <c r="E111" s="27"/>
      <c r="F111" s="181" t="s">
        <v>196</v>
      </c>
      <c r="G111" s="23" t="s">
        <v>283</v>
      </c>
      <c r="J111" s="184">
        <f>'Pseudo-load coefficients'!J299</f>
        <v>0.17049815814771219</v>
      </c>
      <c r="K111" s="184">
        <f>'Pseudo-load coefficients'!K299</f>
        <v>0.17049815814771219</v>
      </c>
      <c r="L111" s="184">
        <f>'Pseudo-load coefficients'!L299</f>
        <v>0.15806987974103889</v>
      </c>
      <c r="M111" s="184">
        <f>'Pseudo-load coefficients'!M299</f>
        <v>0.15806987974103889</v>
      </c>
      <c r="N111" s="184">
        <f>'Pseudo-load coefficients'!N299</f>
        <v>0.1608156821309652</v>
      </c>
      <c r="O111" s="184">
        <f>'Pseudo-load coefficients'!O299</f>
        <v>0.14154244320975506</v>
      </c>
      <c r="P111" s="184">
        <f>'Pseudo-load coefficients'!P299</f>
        <v>0.11774367367795159</v>
      </c>
      <c r="Q111" s="184">
        <f>'Pseudo-load coefficients'!Q299</f>
        <v>0.13123018442197423</v>
      </c>
      <c r="R111" s="184">
        <f>'Pseudo-load coefficients'!R299</f>
        <v>0.10889614147504829</v>
      </c>
      <c r="S111" s="184">
        <f>'Pseudo-load coefficients'!S299</f>
        <v>0.10889614147504829</v>
      </c>
      <c r="T111" s="184">
        <f>'Pseudo-load coefficients'!T299</f>
        <v>0.10889614147504829</v>
      </c>
      <c r="U111" s="184">
        <f>'Pseudo-load coefficients'!U299</f>
        <v>0.10889614147504829</v>
      </c>
      <c r="V111" s="184">
        <f>'Pseudo-load coefficients'!V299</f>
        <v>0.10889614147504829</v>
      </c>
      <c r="W111" s="184">
        <f>'Pseudo-load coefficients'!W299</f>
        <v>0.10889614147504829</v>
      </c>
      <c r="X111" s="184">
        <f>'Pseudo-load coefficients'!X299</f>
        <v>0.10889614147504829</v>
      </c>
      <c r="Y111" s="184">
        <f>'Pseudo-load coefficients'!Y299</f>
        <v>0.10889614147504829</v>
      </c>
    </row>
    <row r="112" spans="3:25" x14ac:dyDescent="0.25">
      <c r="C112" s="27"/>
      <c r="E112" s="27"/>
      <c r="F112" s="181" t="s">
        <v>197</v>
      </c>
      <c r="G112" s="23" t="s">
        <v>283</v>
      </c>
      <c r="J112" s="184">
        <f>'Pseudo-load coefficients'!J300</f>
        <v>0.2407232402172533</v>
      </c>
      <c r="K112" s="184">
        <f>'Pseudo-load coefficients'!K300</f>
        <v>0.2407232402172533</v>
      </c>
      <c r="L112" s="184">
        <f>'Pseudo-load coefficients'!L300</f>
        <v>0.22317598058184673</v>
      </c>
      <c r="M112" s="184">
        <f>'Pseudo-load coefficients'!M300</f>
        <v>0.22317598058184673</v>
      </c>
      <c r="N112" s="184">
        <f>'Pseudo-load coefficients'!N300</f>
        <v>0.22705272890265088</v>
      </c>
      <c r="O112" s="184">
        <f>'Pseudo-load coefficients'!O300</f>
        <v>0.19984119434416309</v>
      </c>
      <c r="P112" s="184">
        <f>'Pseudo-load coefficients'!P300</f>
        <v>0.16624014564593556</v>
      </c>
      <c r="Q112" s="184">
        <f>'Pseudo-load coefficients'!Q300</f>
        <v>0.18528150422010436</v>
      </c>
      <c r="R112" s="184">
        <f>'Pseudo-load coefficients'!R300</f>
        <v>0.15374847627573507</v>
      </c>
      <c r="S112" s="184">
        <f>'Pseudo-load coefficients'!S300</f>
        <v>0.15374847627573507</v>
      </c>
      <c r="T112" s="184">
        <f>'Pseudo-load coefficients'!T300</f>
        <v>0.15374847627573507</v>
      </c>
      <c r="U112" s="184">
        <f>'Pseudo-load coefficients'!U300</f>
        <v>0.15374847627573507</v>
      </c>
      <c r="V112" s="184">
        <f>'Pseudo-load coefficients'!V300</f>
        <v>0.15374847627573507</v>
      </c>
      <c r="W112" s="184">
        <f>'Pseudo-load coefficients'!W300</f>
        <v>0.15374847627573507</v>
      </c>
      <c r="X112" s="184">
        <f>'Pseudo-load coefficients'!X300</f>
        <v>0.15374847627573507</v>
      </c>
      <c r="Y112" s="184">
        <f>'Pseudo-load coefficients'!Y300</f>
        <v>0.15374847627573507</v>
      </c>
    </row>
    <row r="113" spans="2:27" x14ac:dyDescent="0.25">
      <c r="C113" s="27"/>
      <c r="E113" s="27"/>
      <c r="F113" s="181" t="s">
        <v>198</v>
      </c>
      <c r="G113" s="23" t="s">
        <v>283</v>
      </c>
      <c r="J113" s="184">
        <f>'Pseudo-load coefficients'!J301</f>
        <v>0.2407232402172533</v>
      </c>
      <c r="K113" s="184">
        <f>'Pseudo-load coefficients'!K301</f>
        <v>0.2407232402172533</v>
      </c>
      <c r="L113" s="184">
        <f>'Pseudo-load coefficients'!L301</f>
        <v>0.22317598058184673</v>
      </c>
      <c r="M113" s="184">
        <f>'Pseudo-load coefficients'!M301</f>
        <v>0.22317598058184673</v>
      </c>
      <c r="N113" s="184">
        <f>'Pseudo-load coefficients'!N301</f>
        <v>0.22705272890265088</v>
      </c>
      <c r="O113" s="184">
        <f>'Pseudo-load coefficients'!O301</f>
        <v>0.19984119434416309</v>
      </c>
      <c r="P113" s="184">
        <f>'Pseudo-load coefficients'!P301</f>
        <v>0.16624014564593556</v>
      </c>
      <c r="Q113" s="184">
        <f>'Pseudo-load coefficients'!Q301</f>
        <v>0.18528150422010436</v>
      </c>
      <c r="R113" s="184">
        <f>'Pseudo-load coefficients'!R301</f>
        <v>0.15374847627573507</v>
      </c>
      <c r="S113" s="184">
        <f>'Pseudo-load coefficients'!S301</f>
        <v>0.15374847627573507</v>
      </c>
      <c r="T113" s="184">
        <f>'Pseudo-load coefficients'!T301</f>
        <v>0.15374847627573507</v>
      </c>
      <c r="U113" s="184">
        <f>'Pseudo-load coefficients'!U301</f>
        <v>0.15374847627573507</v>
      </c>
      <c r="V113" s="184">
        <f>'Pseudo-load coefficients'!V301</f>
        <v>0.15374847627573507</v>
      </c>
      <c r="W113" s="184">
        <f>'Pseudo-load coefficients'!W301</f>
        <v>0.15374847627573507</v>
      </c>
      <c r="X113" s="184">
        <f>'Pseudo-load coefficients'!X301</f>
        <v>0.15374847627573507</v>
      </c>
      <c r="Y113" s="184">
        <f>'Pseudo-load coefficients'!Y301</f>
        <v>0.15374847627573507</v>
      </c>
    </row>
    <row r="114" spans="2:27" x14ac:dyDescent="0.25">
      <c r="C114" s="27"/>
      <c r="E114" s="27"/>
      <c r="F114" s="182" t="s">
        <v>199</v>
      </c>
      <c r="G114" s="57" t="s">
        <v>283</v>
      </c>
      <c r="H114" s="28"/>
      <c r="I114" s="28"/>
      <c r="J114" s="185">
        <f>'Pseudo-load coefficients'!J302</f>
        <v>0.2407232402172533</v>
      </c>
      <c r="K114" s="185">
        <f>'Pseudo-load coefficients'!K302</f>
        <v>0.2407232402172533</v>
      </c>
      <c r="L114" s="185">
        <f>'Pseudo-load coefficients'!L302</f>
        <v>0.22317598058184673</v>
      </c>
      <c r="M114" s="185">
        <f>'Pseudo-load coefficients'!M302</f>
        <v>0.22317598058184673</v>
      </c>
      <c r="N114" s="185">
        <f>'Pseudo-load coefficients'!N302</f>
        <v>0.22705272890265088</v>
      </c>
      <c r="O114" s="185">
        <f>'Pseudo-load coefficients'!O302</f>
        <v>0.19984119434416309</v>
      </c>
      <c r="P114" s="185">
        <f>'Pseudo-load coefficients'!P302</f>
        <v>0.16624014564593556</v>
      </c>
      <c r="Q114" s="185">
        <f>'Pseudo-load coefficients'!Q302</f>
        <v>0.18528150422010436</v>
      </c>
      <c r="R114" s="185">
        <f>'Pseudo-load coefficients'!R302</f>
        <v>0.15374847627573507</v>
      </c>
      <c r="S114" s="185">
        <f>'Pseudo-load coefficients'!S302</f>
        <v>0.15374847627573507</v>
      </c>
      <c r="T114" s="185">
        <f>'Pseudo-load coefficients'!T302</f>
        <v>0.15374847627573507</v>
      </c>
      <c r="U114" s="185">
        <f>'Pseudo-load coefficients'!U302</f>
        <v>0.15374847627573507</v>
      </c>
      <c r="V114" s="185">
        <f>'Pseudo-load coefficients'!V302</f>
        <v>0.15374847627573507</v>
      </c>
      <c r="W114" s="185">
        <f>'Pseudo-load coefficients'!W302</f>
        <v>0.15374847627573507</v>
      </c>
      <c r="X114" s="185">
        <f>'Pseudo-load coefficients'!X302</f>
        <v>0.15374847627573507</v>
      </c>
      <c r="Y114" s="185">
        <f>'Pseudo-load coefficients'!Y302</f>
        <v>0.15374847627573507</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control'!$H$36:$H$59,MATCH($A$1,'Version control'!$F$36:$F$59,0),1)&amp;"-B: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192</v>
      </c>
      <c r="G125" t="s">
        <v>269</v>
      </c>
      <c r="H125" s="256"/>
      <c r="I125" s="256"/>
      <c r="J125" s="264">
        <f t="shared" ref="J125:Y125" si="2">hundred * $H20 * J57 / $H45 * J$78 * (1 - J69) / hours_in_year</f>
        <v>0.12232892749891422</v>
      </c>
      <c r="K125" s="264">
        <f t="shared" si="2"/>
        <v>0.12232892749891422</v>
      </c>
      <c r="L125" s="264">
        <f t="shared" si="2"/>
        <v>0.10474983993703958</v>
      </c>
      <c r="M125" s="264">
        <f t="shared" si="2"/>
        <v>0.10474983993703958</v>
      </c>
      <c r="N125" s="264">
        <f t="shared" si="2"/>
        <v>8.9826746440370794E-2</v>
      </c>
      <c r="O125" s="264">
        <f t="shared" si="2"/>
        <v>9.1450869776658006E-2</v>
      </c>
      <c r="P125" s="264">
        <f t="shared" si="2"/>
        <v>6.8847034146572061E-2</v>
      </c>
      <c r="Q125" s="264">
        <f t="shared" si="2"/>
        <v>0.11368456543136249</v>
      </c>
      <c r="R125" s="264">
        <f t="shared" si="2"/>
        <v>-6.1879668669173916E-2</v>
      </c>
      <c r="S125" s="264">
        <f t="shared" si="2"/>
        <v>-6.063414926320701E-2</v>
      </c>
      <c r="T125" s="264">
        <f t="shared" si="2"/>
        <v>-6.1879668669173916E-2</v>
      </c>
      <c r="U125" s="264">
        <f t="shared" si="2"/>
        <v>-6.1879668669173916E-2</v>
      </c>
      <c r="V125" s="264">
        <f t="shared" si="2"/>
        <v>-6.063414926320701E-2</v>
      </c>
      <c r="W125" s="264">
        <f t="shared" si="2"/>
        <v>-6.063414926320701E-2</v>
      </c>
      <c r="X125" s="264">
        <f t="shared" si="2"/>
        <v>-5.9671702449505322E-2</v>
      </c>
      <c r="Y125" s="264">
        <f t="shared" si="2"/>
        <v>-5.9671702449505322E-2</v>
      </c>
      <c r="Z125" s="256"/>
      <c r="AA125" s="256"/>
    </row>
    <row r="126" spans="2:27" x14ac:dyDescent="0.25">
      <c r="E126" s="27"/>
      <c r="F126" s="181" t="s">
        <v>193</v>
      </c>
      <c r="G126" t="s">
        <v>269</v>
      </c>
      <c r="H126" s="256"/>
      <c r="I126" s="256"/>
      <c r="J126" s="264">
        <f t="shared" ref="J126:Y126" si="3">hundred * $H21 * J58 / $H46 * J$78 * (1 - J70) / hours_in_year</f>
        <v>2.8961031711086948E-2</v>
      </c>
      <c r="K126" s="264">
        <f t="shared" si="3"/>
        <v>2.8961031711086948E-2</v>
      </c>
      <c r="L126" s="264">
        <f t="shared" si="3"/>
        <v>2.4799231859322986E-2</v>
      </c>
      <c r="M126" s="264">
        <f t="shared" si="3"/>
        <v>2.4799231859322986E-2</v>
      </c>
      <c r="N126" s="264">
        <f t="shared" si="3"/>
        <v>2.1266231179754565E-2</v>
      </c>
      <c r="O126" s="264">
        <f t="shared" si="3"/>
        <v>2.1650737840661474E-2</v>
      </c>
      <c r="P126" s="264">
        <f t="shared" si="3"/>
        <v>1.6299342926478749E-2</v>
      </c>
      <c r="Q126" s="264">
        <f t="shared" si="3"/>
        <v>2.6914503150107738E-2</v>
      </c>
      <c r="R126" s="264">
        <f t="shared" si="3"/>
        <v>-1.4649838621493725E-2</v>
      </c>
      <c r="S126" s="264">
        <f t="shared" si="3"/>
        <v>-1.4354965383000714E-2</v>
      </c>
      <c r="T126" s="264">
        <f t="shared" si="3"/>
        <v>-1.4649838621493725E-2</v>
      </c>
      <c r="U126" s="264">
        <f t="shared" si="3"/>
        <v>-1.4649838621493725E-2</v>
      </c>
      <c r="V126" s="264">
        <f t="shared" si="3"/>
        <v>-1.4354965383000714E-2</v>
      </c>
      <c r="W126" s="264">
        <f t="shared" si="3"/>
        <v>-1.4354965383000714E-2</v>
      </c>
      <c r="X126" s="264">
        <f t="shared" si="3"/>
        <v>-1.4127108789619751E-2</v>
      </c>
      <c r="Y126" s="264">
        <f t="shared" si="3"/>
        <v>-1.4127108789619751E-2</v>
      </c>
      <c r="Z126" s="256"/>
      <c r="AA126" s="256"/>
    </row>
    <row r="127" spans="2:27" x14ac:dyDescent="0.25">
      <c r="E127" s="27"/>
      <c r="F127" s="181" t="s">
        <v>194</v>
      </c>
      <c r="G127" t="s">
        <v>269</v>
      </c>
      <c r="H127" s="256"/>
      <c r="I127" s="256"/>
      <c r="J127" s="264">
        <f t="shared" ref="J127:Y127" si="4">hundred * $H22 * J59 / $H47 * J$78 * (1 - J71) / hours_in_year</f>
        <v>2.9436964019164773E-2</v>
      </c>
      <c r="K127" s="264">
        <f t="shared" si="4"/>
        <v>2.9436964019164773E-2</v>
      </c>
      <c r="L127" s="264">
        <f t="shared" si="4"/>
        <v>2.5206771058033452E-2</v>
      </c>
      <c r="M127" s="264">
        <f t="shared" si="4"/>
        <v>2.5206771058033452E-2</v>
      </c>
      <c r="N127" s="264">
        <f t="shared" si="4"/>
        <v>2.1615710666206097E-2</v>
      </c>
      <c r="O127" s="264">
        <f t="shared" si="4"/>
        <v>2.2006536133170135E-2</v>
      </c>
      <c r="P127" s="264">
        <f t="shared" si="4"/>
        <v>1.6567198850139832E-2</v>
      </c>
      <c r="Q127" s="264">
        <f t="shared" si="4"/>
        <v>2.735680374674342E-2</v>
      </c>
      <c r="R127" s="264">
        <f t="shared" si="4"/>
        <v>-1.4890587348184495E-2</v>
      </c>
      <c r="S127" s="264">
        <f t="shared" si="4"/>
        <v>-1.4590868298175292E-2</v>
      </c>
      <c r="T127" s="264">
        <f t="shared" si="4"/>
        <v>-1.4890587348184495E-2</v>
      </c>
      <c r="U127" s="264">
        <f t="shared" si="4"/>
        <v>-1.4890587348184495E-2</v>
      </c>
      <c r="V127" s="264">
        <f t="shared" si="4"/>
        <v>-1.4590868298175292E-2</v>
      </c>
      <c r="W127" s="264">
        <f t="shared" si="4"/>
        <v>-1.4590868298175292E-2</v>
      </c>
      <c r="X127" s="264">
        <f t="shared" si="4"/>
        <v>-1.4359267214077273E-2</v>
      </c>
      <c r="Y127" s="264">
        <f t="shared" si="4"/>
        <v>-1.4359267214077273E-2</v>
      </c>
      <c r="Z127" s="256"/>
      <c r="AA127" s="256"/>
    </row>
    <row r="128" spans="2:27" x14ac:dyDescent="0.25">
      <c r="E128" s="27"/>
      <c r="F128" s="181" t="s">
        <v>195</v>
      </c>
      <c r="G128" t="s">
        <v>269</v>
      </c>
      <c r="H128" s="256"/>
      <c r="I128" s="256"/>
      <c r="J128" s="264">
        <f t="shared" ref="J128:Y128" si="5">hundred * $H23 * J60 / $H48 * J$78 * (1 - J72) / hours_in_year</f>
        <v>5.6745286455190655E-2</v>
      </c>
      <c r="K128" s="264">
        <f t="shared" si="5"/>
        <v>5.6745286455190655E-2</v>
      </c>
      <c r="L128" s="264">
        <f t="shared" si="5"/>
        <v>4.8590793648668591E-2</v>
      </c>
      <c r="M128" s="264">
        <f t="shared" si="5"/>
        <v>4.8590793648668591E-2</v>
      </c>
      <c r="N128" s="264">
        <f t="shared" si="5"/>
        <v>4.1668349116703085E-2</v>
      </c>
      <c r="O128" s="264">
        <f t="shared" si="5"/>
        <v>4.242173873468201E-2</v>
      </c>
      <c r="P128" s="264">
        <f t="shared" si="5"/>
        <v>2.3708266372252727E-2</v>
      </c>
      <c r="Q128" s="264">
        <f t="shared" si="5"/>
        <v>5.2735386166070888E-2</v>
      </c>
      <c r="R128" s="264">
        <f t="shared" si="5"/>
        <v>-2.8704408647870529E-2</v>
      </c>
      <c r="S128" s="264">
        <f t="shared" si="5"/>
        <v>-2.8126643789450442E-2</v>
      </c>
      <c r="T128" s="264">
        <f t="shared" si="5"/>
        <v>-2.8704408647870529E-2</v>
      </c>
      <c r="U128" s="264">
        <f t="shared" si="5"/>
        <v>-2.8704408647870529E-2</v>
      </c>
      <c r="V128" s="264">
        <f t="shared" si="5"/>
        <v>-2.8126643789450442E-2</v>
      </c>
      <c r="W128" s="264">
        <f t="shared" si="5"/>
        <v>-2.8126643789450442E-2</v>
      </c>
      <c r="X128" s="264">
        <f t="shared" si="5"/>
        <v>-2.0548635596223677E-2</v>
      </c>
      <c r="Y128" s="264">
        <f t="shared" si="5"/>
        <v>-2.0548635596223677E-2</v>
      </c>
      <c r="Z128" s="256"/>
      <c r="AA128" s="256"/>
    </row>
    <row r="129" spans="4:27" x14ac:dyDescent="0.25">
      <c r="E129" s="27"/>
      <c r="F129" s="181" t="s">
        <v>196</v>
      </c>
      <c r="G129" t="s">
        <v>269</v>
      </c>
      <c r="H129" s="256"/>
      <c r="I129" s="256"/>
      <c r="J129" s="264">
        <f t="shared" ref="J129:Y129" si="6">hundred * $H24 * J61 / $H49 * J$78 * (1 - J73) / hours_in_year</f>
        <v>6.0582387163561201E-2</v>
      </c>
      <c r="K129" s="264">
        <f t="shared" si="6"/>
        <v>6.0582387163561201E-2</v>
      </c>
      <c r="L129" s="264">
        <f t="shared" si="6"/>
        <v>5.1876489789736149E-2</v>
      </c>
      <c r="M129" s="264">
        <f t="shared" si="6"/>
        <v>5.1876489789736149E-2</v>
      </c>
      <c r="N129" s="264">
        <f t="shared" si="6"/>
        <v>4.4485951456918381E-2</v>
      </c>
      <c r="O129" s="264">
        <f t="shared" si="6"/>
        <v>4.5290285074256774E-2</v>
      </c>
      <c r="P129" s="264">
        <f t="shared" si="6"/>
        <v>2.5311412842630398E-2</v>
      </c>
      <c r="Q129" s="264">
        <f t="shared" si="6"/>
        <v>5.6301338516559288E-2</v>
      </c>
      <c r="R129" s="264">
        <f t="shared" si="6"/>
        <v>-3.0645392888792037E-2</v>
      </c>
      <c r="S129" s="264">
        <f t="shared" si="6"/>
        <v>-3.0028559729090826E-2</v>
      </c>
      <c r="T129" s="264">
        <f t="shared" si="6"/>
        <v>-3.0645392888792037E-2</v>
      </c>
      <c r="U129" s="264">
        <f t="shared" si="6"/>
        <v>-3.0645392888792037E-2</v>
      </c>
      <c r="V129" s="264">
        <f t="shared" si="6"/>
        <v>-3.0028559729090826E-2</v>
      </c>
      <c r="W129" s="264">
        <f t="shared" si="6"/>
        <v>-3.0028559729090826E-2</v>
      </c>
      <c r="X129" s="264">
        <f t="shared" si="6"/>
        <v>-2.1938128700017955E-2</v>
      </c>
      <c r="Y129" s="264">
        <f t="shared" si="6"/>
        <v>-2.1938128700017955E-2</v>
      </c>
      <c r="Z129" s="256"/>
      <c r="AA129" s="256"/>
    </row>
    <row r="130" spans="4:27" x14ac:dyDescent="0.25">
      <c r="E130" s="27"/>
      <c r="F130" s="181" t="s">
        <v>197</v>
      </c>
      <c r="G130" t="s">
        <v>269</v>
      </c>
      <c r="H130" s="256"/>
      <c r="I130" s="256"/>
      <c r="J130" s="264">
        <f t="shared" ref="J130:Y130" si="7">hundred * $H25 * J62 / $H50 * J$78 * (1 - J74) / hours_in_year</f>
        <v>0.22202570202037242</v>
      </c>
      <c r="K130" s="264">
        <f t="shared" si="7"/>
        <v>0.22202570202037242</v>
      </c>
      <c r="L130" s="264">
        <f t="shared" si="7"/>
        <v>0.19011984510981086</v>
      </c>
      <c r="M130" s="264">
        <f t="shared" si="7"/>
        <v>0.19011984510981086</v>
      </c>
      <c r="N130" s="264">
        <f t="shared" si="7"/>
        <v>0.16303458917193836</v>
      </c>
      <c r="O130" s="264">
        <f t="shared" si="7"/>
        <v>0.16598235574914508</v>
      </c>
      <c r="P130" s="264">
        <f t="shared" si="7"/>
        <v>9.8782814462967342E-2</v>
      </c>
      <c r="Q130" s="264">
        <f t="shared" si="7"/>
        <v>0.20633627683037811</v>
      </c>
      <c r="R130" s="264">
        <f t="shared" si="7"/>
        <v>-0.11231094033080057</v>
      </c>
      <c r="S130" s="264">
        <f t="shared" si="7"/>
        <v>-0.11005033585936633</v>
      </c>
      <c r="T130" s="264">
        <f t="shared" si="7"/>
        <v>-0.11231094033080057</v>
      </c>
      <c r="U130" s="264">
        <f t="shared" si="7"/>
        <v>-0.11231094033080057</v>
      </c>
      <c r="V130" s="264">
        <f t="shared" si="7"/>
        <v>-0.11005033585936633</v>
      </c>
      <c r="W130" s="264">
        <f t="shared" si="7"/>
        <v>-0.11005033585936633</v>
      </c>
      <c r="X130" s="264">
        <f t="shared" si="7"/>
        <v>0</v>
      </c>
      <c r="Y130" s="264">
        <f t="shared" si="7"/>
        <v>0</v>
      </c>
      <c r="Z130" s="256"/>
      <c r="AA130" s="256"/>
    </row>
    <row r="131" spans="4:27" x14ac:dyDescent="0.25">
      <c r="E131" s="27"/>
      <c r="F131" s="181" t="s">
        <v>198</v>
      </c>
      <c r="G131" t="s">
        <v>269</v>
      </c>
      <c r="H131" s="256"/>
      <c r="I131" s="256"/>
      <c r="J131" s="264">
        <f t="shared" ref="J131:Y131" si="8">hundred * $H26 * J63 / $H51 * J$78 * (1 - J75) / hours_in_year</f>
        <v>6.3291369179002202E-2</v>
      </c>
      <c r="K131" s="264">
        <f t="shared" si="8"/>
        <v>6.3291369179002202E-2</v>
      </c>
      <c r="L131" s="264">
        <f t="shared" si="8"/>
        <v>5.4196181773566242E-2</v>
      </c>
      <c r="M131" s="264">
        <f t="shared" si="8"/>
        <v>5.4196181773566242E-2</v>
      </c>
      <c r="N131" s="264">
        <f t="shared" si="8"/>
        <v>4.6475170569582502E-2</v>
      </c>
      <c r="O131" s="264">
        <f t="shared" si="8"/>
        <v>4.7315470503300955E-2</v>
      </c>
      <c r="P131" s="264">
        <f t="shared" si="8"/>
        <v>0</v>
      </c>
      <c r="Q131" s="264">
        <f t="shared" si="8"/>
        <v>5.8818890574632555E-2</v>
      </c>
      <c r="R131" s="264">
        <f t="shared" si="8"/>
        <v>-3.2015722155741E-2</v>
      </c>
      <c r="S131" s="264">
        <f t="shared" si="8"/>
        <v>0</v>
      </c>
      <c r="T131" s="264">
        <f t="shared" si="8"/>
        <v>-3.2015722155741E-2</v>
      </c>
      <c r="U131" s="264">
        <f t="shared" si="8"/>
        <v>-3.2015722155741E-2</v>
      </c>
      <c r="V131" s="264">
        <f t="shared" si="8"/>
        <v>0</v>
      </c>
      <c r="W131" s="264">
        <f t="shared" si="8"/>
        <v>0</v>
      </c>
      <c r="X131" s="264">
        <f t="shared" si="8"/>
        <v>0</v>
      </c>
      <c r="Y131" s="264">
        <f t="shared" si="8"/>
        <v>0</v>
      </c>
      <c r="Z131" s="256"/>
      <c r="AA131" s="256"/>
    </row>
    <row r="132" spans="4:27" x14ac:dyDescent="0.25">
      <c r="E132" s="27"/>
      <c r="F132" s="182" t="s">
        <v>199</v>
      </c>
      <c r="G132" s="28" t="s">
        <v>269</v>
      </c>
      <c r="H132" s="258"/>
      <c r="I132" s="258"/>
      <c r="J132" s="265">
        <f t="shared" ref="J132:Y132" si="9">hundred * $H27 * J64 / $H52 * J$78 * (1 - J76) / hours_in_year</f>
        <v>4.2259857253846005E-2</v>
      </c>
      <c r="K132" s="265">
        <f t="shared" si="9"/>
        <v>4.2259857253846005E-2</v>
      </c>
      <c r="L132" s="265">
        <f t="shared" si="9"/>
        <v>3.6186970437894185E-2</v>
      </c>
      <c r="M132" s="265">
        <f t="shared" si="9"/>
        <v>3.6186970437894185E-2</v>
      </c>
      <c r="N132" s="265">
        <f t="shared" si="9"/>
        <v>3.1031625632303387E-2</v>
      </c>
      <c r="O132" s="265">
        <f t="shared" si="9"/>
        <v>0</v>
      </c>
      <c r="P132" s="265">
        <f t="shared" si="9"/>
        <v>0</v>
      </c>
      <c r="Q132" s="265">
        <f t="shared" si="9"/>
        <v>3.9273568446331196E-2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189</v>
      </c>
      <c r="G135" s="19" t="s">
        <v>269</v>
      </c>
      <c r="H135" s="255"/>
      <c r="I135" s="255"/>
      <c r="J135" s="263">
        <f t="shared" ref="J135:Y135" si="10">hundred * $H30 * J55 / $H43 * J$78 / hours_in_year</f>
        <v>6.0626303594299435E-2</v>
      </c>
      <c r="K135" s="263">
        <f t="shared" si="10"/>
        <v>6.0626303594299435E-2</v>
      </c>
      <c r="L135" s="263">
        <f t="shared" si="10"/>
        <v>5.1914095278351891E-2</v>
      </c>
      <c r="M135" s="263">
        <f t="shared" si="10"/>
        <v>5.1914095278351891E-2</v>
      </c>
      <c r="N135" s="263">
        <f t="shared" si="10"/>
        <v>4.4518199512788278E-2</v>
      </c>
      <c r="O135" s="263">
        <f t="shared" si="10"/>
        <v>4.5323116194995031E-2</v>
      </c>
      <c r="P135" s="263">
        <f t="shared" si="10"/>
        <v>3.4120639157685956E-2</v>
      </c>
      <c r="Q135" s="263">
        <f t="shared" si="10"/>
        <v>5.6342151596881745E-2</v>
      </c>
      <c r="R135" s="263">
        <f t="shared" si="10"/>
        <v>-3.066760786474888E-2</v>
      </c>
      <c r="S135" s="263">
        <f t="shared" si="10"/>
        <v>-3.005032756006043E-2</v>
      </c>
      <c r="T135" s="263">
        <f t="shared" si="10"/>
        <v>-3.066760786474888E-2</v>
      </c>
      <c r="U135" s="263">
        <f t="shared" si="10"/>
        <v>-3.066760786474888E-2</v>
      </c>
      <c r="V135" s="263">
        <f t="shared" si="10"/>
        <v>-3.005032756006043E-2</v>
      </c>
      <c r="W135" s="263">
        <f t="shared" si="10"/>
        <v>-3.005032756006043E-2</v>
      </c>
      <c r="X135" s="263">
        <f t="shared" si="10"/>
        <v>-2.9573338233710271E-2</v>
      </c>
      <c r="Y135" s="263">
        <f t="shared" si="10"/>
        <v>-2.9573338233710271E-2</v>
      </c>
      <c r="Z135" s="256"/>
      <c r="AA135" s="256"/>
    </row>
    <row r="136" spans="4:27" x14ac:dyDescent="0.2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192</v>
      </c>
      <c r="G137" t="s">
        <v>269</v>
      </c>
      <c r="H137" s="256"/>
      <c r="I137" s="256"/>
      <c r="J137" s="264">
        <f t="shared" ref="J137:Y137" si="12">hundred * $H32 * J57 / $H45 * J$78 / hours_in_year</f>
        <v>9.5285573523866268E-2</v>
      </c>
      <c r="K137" s="264">
        <f t="shared" si="12"/>
        <v>9.5285573523866268E-2</v>
      </c>
      <c r="L137" s="264">
        <f t="shared" si="12"/>
        <v>8.1592708928332577E-2</v>
      </c>
      <c r="M137" s="264">
        <f t="shared" si="12"/>
        <v>8.1592708928332577E-2</v>
      </c>
      <c r="N137" s="264">
        <f t="shared" si="12"/>
        <v>6.9968675662832186E-2</v>
      </c>
      <c r="O137" s="264">
        <f t="shared" si="12"/>
        <v>7.1233752752410992E-2</v>
      </c>
      <c r="P137" s="264">
        <f t="shared" si="12"/>
        <v>5.3626965168410805E-2</v>
      </c>
      <c r="Q137" s="264">
        <f t="shared" si="12"/>
        <v>8.8552227501831268E-2</v>
      </c>
      <c r="R137" s="264">
        <f t="shared" si="12"/>
        <v>-4.8199880757242713E-2</v>
      </c>
      <c r="S137" s="264">
        <f t="shared" si="12"/>
        <v>-4.722970932388558E-2</v>
      </c>
      <c r="T137" s="264">
        <f t="shared" si="12"/>
        <v>-4.8199880757242713E-2</v>
      </c>
      <c r="U137" s="264">
        <f t="shared" si="12"/>
        <v>-4.8199880757242713E-2</v>
      </c>
      <c r="V137" s="264">
        <f t="shared" si="12"/>
        <v>-4.722970932388558E-2</v>
      </c>
      <c r="W137" s="264">
        <f t="shared" si="12"/>
        <v>-4.722970932388558E-2</v>
      </c>
      <c r="X137" s="264">
        <f t="shared" si="12"/>
        <v>-4.6480031398109634E-2</v>
      </c>
      <c r="Y137" s="264">
        <f t="shared" si="12"/>
        <v>-4.6480031398109634E-2</v>
      </c>
      <c r="Z137" s="256"/>
      <c r="AA137" s="256"/>
    </row>
    <row r="138" spans="4:27" x14ac:dyDescent="0.25">
      <c r="D138" s="27"/>
      <c r="E138" s="27"/>
      <c r="F138" s="181" t="s">
        <v>193</v>
      </c>
      <c r="G138" t="s">
        <v>269</v>
      </c>
      <c r="H138" s="256"/>
      <c r="I138" s="256"/>
      <c r="J138" s="264">
        <f t="shared" ref="J138:Y138" si="13">hundred * $H33 * J58 / $H46 * J$78 / hours_in_year</f>
        <v>2.2558593235915449E-2</v>
      </c>
      <c r="K138" s="264">
        <f t="shared" si="13"/>
        <v>2.2558593235915449E-2</v>
      </c>
      <c r="L138" s="264">
        <f t="shared" si="13"/>
        <v>1.9316845810553686E-2</v>
      </c>
      <c r="M138" s="264">
        <f t="shared" si="13"/>
        <v>1.9316845810553686E-2</v>
      </c>
      <c r="N138" s="264">
        <f t="shared" si="13"/>
        <v>1.656488842078687E-2</v>
      </c>
      <c r="O138" s="264">
        <f t="shared" si="13"/>
        <v>1.6864391886216884E-2</v>
      </c>
      <c r="P138" s="264">
        <f t="shared" si="13"/>
        <v>1.2696034131628314E-2</v>
      </c>
      <c r="Q138" s="264">
        <f t="shared" si="13"/>
        <v>2.0964492382970362E-2</v>
      </c>
      <c r="R138" s="264">
        <f t="shared" si="13"/>
        <v>-1.1411187064429269E-2</v>
      </c>
      <c r="S138" s="264">
        <f t="shared" si="13"/>
        <v>-1.118150168893298E-2</v>
      </c>
      <c r="T138" s="264">
        <f t="shared" si="13"/>
        <v>-1.1411187064429269E-2</v>
      </c>
      <c r="U138" s="264">
        <f t="shared" si="13"/>
        <v>-1.1411187064429269E-2</v>
      </c>
      <c r="V138" s="264">
        <f t="shared" si="13"/>
        <v>-1.118150168893298E-2</v>
      </c>
      <c r="W138" s="264">
        <f t="shared" si="13"/>
        <v>-1.118150168893298E-2</v>
      </c>
      <c r="X138" s="264">
        <f t="shared" si="13"/>
        <v>-1.1004017535140395E-2</v>
      </c>
      <c r="Y138" s="264">
        <f t="shared" si="13"/>
        <v>-1.1004017535140395E-2</v>
      </c>
      <c r="Z138" s="256"/>
      <c r="AA138" s="256"/>
    </row>
    <row r="139" spans="4:27" x14ac:dyDescent="0.25">
      <c r="D139" s="27"/>
      <c r="E139" s="27"/>
      <c r="F139" s="181" t="s">
        <v>194</v>
      </c>
      <c r="G139" t="s">
        <v>269</v>
      </c>
      <c r="H139" s="256"/>
      <c r="I139" s="256"/>
      <c r="J139" s="264">
        <f t="shared" ref="J139:Y139" si="14">hundred * $H34 * J59 / $H47 * J$78 / hours_in_year</f>
        <v>2.2929310807473787E-2</v>
      </c>
      <c r="K139" s="264">
        <f t="shared" si="14"/>
        <v>2.2929310807473787E-2</v>
      </c>
      <c r="L139" s="264">
        <f t="shared" si="14"/>
        <v>1.9634289992208339E-2</v>
      </c>
      <c r="M139" s="264">
        <f t="shared" si="14"/>
        <v>1.9634289992208339E-2</v>
      </c>
      <c r="N139" s="264">
        <f t="shared" si="14"/>
        <v>1.6837108197271515E-2</v>
      </c>
      <c r="O139" s="264">
        <f t="shared" si="14"/>
        <v>1.7141533565242895E-2</v>
      </c>
      <c r="P139" s="264">
        <f t="shared" si="14"/>
        <v>1.2904674931720655E-2</v>
      </c>
      <c r="Q139" s="264">
        <f t="shared" si="14"/>
        <v>2.1309013232470607E-2</v>
      </c>
      <c r="R139" s="264">
        <f t="shared" si="14"/>
        <v>-1.1598713277295596E-2</v>
      </c>
      <c r="S139" s="264">
        <f t="shared" si="14"/>
        <v>-1.1365253357715994E-2</v>
      </c>
      <c r="T139" s="264">
        <f t="shared" si="14"/>
        <v>-1.1598713277295596E-2</v>
      </c>
      <c r="U139" s="264">
        <f t="shared" si="14"/>
        <v>-1.1598713277295596E-2</v>
      </c>
      <c r="V139" s="264">
        <f t="shared" si="14"/>
        <v>-1.1365253357715994E-2</v>
      </c>
      <c r="W139" s="264">
        <f t="shared" si="14"/>
        <v>-1.1365253357715994E-2</v>
      </c>
      <c r="X139" s="264">
        <f t="shared" si="14"/>
        <v>-1.1184852510768123E-2</v>
      </c>
      <c r="Y139" s="264">
        <f t="shared" si="14"/>
        <v>-1.1184852510768123E-2</v>
      </c>
      <c r="Z139" s="256"/>
      <c r="AA139" s="256"/>
    </row>
    <row r="140" spans="4:27" x14ac:dyDescent="0.25">
      <c r="D140" s="27"/>
      <c r="E140" s="27"/>
      <c r="F140" s="181" t="s">
        <v>195</v>
      </c>
      <c r="G140" t="s">
        <v>269</v>
      </c>
      <c r="H140" s="256"/>
      <c r="I140" s="256"/>
      <c r="J140" s="264">
        <f t="shared" ref="J140:Y140" si="15">hundred * $H35 * J60 / $H48 * J$78 / hours_in_year</f>
        <v>4.420056053141571E-2</v>
      </c>
      <c r="K140" s="264">
        <f t="shared" si="15"/>
        <v>4.420056053141571E-2</v>
      </c>
      <c r="L140" s="264">
        <f t="shared" si="15"/>
        <v>3.7848787980539762E-2</v>
      </c>
      <c r="M140" s="264">
        <f t="shared" si="15"/>
        <v>3.7848787980539762E-2</v>
      </c>
      <c r="N140" s="264">
        <f t="shared" si="15"/>
        <v>3.2456693805420475E-2</v>
      </c>
      <c r="O140" s="264">
        <f t="shared" si="15"/>
        <v>3.3043530977165371E-2</v>
      </c>
      <c r="P140" s="264">
        <f t="shared" si="15"/>
        <v>2.4876188833021631E-2</v>
      </c>
      <c r="Q140" s="264">
        <f t="shared" si="15"/>
        <v>4.1077132110728498E-2</v>
      </c>
      <c r="R140" s="264">
        <f t="shared" si="15"/>
        <v>-2.2358702038812909E-2</v>
      </c>
      <c r="S140" s="264">
        <f t="shared" si="15"/>
        <v>-2.1908664120373861E-2</v>
      </c>
      <c r="T140" s="264">
        <f t="shared" si="15"/>
        <v>-2.2358702038812909E-2</v>
      </c>
      <c r="U140" s="264">
        <f t="shared" si="15"/>
        <v>-2.2358702038812909E-2</v>
      </c>
      <c r="V140" s="264">
        <f t="shared" si="15"/>
        <v>-2.1908664120373861E-2</v>
      </c>
      <c r="W140" s="264">
        <f t="shared" si="15"/>
        <v>-2.1908664120373861E-2</v>
      </c>
      <c r="X140" s="264">
        <f t="shared" si="15"/>
        <v>-2.1560907547034592E-2</v>
      </c>
      <c r="Y140" s="264">
        <f t="shared" si="15"/>
        <v>-2.1560907547034592E-2</v>
      </c>
      <c r="Z140" s="256"/>
      <c r="AA140" s="256"/>
    </row>
    <row r="141" spans="4:27" x14ac:dyDescent="0.25">
      <c r="D141" s="27"/>
      <c r="E141" s="27"/>
      <c r="F141" s="181" t="s">
        <v>196</v>
      </c>
      <c r="G141" t="s">
        <v>269</v>
      </c>
      <c r="H141" s="256"/>
      <c r="I141" s="256"/>
      <c r="J141" s="264">
        <f t="shared" ref="J141:Y141" si="16">hundred * $H36 * J61 / $H49 * J$78 / hours_in_year</f>
        <v>4.7189390313064593E-2</v>
      </c>
      <c r="K141" s="264">
        <f t="shared" si="16"/>
        <v>4.7189390313064593E-2</v>
      </c>
      <c r="L141" s="264">
        <f t="shared" si="16"/>
        <v>4.0408112644197552E-2</v>
      </c>
      <c r="M141" s="264">
        <f t="shared" si="16"/>
        <v>4.0408112644197552E-2</v>
      </c>
      <c r="N141" s="264">
        <f t="shared" si="16"/>
        <v>3.4651406539675307E-2</v>
      </c>
      <c r="O141" s="264">
        <f t="shared" si="16"/>
        <v>3.5277925480040377E-2</v>
      </c>
      <c r="P141" s="264">
        <f t="shared" si="16"/>
        <v>2.6558309899907456E-2</v>
      </c>
      <c r="Q141" s="264">
        <f t="shared" si="16"/>
        <v>4.3854756519134133E-2</v>
      </c>
      <c r="R141" s="264">
        <f t="shared" si="16"/>
        <v>-2.3870591339065574E-2</v>
      </c>
      <c r="S141" s="264">
        <f t="shared" si="16"/>
        <v>-2.3390121979999297E-2</v>
      </c>
      <c r="T141" s="264">
        <f t="shared" si="16"/>
        <v>-2.3870591339065574E-2</v>
      </c>
      <c r="U141" s="264">
        <f t="shared" si="16"/>
        <v>-2.3870591339065574E-2</v>
      </c>
      <c r="V141" s="264">
        <f t="shared" si="16"/>
        <v>-2.3390121979999297E-2</v>
      </c>
      <c r="W141" s="264">
        <f t="shared" si="16"/>
        <v>-2.3390121979999297E-2</v>
      </c>
      <c r="X141" s="264">
        <f t="shared" si="16"/>
        <v>-2.3018850202538989E-2</v>
      </c>
      <c r="Y141" s="264">
        <f t="shared" si="16"/>
        <v>-2.3018850202538989E-2</v>
      </c>
      <c r="Z141" s="256"/>
      <c r="AA141" s="256"/>
    </row>
    <row r="142" spans="4:27" x14ac:dyDescent="0.25">
      <c r="D142" s="27"/>
      <c r="E142" s="27"/>
      <c r="F142" s="181" t="s">
        <v>197</v>
      </c>
      <c r="G142" t="s">
        <v>269</v>
      </c>
      <c r="H142" s="256"/>
      <c r="I142" s="256"/>
      <c r="J142" s="264">
        <f t="shared" ref="J142:Y142" si="17">hundred * $H37 * J62 / $H50 * J$78 / hours_in_year</f>
        <v>0.28205531564086561</v>
      </c>
      <c r="K142" s="264">
        <f t="shared" si="17"/>
        <v>0.28205531564086561</v>
      </c>
      <c r="L142" s="264">
        <f t="shared" si="17"/>
        <v>0.24152299681556585</v>
      </c>
      <c r="M142" s="264">
        <f t="shared" si="17"/>
        <v>0.24152299681556585</v>
      </c>
      <c r="N142" s="264">
        <f t="shared" si="17"/>
        <v>0.20711463623725193</v>
      </c>
      <c r="O142" s="264">
        <f t="shared" si="17"/>
        <v>0.21085939742842855</v>
      </c>
      <c r="P142" s="264">
        <f t="shared" si="17"/>
        <v>0.1587414550603429</v>
      </c>
      <c r="Q142" s="264">
        <f t="shared" si="17"/>
        <v>0.26212390349389919</v>
      </c>
      <c r="R142" s="264">
        <f t="shared" si="17"/>
        <v>-0.14267671461757028</v>
      </c>
      <c r="S142" s="264">
        <f t="shared" si="17"/>
        <v>-0.1398049051742157</v>
      </c>
      <c r="T142" s="264">
        <f t="shared" si="17"/>
        <v>-0.14267671461757028</v>
      </c>
      <c r="U142" s="264">
        <f t="shared" si="17"/>
        <v>-0.14267671461757028</v>
      </c>
      <c r="V142" s="264">
        <f t="shared" si="17"/>
        <v>-0.1398049051742157</v>
      </c>
      <c r="W142" s="264">
        <f t="shared" si="17"/>
        <v>-0.1398049051742157</v>
      </c>
      <c r="X142" s="264">
        <f t="shared" si="17"/>
        <v>0</v>
      </c>
      <c r="Y142" s="264">
        <f t="shared" si="17"/>
        <v>0</v>
      </c>
      <c r="Z142" s="256"/>
      <c r="AA142" s="256"/>
    </row>
    <row r="143" spans="4:27" x14ac:dyDescent="0.25">
      <c r="D143" s="27"/>
      <c r="E143" s="27"/>
      <c r="F143" s="181" t="s">
        <v>198</v>
      </c>
      <c r="G143" t="s">
        <v>269</v>
      </c>
      <c r="H143" s="256"/>
      <c r="I143" s="256"/>
      <c r="J143" s="264">
        <f t="shared" ref="J143:Y143" si="18">hundred * $H38 * J63 / $H51 * J$78 / hours_in_year</f>
        <v>0.13741952838486565</v>
      </c>
      <c r="K143" s="264">
        <f t="shared" si="18"/>
        <v>0.13741952838486565</v>
      </c>
      <c r="L143" s="264">
        <f t="shared" si="18"/>
        <v>0.11767186958020136</v>
      </c>
      <c r="M143" s="264">
        <f t="shared" si="18"/>
        <v>0.11767186958020136</v>
      </c>
      <c r="N143" s="264">
        <f t="shared" si="18"/>
        <v>0.10090785053512567</v>
      </c>
      <c r="O143" s="264">
        <f t="shared" si="18"/>
        <v>0.10273232711212686</v>
      </c>
      <c r="P143" s="264">
        <f t="shared" si="18"/>
        <v>0</v>
      </c>
      <c r="Q143" s="264">
        <f t="shared" si="18"/>
        <v>0.1277087904359735</v>
      </c>
      <c r="R143" s="264">
        <f t="shared" si="18"/>
        <v>-6.951319740136773E-2</v>
      </c>
      <c r="S143" s="264">
        <f t="shared" si="18"/>
        <v>0</v>
      </c>
      <c r="T143" s="264">
        <f t="shared" si="18"/>
        <v>-6.951319740136773E-2</v>
      </c>
      <c r="U143" s="264">
        <f t="shared" si="18"/>
        <v>-6.951319740136773E-2</v>
      </c>
      <c r="V143" s="264">
        <f t="shared" si="18"/>
        <v>0</v>
      </c>
      <c r="W143" s="264">
        <f t="shared" si="18"/>
        <v>0</v>
      </c>
      <c r="X143" s="264">
        <f t="shared" si="18"/>
        <v>0</v>
      </c>
      <c r="Y143" s="264">
        <f t="shared" si="18"/>
        <v>0</v>
      </c>
      <c r="Z143" s="256"/>
      <c r="AA143" s="256"/>
    </row>
    <row r="144" spans="4:27" x14ac:dyDescent="0.25">
      <c r="D144" s="27"/>
      <c r="E144" s="27"/>
      <c r="F144" s="182" t="s">
        <v>199</v>
      </c>
      <c r="G144" s="28" t="s">
        <v>269</v>
      </c>
      <c r="H144" s="258"/>
      <c r="I144" s="258"/>
      <c r="J144" s="265">
        <f t="shared" ref="J144:Y144" si="19">hundred * $H39 * J64 / $H52 * J$78 / hours_in_year</f>
        <v>0.31544256749755772</v>
      </c>
      <c r="K144" s="265">
        <f t="shared" si="19"/>
        <v>0.31544256749755772</v>
      </c>
      <c r="L144" s="265">
        <f t="shared" si="19"/>
        <v>0.27011238576412155</v>
      </c>
      <c r="M144" s="265">
        <f t="shared" si="19"/>
        <v>0.27011238576412155</v>
      </c>
      <c r="N144" s="265">
        <f t="shared" si="19"/>
        <v>0.23163106312163295</v>
      </c>
      <c r="O144" s="265">
        <f t="shared" si="19"/>
        <v>0</v>
      </c>
      <c r="P144" s="265">
        <f t="shared" si="19"/>
        <v>0</v>
      </c>
      <c r="Q144" s="265">
        <f t="shared" si="19"/>
        <v>0.29315184836253366</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control'!$H$36:$H$59,MATCH($A$1,'Version control'!$F$36:$F$59,0),1)&amp;"-C: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192</v>
      </c>
      <c r="G154" t="s">
        <v>269</v>
      </c>
      <c r="H154" s="256"/>
      <c r="I154" s="256"/>
      <c r="J154" s="264">
        <f t="shared" ref="J154:Y154" si="22">hundred * $H20 * J57 / $H45 * J83 * (1 - J69) / hours_in_year</f>
        <v>0.57914722296594423</v>
      </c>
      <c r="K154" s="264">
        <f t="shared" si="22"/>
        <v>0.57914722296594423</v>
      </c>
      <c r="L154" s="264">
        <f t="shared" si="22"/>
        <v>0.53693091398249704</v>
      </c>
      <c r="M154" s="264">
        <f t="shared" si="22"/>
        <v>0.53693091398249704</v>
      </c>
      <c r="N154" s="264">
        <f t="shared" si="22"/>
        <v>0.54625784071422967</v>
      </c>
      <c r="O154" s="264">
        <f t="shared" si="22"/>
        <v>0.4711132112527725</v>
      </c>
      <c r="P154" s="264">
        <f t="shared" si="22"/>
        <v>0.38568017659963072</v>
      </c>
      <c r="Q154" s="264">
        <f t="shared" si="22"/>
        <v>1.2716064300441328</v>
      </c>
      <c r="R154" s="264">
        <f t="shared" si="22"/>
        <v>-0.36989782536150556</v>
      </c>
      <c r="S154" s="264">
        <f t="shared" si="22"/>
        <v>-0.36245248944389058</v>
      </c>
      <c r="T154" s="264">
        <f t="shared" si="22"/>
        <v>-0.36989782536150556</v>
      </c>
      <c r="U154" s="264">
        <f t="shared" si="22"/>
        <v>-0.36989782536150556</v>
      </c>
      <c r="V154" s="264">
        <f t="shared" si="22"/>
        <v>-0.36245248944389058</v>
      </c>
      <c r="W154" s="264">
        <f t="shared" si="22"/>
        <v>-0.36245248944389058</v>
      </c>
      <c r="X154" s="264">
        <f t="shared" si="22"/>
        <v>-0.35669927532573364</v>
      </c>
      <c r="Y154" s="264">
        <f t="shared" si="22"/>
        <v>-0.35669927532573364</v>
      </c>
      <c r="Z154" s="256"/>
      <c r="AA154" s="256"/>
    </row>
    <row r="155" spans="3:27" x14ac:dyDescent="0.25">
      <c r="E155" s="27"/>
      <c r="F155" s="181" t="s">
        <v>193</v>
      </c>
      <c r="G155" t="s">
        <v>269</v>
      </c>
      <c r="H155" s="256"/>
      <c r="I155" s="256"/>
      <c r="J155" s="264">
        <f t="shared" ref="J155:Y155" si="23">hundred * $H21 * J58 / $H46 * J84 * (1 - J70) / hours_in_year</f>
        <v>0.13711148648673901</v>
      </c>
      <c r="K155" s="264">
        <f t="shared" si="23"/>
        <v>0.13711148648673901</v>
      </c>
      <c r="L155" s="264">
        <f t="shared" si="23"/>
        <v>0.12711689331738821</v>
      </c>
      <c r="M155" s="264">
        <f t="shared" si="23"/>
        <v>0.12711689331738821</v>
      </c>
      <c r="N155" s="264">
        <f t="shared" si="23"/>
        <v>0.12932501715503972</v>
      </c>
      <c r="O155" s="264">
        <f t="shared" si="23"/>
        <v>0.1115347361377353</v>
      </c>
      <c r="P155" s="264">
        <f t="shared" si="23"/>
        <v>9.1308703944442418E-2</v>
      </c>
      <c r="Q155" s="264">
        <f t="shared" si="23"/>
        <v>0.30104926853754255</v>
      </c>
      <c r="R155" s="264">
        <f t="shared" si="23"/>
        <v>-8.7572276395963253E-2</v>
      </c>
      <c r="S155" s="264">
        <f t="shared" si="23"/>
        <v>-8.580961392504724E-2</v>
      </c>
      <c r="T155" s="264">
        <f t="shared" si="23"/>
        <v>-8.7572276395963253E-2</v>
      </c>
      <c r="U155" s="264">
        <f t="shared" si="23"/>
        <v>-8.7572276395963253E-2</v>
      </c>
      <c r="V155" s="264">
        <f t="shared" si="23"/>
        <v>-8.580961392504724E-2</v>
      </c>
      <c r="W155" s="264">
        <f t="shared" si="23"/>
        <v>-8.580961392504724E-2</v>
      </c>
      <c r="X155" s="264">
        <f t="shared" si="23"/>
        <v>-8.4447556561157613E-2</v>
      </c>
      <c r="Y155" s="264">
        <f t="shared" si="23"/>
        <v>-8.4447556561157613E-2</v>
      </c>
      <c r="Z155" s="256"/>
      <c r="AA155" s="256"/>
    </row>
    <row r="156" spans="3:27" x14ac:dyDescent="0.25">
      <c r="E156" s="27"/>
      <c r="F156" s="181" t="s">
        <v>194</v>
      </c>
      <c r="G156" t="s">
        <v>269</v>
      </c>
      <c r="H156" s="256"/>
      <c r="I156" s="256"/>
      <c r="J156" s="264">
        <f t="shared" ref="J156:Y156" si="24">hundred * $H22 * J59 / $H47 * J85 * (1 - J71) / hours_in_year</f>
        <v>0.14879616737904044</v>
      </c>
      <c r="K156" s="264">
        <f t="shared" si="24"/>
        <v>0.14879616737904044</v>
      </c>
      <c r="L156" s="264">
        <f t="shared" si="24"/>
        <v>0.13794983206302763</v>
      </c>
      <c r="M156" s="264">
        <f t="shared" si="24"/>
        <v>0.13794983206302763</v>
      </c>
      <c r="N156" s="264">
        <f t="shared" si="24"/>
        <v>0.14034613285853109</v>
      </c>
      <c r="O156" s="264">
        <f t="shared" si="24"/>
        <v>0.12103975890110914</v>
      </c>
      <c r="P156" s="264">
        <f t="shared" si="24"/>
        <v>9.9090058341644041E-2</v>
      </c>
      <c r="Q156" s="264">
        <f t="shared" si="24"/>
        <v>0.33258624601524944</v>
      </c>
      <c r="R156" s="264">
        <f t="shared" si="24"/>
        <v>-9.5035211347063914E-2</v>
      </c>
      <c r="S156" s="264">
        <f t="shared" si="24"/>
        <v>-9.3122334265970233E-2</v>
      </c>
      <c r="T156" s="264">
        <f t="shared" si="24"/>
        <v>-9.5035211347063914E-2</v>
      </c>
      <c r="U156" s="264">
        <f t="shared" si="24"/>
        <v>-9.5035211347063914E-2</v>
      </c>
      <c r="V156" s="264">
        <f t="shared" si="24"/>
        <v>-9.3122334265970233E-2</v>
      </c>
      <c r="W156" s="264">
        <f t="shared" si="24"/>
        <v>-9.3122334265970233E-2</v>
      </c>
      <c r="X156" s="264">
        <f t="shared" si="24"/>
        <v>-9.1644201976034206E-2</v>
      </c>
      <c r="Y156" s="264">
        <f t="shared" si="24"/>
        <v>-9.1644201976034206E-2</v>
      </c>
      <c r="Z156" s="256"/>
      <c r="AA156" s="256"/>
    </row>
    <row r="157" spans="3:27" x14ac:dyDescent="0.25">
      <c r="E157" s="27"/>
      <c r="F157" s="181" t="s">
        <v>195</v>
      </c>
      <c r="G157" t="s">
        <v>269</v>
      </c>
      <c r="H157" s="256"/>
      <c r="I157" s="256"/>
      <c r="J157" s="264">
        <f t="shared" ref="J157:Y157" si="25">hundred * $H23 * J60 / $H48 * J86 * (1 - J72) / hours_in_year</f>
        <v>0.28683260732530241</v>
      </c>
      <c r="K157" s="264">
        <f t="shared" si="25"/>
        <v>0.28683260732530241</v>
      </c>
      <c r="L157" s="264">
        <f t="shared" si="25"/>
        <v>0.26592425536021885</v>
      </c>
      <c r="M157" s="264">
        <f t="shared" si="25"/>
        <v>0.26592425536021885</v>
      </c>
      <c r="N157" s="264">
        <f t="shared" si="25"/>
        <v>0.27054357598666384</v>
      </c>
      <c r="O157" s="264">
        <f t="shared" si="25"/>
        <v>0.23332690785771906</v>
      </c>
      <c r="P157" s="264">
        <f t="shared" si="25"/>
        <v>0.14180149096151712</v>
      </c>
      <c r="Q157" s="264">
        <f t="shared" si="25"/>
        <v>0.64112256239824428</v>
      </c>
      <c r="R157" s="264">
        <f t="shared" si="25"/>
        <v>-0.18319824991829234</v>
      </c>
      <c r="S157" s="264">
        <f t="shared" si="25"/>
        <v>-0.17951081945333128</v>
      </c>
      <c r="T157" s="264">
        <f t="shared" si="25"/>
        <v>-0.18319824991829234</v>
      </c>
      <c r="U157" s="264">
        <f t="shared" si="25"/>
        <v>-0.18319824991829234</v>
      </c>
      <c r="V157" s="264">
        <f t="shared" si="25"/>
        <v>-0.17951081945333128</v>
      </c>
      <c r="W157" s="264">
        <f t="shared" si="25"/>
        <v>-0.17951081945333128</v>
      </c>
      <c r="X157" s="264">
        <f t="shared" si="25"/>
        <v>-0.13114619867691216</v>
      </c>
      <c r="Y157" s="264">
        <f t="shared" si="25"/>
        <v>-0.13114619867691216</v>
      </c>
      <c r="Z157" s="256"/>
      <c r="AA157" s="256"/>
    </row>
    <row r="158" spans="3:27" x14ac:dyDescent="0.25">
      <c r="E158" s="27"/>
      <c r="F158" s="181" t="s">
        <v>196</v>
      </c>
      <c r="G158" t="s">
        <v>269</v>
      </c>
      <c r="H158" s="256"/>
      <c r="I158" s="256"/>
      <c r="J158" s="264">
        <f t="shared" ref="J158:Y158" si="26">hundred * $H24 * J61 / $H49 * J87 * (1 - J73) / hours_in_year</f>
        <v>0.28681786069558696</v>
      </c>
      <c r="K158" s="264">
        <f t="shared" si="26"/>
        <v>0.28681786069558696</v>
      </c>
      <c r="L158" s="264">
        <f t="shared" si="26"/>
        <v>0.26591058367009007</v>
      </c>
      <c r="M158" s="264">
        <f t="shared" si="26"/>
        <v>0.26591058367009007</v>
      </c>
      <c r="N158" s="264">
        <f t="shared" si="26"/>
        <v>0.27052966680815665</v>
      </c>
      <c r="O158" s="264">
        <f t="shared" si="26"/>
        <v>0.23331491206147784</v>
      </c>
      <c r="P158" s="264">
        <f t="shared" si="26"/>
        <v>0.14179420066736328</v>
      </c>
      <c r="Q158" s="264">
        <f t="shared" si="26"/>
        <v>0.62975254209836284</v>
      </c>
      <c r="R158" s="264">
        <f t="shared" si="26"/>
        <v>-0.18318883133516381</v>
      </c>
      <c r="S158" s="264">
        <f t="shared" si="26"/>
        <v>-0.17950159044827121</v>
      </c>
      <c r="T158" s="264">
        <f t="shared" si="26"/>
        <v>-0.18318883133516381</v>
      </c>
      <c r="U158" s="264">
        <f t="shared" si="26"/>
        <v>-0.18318883133516381</v>
      </c>
      <c r="V158" s="264">
        <f t="shared" si="26"/>
        <v>-0.17950159044827121</v>
      </c>
      <c r="W158" s="264">
        <f t="shared" si="26"/>
        <v>-0.17950159044827121</v>
      </c>
      <c r="X158" s="264">
        <f t="shared" si="26"/>
        <v>-0.13113945619233722</v>
      </c>
      <c r="Y158" s="264">
        <f t="shared" si="26"/>
        <v>-0.13113945619233722</v>
      </c>
      <c r="Z158" s="256"/>
      <c r="AA158" s="256"/>
    </row>
    <row r="159" spans="3:27" x14ac:dyDescent="0.25">
      <c r="E159" s="27"/>
      <c r="F159" s="181" t="s">
        <v>197</v>
      </c>
      <c r="G159" t="s">
        <v>269</v>
      </c>
      <c r="H159" s="256"/>
      <c r="I159" s="256"/>
      <c r="J159" s="264">
        <f t="shared" ref="J159:Y159" si="27">hundred * $H25 * J62 / $H50 * J88 * (1 - J74) / hours_in_year</f>
        <v>1.1222819547139444</v>
      </c>
      <c r="K159" s="264">
        <f t="shared" si="27"/>
        <v>1.1222819547139444</v>
      </c>
      <c r="L159" s="264">
        <f t="shared" si="27"/>
        <v>1.0404744282544127</v>
      </c>
      <c r="M159" s="264">
        <f t="shared" si="27"/>
        <v>1.0404744282544127</v>
      </c>
      <c r="N159" s="264">
        <f t="shared" si="27"/>
        <v>1.0585483154265836</v>
      </c>
      <c r="O159" s="264">
        <f t="shared" si="27"/>
        <v>0.91293169448110378</v>
      </c>
      <c r="P159" s="264">
        <f t="shared" si="27"/>
        <v>0.59082980392938389</v>
      </c>
      <c r="Q159" s="264">
        <f t="shared" si="27"/>
        <v>2.5085023953482821</v>
      </c>
      <c r="R159" s="264">
        <f t="shared" si="27"/>
        <v>-0.71679469058864631</v>
      </c>
      <c r="S159" s="264">
        <f t="shared" si="27"/>
        <v>-0.70236698409921328</v>
      </c>
      <c r="T159" s="264">
        <f t="shared" si="27"/>
        <v>-0.71679469058864631</v>
      </c>
      <c r="U159" s="264">
        <f t="shared" si="27"/>
        <v>-0.71679469058864631</v>
      </c>
      <c r="V159" s="264">
        <f t="shared" si="27"/>
        <v>-0.70236698409921328</v>
      </c>
      <c r="W159" s="264">
        <f t="shared" si="27"/>
        <v>-0.70236698409921328</v>
      </c>
      <c r="X159" s="264">
        <f t="shared" si="27"/>
        <v>0</v>
      </c>
      <c r="Y159" s="264">
        <f t="shared" si="27"/>
        <v>0</v>
      </c>
      <c r="Z159" s="256"/>
      <c r="AA159" s="256"/>
    </row>
    <row r="160" spans="3:27" x14ac:dyDescent="0.25">
      <c r="E160" s="27"/>
      <c r="F160" s="181" t="s">
        <v>198</v>
      </c>
      <c r="G160" t="s">
        <v>269</v>
      </c>
      <c r="H160" s="256"/>
      <c r="I160" s="256"/>
      <c r="J160" s="264">
        <f t="shared" ref="J160:Y160" si="28">hundred * $H26 * J63 / $H51 * J89 * (1 - J75) / hours_in_year</f>
        <v>0.31992134636833586</v>
      </c>
      <c r="K160" s="264">
        <f t="shared" si="28"/>
        <v>0.31992134636833586</v>
      </c>
      <c r="L160" s="264">
        <f t="shared" si="28"/>
        <v>0.29660102664113547</v>
      </c>
      <c r="M160" s="264">
        <f t="shared" si="28"/>
        <v>0.29660102664113547</v>
      </c>
      <c r="N160" s="264">
        <f t="shared" si="28"/>
        <v>0.30175322773814423</v>
      </c>
      <c r="O160" s="264">
        <f t="shared" si="28"/>
        <v>0.26024327987628115</v>
      </c>
      <c r="P160" s="264">
        <f t="shared" si="28"/>
        <v>0</v>
      </c>
      <c r="Q160" s="264">
        <f t="shared" si="28"/>
        <v>0.71508185649529676</v>
      </c>
      <c r="R160" s="264">
        <f t="shared" si="28"/>
        <v>-0.2043318272378751</v>
      </c>
      <c r="S160" s="264">
        <f t="shared" si="28"/>
        <v>0</v>
      </c>
      <c r="T160" s="264">
        <f t="shared" si="28"/>
        <v>-0.2043318272378751</v>
      </c>
      <c r="U160" s="264">
        <f t="shared" si="28"/>
        <v>-0.2043318272378751</v>
      </c>
      <c r="V160" s="264">
        <f t="shared" si="28"/>
        <v>0</v>
      </c>
      <c r="W160" s="264">
        <f t="shared" si="28"/>
        <v>0</v>
      </c>
      <c r="X160" s="264">
        <f t="shared" si="28"/>
        <v>0</v>
      </c>
      <c r="Y160" s="264">
        <f t="shared" si="28"/>
        <v>0</v>
      </c>
      <c r="Z160" s="256"/>
      <c r="AA160" s="256"/>
    </row>
    <row r="161" spans="3:27" x14ac:dyDescent="0.25">
      <c r="E161" s="27"/>
      <c r="F161" s="182" t="s">
        <v>199</v>
      </c>
      <c r="G161" s="28" t="s">
        <v>269</v>
      </c>
      <c r="H161" s="258"/>
      <c r="I161" s="258"/>
      <c r="J161" s="265">
        <f t="shared" ref="J161:Y161" si="29">hundred * $H27 * J64 / $H52 * J90 * (1 - J76) / hours_in_year</f>
        <v>0.21361254473334243</v>
      </c>
      <c r="K161" s="265">
        <f t="shared" si="29"/>
        <v>0.21361254473334243</v>
      </c>
      <c r="L161" s="265">
        <f t="shared" si="29"/>
        <v>0.19804148985541289</v>
      </c>
      <c r="M161" s="265">
        <f t="shared" si="29"/>
        <v>0.19804148985541289</v>
      </c>
      <c r="N161" s="265">
        <f t="shared" si="29"/>
        <v>0.20148163162714339</v>
      </c>
      <c r="O161" s="265">
        <f t="shared" si="29"/>
        <v>0</v>
      </c>
      <c r="P161" s="265">
        <f t="shared" si="29"/>
        <v>0</v>
      </c>
      <c r="Q161" s="265">
        <f t="shared" si="29"/>
        <v>0.47746252881399354</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189</v>
      </c>
      <c r="G164" s="19" t="s">
        <v>269</v>
      </c>
      <c r="H164" s="255"/>
      <c r="I164" s="255"/>
      <c r="J164" s="263">
        <f t="shared" ref="J164:Y164" si="30">hundred * $H30 * J55 / $H43 * J81 / hours_in_year</f>
        <v>0.43333773154288502</v>
      </c>
      <c r="K164" s="263">
        <f t="shared" si="30"/>
        <v>0.43333773154288502</v>
      </c>
      <c r="L164" s="263">
        <f t="shared" si="30"/>
        <v>0.40175004736939768</v>
      </c>
      <c r="M164" s="263">
        <f t="shared" si="30"/>
        <v>0.40175004736939768</v>
      </c>
      <c r="N164" s="263">
        <f t="shared" si="30"/>
        <v>0.40872877248785244</v>
      </c>
      <c r="O164" s="263">
        <f t="shared" si="30"/>
        <v>0.35250299434858068</v>
      </c>
      <c r="P164" s="263">
        <f t="shared" si="30"/>
        <v>0.28857908007023469</v>
      </c>
      <c r="Q164" s="263">
        <f t="shared" si="30"/>
        <v>0.93607067725868043</v>
      </c>
      <c r="R164" s="263">
        <f t="shared" si="30"/>
        <v>-0.27677018586727592</v>
      </c>
      <c r="S164" s="263">
        <f t="shared" si="30"/>
        <v>-0.27119933125695567</v>
      </c>
      <c r="T164" s="263">
        <f t="shared" si="30"/>
        <v>-0.27677018586727592</v>
      </c>
      <c r="U164" s="263">
        <f t="shared" si="30"/>
        <v>-0.27677018586727592</v>
      </c>
      <c r="V164" s="263">
        <f t="shared" si="30"/>
        <v>-0.27119933125695567</v>
      </c>
      <c r="W164" s="263">
        <f t="shared" si="30"/>
        <v>-0.27119933125695567</v>
      </c>
      <c r="X164" s="263">
        <f t="shared" si="30"/>
        <v>-0.26689457996716276</v>
      </c>
      <c r="Y164" s="263">
        <f t="shared" si="30"/>
        <v>-0.26689457996716276</v>
      </c>
      <c r="Z164" s="256"/>
      <c r="AA164" s="256"/>
    </row>
    <row r="165" spans="3:27" x14ac:dyDescent="0.2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192</v>
      </c>
      <c r="G166" t="s">
        <v>269</v>
      </c>
      <c r="H166" s="256"/>
      <c r="I166" s="256"/>
      <c r="J166" s="264">
        <f t="shared" ref="J166:Y166" si="32">hundred * $H32 * J57 / $H45 * J83 / hours_in_year</f>
        <v>0.45111468254762765</v>
      </c>
      <c r="K166" s="264">
        <f t="shared" si="32"/>
        <v>0.45111468254762765</v>
      </c>
      <c r="L166" s="264">
        <f t="shared" si="32"/>
        <v>0.41823116680206357</v>
      </c>
      <c r="M166" s="264">
        <f t="shared" si="32"/>
        <v>0.41823116680206357</v>
      </c>
      <c r="N166" s="264">
        <f t="shared" si="32"/>
        <v>0.4254961823713051</v>
      </c>
      <c r="O166" s="264">
        <f t="shared" si="32"/>
        <v>0.36696383632799556</v>
      </c>
      <c r="P166" s="264">
        <f t="shared" si="32"/>
        <v>0.30041755106867934</v>
      </c>
      <c r="Q166" s="264">
        <f t="shared" si="32"/>
        <v>0.99049137812858512</v>
      </c>
      <c r="R166" s="264">
        <f t="shared" si="32"/>
        <v>-0.28812421685880324</v>
      </c>
      <c r="S166" s="264">
        <f t="shared" si="32"/>
        <v>-0.28232482731544212</v>
      </c>
      <c r="T166" s="264">
        <f t="shared" si="32"/>
        <v>-0.28812421685880324</v>
      </c>
      <c r="U166" s="264">
        <f t="shared" si="32"/>
        <v>-0.28812421685880324</v>
      </c>
      <c r="V166" s="264">
        <f t="shared" si="32"/>
        <v>-0.28232482731544212</v>
      </c>
      <c r="W166" s="264">
        <f t="shared" si="32"/>
        <v>-0.28232482731544212</v>
      </c>
      <c r="X166" s="264">
        <f t="shared" si="32"/>
        <v>-0.27784348085011767</v>
      </c>
      <c r="Y166" s="264">
        <f t="shared" si="32"/>
        <v>-0.27784348085011767</v>
      </c>
      <c r="Z166" s="256"/>
      <c r="AA166" s="256"/>
    </row>
    <row r="167" spans="3:27" x14ac:dyDescent="0.25">
      <c r="D167" s="27"/>
      <c r="E167" s="27"/>
      <c r="F167" s="181" t="s">
        <v>193</v>
      </c>
      <c r="G167" t="s">
        <v>269</v>
      </c>
      <c r="H167" s="256"/>
      <c r="I167" s="256"/>
      <c r="J167" s="264">
        <f t="shared" ref="J167:Y167" si="33">hundred * $H33 * J58 / $H46 * J84 / hours_in_year</f>
        <v>0.10680014035694646</v>
      </c>
      <c r="K167" s="264">
        <f t="shared" si="33"/>
        <v>0.10680014035694646</v>
      </c>
      <c r="L167" s="264">
        <f t="shared" si="33"/>
        <v>9.9015059904183064E-2</v>
      </c>
      <c r="M167" s="264">
        <f t="shared" si="33"/>
        <v>9.9015059904183064E-2</v>
      </c>
      <c r="N167" s="264">
        <f t="shared" si="33"/>
        <v>0.10073503203656534</v>
      </c>
      <c r="O167" s="264">
        <f t="shared" si="33"/>
        <v>8.6877662691937946E-2</v>
      </c>
      <c r="P167" s="264">
        <f t="shared" si="33"/>
        <v>7.1123015634583481E-2</v>
      </c>
      <c r="Q167" s="264">
        <f t="shared" si="33"/>
        <v>0.2344960656325118</v>
      </c>
      <c r="R167" s="264">
        <f t="shared" si="33"/>
        <v>-6.8212603116739962E-2</v>
      </c>
      <c r="S167" s="264">
        <f t="shared" si="33"/>
        <v>-6.6839613849980342E-2</v>
      </c>
      <c r="T167" s="264">
        <f t="shared" si="33"/>
        <v>-6.8212603116739962E-2</v>
      </c>
      <c r="U167" s="264">
        <f t="shared" si="33"/>
        <v>-6.8212603116739962E-2</v>
      </c>
      <c r="V167" s="264">
        <f t="shared" si="33"/>
        <v>-6.6839613849980342E-2</v>
      </c>
      <c r="W167" s="264">
        <f t="shared" si="33"/>
        <v>-6.6839613849980342E-2</v>
      </c>
      <c r="X167" s="264">
        <f t="shared" si="33"/>
        <v>-6.5778667598393348E-2</v>
      </c>
      <c r="Y167" s="264">
        <f t="shared" si="33"/>
        <v>-6.5778667598393348E-2</v>
      </c>
      <c r="Z167" s="256"/>
      <c r="AA167" s="256"/>
    </row>
    <row r="168" spans="3:27" x14ac:dyDescent="0.25">
      <c r="D168" s="27"/>
      <c r="E168" s="27"/>
      <c r="F168" s="181" t="s">
        <v>194</v>
      </c>
      <c r="G168" t="s">
        <v>269</v>
      </c>
      <c r="H168" s="256"/>
      <c r="I168" s="256"/>
      <c r="J168" s="264">
        <f t="shared" ref="J168:Y168" si="34">hundred * $H34 * J59 / $H47 * J85 / hours_in_year</f>
        <v>0.11590167948616173</v>
      </c>
      <c r="K168" s="264">
        <f t="shared" si="34"/>
        <v>0.11590167948616173</v>
      </c>
      <c r="L168" s="264">
        <f t="shared" si="34"/>
        <v>0.10745315220525656</v>
      </c>
      <c r="M168" s="264">
        <f t="shared" si="34"/>
        <v>0.10745315220525656</v>
      </c>
      <c r="N168" s="264">
        <f t="shared" si="34"/>
        <v>0.10931970086470813</v>
      </c>
      <c r="O168" s="264">
        <f t="shared" si="34"/>
        <v>9.4281402460469149E-2</v>
      </c>
      <c r="P168" s="264">
        <f t="shared" si="34"/>
        <v>7.7184139783132863E-2</v>
      </c>
      <c r="Q168" s="264">
        <f t="shared" si="34"/>
        <v>0.25906113824135346</v>
      </c>
      <c r="R168" s="264">
        <f t="shared" si="34"/>
        <v>-7.4025701061159105E-2</v>
      </c>
      <c r="S168" s="264">
        <f t="shared" si="34"/>
        <v>-7.2535705248400195E-2</v>
      </c>
      <c r="T168" s="264">
        <f t="shared" si="34"/>
        <v>-7.4025701061159105E-2</v>
      </c>
      <c r="U168" s="264">
        <f t="shared" si="34"/>
        <v>-7.4025701061159105E-2</v>
      </c>
      <c r="V168" s="264">
        <f t="shared" si="34"/>
        <v>-7.2535705248400195E-2</v>
      </c>
      <c r="W168" s="264">
        <f t="shared" si="34"/>
        <v>-7.2535705248400195E-2</v>
      </c>
      <c r="X168" s="264">
        <f t="shared" si="34"/>
        <v>-7.1384344847631925E-2</v>
      </c>
      <c r="Y168" s="264">
        <f t="shared" si="34"/>
        <v>-7.1384344847631925E-2</v>
      </c>
      <c r="Z168" s="256"/>
      <c r="AA168" s="256"/>
    </row>
    <row r="169" spans="3:27" x14ac:dyDescent="0.25">
      <c r="D169" s="27"/>
      <c r="E169" s="27"/>
      <c r="F169" s="181" t="s">
        <v>195</v>
      </c>
      <c r="G169" t="s">
        <v>269</v>
      </c>
      <c r="H169" s="256"/>
      <c r="I169" s="256"/>
      <c r="J169" s="264">
        <f t="shared" ref="J169:Y169" si="35">hundred * $H35 * J60 / $H48 * J86 / hours_in_year</f>
        <v>0.22342229310054201</v>
      </c>
      <c r="K169" s="264">
        <f t="shared" si="35"/>
        <v>0.22342229310054201</v>
      </c>
      <c r="L169" s="264">
        <f t="shared" si="35"/>
        <v>0.20713616724981443</v>
      </c>
      <c r="M169" s="264">
        <f t="shared" si="35"/>
        <v>0.20713616724981443</v>
      </c>
      <c r="N169" s="264">
        <f t="shared" si="35"/>
        <v>0.21073429096577151</v>
      </c>
      <c r="O169" s="264">
        <f t="shared" si="35"/>
        <v>0.18174514146680801</v>
      </c>
      <c r="P169" s="264">
        <f t="shared" si="35"/>
        <v>0.14878695095526434</v>
      </c>
      <c r="Q169" s="264">
        <f t="shared" si="35"/>
        <v>0.49938908405576982</v>
      </c>
      <c r="R169" s="264">
        <f t="shared" si="35"/>
        <v>-0.14269846608593875</v>
      </c>
      <c r="S169" s="264">
        <f t="shared" si="35"/>
        <v>-0.1398262188271184</v>
      </c>
      <c r="T169" s="264">
        <f t="shared" si="35"/>
        <v>-0.14269846608593875</v>
      </c>
      <c r="U169" s="264">
        <f t="shared" si="35"/>
        <v>-0.14269846608593875</v>
      </c>
      <c r="V169" s="264">
        <f t="shared" si="35"/>
        <v>-0.1398262188271184</v>
      </c>
      <c r="W169" s="264">
        <f t="shared" si="35"/>
        <v>-0.1398262188271184</v>
      </c>
      <c r="X169" s="264">
        <f t="shared" si="35"/>
        <v>-0.13760675503621175</v>
      </c>
      <c r="Y169" s="264">
        <f t="shared" si="35"/>
        <v>-0.13760675503621175</v>
      </c>
      <c r="Z169" s="256"/>
      <c r="AA169" s="256"/>
    </row>
    <row r="170" spans="3:27" x14ac:dyDescent="0.25">
      <c r="D170" s="27"/>
      <c r="E170" s="27"/>
      <c r="F170" s="181" t="s">
        <v>196</v>
      </c>
      <c r="G170" t="s">
        <v>269</v>
      </c>
      <c r="H170" s="256"/>
      <c r="I170" s="256"/>
      <c r="J170" s="264">
        <f t="shared" ref="J170:Y170" si="36">hundred * $H36 * J61 / $H49 * J87 / hours_in_year</f>
        <v>0.22341080652006831</v>
      </c>
      <c r="K170" s="264">
        <f t="shared" si="36"/>
        <v>0.22341080652006831</v>
      </c>
      <c r="L170" s="264">
        <f t="shared" si="36"/>
        <v>0.2071255179711721</v>
      </c>
      <c r="M170" s="264">
        <f t="shared" si="36"/>
        <v>0.2071255179711721</v>
      </c>
      <c r="N170" s="264">
        <f t="shared" si="36"/>
        <v>0.21072345670049672</v>
      </c>
      <c r="O170" s="264">
        <f t="shared" si="36"/>
        <v>0.18173579759084918</v>
      </c>
      <c r="P170" s="264">
        <f t="shared" si="36"/>
        <v>0.14877930152484328</v>
      </c>
      <c r="Q170" s="264">
        <f t="shared" si="36"/>
        <v>0.49053264324979767</v>
      </c>
      <c r="R170" s="264">
        <f t="shared" si="36"/>
        <v>-0.14269112967652578</v>
      </c>
      <c r="S170" s="264">
        <f t="shared" si="36"/>
        <v>-0.13981903008559846</v>
      </c>
      <c r="T170" s="264">
        <f t="shared" si="36"/>
        <v>-0.14269112967652578</v>
      </c>
      <c r="U170" s="264">
        <f t="shared" si="36"/>
        <v>-0.14269112967652578</v>
      </c>
      <c r="V170" s="264">
        <f t="shared" si="36"/>
        <v>-0.13981903008559846</v>
      </c>
      <c r="W170" s="264">
        <f t="shared" si="36"/>
        <v>-0.13981903008559846</v>
      </c>
      <c r="X170" s="264">
        <f t="shared" si="36"/>
        <v>-0.13759968040170006</v>
      </c>
      <c r="Y170" s="264">
        <f t="shared" si="36"/>
        <v>-0.13759968040170006</v>
      </c>
      <c r="Z170" s="256"/>
      <c r="AA170" s="256"/>
    </row>
    <row r="171" spans="3:27" x14ac:dyDescent="0.25">
      <c r="D171" s="27"/>
      <c r="E171" s="27"/>
      <c r="F171" s="181" t="s">
        <v>197</v>
      </c>
      <c r="G171" t="s">
        <v>269</v>
      </c>
      <c r="H171" s="256"/>
      <c r="I171" s="256"/>
      <c r="J171" s="264">
        <f t="shared" ref="J171:Y171" si="37">hundred * $H37 * J62 / $H50 * J88 / hours_in_year</f>
        <v>1.4257159783503079</v>
      </c>
      <c r="K171" s="264">
        <f t="shared" si="37"/>
        <v>1.4257159783503079</v>
      </c>
      <c r="L171" s="264">
        <f t="shared" si="37"/>
        <v>1.321789957680753</v>
      </c>
      <c r="M171" s="264">
        <f t="shared" si="37"/>
        <v>1.321789957680753</v>
      </c>
      <c r="N171" s="264">
        <f t="shared" si="37"/>
        <v>1.3447505244296256</v>
      </c>
      <c r="O171" s="264">
        <f t="shared" si="37"/>
        <v>1.159763193640486</v>
      </c>
      <c r="P171" s="264">
        <f t="shared" si="37"/>
        <v>0.94944837600196241</v>
      </c>
      <c r="Q171" s="264">
        <f t="shared" si="37"/>
        <v>3.186732114649077</v>
      </c>
      <c r="R171" s="264">
        <f t="shared" si="37"/>
        <v>-0.91059616460587156</v>
      </c>
      <c r="S171" s="264">
        <f t="shared" si="37"/>
        <v>-0.8922676050255155</v>
      </c>
      <c r="T171" s="264">
        <f t="shared" si="37"/>
        <v>-0.91059616460587156</v>
      </c>
      <c r="U171" s="264">
        <f t="shared" si="37"/>
        <v>-0.91059616460587156</v>
      </c>
      <c r="V171" s="264">
        <f t="shared" si="37"/>
        <v>-0.8922676050255155</v>
      </c>
      <c r="W171" s="264">
        <f t="shared" si="37"/>
        <v>-0.8922676050255155</v>
      </c>
      <c r="X171" s="264">
        <f t="shared" si="37"/>
        <v>0</v>
      </c>
      <c r="Y171" s="264">
        <f t="shared" si="37"/>
        <v>0</v>
      </c>
      <c r="Z171" s="256"/>
      <c r="AA171" s="256"/>
    </row>
    <row r="172" spans="3:27" x14ac:dyDescent="0.25">
      <c r="D172" s="27"/>
      <c r="E172" s="27"/>
      <c r="F172" s="181" t="s">
        <v>198</v>
      </c>
      <c r="G172" t="s">
        <v>269</v>
      </c>
      <c r="H172" s="256"/>
      <c r="I172" s="256"/>
      <c r="J172" s="264">
        <f t="shared" ref="J172:Y172" si="38">hundred * $H38 * J63 / $H51 * J89 / hours_in_year</f>
        <v>0.69461983692988982</v>
      </c>
      <c r="K172" s="264">
        <f t="shared" si="38"/>
        <v>0.69461983692988982</v>
      </c>
      <c r="L172" s="264">
        <f t="shared" si="38"/>
        <v>0.64398627693164356</v>
      </c>
      <c r="M172" s="264">
        <f t="shared" si="38"/>
        <v>0.64398627693164356</v>
      </c>
      <c r="N172" s="264">
        <f t="shared" si="38"/>
        <v>0.65517284239987517</v>
      </c>
      <c r="O172" s="264">
        <f t="shared" si="38"/>
        <v>0.56504558599111276</v>
      </c>
      <c r="P172" s="264">
        <f t="shared" si="38"/>
        <v>0</v>
      </c>
      <c r="Q172" s="264">
        <f t="shared" si="38"/>
        <v>1.5526005006818377</v>
      </c>
      <c r="R172" s="264">
        <f t="shared" si="38"/>
        <v>-0.44364948487103201</v>
      </c>
      <c r="S172" s="264">
        <f t="shared" si="38"/>
        <v>0</v>
      </c>
      <c r="T172" s="264">
        <f t="shared" si="38"/>
        <v>-0.44364948487103201</v>
      </c>
      <c r="U172" s="264">
        <f t="shared" si="38"/>
        <v>-0.44364948487103201</v>
      </c>
      <c r="V172" s="264">
        <f t="shared" si="38"/>
        <v>0</v>
      </c>
      <c r="W172" s="264">
        <f t="shared" si="38"/>
        <v>0</v>
      </c>
      <c r="X172" s="264">
        <f t="shared" si="38"/>
        <v>0</v>
      </c>
      <c r="Y172" s="264">
        <f t="shared" si="38"/>
        <v>0</v>
      </c>
      <c r="Z172" s="256"/>
      <c r="AA172" s="256"/>
    </row>
    <row r="173" spans="3:27" x14ac:dyDescent="0.25">
      <c r="D173" s="27"/>
      <c r="E173" s="27"/>
      <c r="F173" s="182" t="s">
        <v>199</v>
      </c>
      <c r="G173" s="28" t="s">
        <v>269</v>
      </c>
      <c r="H173" s="258"/>
      <c r="I173" s="258"/>
      <c r="J173" s="265">
        <f t="shared" ref="J173:Y173" si="39">hundred * $H39 * J64 / $H52 * J90 / hours_in_year</f>
        <v>1.594479819361909</v>
      </c>
      <c r="K173" s="265">
        <f t="shared" si="39"/>
        <v>1.594479819361909</v>
      </c>
      <c r="L173" s="265">
        <f t="shared" si="39"/>
        <v>1.4782519414532007</v>
      </c>
      <c r="M173" s="265">
        <f t="shared" si="39"/>
        <v>1.4782519414532007</v>
      </c>
      <c r="N173" s="265">
        <f t="shared" si="39"/>
        <v>1.5039303801311139</v>
      </c>
      <c r="O173" s="265">
        <f t="shared" si="39"/>
        <v>0</v>
      </c>
      <c r="P173" s="265">
        <f t="shared" si="39"/>
        <v>0</v>
      </c>
      <c r="Q173" s="265">
        <f t="shared" si="39"/>
        <v>3.5639497092540644</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control'!$H$36:$H$59,MATCH($A$1,'Version control'!$F$36:$F$59,0),1)&amp;"-D: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192</v>
      </c>
      <c r="G183" t="s">
        <v>269</v>
      </c>
      <c r="H183" s="256"/>
      <c r="I183" s="256"/>
      <c r="J183" s="264">
        <f t="shared" ref="J183:Y183" si="42">hundred * $H20 * J57 / $H45 * J95 * (1 - J69) / hours_in_year</f>
        <v>0.12588193575291776</v>
      </c>
      <c r="K183" s="264">
        <f t="shared" si="42"/>
        <v>0.12588193575291776</v>
      </c>
      <c r="L183" s="264">
        <f t="shared" si="42"/>
        <v>0.11670590851071842</v>
      </c>
      <c r="M183" s="264">
        <f t="shared" si="42"/>
        <v>0.11670590851071842</v>
      </c>
      <c r="N183" s="264">
        <f t="shared" si="42"/>
        <v>0.11873318507366791</v>
      </c>
      <c r="O183" s="264">
        <f t="shared" si="42"/>
        <v>0.102399943640513</v>
      </c>
      <c r="P183" s="264">
        <f t="shared" si="42"/>
        <v>8.3830441184285204E-2</v>
      </c>
      <c r="Q183" s="264">
        <f t="shared" si="42"/>
        <v>8.6276964156188893E-2</v>
      </c>
      <c r="R183" s="264">
        <f t="shared" si="42"/>
        <v>-8.0400030321891289E-2</v>
      </c>
      <c r="S183" s="264">
        <f t="shared" si="42"/>
        <v>-7.8781731449904441E-2</v>
      </c>
      <c r="T183" s="264">
        <f t="shared" si="42"/>
        <v>-8.0400030321891289E-2</v>
      </c>
      <c r="U183" s="264">
        <f t="shared" si="42"/>
        <v>-8.0400030321891289E-2</v>
      </c>
      <c r="V183" s="264">
        <f t="shared" si="42"/>
        <v>-7.8781731449904441E-2</v>
      </c>
      <c r="W183" s="264">
        <f t="shared" si="42"/>
        <v>-7.8781731449904441E-2</v>
      </c>
      <c r="X183" s="264">
        <f t="shared" si="42"/>
        <v>-7.7531227776096459E-2</v>
      </c>
      <c r="Y183" s="264">
        <f t="shared" si="42"/>
        <v>-7.7531227776096459E-2</v>
      </c>
      <c r="Z183" s="256"/>
      <c r="AA183" s="256"/>
    </row>
    <row r="184" spans="4:27" x14ac:dyDescent="0.25">
      <c r="E184" s="27"/>
      <c r="F184" s="181" t="s">
        <v>193</v>
      </c>
      <c r="G184" t="s">
        <v>269</v>
      </c>
      <c r="H184" s="256"/>
      <c r="I184" s="256"/>
      <c r="J184" s="264">
        <f t="shared" ref="J184:Y184" si="43">hundred * $H21 * J58 / $H46 * J96 * (1 - J70) / hours_in_year</f>
        <v>2.9802196485582858E-2</v>
      </c>
      <c r="K184" s="264">
        <f t="shared" si="43"/>
        <v>2.9802196485582858E-2</v>
      </c>
      <c r="L184" s="264">
        <f t="shared" si="43"/>
        <v>2.7629797680357563E-2</v>
      </c>
      <c r="M184" s="264">
        <f t="shared" si="43"/>
        <v>2.7629797680357563E-2</v>
      </c>
      <c r="N184" s="264">
        <f t="shared" si="43"/>
        <v>2.8109749740979073E-2</v>
      </c>
      <c r="O184" s="264">
        <f t="shared" si="43"/>
        <v>2.424290047840676E-2</v>
      </c>
      <c r="P184" s="264">
        <f t="shared" si="43"/>
        <v>1.9846622668330368E-2</v>
      </c>
      <c r="Q184" s="264">
        <f t="shared" si="43"/>
        <v>2.0425830144598273E-2</v>
      </c>
      <c r="R184" s="264">
        <f t="shared" si="43"/>
        <v>-1.9034482483673482E-2</v>
      </c>
      <c r="S184" s="264">
        <f t="shared" si="43"/>
        <v>-1.8651354748411984E-2</v>
      </c>
      <c r="T184" s="264">
        <f t="shared" si="43"/>
        <v>-1.9034482483673482E-2</v>
      </c>
      <c r="U184" s="264">
        <f t="shared" si="43"/>
        <v>-1.9034482483673482E-2</v>
      </c>
      <c r="V184" s="264">
        <f t="shared" si="43"/>
        <v>-1.8651354748411984E-2</v>
      </c>
      <c r="W184" s="264">
        <f t="shared" si="43"/>
        <v>-1.8651354748411984E-2</v>
      </c>
      <c r="X184" s="264">
        <f t="shared" si="43"/>
        <v>-1.8355301498437192E-2</v>
      </c>
      <c r="Y184" s="264">
        <f t="shared" si="43"/>
        <v>-1.8355301498437192E-2</v>
      </c>
      <c r="Z184" s="256"/>
      <c r="AA184" s="256"/>
    </row>
    <row r="185" spans="4:27" x14ac:dyDescent="0.25">
      <c r="E185" s="27"/>
      <c r="F185" s="181" t="s">
        <v>194</v>
      </c>
      <c r="G185" t="s">
        <v>269</v>
      </c>
      <c r="H185" s="256"/>
      <c r="I185" s="256"/>
      <c r="J185" s="264">
        <f t="shared" ref="J185:Y185" si="44">hundred * $H22 * J59 / $H47 * J97 * (1 - J71) / hours_in_year</f>
        <v>2.5577110634046486E-2</v>
      </c>
      <c r="K185" s="264">
        <f t="shared" si="44"/>
        <v>2.5577110634046486E-2</v>
      </c>
      <c r="L185" s="264">
        <f t="shared" si="44"/>
        <v>2.3712694881690869E-2</v>
      </c>
      <c r="M185" s="264">
        <f t="shared" si="44"/>
        <v>2.3712694881690869E-2</v>
      </c>
      <c r="N185" s="264">
        <f t="shared" si="44"/>
        <v>2.4124603680409563E-2</v>
      </c>
      <c r="O185" s="264">
        <f t="shared" si="44"/>
        <v>2.0805961329942595E-2</v>
      </c>
      <c r="P185" s="264">
        <f t="shared" si="44"/>
        <v>1.7032948022660917E-2</v>
      </c>
      <c r="Q185" s="264">
        <f t="shared" si="44"/>
        <v>1.7318989053647094E-2</v>
      </c>
      <c r="R185" s="264">
        <f t="shared" si="44"/>
        <v>-1.6335945727431671E-2</v>
      </c>
      <c r="S185" s="264">
        <f t="shared" si="44"/>
        <v>-1.6007134377016761E-2</v>
      </c>
      <c r="T185" s="264">
        <f t="shared" si="44"/>
        <v>-1.6335945727431671E-2</v>
      </c>
      <c r="U185" s="264">
        <f t="shared" si="44"/>
        <v>-1.6335945727431671E-2</v>
      </c>
      <c r="V185" s="264">
        <f t="shared" si="44"/>
        <v>-1.6007134377016761E-2</v>
      </c>
      <c r="W185" s="264">
        <f t="shared" si="44"/>
        <v>-1.6007134377016761E-2</v>
      </c>
      <c r="X185" s="264">
        <f t="shared" si="44"/>
        <v>-1.5753052878968877E-2</v>
      </c>
      <c r="Y185" s="264">
        <f t="shared" si="44"/>
        <v>-1.5753052878968877E-2</v>
      </c>
      <c r="Z185" s="256"/>
      <c r="AA185" s="256"/>
    </row>
    <row r="186" spans="4:27" x14ac:dyDescent="0.25">
      <c r="E186" s="27"/>
      <c r="F186" s="181" t="s">
        <v>195</v>
      </c>
      <c r="G186" t="s">
        <v>269</v>
      </c>
      <c r="H186" s="256"/>
      <c r="I186" s="256"/>
      <c r="J186" s="264">
        <f t="shared" ref="J186:Y186" si="45">hundred * $H23 * J60 / $H48 * J98 * (1 - J72) / hours_in_year</f>
        <v>4.9304692857597601E-2</v>
      </c>
      <c r="K186" s="264">
        <f t="shared" si="45"/>
        <v>4.9304692857597601E-2</v>
      </c>
      <c r="L186" s="264">
        <f t="shared" si="45"/>
        <v>4.5710680721355874E-2</v>
      </c>
      <c r="M186" s="264">
        <f t="shared" si="45"/>
        <v>4.5710680721355874E-2</v>
      </c>
      <c r="N186" s="264">
        <f t="shared" si="45"/>
        <v>4.6504712427937037E-2</v>
      </c>
      <c r="O186" s="264">
        <f t="shared" si="45"/>
        <v>4.0107404923774154E-2</v>
      </c>
      <c r="P186" s="264">
        <f t="shared" si="45"/>
        <v>2.4374770441206603E-2</v>
      </c>
      <c r="Q186" s="264">
        <f t="shared" si="45"/>
        <v>3.3385609817768162E-2</v>
      </c>
      <c r="R186" s="264">
        <f t="shared" si="45"/>
        <v>-3.1490608855452885E-2</v>
      </c>
      <c r="S186" s="264">
        <f t="shared" si="45"/>
        <v>-3.0856763114537999E-2</v>
      </c>
      <c r="T186" s="264">
        <f t="shared" si="45"/>
        <v>-3.1490608855452885E-2</v>
      </c>
      <c r="U186" s="264">
        <f t="shared" si="45"/>
        <v>-3.1490608855452885E-2</v>
      </c>
      <c r="V186" s="264">
        <f t="shared" si="45"/>
        <v>-3.0856763114537999E-2</v>
      </c>
      <c r="W186" s="264">
        <f t="shared" si="45"/>
        <v>-3.0856763114537999E-2</v>
      </c>
      <c r="X186" s="264">
        <f t="shared" si="45"/>
        <v>-2.2543193765530534E-2</v>
      </c>
      <c r="Y186" s="264">
        <f t="shared" si="45"/>
        <v>-2.2543193765530534E-2</v>
      </c>
      <c r="Z186" s="256"/>
      <c r="AA186" s="256"/>
    </row>
    <row r="187" spans="4:27" x14ac:dyDescent="0.25">
      <c r="E187" s="27"/>
      <c r="F187" s="181" t="s">
        <v>196</v>
      </c>
      <c r="G187" t="s">
        <v>269</v>
      </c>
      <c r="H187" s="256"/>
      <c r="I187" s="256"/>
      <c r="J187" s="264">
        <f t="shared" ref="J187:Y187" si="46">hundred * $H24 * J61 / $H49 * J99 * (1 - J73) / hours_in_year</f>
        <v>6.2341985044784207E-2</v>
      </c>
      <c r="K187" s="264">
        <f t="shared" si="46"/>
        <v>6.2341985044784207E-2</v>
      </c>
      <c r="L187" s="264">
        <f t="shared" si="46"/>
        <v>5.7797633627861666E-2</v>
      </c>
      <c r="M187" s="264">
        <f t="shared" si="46"/>
        <v>5.7797633627861666E-2</v>
      </c>
      <c r="N187" s="264">
        <f t="shared" si="46"/>
        <v>5.8801625538322175E-2</v>
      </c>
      <c r="O187" s="264">
        <f t="shared" si="46"/>
        <v>5.0712723130932946E-2</v>
      </c>
      <c r="P187" s="264">
        <f t="shared" si="46"/>
        <v>3.0820019074139567E-2</v>
      </c>
      <c r="Q187" s="264">
        <f t="shared" si="46"/>
        <v>4.2727951210504322E-2</v>
      </c>
      <c r="R187" s="264">
        <f t="shared" si="46"/>
        <v>-3.9817448452379438E-2</v>
      </c>
      <c r="S187" s="264">
        <f t="shared" si="46"/>
        <v>-3.9015999352697506E-2</v>
      </c>
      <c r="T187" s="264">
        <f t="shared" si="46"/>
        <v>-3.9817448452379438E-2</v>
      </c>
      <c r="U187" s="264">
        <f t="shared" si="46"/>
        <v>-3.9817448452379438E-2</v>
      </c>
      <c r="V187" s="264">
        <f t="shared" si="46"/>
        <v>-3.9015999352697506E-2</v>
      </c>
      <c r="W187" s="264">
        <f t="shared" si="46"/>
        <v>-3.9015999352697506E-2</v>
      </c>
      <c r="X187" s="264">
        <f t="shared" si="46"/>
        <v>-2.8504131496193155E-2</v>
      </c>
      <c r="Y187" s="264">
        <f t="shared" si="46"/>
        <v>-2.8504131496193155E-2</v>
      </c>
      <c r="Z187" s="256"/>
      <c r="AA187" s="256"/>
    </row>
    <row r="188" spans="4:27" x14ac:dyDescent="0.25">
      <c r="E188" s="27"/>
      <c r="F188" s="181" t="s">
        <v>197</v>
      </c>
      <c r="G188" t="s">
        <v>269</v>
      </c>
      <c r="H188" s="256"/>
      <c r="I188" s="256"/>
      <c r="J188" s="264">
        <f t="shared" ref="J188:Y188" si="47">hundred * $H25 * J62 / $H50 * J100 * (1 - J74) / hours_in_year</f>
        <v>0.19291309866329176</v>
      </c>
      <c r="K188" s="264">
        <f t="shared" si="47"/>
        <v>0.19291309866329176</v>
      </c>
      <c r="L188" s="264">
        <f t="shared" si="47"/>
        <v>0.1788509074670428</v>
      </c>
      <c r="M188" s="264">
        <f t="shared" si="47"/>
        <v>0.1788509074670428</v>
      </c>
      <c r="N188" s="264">
        <f t="shared" si="47"/>
        <v>0.18195769321248667</v>
      </c>
      <c r="O188" s="264">
        <f t="shared" si="47"/>
        <v>0.15692712629881778</v>
      </c>
      <c r="P188" s="264">
        <f t="shared" si="47"/>
        <v>0.10155986896153409</v>
      </c>
      <c r="Q188" s="264">
        <f t="shared" si="47"/>
        <v>0.13062694578203465</v>
      </c>
      <c r="R188" s="264">
        <f t="shared" si="47"/>
        <v>-0.12321242829044401</v>
      </c>
      <c r="S188" s="264">
        <f t="shared" si="47"/>
        <v>-0.12073239771186234</v>
      </c>
      <c r="T188" s="264">
        <f t="shared" si="47"/>
        <v>-0.12321242829044401</v>
      </c>
      <c r="U188" s="264">
        <f t="shared" si="47"/>
        <v>-0.12321242829044401</v>
      </c>
      <c r="V188" s="264">
        <f t="shared" si="47"/>
        <v>-0.12073239771186234</v>
      </c>
      <c r="W188" s="264">
        <f t="shared" si="47"/>
        <v>-0.12073239771186234</v>
      </c>
      <c r="X188" s="264">
        <f t="shared" si="47"/>
        <v>0</v>
      </c>
      <c r="Y188" s="264">
        <f t="shared" si="47"/>
        <v>0</v>
      </c>
      <c r="Z188" s="256"/>
      <c r="AA188" s="256"/>
    </row>
    <row r="189" spans="4:27" x14ac:dyDescent="0.25">
      <c r="E189" s="27"/>
      <c r="F189" s="181" t="s">
        <v>198</v>
      </c>
      <c r="G189" t="s">
        <v>269</v>
      </c>
      <c r="H189" s="256"/>
      <c r="I189" s="256"/>
      <c r="J189" s="264">
        <f t="shared" ref="J189:Y189" si="48">hundred * $H26 * J63 / $H51 * J101 * (1 - J75) / hours_in_year</f>
        <v>5.4992435721893794E-2</v>
      </c>
      <c r="K189" s="264">
        <f t="shared" si="48"/>
        <v>5.4992435721893794E-2</v>
      </c>
      <c r="L189" s="264">
        <f t="shared" si="48"/>
        <v>5.0983821735456118E-2</v>
      </c>
      <c r="M189" s="264">
        <f t="shared" si="48"/>
        <v>5.0983821735456118E-2</v>
      </c>
      <c r="N189" s="264">
        <f t="shared" si="48"/>
        <v>5.1869452190784711E-2</v>
      </c>
      <c r="O189" s="264">
        <f t="shared" si="48"/>
        <v>4.4734157326826243E-2</v>
      </c>
      <c r="P189" s="264">
        <f t="shared" si="48"/>
        <v>0</v>
      </c>
      <c r="Q189" s="264">
        <f t="shared" si="48"/>
        <v>3.7236942277329911E-2</v>
      </c>
      <c r="R189" s="264">
        <f t="shared" si="48"/>
        <v>-3.512333579135031E-2</v>
      </c>
      <c r="S189" s="264">
        <f t="shared" si="48"/>
        <v>0</v>
      </c>
      <c r="T189" s="264">
        <f t="shared" si="48"/>
        <v>-3.512333579135031E-2</v>
      </c>
      <c r="U189" s="264">
        <f t="shared" si="48"/>
        <v>-3.512333579135031E-2</v>
      </c>
      <c r="V189" s="264">
        <f t="shared" si="48"/>
        <v>0</v>
      </c>
      <c r="W189" s="264">
        <f t="shared" si="48"/>
        <v>0</v>
      </c>
      <c r="X189" s="264">
        <f t="shared" si="48"/>
        <v>0</v>
      </c>
      <c r="Y189" s="264">
        <f t="shared" si="48"/>
        <v>0</v>
      </c>
      <c r="Z189" s="256"/>
      <c r="AA189" s="256"/>
    </row>
    <row r="190" spans="4:27" x14ac:dyDescent="0.25">
      <c r="E190" s="27"/>
      <c r="F190" s="182" t="s">
        <v>199</v>
      </c>
      <c r="G190" s="28" t="s">
        <v>269</v>
      </c>
      <c r="H190" s="258"/>
      <c r="I190" s="258"/>
      <c r="J190" s="265">
        <f t="shared" ref="J190:Y190" si="49">hundred * $H27 * J64 / $H52 * J102 * (1 - J76) / hours_in_year</f>
        <v>3.6718631841820608E-2</v>
      </c>
      <c r="K190" s="265">
        <f t="shared" si="49"/>
        <v>3.6718631841820608E-2</v>
      </c>
      <c r="L190" s="265">
        <f t="shared" si="49"/>
        <v>3.4042066979184819E-2</v>
      </c>
      <c r="M190" s="265">
        <f t="shared" si="49"/>
        <v>3.4042066979184819E-2</v>
      </c>
      <c r="N190" s="265">
        <f t="shared" si="49"/>
        <v>3.4633405373460879E-2</v>
      </c>
      <c r="O190" s="265">
        <f t="shared" si="49"/>
        <v>0</v>
      </c>
      <c r="P190" s="265">
        <f t="shared" si="49"/>
        <v>0</v>
      </c>
      <c r="Q190" s="265">
        <f t="shared" si="49"/>
        <v>2.4863229941496329E-2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189</v>
      </c>
      <c r="G193" s="19" t="s">
        <v>269</v>
      </c>
      <c r="H193" s="255"/>
      <c r="I193" s="255"/>
      <c r="J193" s="263">
        <f t="shared" ref="J193:Y193" si="50">hundred * $H30 * J55 / $H43 * J93 / hours_in_year</f>
        <v>3.0685056597826863E-2</v>
      </c>
      <c r="K193" s="263">
        <f t="shared" si="50"/>
        <v>3.0685056597826863E-2</v>
      </c>
      <c r="L193" s="263">
        <f t="shared" si="50"/>
        <v>2.8448302661799447E-2</v>
      </c>
      <c r="M193" s="263">
        <f t="shared" si="50"/>
        <v>2.8448302661799447E-2</v>
      </c>
      <c r="N193" s="263">
        <f t="shared" si="50"/>
        <v>2.8942472819745331E-2</v>
      </c>
      <c r="O193" s="263">
        <f t="shared" si="50"/>
        <v>2.4961072034917372E-2</v>
      </c>
      <c r="P193" s="263">
        <f t="shared" si="50"/>
        <v>2.0434558914073291E-2</v>
      </c>
      <c r="Q193" s="263">
        <f t="shared" si="50"/>
        <v>2.4721194022859487E-2</v>
      </c>
      <c r="R193" s="263">
        <f t="shared" si="50"/>
        <v>-1.9598359892849405E-2</v>
      </c>
      <c r="S193" s="263">
        <f t="shared" si="50"/>
        <v>-1.9203882383569727E-2</v>
      </c>
      <c r="T193" s="263">
        <f t="shared" si="50"/>
        <v>-1.9598359892849405E-2</v>
      </c>
      <c r="U193" s="263">
        <f t="shared" si="50"/>
        <v>-1.9598359892849405E-2</v>
      </c>
      <c r="V193" s="263">
        <f t="shared" si="50"/>
        <v>-1.9203882383569727E-2</v>
      </c>
      <c r="W193" s="263">
        <f t="shared" si="50"/>
        <v>-1.9203882383569727E-2</v>
      </c>
      <c r="X193" s="263">
        <f t="shared" si="50"/>
        <v>-1.8899058853671803E-2</v>
      </c>
      <c r="Y193" s="263">
        <f t="shared" si="50"/>
        <v>-1.8899058853671803E-2</v>
      </c>
      <c r="Z193" s="256"/>
      <c r="AA193" s="256"/>
    </row>
    <row r="194" spans="3:27" x14ac:dyDescent="0.2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192</v>
      </c>
      <c r="G195" t="s">
        <v>269</v>
      </c>
      <c r="H195" s="256"/>
      <c r="I195" s="256"/>
      <c r="J195" s="264">
        <f t="shared" ref="J195:Y195" si="52">hundred * $H32 * J57 / $H45 * J95 / hours_in_year</f>
        <v>9.8053115397563839E-2</v>
      </c>
      <c r="K195" s="264">
        <f t="shared" si="52"/>
        <v>9.8053115397563839E-2</v>
      </c>
      <c r="L195" s="264">
        <f t="shared" si="52"/>
        <v>9.0905639846849587E-2</v>
      </c>
      <c r="M195" s="264">
        <f t="shared" si="52"/>
        <v>9.0905639846849587E-2</v>
      </c>
      <c r="N195" s="264">
        <f t="shared" si="52"/>
        <v>9.2484744756388237E-2</v>
      </c>
      <c r="O195" s="264">
        <f t="shared" si="52"/>
        <v>7.9762306088103863E-2</v>
      </c>
      <c r="P195" s="264">
        <f t="shared" si="52"/>
        <v>6.5297978412131946E-2</v>
      </c>
      <c r="Q195" s="264">
        <f t="shared" si="52"/>
        <v>6.7203646591224131E-2</v>
      </c>
      <c r="R195" s="264">
        <f t="shared" si="52"/>
        <v>-6.2625931226492987E-2</v>
      </c>
      <c r="S195" s="264">
        <f t="shared" si="52"/>
        <v>-6.1365390982226882E-2</v>
      </c>
      <c r="T195" s="264">
        <f t="shared" si="52"/>
        <v>-6.2625931226492987E-2</v>
      </c>
      <c r="U195" s="264">
        <f t="shared" si="52"/>
        <v>-6.2625931226492987E-2</v>
      </c>
      <c r="V195" s="264">
        <f t="shared" si="52"/>
        <v>-6.1365390982226882E-2</v>
      </c>
      <c r="W195" s="264">
        <f t="shared" si="52"/>
        <v>-6.1365390982226882E-2</v>
      </c>
      <c r="X195" s="264">
        <f t="shared" si="52"/>
        <v>-6.0391337157112188E-2</v>
      </c>
      <c r="Y195" s="264">
        <f t="shared" si="52"/>
        <v>-6.0391337157112188E-2</v>
      </c>
      <c r="Z195" s="256"/>
      <c r="AA195" s="256"/>
    </row>
    <row r="196" spans="3:27" x14ac:dyDescent="0.25">
      <c r="D196" s="27"/>
      <c r="E196" s="27"/>
      <c r="F196" s="181" t="s">
        <v>193</v>
      </c>
      <c r="G196" t="s">
        <v>269</v>
      </c>
      <c r="H196" s="256"/>
      <c r="I196" s="256"/>
      <c r="J196" s="264">
        <f t="shared" ref="J196:Y196" si="53">hundred * $H33 * J58 / $H46 * J96 / hours_in_year</f>
        <v>2.3213801040027258E-2</v>
      </c>
      <c r="K196" s="264">
        <f t="shared" si="53"/>
        <v>2.3213801040027258E-2</v>
      </c>
      <c r="L196" s="264">
        <f t="shared" si="53"/>
        <v>2.1521656178540662E-2</v>
      </c>
      <c r="M196" s="264">
        <f t="shared" si="53"/>
        <v>2.1521656178540662E-2</v>
      </c>
      <c r="N196" s="264">
        <f t="shared" si="53"/>
        <v>2.1895504852728443E-2</v>
      </c>
      <c r="O196" s="264">
        <f t="shared" si="53"/>
        <v>1.8883503053580712E-2</v>
      </c>
      <c r="P196" s="264">
        <f t="shared" si="53"/>
        <v>1.5459113899943326E-2</v>
      </c>
      <c r="Q196" s="264">
        <f t="shared" si="53"/>
        <v>1.591027551554719E-2</v>
      </c>
      <c r="R196" s="264">
        <f t="shared" si="53"/>
        <v>-1.482651419634912E-2</v>
      </c>
      <c r="S196" s="264">
        <f t="shared" si="53"/>
        <v>-1.4528084816367711E-2</v>
      </c>
      <c r="T196" s="264">
        <f t="shared" si="53"/>
        <v>-1.482651419634912E-2</v>
      </c>
      <c r="U196" s="264">
        <f t="shared" si="53"/>
        <v>-1.482651419634912E-2</v>
      </c>
      <c r="V196" s="264">
        <f t="shared" si="53"/>
        <v>-1.4528084816367711E-2</v>
      </c>
      <c r="W196" s="264">
        <f t="shared" si="53"/>
        <v>-1.4528084816367711E-2</v>
      </c>
      <c r="X196" s="264">
        <f t="shared" si="53"/>
        <v>-1.4297480295472984E-2</v>
      </c>
      <c r="Y196" s="264">
        <f t="shared" si="53"/>
        <v>-1.4297480295472984E-2</v>
      </c>
      <c r="Z196" s="256"/>
      <c r="AA196" s="256"/>
    </row>
    <row r="197" spans="3:27" x14ac:dyDescent="0.25">
      <c r="D197" s="27"/>
      <c r="E197" s="27"/>
      <c r="F197" s="181" t="s">
        <v>194</v>
      </c>
      <c r="G197" t="s">
        <v>269</v>
      </c>
      <c r="H197" s="256"/>
      <c r="I197" s="256"/>
      <c r="J197" s="264">
        <f t="shared" ref="J197:Y197" si="54">hundred * $H34 * J59 / $H47 * J97 / hours_in_year</f>
        <v>1.9922758301548341E-2</v>
      </c>
      <c r="K197" s="264">
        <f t="shared" si="54"/>
        <v>1.9922758301548341E-2</v>
      </c>
      <c r="L197" s="264">
        <f t="shared" si="54"/>
        <v>1.8470510432770842E-2</v>
      </c>
      <c r="M197" s="264">
        <f t="shared" si="54"/>
        <v>1.8470510432770842E-2</v>
      </c>
      <c r="N197" s="264">
        <f t="shared" si="54"/>
        <v>1.87913582234603E-2</v>
      </c>
      <c r="O197" s="264">
        <f t="shared" si="54"/>
        <v>1.6206370795301548E-2</v>
      </c>
      <c r="P197" s="264">
        <f t="shared" si="54"/>
        <v>1.3267460561655418E-2</v>
      </c>
      <c r="Q197" s="264">
        <f t="shared" si="54"/>
        <v>1.3490266272832098E-2</v>
      </c>
      <c r="R197" s="264">
        <f t="shared" si="54"/>
        <v>-1.2724545122059503E-2</v>
      </c>
      <c r="S197" s="264">
        <f t="shared" si="54"/>
        <v>-1.2468424360224821E-2</v>
      </c>
      <c r="T197" s="264">
        <f t="shared" si="54"/>
        <v>-1.2724545122059503E-2</v>
      </c>
      <c r="U197" s="264">
        <f t="shared" si="54"/>
        <v>-1.2724545122059503E-2</v>
      </c>
      <c r="V197" s="264">
        <f t="shared" si="54"/>
        <v>-1.2468424360224821E-2</v>
      </c>
      <c r="W197" s="264">
        <f t="shared" si="54"/>
        <v>-1.2468424360224821E-2</v>
      </c>
      <c r="X197" s="264">
        <f t="shared" si="54"/>
        <v>-1.2270512862443475E-2</v>
      </c>
      <c r="Y197" s="264">
        <f t="shared" si="54"/>
        <v>-1.2270512862443475E-2</v>
      </c>
      <c r="Z197" s="256"/>
      <c r="AA197" s="256"/>
    </row>
    <row r="198" spans="3:27" x14ac:dyDescent="0.25">
      <c r="D198" s="27"/>
      <c r="E198" s="27"/>
      <c r="F198" s="181" t="s">
        <v>195</v>
      </c>
      <c r="G198" t="s">
        <v>269</v>
      </c>
      <c r="H198" s="256"/>
      <c r="I198" s="256"/>
      <c r="J198" s="264">
        <f t="shared" ref="J198:Y198" si="55">hundred * $H35 * J60 / $H48 * J98 / hours_in_year</f>
        <v>3.840486491959115E-2</v>
      </c>
      <c r="K198" s="264">
        <f t="shared" si="55"/>
        <v>3.840486491959115E-2</v>
      </c>
      <c r="L198" s="264">
        <f t="shared" si="55"/>
        <v>3.5605383924741683E-2</v>
      </c>
      <c r="M198" s="264">
        <f t="shared" si="55"/>
        <v>3.5605383924741683E-2</v>
      </c>
      <c r="N198" s="264">
        <f t="shared" si="55"/>
        <v>3.6223878406011385E-2</v>
      </c>
      <c r="O198" s="264">
        <f t="shared" si="55"/>
        <v>3.1240828795377772E-2</v>
      </c>
      <c r="P198" s="264">
        <f t="shared" si="55"/>
        <v>2.5575526389675654E-2</v>
      </c>
      <c r="Q198" s="264">
        <f t="shared" si="55"/>
        <v>2.6005026316921611E-2</v>
      </c>
      <c r="R198" s="264">
        <f t="shared" si="55"/>
        <v>-2.4528954735045828E-2</v>
      </c>
      <c r="S198" s="264">
        <f t="shared" si="55"/>
        <v>-2.4035233779720111E-2</v>
      </c>
      <c r="T198" s="264">
        <f t="shared" si="55"/>
        <v>-2.4528954735045828E-2</v>
      </c>
      <c r="U198" s="264">
        <f t="shared" si="55"/>
        <v>-2.4528954735045828E-2</v>
      </c>
      <c r="V198" s="264">
        <f t="shared" si="55"/>
        <v>-2.4035233779720111E-2</v>
      </c>
      <c r="W198" s="264">
        <f t="shared" si="55"/>
        <v>-2.4035233779720111E-2</v>
      </c>
      <c r="X198" s="264">
        <f t="shared" si="55"/>
        <v>-2.3653722132422967E-2</v>
      </c>
      <c r="Y198" s="264">
        <f t="shared" si="55"/>
        <v>-2.3653722132422967E-2</v>
      </c>
      <c r="Z198" s="256"/>
      <c r="AA198" s="256"/>
    </row>
    <row r="199" spans="3:27" x14ac:dyDescent="0.25">
      <c r="D199" s="27"/>
      <c r="E199" s="27"/>
      <c r="F199" s="181" t="s">
        <v>196</v>
      </c>
      <c r="G199" t="s">
        <v>269</v>
      </c>
      <c r="H199" s="256"/>
      <c r="I199" s="256"/>
      <c r="J199" s="264">
        <f t="shared" ref="J199:Y199" si="56">hundred * $H36 * J61 / $H49 * J99 / hours_in_year</f>
        <v>4.855999248142908E-2</v>
      </c>
      <c r="K199" s="264">
        <f t="shared" si="56"/>
        <v>4.855999248142908E-2</v>
      </c>
      <c r="L199" s="264">
        <f t="shared" si="56"/>
        <v>4.5020264471802719E-2</v>
      </c>
      <c r="M199" s="264">
        <f t="shared" si="56"/>
        <v>4.5020264471802719E-2</v>
      </c>
      <c r="N199" s="264">
        <f t="shared" si="56"/>
        <v>4.580230308652368E-2</v>
      </c>
      <c r="O199" s="264">
        <f t="shared" si="56"/>
        <v>3.9501620812713127E-2</v>
      </c>
      <c r="P199" s="264">
        <f t="shared" si="56"/>
        <v>3.2338282449151295E-2</v>
      </c>
      <c r="Q199" s="264">
        <f t="shared" si="56"/>
        <v>3.3282048815713013E-2</v>
      </c>
      <c r="R199" s="264">
        <f t="shared" si="56"/>
        <v>-3.1014973233339529E-2</v>
      </c>
      <c r="S199" s="264">
        <f t="shared" si="56"/>
        <v>-3.039070112800241E-2</v>
      </c>
      <c r="T199" s="264">
        <f t="shared" si="56"/>
        <v>-3.1014973233339529E-2</v>
      </c>
      <c r="U199" s="264">
        <f t="shared" si="56"/>
        <v>-3.1014973233339529E-2</v>
      </c>
      <c r="V199" s="264">
        <f t="shared" si="56"/>
        <v>-3.039070112800241E-2</v>
      </c>
      <c r="W199" s="264">
        <f t="shared" si="56"/>
        <v>-3.039070112800241E-2</v>
      </c>
      <c r="X199" s="264">
        <f t="shared" si="56"/>
        <v>-2.9908309046605547E-2</v>
      </c>
      <c r="Y199" s="264">
        <f t="shared" si="56"/>
        <v>-2.9908309046605547E-2</v>
      </c>
      <c r="Z199" s="256"/>
      <c r="AA199" s="256"/>
    </row>
    <row r="200" spans="3:27" x14ac:dyDescent="0.25">
      <c r="D200" s="27"/>
      <c r="E200" s="27"/>
      <c r="F200" s="181" t="s">
        <v>197</v>
      </c>
      <c r="G200" t="s">
        <v>269</v>
      </c>
      <c r="H200" s="256"/>
      <c r="I200" s="256"/>
      <c r="J200" s="264">
        <f t="shared" ref="J200:Y200" si="57">hundred * $H37 * J62 / $H50 * J100 / hours_in_year</f>
        <v>0.24507146893173434</v>
      </c>
      <c r="K200" s="264">
        <f t="shared" si="57"/>
        <v>0.24507146893173434</v>
      </c>
      <c r="L200" s="264">
        <f t="shared" si="57"/>
        <v>0.22720724987795887</v>
      </c>
      <c r="M200" s="264">
        <f t="shared" si="57"/>
        <v>0.22720724987795887</v>
      </c>
      <c r="N200" s="264">
        <f t="shared" si="57"/>
        <v>0.23115402462559292</v>
      </c>
      <c r="O200" s="264">
        <f t="shared" si="57"/>
        <v>0.19935588419743258</v>
      </c>
      <c r="P200" s="264">
        <f t="shared" si="57"/>
        <v>0.16320411057669917</v>
      </c>
      <c r="Q200" s="264">
        <f t="shared" si="57"/>
        <v>0.16594486173665299</v>
      </c>
      <c r="R200" s="264">
        <f t="shared" si="57"/>
        <v>-0.15652566363307746</v>
      </c>
      <c r="S200" s="264">
        <f t="shared" si="57"/>
        <v>-0.15337510132756266</v>
      </c>
      <c r="T200" s="264">
        <f t="shared" si="57"/>
        <v>-0.15652566363307746</v>
      </c>
      <c r="U200" s="264">
        <f t="shared" si="57"/>
        <v>-0.15652566363307746</v>
      </c>
      <c r="V200" s="264">
        <f t="shared" si="57"/>
        <v>-0.15337510132756266</v>
      </c>
      <c r="W200" s="264">
        <f t="shared" si="57"/>
        <v>-0.15337510132756266</v>
      </c>
      <c r="X200" s="264">
        <f t="shared" si="57"/>
        <v>0</v>
      </c>
      <c r="Y200" s="264">
        <f t="shared" si="57"/>
        <v>0</v>
      </c>
      <c r="Z200" s="256"/>
      <c r="AA200" s="256"/>
    </row>
    <row r="201" spans="3:27" x14ac:dyDescent="0.25">
      <c r="D201" s="27"/>
      <c r="E201" s="27"/>
      <c r="F201" s="181" t="s">
        <v>198</v>
      </c>
      <c r="G201" t="s">
        <v>269</v>
      </c>
      <c r="H201" s="256"/>
      <c r="I201" s="256"/>
      <c r="J201" s="264">
        <f t="shared" ref="J201:Y201" si="58">hundred * $H38 * J63 / $H51 * J101 / hours_in_year</f>
        <v>0.11940071260371524</v>
      </c>
      <c r="K201" s="264">
        <f t="shared" si="58"/>
        <v>0.11940071260371524</v>
      </c>
      <c r="L201" s="264">
        <f t="shared" si="58"/>
        <v>0.11069712709689393</v>
      </c>
      <c r="M201" s="264">
        <f t="shared" si="58"/>
        <v>0.11069712709689393</v>
      </c>
      <c r="N201" s="264">
        <f t="shared" si="58"/>
        <v>0.1126200262389606</v>
      </c>
      <c r="O201" s="264">
        <f t="shared" si="58"/>
        <v>9.7127726612466964E-2</v>
      </c>
      <c r="P201" s="264">
        <f t="shared" si="58"/>
        <v>0</v>
      </c>
      <c r="Q201" s="264">
        <f t="shared" si="58"/>
        <v>8.0849618401726803E-2</v>
      </c>
      <c r="R201" s="264">
        <f t="shared" si="58"/>
        <v>-7.6260512331465483E-2</v>
      </c>
      <c r="S201" s="264">
        <f t="shared" si="58"/>
        <v>0</v>
      </c>
      <c r="T201" s="264">
        <f t="shared" si="58"/>
        <v>-7.6260512331465483E-2</v>
      </c>
      <c r="U201" s="264">
        <f t="shared" si="58"/>
        <v>-7.6260512331465483E-2</v>
      </c>
      <c r="V201" s="264">
        <f t="shared" si="58"/>
        <v>0</v>
      </c>
      <c r="W201" s="264">
        <f t="shared" si="58"/>
        <v>0</v>
      </c>
      <c r="X201" s="264">
        <f t="shared" si="58"/>
        <v>0</v>
      </c>
      <c r="Y201" s="264">
        <f t="shared" si="58"/>
        <v>0</v>
      </c>
      <c r="Z201" s="256"/>
      <c r="AA201" s="256"/>
    </row>
    <row r="202" spans="3:27" x14ac:dyDescent="0.25">
      <c r="D202" s="27"/>
      <c r="E202" s="27"/>
      <c r="F202" s="182" t="s">
        <v>199</v>
      </c>
      <c r="G202" s="28" t="s">
        <v>269</v>
      </c>
      <c r="H202" s="258"/>
      <c r="I202" s="258"/>
      <c r="J202" s="265">
        <f t="shared" ref="J202:Y202" si="59">hundred * $H39 * J64 / $H52 * J102 / hours_in_year</f>
        <v>0.27408089510589512</v>
      </c>
      <c r="K202" s="265">
        <f t="shared" si="59"/>
        <v>0.27408089510589512</v>
      </c>
      <c r="L202" s="265">
        <f t="shared" si="59"/>
        <v>0.254102065379329</v>
      </c>
      <c r="M202" s="265">
        <f t="shared" si="59"/>
        <v>0.254102065379329</v>
      </c>
      <c r="N202" s="265">
        <f t="shared" si="59"/>
        <v>0.25851602494927883</v>
      </c>
      <c r="O202" s="265">
        <f t="shared" si="59"/>
        <v>0</v>
      </c>
      <c r="P202" s="265">
        <f t="shared" si="59"/>
        <v>0</v>
      </c>
      <c r="Q202" s="265">
        <f t="shared" si="59"/>
        <v>0.18558796926163257</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control'!$H$36:$H$59,MATCH($A$1,'Version control'!$F$36:$F$59,0),1)&amp;"-E: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192</v>
      </c>
      <c r="G212" t="s">
        <v>269</v>
      </c>
      <c r="H212" s="256"/>
      <c r="I212" s="256"/>
      <c r="J212" s="264">
        <f t="shared" ref="J212:Y212" si="62">hundred * $H20 * J57 / $H45 * J107 * (1 - J69) / hours_in_year</f>
        <v>1.0550369534884845E-2</v>
      </c>
      <c r="K212" s="264">
        <f t="shared" si="62"/>
        <v>1.0550369534884845E-2</v>
      </c>
      <c r="L212" s="264">
        <f t="shared" si="62"/>
        <v>9.7813117849516532E-3</v>
      </c>
      <c r="M212" s="264">
        <f t="shared" si="62"/>
        <v>9.7813117849516532E-3</v>
      </c>
      <c r="N212" s="264">
        <f t="shared" si="62"/>
        <v>9.9512211270713184E-3</v>
      </c>
      <c r="O212" s="264">
        <f t="shared" si="62"/>
        <v>8.5823056286592897E-3</v>
      </c>
      <c r="P212" s="264">
        <f t="shared" si="62"/>
        <v>7.0259654610223786E-3</v>
      </c>
      <c r="Q212" s="264">
        <f t="shared" si="62"/>
        <v>8.1204803314263527E-3</v>
      </c>
      <c r="R212" s="264">
        <f t="shared" si="62"/>
        <v>-6.7384571538274766E-3</v>
      </c>
      <c r="S212" s="264">
        <f t="shared" si="62"/>
        <v>-6.6028248963853862E-3</v>
      </c>
      <c r="T212" s="264">
        <f t="shared" si="62"/>
        <v>-6.7384571538274766E-3</v>
      </c>
      <c r="U212" s="264">
        <f t="shared" si="62"/>
        <v>-6.7384571538274766E-3</v>
      </c>
      <c r="V212" s="264">
        <f t="shared" si="62"/>
        <v>-6.6028248963853862E-3</v>
      </c>
      <c r="W212" s="264">
        <f t="shared" si="62"/>
        <v>-6.6028248963853862E-3</v>
      </c>
      <c r="X212" s="264">
        <f t="shared" si="62"/>
        <v>-6.4980181519983179E-3</v>
      </c>
      <c r="Y212" s="264">
        <f t="shared" si="62"/>
        <v>-6.4980181519983179E-3</v>
      </c>
      <c r="Z212" s="256"/>
      <c r="AA212" s="256"/>
    </row>
    <row r="213" spans="3:27" x14ac:dyDescent="0.25">
      <c r="E213" s="27"/>
      <c r="F213" s="181" t="s">
        <v>193</v>
      </c>
      <c r="G213" t="s">
        <v>269</v>
      </c>
      <c r="H213" s="256"/>
      <c r="I213" s="256"/>
      <c r="J213" s="264">
        <f t="shared" ref="J213:Y213" si="63">hundred * $H21 * J58 / $H46 * J108 * (1 - J70) / hours_in_year</f>
        <v>2.4977705021258989E-3</v>
      </c>
      <c r="K213" s="264">
        <f t="shared" si="63"/>
        <v>2.4977705021258989E-3</v>
      </c>
      <c r="L213" s="264">
        <f t="shared" si="63"/>
        <v>2.3156982291251405E-3</v>
      </c>
      <c r="M213" s="264">
        <f t="shared" si="63"/>
        <v>2.3156982291251405E-3</v>
      </c>
      <c r="N213" s="264">
        <f t="shared" si="63"/>
        <v>2.3559237910240724E-3</v>
      </c>
      <c r="O213" s="264">
        <f t="shared" si="63"/>
        <v>2.0318368725013784E-3</v>
      </c>
      <c r="P213" s="264">
        <f t="shared" si="63"/>
        <v>1.6633776873379096E-3</v>
      </c>
      <c r="Q213" s="264">
        <f t="shared" si="63"/>
        <v>1.9225010240507825E-3</v>
      </c>
      <c r="R213" s="264">
        <f t="shared" si="63"/>
        <v>-1.5953108991128072E-3</v>
      </c>
      <c r="S213" s="264">
        <f t="shared" si="63"/>
        <v>-1.5632003412166665E-3</v>
      </c>
      <c r="T213" s="264">
        <f t="shared" si="63"/>
        <v>-1.5953108991128072E-3</v>
      </c>
      <c r="U213" s="264">
        <f t="shared" si="63"/>
        <v>-1.5953108991128072E-3</v>
      </c>
      <c r="V213" s="264">
        <f t="shared" si="63"/>
        <v>-1.5632003412166665E-3</v>
      </c>
      <c r="W213" s="264">
        <f t="shared" si="63"/>
        <v>-1.5632003412166665E-3</v>
      </c>
      <c r="X213" s="264">
        <f t="shared" si="63"/>
        <v>-1.5383876373878305E-3</v>
      </c>
      <c r="Y213" s="264">
        <f t="shared" si="63"/>
        <v>-1.5383876373878305E-3</v>
      </c>
      <c r="Z213" s="256"/>
      <c r="AA213" s="256"/>
    </row>
    <row r="214" spans="3:27" x14ac:dyDescent="0.25">
      <c r="E214" s="27"/>
      <c r="F214" s="181" t="s">
        <v>194</v>
      </c>
      <c r="G214" t="s">
        <v>269</v>
      </c>
      <c r="H214" s="256"/>
      <c r="I214" s="256"/>
      <c r="J214" s="264">
        <f t="shared" ref="J214:Y214" si="64">hundred * $H22 * J59 / $H47 * J109 * (1 - J71) / hours_in_year</f>
        <v>3.5845104351930088E-3</v>
      </c>
      <c r="K214" s="264">
        <f t="shared" si="64"/>
        <v>3.5845104351930088E-3</v>
      </c>
      <c r="L214" s="264">
        <f t="shared" si="64"/>
        <v>3.3232214328707157E-3</v>
      </c>
      <c r="M214" s="264">
        <f t="shared" si="64"/>
        <v>3.3232214328707157E-3</v>
      </c>
      <c r="N214" s="264">
        <f t="shared" si="64"/>
        <v>3.3809484923685768E-3</v>
      </c>
      <c r="O214" s="264">
        <f t="shared" si="64"/>
        <v>2.9158565472257366E-3</v>
      </c>
      <c r="P214" s="264">
        <f t="shared" si="64"/>
        <v>2.3870866730371131E-3</v>
      </c>
      <c r="Q214" s="264">
        <f t="shared" si="64"/>
        <v>2.758950422592478E-3</v>
      </c>
      <c r="R214" s="264">
        <f t="shared" si="64"/>
        <v>-2.2894051156341043E-3</v>
      </c>
      <c r="S214" s="264">
        <f t="shared" si="64"/>
        <v>-2.2433237683843789E-3</v>
      </c>
      <c r="T214" s="264">
        <f t="shared" si="64"/>
        <v>-2.2894051156341043E-3</v>
      </c>
      <c r="U214" s="264">
        <f t="shared" si="64"/>
        <v>-2.2894051156341043E-3</v>
      </c>
      <c r="V214" s="264">
        <f t="shared" si="64"/>
        <v>-2.2433237683843789E-3</v>
      </c>
      <c r="W214" s="264">
        <f t="shared" si="64"/>
        <v>-2.2433237683843789E-3</v>
      </c>
      <c r="X214" s="264">
        <f t="shared" si="64"/>
        <v>-2.2077154546005003E-3</v>
      </c>
      <c r="Y214" s="264">
        <f t="shared" si="64"/>
        <v>-2.2077154546005003E-3</v>
      </c>
      <c r="Z214" s="256"/>
      <c r="AA214" s="256"/>
    </row>
    <row r="215" spans="3:27" x14ac:dyDescent="0.25">
      <c r="E215" s="27"/>
      <c r="F215" s="181" t="s">
        <v>195</v>
      </c>
      <c r="G215" t="s">
        <v>269</v>
      </c>
      <c r="H215" s="256"/>
      <c r="I215" s="256"/>
      <c r="J215" s="264">
        <f t="shared" ref="J215:Y215" si="65">hundred * $H23 * J60 / $H48 * J110 * (1 - J72) / hours_in_year</f>
        <v>6.9098182582355413E-3</v>
      </c>
      <c r="K215" s="264">
        <f t="shared" si="65"/>
        <v>6.9098182582355413E-3</v>
      </c>
      <c r="L215" s="264">
        <f t="shared" si="65"/>
        <v>6.4061345470105471E-3</v>
      </c>
      <c r="M215" s="264">
        <f t="shared" si="65"/>
        <v>6.4061345470105471E-3</v>
      </c>
      <c r="N215" s="264">
        <f t="shared" si="65"/>
        <v>6.5174143150358551E-3</v>
      </c>
      <c r="O215" s="264">
        <f t="shared" si="65"/>
        <v>5.6208620877766131E-3</v>
      </c>
      <c r="P215" s="264">
        <f t="shared" si="65"/>
        <v>3.4160081743414799E-3</v>
      </c>
      <c r="Q215" s="264">
        <f t="shared" si="65"/>
        <v>5.3183960120260238E-3</v>
      </c>
      <c r="R215" s="264">
        <f t="shared" si="65"/>
        <v>-4.4132590920061259E-3</v>
      </c>
      <c r="S215" s="264">
        <f t="shared" si="65"/>
        <v>-4.3244286253783732E-3</v>
      </c>
      <c r="T215" s="264">
        <f t="shared" si="65"/>
        <v>-4.4132590920061259E-3</v>
      </c>
      <c r="U215" s="264">
        <f t="shared" si="65"/>
        <v>-4.4132590920061259E-3</v>
      </c>
      <c r="V215" s="264">
        <f t="shared" si="65"/>
        <v>-4.3244286253783732E-3</v>
      </c>
      <c r="W215" s="264">
        <f t="shared" si="65"/>
        <v>-4.3244286253783732E-3</v>
      </c>
      <c r="X215" s="264">
        <f t="shared" si="65"/>
        <v>-3.1593214124647209E-3</v>
      </c>
      <c r="Y215" s="264">
        <f t="shared" si="65"/>
        <v>-3.1593214124647209E-3</v>
      </c>
      <c r="Z215" s="256"/>
      <c r="AA215" s="256"/>
    </row>
    <row r="216" spans="3:27" x14ac:dyDescent="0.25">
      <c r="E216" s="27"/>
      <c r="F216" s="181" t="s">
        <v>196</v>
      </c>
      <c r="G216" t="s">
        <v>269</v>
      </c>
      <c r="H216" s="256"/>
      <c r="I216" s="256"/>
      <c r="J216" s="264">
        <f t="shared" ref="J216:Y216" si="66">hundred * $H24 * J61 / $H49 * J111 * (1 - J73) / hours_in_year</f>
        <v>5.224983043252039E-3</v>
      </c>
      <c r="K216" s="264">
        <f t="shared" si="66"/>
        <v>5.224983043252039E-3</v>
      </c>
      <c r="L216" s="264">
        <f t="shared" si="66"/>
        <v>4.8441135685482455E-3</v>
      </c>
      <c r="M216" s="264">
        <f t="shared" si="66"/>
        <v>4.8441135685482455E-3</v>
      </c>
      <c r="N216" s="264">
        <f t="shared" si="66"/>
        <v>4.9282597615825209E-3</v>
      </c>
      <c r="O216" s="264">
        <f t="shared" si="66"/>
        <v>4.2503157101255766E-3</v>
      </c>
      <c r="P216" s="264">
        <f t="shared" si="66"/>
        <v>2.5830758667598182E-3</v>
      </c>
      <c r="Q216" s="264">
        <f t="shared" si="66"/>
        <v>4.0216005604800367E-3</v>
      </c>
      <c r="R216" s="264">
        <f t="shared" si="66"/>
        <v>-3.3371650395763366E-3</v>
      </c>
      <c r="S216" s="264">
        <f t="shared" si="66"/>
        <v>-3.2699942885510121E-3</v>
      </c>
      <c r="T216" s="264">
        <f t="shared" si="66"/>
        <v>-3.3371650395763366E-3</v>
      </c>
      <c r="U216" s="264">
        <f t="shared" si="66"/>
        <v>-3.3371650395763366E-3</v>
      </c>
      <c r="V216" s="264">
        <f t="shared" si="66"/>
        <v>-3.2699942885510121E-3</v>
      </c>
      <c r="W216" s="264">
        <f t="shared" si="66"/>
        <v>-3.2699942885510121E-3</v>
      </c>
      <c r="X216" s="264">
        <f t="shared" si="66"/>
        <v>-2.3889775666149724E-3</v>
      </c>
      <c r="Y216" s="264">
        <f t="shared" si="66"/>
        <v>-2.3889775666149724E-3</v>
      </c>
      <c r="Z216" s="256"/>
      <c r="AA216" s="256"/>
    </row>
    <row r="217" spans="3:27" x14ac:dyDescent="0.25">
      <c r="E217" s="27"/>
      <c r="F217" s="181" t="s">
        <v>197</v>
      </c>
      <c r="G217" t="s">
        <v>269</v>
      </c>
      <c r="H217" s="256"/>
      <c r="I217" s="256"/>
      <c r="J217" s="264">
        <f t="shared" ref="J217:Y217" si="67">hundred * $H25 * J62 / $H50 * J112 * (1 - J74) / hours_in_year</f>
        <v>2.7035853468276905E-2</v>
      </c>
      <c r="K217" s="264">
        <f t="shared" si="67"/>
        <v>2.7035853468276905E-2</v>
      </c>
      <c r="L217" s="264">
        <f t="shared" si="67"/>
        <v>2.5065104238395693E-2</v>
      </c>
      <c r="M217" s="264">
        <f t="shared" si="67"/>
        <v>2.5065104238395693E-2</v>
      </c>
      <c r="N217" s="264">
        <f t="shared" si="67"/>
        <v>2.5500505487731057E-2</v>
      </c>
      <c r="O217" s="264">
        <f t="shared" si="67"/>
        <v>2.1992590556112045E-2</v>
      </c>
      <c r="P217" s="264">
        <f t="shared" si="67"/>
        <v>1.4233132713781418E-2</v>
      </c>
      <c r="Q217" s="264">
        <f t="shared" si="67"/>
        <v>2.0809139964865112E-2</v>
      </c>
      <c r="R217" s="264">
        <f t="shared" si="67"/>
        <v>-1.7267635944955589E-2</v>
      </c>
      <c r="S217" s="264">
        <f t="shared" si="67"/>
        <v>-1.6920071452010459E-2</v>
      </c>
      <c r="T217" s="264">
        <f t="shared" si="67"/>
        <v>-1.7267635944955589E-2</v>
      </c>
      <c r="U217" s="264">
        <f t="shared" si="67"/>
        <v>-1.7267635944955589E-2</v>
      </c>
      <c r="V217" s="264">
        <f t="shared" si="67"/>
        <v>-1.6920071452010459E-2</v>
      </c>
      <c r="W217" s="264">
        <f t="shared" si="67"/>
        <v>-1.6920071452010459E-2</v>
      </c>
      <c r="X217" s="264">
        <f t="shared" si="67"/>
        <v>0</v>
      </c>
      <c r="Y217" s="264">
        <f t="shared" si="67"/>
        <v>0</v>
      </c>
      <c r="Z217" s="256"/>
      <c r="AA217" s="256"/>
    </row>
    <row r="218" spans="3:27" x14ac:dyDescent="0.25">
      <c r="E218" s="27"/>
      <c r="F218" s="181" t="s">
        <v>198</v>
      </c>
      <c r="G218" t="s">
        <v>269</v>
      </c>
      <c r="H218" s="256"/>
      <c r="I218" s="256"/>
      <c r="J218" s="264">
        <f t="shared" ref="J218:Y218" si="68">hundred * $H26 * J63 / $H51 * J113 * (1 - J75) / hours_in_year</f>
        <v>7.7069283752252797E-3</v>
      </c>
      <c r="K218" s="264">
        <f t="shared" si="68"/>
        <v>7.7069283752252797E-3</v>
      </c>
      <c r="L218" s="264">
        <f t="shared" si="68"/>
        <v>7.1451401861434534E-3</v>
      </c>
      <c r="M218" s="264">
        <f t="shared" si="68"/>
        <v>7.1451401861434534E-3</v>
      </c>
      <c r="N218" s="264">
        <f t="shared" si="68"/>
        <v>7.2692570832500539E-3</v>
      </c>
      <c r="O218" s="264">
        <f t="shared" si="68"/>
        <v>6.2692794366744275E-3</v>
      </c>
      <c r="P218" s="264">
        <f t="shared" si="68"/>
        <v>0</v>
      </c>
      <c r="Q218" s="264">
        <f t="shared" si="68"/>
        <v>5.931921159708615E-3</v>
      </c>
      <c r="R218" s="264">
        <f t="shared" si="68"/>
        <v>-4.9223684983124702E-3</v>
      </c>
      <c r="S218" s="264">
        <f t="shared" si="68"/>
        <v>0</v>
      </c>
      <c r="T218" s="264">
        <f t="shared" si="68"/>
        <v>-4.9223684983124702E-3</v>
      </c>
      <c r="U218" s="264">
        <f t="shared" si="68"/>
        <v>-4.9223684983124702E-3</v>
      </c>
      <c r="V218" s="264">
        <f t="shared" si="68"/>
        <v>0</v>
      </c>
      <c r="W218" s="264">
        <f t="shared" si="68"/>
        <v>0</v>
      </c>
      <c r="X218" s="264">
        <f t="shared" si="68"/>
        <v>0</v>
      </c>
      <c r="Y218" s="264">
        <f t="shared" si="68"/>
        <v>0</v>
      </c>
      <c r="Z218" s="256"/>
      <c r="AA218" s="256"/>
    </row>
    <row r="219" spans="3:27" x14ac:dyDescent="0.25">
      <c r="E219" s="27"/>
      <c r="F219" s="182" t="s">
        <v>199</v>
      </c>
      <c r="G219" s="28" t="s">
        <v>269</v>
      </c>
      <c r="H219" s="258"/>
      <c r="I219" s="258"/>
      <c r="J219" s="265">
        <f t="shared" ref="J219:Y219" si="69">hundred * $H27 * J64 / $H52 * J114 * (1 - J76) / hours_in_year</f>
        <v>5.1459416540903195E-3</v>
      </c>
      <c r="K219" s="265">
        <f t="shared" si="69"/>
        <v>5.1459416540903195E-3</v>
      </c>
      <c r="L219" s="265">
        <f t="shared" si="69"/>
        <v>4.7708338157632707E-3</v>
      </c>
      <c r="M219" s="265">
        <f t="shared" si="69"/>
        <v>4.7708338157632707E-3</v>
      </c>
      <c r="N219" s="265">
        <f t="shared" si="69"/>
        <v>4.8537070798837043E-3</v>
      </c>
      <c r="O219" s="265">
        <f t="shared" si="69"/>
        <v>0</v>
      </c>
      <c r="P219" s="265">
        <f t="shared" si="69"/>
        <v>0</v>
      </c>
      <c r="Q219" s="265">
        <f t="shared" si="69"/>
        <v>3.960763445350176E-3</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189</v>
      </c>
      <c r="G222" s="19" t="s">
        <v>269</v>
      </c>
      <c r="H222" s="255"/>
      <c r="I222" s="255"/>
      <c r="J222" s="263">
        <f t="shared" ref="J222:Y222" si="70">hundred * $H30 * J55 / $H43 * J105 / hours_in_year</f>
        <v>0</v>
      </c>
      <c r="K222" s="263">
        <f t="shared" si="70"/>
        <v>0</v>
      </c>
      <c r="L222" s="263">
        <f t="shared" si="70"/>
        <v>0</v>
      </c>
      <c r="M222" s="263">
        <f t="shared" si="70"/>
        <v>0</v>
      </c>
      <c r="N222" s="263">
        <f t="shared" si="70"/>
        <v>0</v>
      </c>
      <c r="O222" s="263">
        <f t="shared" si="70"/>
        <v>0</v>
      </c>
      <c r="P222" s="263">
        <f t="shared" si="70"/>
        <v>0</v>
      </c>
      <c r="Q222" s="263">
        <f t="shared" si="70"/>
        <v>0</v>
      </c>
      <c r="R222" s="263">
        <f t="shared" si="70"/>
        <v>0</v>
      </c>
      <c r="S222" s="263">
        <f t="shared" si="70"/>
        <v>0</v>
      </c>
      <c r="T222" s="263">
        <f t="shared" si="70"/>
        <v>0</v>
      </c>
      <c r="U222" s="263">
        <f t="shared" si="70"/>
        <v>0</v>
      </c>
      <c r="V222" s="263">
        <f t="shared" si="70"/>
        <v>0</v>
      </c>
      <c r="W222" s="263">
        <f t="shared" si="70"/>
        <v>0</v>
      </c>
      <c r="X222" s="263">
        <f t="shared" si="70"/>
        <v>0</v>
      </c>
      <c r="Y222" s="263">
        <f t="shared" si="70"/>
        <v>0</v>
      </c>
      <c r="Z222" s="256"/>
      <c r="AA222" s="256"/>
    </row>
    <row r="223" spans="3:27" x14ac:dyDescent="0.2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192</v>
      </c>
      <c r="G224" t="s">
        <v>269</v>
      </c>
      <c r="H224" s="256"/>
      <c r="I224" s="256"/>
      <c r="J224" s="264">
        <f t="shared" ref="J224:Y224" si="72">hundred * $H32 * J57 / $H45 * J107 / hours_in_year</f>
        <v>8.217990892049238E-3</v>
      </c>
      <c r="K224" s="264">
        <f t="shared" si="72"/>
        <v>8.217990892049238E-3</v>
      </c>
      <c r="L224" s="264">
        <f t="shared" si="72"/>
        <v>7.6189493548297696E-3</v>
      </c>
      <c r="M224" s="264">
        <f t="shared" si="72"/>
        <v>7.6189493548297696E-3</v>
      </c>
      <c r="N224" s="264">
        <f t="shared" si="72"/>
        <v>7.7512967026071716E-3</v>
      </c>
      <c r="O224" s="264">
        <f t="shared" si="72"/>
        <v>6.6850084497893144E-3</v>
      </c>
      <c r="P224" s="264">
        <f t="shared" si="72"/>
        <v>5.4727296494799646E-3</v>
      </c>
      <c r="Q224" s="264">
        <f t="shared" si="72"/>
        <v>6.3252792408901286E-3</v>
      </c>
      <c r="R224" s="264">
        <f t="shared" si="72"/>
        <v>-5.248781034021161E-3</v>
      </c>
      <c r="S224" s="264">
        <f t="shared" si="72"/>
        <v>-5.1431331083592524E-3</v>
      </c>
      <c r="T224" s="264">
        <f t="shared" si="72"/>
        <v>-5.248781034021161E-3</v>
      </c>
      <c r="U224" s="264">
        <f t="shared" si="72"/>
        <v>-5.248781034021161E-3</v>
      </c>
      <c r="V224" s="264">
        <f t="shared" si="72"/>
        <v>-5.1431331083592524E-3</v>
      </c>
      <c r="W224" s="264">
        <f t="shared" si="72"/>
        <v>-5.1431331083592524E-3</v>
      </c>
      <c r="X224" s="264">
        <f t="shared" si="72"/>
        <v>-5.0614960748932335E-3</v>
      </c>
      <c r="Y224" s="264">
        <f t="shared" si="72"/>
        <v>-5.0614960748932335E-3</v>
      </c>
      <c r="Z224" s="256"/>
      <c r="AA224" s="256"/>
    </row>
    <row r="225" spans="2:27" x14ac:dyDescent="0.25">
      <c r="C225" s="27"/>
      <c r="E225" s="27"/>
      <c r="F225" s="181" t="s">
        <v>193</v>
      </c>
      <c r="G225" t="s">
        <v>269</v>
      </c>
      <c r="H225" s="256"/>
      <c r="I225" s="256"/>
      <c r="J225" s="264">
        <f t="shared" ref="J225:Y225" si="73">hundred * $H33 * J58 / $H46 * J108 / hours_in_year</f>
        <v>1.9455863767641891E-3</v>
      </c>
      <c r="K225" s="264">
        <f t="shared" si="73"/>
        <v>1.9455863767641891E-3</v>
      </c>
      <c r="L225" s="264">
        <f t="shared" si="73"/>
        <v>1.8037649669768333E-3</v>
      </c>
      <c r="M225" s="264">
        <f t="shared" si="73"/>
        <v>1.8037649669768333E-3</v>
      </c>
      <c r="N225" s="264">
        <f t="shared" si="73"/>
        <v>1.8350978316902392E-3</v>
      </c>
      <c r="O225" s="264">
        <f t="shared" si="73"/>
        <v>1.5826570678055768E-3</v>
      </c>
      <c r="P225" s="264">
        <f t="shared" si="73"/>
        <v>1.2956534498040279E-3</v>
      </c>
      <c r="Q225" s="264">
        <f t="shared" si="73"/>
        <v>1.4974921829386998E-3</v>
      </c>
      <c r="R225" s="264">
        <f t="shared" si="73"/>
        <v>-1.2426342409663307E-3</v>
      </c>
      <c r="S225" s="264">
        <f t="shared" si="73"/>
        <v>-1.2176223898215375E-3</v>
      </c>
      <c r="T225" s="264">
        <f t="shared" si="73"/>
        <v>-1.2426342409663307E-3</v>
      </c>
      <c r="U225" s="264">
        <f t="shared" si="73"/>
        <v>-1.2426342409663307E-3</v>
      </c>
      <c r="V225" s="264">
        <f t="shared" si="73"/>
        <v>-1.2176223898215375E-3</v>
      </c>
      <c r="W225" s="264">
        <f t="shared" si="73"/>
        <v>-1.2176223898215375E-3</v>
      </c>
      <c r="X225" s="264">
        <f t="shared" si="73"/>
        <v>-1.1982950503005606E-3</v>
      </c>
      <c r="Y225" s="264">
        <f t="shared" si="73"/>
        <v>-1.1982950503005606E-3</v>
      </c>
      <c r="Z225" s="256"/>
      <c r="AA225" s="256"/>
    </row>
    <row r="226" spans="2:27" x14ac:dyDescent="0.25">
      <c r="C226" s="27"/>
      <c r="E226" s="27"/>
      <c r="F226" s="181" t="s">
        <v>194</v>
      </c>
      <c r="G226" t="s">
        <v>269</v>
      </c>
      <c r="H226" s="256"/>
      <c r="I226" s="256"/>
      <c r="J226" s="264">
        <f t="shared" ref="J226:Y226" si="74">hundred * $H34 * J59 / $H47 * J109 / hours_in_year</f>
        <v>2.7920798424614728E-3</v>
      </c>
      <c r="K226" s="264">
        <f t="shared" si="74"/>
        <v>2.7920798424614728E-3</v>
      </c>
      <c r="L226" s="264">
        <f t="shared" si="74"/>
        <v>2.5885542091481297E-3</v>
      </c>
      <c r="M226" s="264">
        <f t="shared" si="74"/>
        <v>2.5885542091481297E-3</v>
      </c>
      <c r="N226" s="264">
        <f t="shared" si="74"/>
        <v>2.6335195013693739E-3</v>
      </c>
      <c r="O226" s="264">
        <f t="shared" si="74"/>
        <v>2.2712458050299744E-3</v>
      </c>
      <c r="P226" s="264">
        <f t="shared" si="74"/>
        <v>1.859371510418401E-3</v>
      </c>
      <c r="Q226" s="264">
        <f t="shared" si="74"/>
        <v>2.1490270430350243E-3</v>
      </c>
      <c r="R226" s="264">
        <f t="shared" si="74"/>
        <v>-1.7832844931433352E-3</v>
      </c>
      <c r="S226" s="264">
        <f t="shared" si="74"/>
        <v>-1.747390386236516E-3</v>
      </c>
      <c r="T226" s="264">
        <f t="shared" si="74"/>
        <v>-1.7832844931433352E-3</v>
      </c>
      <c r="U226" s="264">
        <f t="shared" si="74"/>
        <v>-1.7832844931433352E-3</v>
      </c>
      <c r="V226" s="264">
        <f t="shared" si="74"/>
        <v>-1.747390386236516E-3</v>
      </c>
      <c r="W226" s="264">
        <f t="shared" si="74"/>
        <v>-1.747390386236516E-3</v>
      </c>
      <c r="X226" s="264">
        <f t="shared" si="74"/>
        <v>-1.7196540308994286E-3</v>
      </c>
      <c r="Y226" s="264">
        <f t="shared" si="74"/>
        <v>-1.7196540308994286E-3</v>
      </c>
      <c r="Z226" s="256"/>
      <c r="AA226" s="256"/>
    </row>
    <row r="227" spans="2:27" x14ac:dyDescent="0.25">
      <c r="C227" s="27"/>
      <c r="E227" s="27"/>
      <c r="F227" s="181" t="s">
        <v>195</v>
      </c>
      <c r="G227" t="s">
        <v>269</v>
      </c>
      <c r="H227" s="256"/>
      <c r="I227" s="256"/>
      <c r="J227" s="264">
        <f t="shared" ref="J227:Y227" si="75">hundred * $H35 * J60 / $H48 * J110 / hours_in_year</f>
        <v>5.3822592018351514E-3</v>
      </c>
      <c r="K227" s="264">
        <f t="shared" si="75"/>
        <v>5.3822592018351514E-3</v>
      </c>
      <c r="L227" s="264">
        <f t="shared" si="75"/>
        <v>4.9899252520494075E-3</v>
      </c>
      <c r="M227" s="264">
        <f t="shared" si="75"/>
        <v>4.9899252520494075E-3</v>
      </c>
      <c r="N227" s="264">
        <f t="shared" si="75"/>
        <v>5.0766043126337351E-3</v>
      </c>
      <c r="O227" s="264">
        <f t="shared" si="75"/>
        <v>4.3782536043006255E-3</v>
      </c>
      <c r="P227" s="264">
        <f t="shared" si="75"/>
        <v>3.5842884108775812E-3</v>
      </c>
      <c r="Q227" s="264">
        <f t="shared" si="75"/>
        <v>4.1426539461603702E-3</v>
      </c>
      <c r="R227" s="264">
        <f t="shared" si="75"/>
        <v>-3.4376163699706558E-3</v>
      </c>
      <c r="S227" s="264">
        <f t="shared" si="75"/>
        <v>-3.3684237257443485E-3</v>
      </c>
      <c r="T227" s="264">
        <f t="shared" si="75"/>
        <v>-3.4376163699706558E-3</v>
      </c>
      <c r="U227" s="264">
        <f t="shared" si="75"/>
        <v>-3.4376163699706558E-3</v>
      </c>
      <c r="V227" s="264">
        <f t="shared" si="75"/>
        <v>-3.3684237257443485E-3</v>
      </c>
      <c r="W227" s="264">
        <f t="shared" si="75"/>
        <v>-3.3684237257443485E-3</v>
      </c>
      <c r="X227" s="264">
        <f t="shared" si="75"/>
        <v>-3.3149566824785645E-3</v>
      </c>
      <c r="Y227" s="264">
        <f t="shared" si="75"/>
        <v>-3.3149566824785645E-3</v>
      </c>
      <c r="Z227" s="256"/>
      <c r="AA227" s="256"/>
    </row>
    <row r="228" spans="2:27" x14ac:dyDescent="0.25">
      <c r="C228" s="27"/>
      <c r="E228" s="27"/>
      <c r="F228" s="181" t="s">
        <v>196</v>
      </c>
      <c r="G228" t="s">
        <v>269</v>
      </c>
      <c r="H228" s="256"/>
      <c r="I228" s="256"/>
      <c r="J228" s="264">
        <f t="shared" ref="J228:Y228" si="76">hundred * $H36 * J61 / $H49 * J111 / hours_in_year</f>
        <v>4.0698918572074109E-3</v>
      </c>
      <c r="K228" s="264">
        <f t="shared" si="76"/>
        <v>4.0698918572074109E-3</v>
      </c>
      <c r="L228" s="264">
        <f t="shared" si="76"/>
        <v>3.7732215023135798E-3</v>
      </c>
      <c r="M228" s="264">
        <f t="shared" si="76"/>
        <v>3.7732215023135798E-3</v>
      </c>
      <c r="N228" s="264">
        <f t="shared" si="76"/>
        <v>3.8387654290613403E-3</v>
      </c>
      <c r="O228" s="264">
        <f t="shared" si="76"/>
        <v>3.310695012023294E-3</v>
      </c>
      <c r="P228" s="264">
        <f t="shared" si="76"/>
        <v>2.7103239866894009E-3</v>
      </c>
      <c r="Q228" s="264">
        <f t="shared" si="76"/>
        <v>3.132542103687156E-3</v>
      </c>
      <c r="R228" s="264">
        <f t="shared" si="76"/>
        <v>-2.5994152915519474E-3</v>
      </c>
      <c r="S228" s="264">
        <f t="shared" si="76"/>
        <v>-2.5470940322526404E-3</v>
      </c>
      <c r="T228" s="264">
        <f t="shared" si="76"/>
        <v>-2.5994152915519474E-3</v>
      </c>
      <c r="U228" s="264">
        <f t="shared" si="76"/>
        <v>-2.5994152915519474E-3</v>
      </c>
      <c r="V228" s="264">
        <f t="shared" si="76"/>
        <v>-2.5470940322526404E-3</v>
      </c>
      <c r="W228" s="264">
        <f t="shared" si="76"/>
        <v>-2.5470940322526404E-3</v>
      </c>
      <c r="X228" s="264">
        <f t="shared" si="76"/>
        <v>-2.5066639682486303E-3</v>
      </c>
      <c r="Y228" s="264">
        <f t="shared" si="76"/>
        <v>-2.5066639682486303E-3</v>
      </c>
      <c r="Z228" s="256"/>
      <c r="AA228" s="256"/>
    </row>
    <row r="229" spans="2:27" x14ac:dyDescent="0.25">
      <c r="C229" s="27"/>
      <c r="E229" s="27"/>
      <c r="F229" s="181" t="s">
        <v>197</v>
      </c>
      <c r="G229" t="s">
        <v>269</v>
      </c>
      <c r="H229" s="256"/>
      <c r="I229" s="256"/>
      <c r="J229" s="264">
        <f t="shared" ref="J229:Y229" si="77">hundred * $H37 * J62 / $H50 * J112 / hours_in_year</f>
        <v>3.4345601046293868E-2</v>
      </c>
      <c r="K229" s="264">
        <f t="shared" si="77"/>
        <v>3.4345601046293868E-2</v>
      </c>
      <c r="L229" s="264">
        <f t="shared" si="77"/>
        <v>3.1842015690972558E-2</v>
      </c>
      <c r="M229" s="264">
        <f t="shared" si="77"/>
        <v>3.1842015690972558E-2</v>
      </c>
      <c r="N229" s="264">
        <f t="shared" si="77"/>
        <v>3.2395137404784072E-2</v>
      </c>
      <c r="O229" s="264">
        <f t="shared" si="77"/>
        <v>2.7938779225187733E-2</v>
      </c>
      <c r="P229" s="264">
        <f t="shared" si="77"/>
        <v>2.2872280055349616E-2</v>
      </c>
      <c r="Q229" s="264">
        <f t="shared" si="77"/>
        <v>2.6435356301525974E-2</v>
      </c>
      <c r="R229" s="264">
        <f t="shared" si="77"/>
        <v>-2.1936327472479325E-2</v>
      </c>
      <c r="S229" s="264">
        <f t="shared" si="77"/>
        <v>-2.1494791146409297E-2</v>
      </c>
      <c r="T229" s="264">
        <f t="shared" si="77"/>
        <v>-2.1936327472479325E-2</v>
      </c>
      <c r="U229" s="264">
        <f t="shared" si="77"/>
        <v>-2.1936327472479325E-2</v>
      </c>
      <c r="V229" s="264">
        <f t="shared" si="77"/>
        <v>-2.1494791146409297E-2</v>
      </c>
      <c r="W229" s="264">
        <f t="shared" si="77"/>
        <v>-2.1494791146409297E-2</v>
      </c>
      <c r="X229" s="264">
        <f t="shared" si="77"/>
        <v>0</v>
      </c>
      <c r="Y229" s="264">
        <f t="shared" si="77"/>
        <v>0</v>
      </c>
      <c r="Z229" s="256"/>
      <c r="AA229" s="256"/>
    </row>
    <row r="230" spans="2:27" x14ac:dyDescent="0.25">
      <c r="C230" s="27"/>
      <c r="E230" s="27"/>
      <c r="F230" s="181" t="s">
        <v>198</v>
      </c>
      <c r="G230" t="s">
        <v>269</v>
      </c>
      <c r="H230" s="256"/>
      <c r="I230" s="256"/>
      <c r="J230" s="264">
        <f t="shared" ref="J230:Y230" si="78">hundred * $H38 * J63 / $H51 * J113 / hours_in_year</f>
        <v>1.6733442116318793E-2</v>
      </c>
      <c r="K230" s="264">
        <f t="shared" si="78"/>
        <v>1.6733442116318793E-2</v>
      </c>
      <c r="L230" s="264">
        <f t="shared" si="78"/>
        <v>1.5513675993429725E-2</v>
      </c>
      <c r="M230" s="264">
        <f t="shared" si="78"/>
        <v>1.5513675993429725E-2</v>
      </c>
      <c r="N230" s="264">
        <f t="shared" si="78"/>
        <v>1.5783161164729203E-2</v>
      </c>
      <c r="O230" s="264">
        <f t="shared" si="78"/>
        <v>1.3611989038571118E-2</v>
      </c>
      <c r="P230" s="264">
        <f t="shared" si="78"/>
        <v>0</v>
      </c>
      <c r="Q230" s="264">
        <f t="shared" si="78"/>
        <v>1.2879509777674464E-2</v>
      </c>
      <c r="R230" s="264">
        <f t="shared" si="78"/>
        <v>-1.0687548181514676E-2</v>
      </c>
      <c r="S230" s="264">
        <f t="shared" si="78"/>
        <v>0</v>
      </c>
      <c r="T230" s="264">
        <f t="shared" si="78"/>
        <v>-1.0687548181514676E-2</v>
      </c>
      <c r="U230" s="264">
        <f t="shared" si="78"/>
        <v>-1.0687548181514676E-2</v>
      </c>
      <c r="V230" s="264">
        <f t="shared" si="78"/>
        <v>0</v>
      </c>
      <c r="W230" s="264">
        <f t="shared" si="78"/>
        <v>0</v>
      </c>
      <c r="X230" s="264">
        <f t="shared" si="78"/>
        <v>0</v>
      </c>
      <c r="Y230" s="264">
        <f t="shared" si="78"/>
        <v>0</v>
      </c>
      <c r="Z230" s="256"/>
      <c r="AA230" s="256"/>
    </row>
    <row r="231" spans="2:27" x14ac:dyDescent="0.25">
      <c r="C231" s="27"/>
      <c r="E231" s="27"/>
      <c r="F231" s="182" t="s">
        <v>199</v>
      </c>
      <c r="G231" s="28" t="s">
        <v>269</v>
      </c>
      <c r="H231" s="258"/>
      <c r="I231" s="258"/>
      <c r="J231" s="265">
        <f t="shared" ref="J231:Y231" si="79">hundred * $H39 * J64 / $H52 * J114 / hours_in_year</f>
        <v>3.8411134183638299E-2</v>
      </c>
      <c r="K231" s="265">
        <f t="shared" si="79"/>
        <v>3.8411134183638299E-2</v>
      </c>
      <c r="L231" s="265">
        <f t="shared" si="79"/>
        <v>3.561119619758242E-2</v>
      </c>
      <c r="M231" s="265">
        <f t="shared" si="79"/>
        <v>3.561119619758242E-2</v>
      </c>
      <c r="N231" s="265">
        <f t="shared" si="79"/>
        <v>3.622979164275926E-2</v>
      </c>
      <c r="O231" s="265">
        <f t="shared" si="79"/>
        <v>0</v>
      </c>
      <c r="P231" s="265">
        <f t="shared" si="79"/>
        <v>0</v>
      </c>
      <c r="Q231" s="265">
        <f t="shared" si="79"/>
        <v>2.9564543556001403E-2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control'!$H$36:$H$59,MATCH($A$1,'Version control'!$F$36:$F$59,0),1)&amp;"-A: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167</v>
      </c>
      <c r="H19" s="169">
        <f>'Unit costs'!$H$121</f>
        <v>4.4956662752271281E-2</v>
      </c>
      <c r="I19" s="3"/>
      <c r="J19" s="3"/>
      <c r="K19" s="3"/>
      <c r="L19" s="3"/>
      <c r="M19" s="3"/>
      <c r="N19" s="3"/>
      <c r="P19" s="3"/>
    </row>
    <row r="20" spans="2:27" x14ac:dyDescent="0.25">
      <c r="C20" s="78"/>
      <c r="E20" t="s">
        <v>597</v>
      </c>
      <c r="G20" t="s">
        <v>356</v>
      </c>
      <c r="H20" s="110">
        <f>'Unit costs'!$H$122</f>
        <v>202241743.30174798</v>
      </c>
    </row>
    <row r="21" spans="2:27" x14ac:dyDescent="0.25">
      <c r="C21" s="78"/>
      <c r="E21" t="s">
        <v>636</v>
      </c>
      <c r="G21" t="s">
        <v>356</v>
      </c>
      <c r="H21" s="110">
        <f>'Unit costs'!$H$123</f>
        <v>5775355882.8232851</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261</v>
      </c>
      <c r="H25" s="164"/>
      <c r="I25" s="19"/>
      <c r="J25" s="114">
        <f>'Inputs by customer type'!J187</f>
        <v>253.13373247962596</v>
      </c>
      <c r="K25" s="114">
        <f>'Inputs by customer type'!K187</f>
        <v>0</v>
      </c>
      <c r="L25" s="114">
        <f>'Inputs by customer type'!L187</f>
        <v>742.22260051721889</v>
      </c>
      <c r="M25" s="114">
        <f>'Inputs by customer type'!M187</f>
        <v>0</v>
      </c>
      <c r="N25" s="114">
        <f>'Inputs by customer type'!N187</f>
        <v>1480.8362698875537</v>
      </c>
      <c r="O25" s="114">
        <f>'Inputs by customer type'!O187</f>
        <v>1155.9518448856218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10671.557449351454</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6678.7161499432686</v>
      </c>
      <c r="Y26" s="110">
        <f>'Inputs by customer type'!Y188</f>
        <v>6678.7161499432686</v>
      </c>
    </row>
    <row r="27" spans="2:27" x14ac:dyDescent="0.25">
      <c r="E27" s="78"/>
      <c r="F27" s="28" t="s">
        <v>552</v>
      </c>
      <c r="G27" s="28" t="s">
        <v>264</v>
      </c>
      <c r="H27" s="28"/>
      <c r="I27" s="28"/>
      <c r="J27" s="71"/>
      <c r="K27" s="71"/>
      <c r="L27" s="71"/>
      <c r="M27" s="71"/>
      <c r="N27" s="71"/>
      <c r="O27" s="71"/>
      <c r="P27" s="71"/>
      <c r="Q27" s="115">
        <f>'Inputs by customer type'!Q190</f>
        <v>286.15161957169067</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control'!$H$36:$H$59,MATCH($A$1,'Version control'!$F$36:$F$59,0),1)&amp;"-B: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277</v>
      </c>
      <c r="H35" s="88">
        <f>IF(H21 &lt;&gt; 0, H20  /H21, 0)</f>
        <v>3.5018057311973307E-2</v>
      </c>
      <c r="I35" t="s">
        <v>154</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control'!$H$36:$H$59,MATCH($A$1,'Version control'!$F$36:$F$59,0),1)&amp;"-C: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270</v>
      </c>
      <c r="H42" s="164"/>
      <c r="I42" s="19"/>
      <c r="J42" s="91">
        <f t="shared" ref="J42:K42" si="0">J25 * $H$35 / days_in_year * hundred</f>
        <v>2.4219266534331312</v>
      </c>
      <c r="K42" s="91">
        <f t="shared" si="0"/>
        <v>0</v>
      </c>
      <c r="L42" s="91">
        <f t="shared" ref="L42:M42" si="1">L25 * $H$35 / days_in_year * hundred</f>
        <v>7.1014190063261857</v>
      </c>
      <c r="M42" s="91">
        <f t="shared" si="1"/>
        <v>0</v>
      </c>
      <c r="N42" s="91">
        <f t="shared" ref="N42:P42" si="2">N25 * $H$35 / days_in_year * hundred</f>
        <v>14.16830857064785</v>
      </c>
      <c r="O42" s="91">
        <f t="shared" si="2"/>
        <v>11.059887419149176</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102.10306294246037</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63.900454893200845</v>
      </c>
      <c r="Y43" s="111">
        <f t="shared" si="13"/>
        <v>63.900454893200845</v>
      </c>
    </row>
    <row r="44" spans="2:27" x14ac:dyDescent="0.25">
      <c r="D44"/>
      <c r="E44" s="78"/>
      <c r="F44" s="28" t="s">
        <v>552</v>
      </c>
      <c r="G44" s="28" t="s">
        <v>269</v>
      </c>
      <c r="H44" s="258"/>
      <c r="I44" s="258"/>
      <c r="J44" s="259"/>
      <c r="K44" s="259"/>
      <c r="L44" s="259"/>
      <c r="M44" s="259"/>
      <c r="N44" s="259"/>
      <c r="O44" s="259"/>
      <c r="P44" s="259"/>
      <c r="Q44" s="266">
        <f t="shared" ref="Q44" si="14">Q27*$H$35/ten</f>
        <v>1.0020473814075446</v>
      </c>
      <c r="R44" s="259"/>
      <c r="S44" s="259"/>
      <c r="T44" s="259"/>
      <c r="U44" s="259"/>
      <c r="V44" s="259"/>
      <c r="W44" s="259"/>
      <c r="X44" s="259"/>
      <c r="Y44" s="259"/>
      <c r="Z44" s="256"/>
      <c r="AA44" s="256"/>
    </row>
    <row r="45" spans="2:27" x14ac:dyDescent="0.25">
      <c r="D45" s="78"/>
      <c r="E45"/>
    </row>
    <row r="46" spans="2:27" x14ac:dyDescent="0.2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232</v>
      </c>
      <c r="G48" s="6" t="s">
        <v>55</v>
      </c>
      <c r="H48" s="93">
        <f t="array" ref="H48">SUM(IF(ISERROR(H19:Y45), 1))</f>
        <v>0</v>
      </c>
    </row>
    <row r="50" spans="2:27" x14ac:dyDescent="0.2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7"/>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WPD West Midlands - Final</v>
      </c>
    </row>
    <row r="3" spans="1:13" s="5" customFormat="1" x14ac:dyDescent="0.25">
      <c r="A3" s="5" t="str">
        <f>Cover!D2&amp;" - "&amp;Cover!D8&amp;" v"&amp;Cover!D10&amp;" - "&amp;Cover!D19</f>
        <v>CDCM charging model - Release for charge setting v8 - 2023/24</v>
      </c>
    </row>
    <row r="4" spans="1:13" customFormat="1" x14ac:dyDescent="0.25">
      <c r="A4" s="11" t="str">
        <f>J60 &amp; IF(J60 = 1, " issue", " issues") &amp;" identified in checks on this sheet"</f>
        <v>0 issues identified in checks on this sheet</v>
      </c>
      <c r="B4" s="12"/>
      <c r="C4" s="12"/>
      <c r="D4" s="12"/>
      <c r="E4" s="12"/>
      <c r="F4" s="12"/>
      <c r="G4" s="12"/>
      <c r="H4" s="13"/>
      <c r="I4" s="13"/>
      <c r="J4" s="12"/>
    </row>
    <row r="5" spans="1:13" x14ac:dyDescent="0.25">
      <c r="A5" s="30"/>
      <c r="B5" s="31" t="s">
        <v>32</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33</v>
      </c>
      <c r="H7" s="9">
        <f>LOOKUP(2,1/(F20:F32&lt;&gt;""),F20:F32)</f>
        <v>44522</v>
      </c>
      <c r="I7" s="34"/>
      <c r="J7" s="34"/>
      <c r="K7" s="30"/>
      <c r="L7" s="30"/>
    </row>
    <row r="8" spans="1:13" x14ac:dyDescent="0.25">
      <c r="A8" s="30"/>
      <c r="B8" s="30"/>
      <c r="C8" s="30"/>
      <c r="D8" s="30"/>
      <c r="F8" s="30"/>
      <c r="H8" s="30"/>
      <c r="I8" s="33"/>
      <c r="J8" s="33"/>
      <c r="K8" s="30"/>
      <c r="L8" s="30"/>
    </row>
    <row r="9" spans="1:13" x14ac:dyDescent="0.25">
      <c r="A9" s="30"/>
      <c r="B9" s="30"/>
      <c r="C9" s="30"/>
      <c r="D9" s="30"/>
      <c r="F9" s="30" t="s">
        <v>34</v>
      </c>
      <c r="H9" s="35" t="str">
        <f>LOOKUP(2,1/(G20:G32&lt;&gt;""),G20:G32)</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287" t="s">
        <v>823</v>
      </c>
      <c r="H11" s="35">
        <f>LOOKUP(2,1/(H20:H32&lt;&gt;""),H20:H32)</f>
        <v>8</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35</v>
      </c>
      <c r="H13" s="9" t="str">
        <f>LOOKUP(2,1/(I20:I32&lt;&gt;""),I20:I32)</f>
        <v>Attachment A_Charging Methodologies Pre-Release_01042023 (shared 15/11/2021)</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36</v>
      </c>
      <c r="H15" s="35" t="str">
        <f>LOOKUP(2,1/(J20:J32&lt;&gt;""),J20:J32)</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37</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38</v>
      </c>
      <c r="G19" s="38" t="s">
        <v>39</v>
      </c>
      <c r="H19" s="37" t="s">
        <v>820</v>
      </c>
      <c r="I19" s="38" t="s">
        <v>40</v>
      </c>
      <c r="J19" s="38" t="s">
        <v>41</v>
      </c>
      <c r="K19" s="38" t="s">
        <v>42</v>
      </c>
      <c r="L19" s="38" t="s">
        <v>43</v>
      </c>
    </row>
    <row r="20" spans="1:12" ht="30" x14ac:dyDescent="0.25">
      <c r="A20" s="30"/>
      <c r="B20" s="30"/>
      <c r="C20" s="30"/>
      <c r="D20" s="30"/>
      <c r="E20" s="30"/>
      <c r="F20" s="234">
        <v>43250</v>
      </c>
      <c r="G20" s="231" t="s">
        <v>44</v>
      </c>
      <c r="H20" s="231">
        <v>1</v>
      </c>
      <c r="I20" s="231" t="s">
        <v>45</v>
      </c>
      <c r="J20" s="231" t="s">
        <v>46</v>
      </c>
      <c r="K20" s="231" t="s">
        <v>47</v>
      </c>
      <c r="L20" s="231" t="s">
        <v>48</v>
      </c>
    </row>
    <row r="21" spans="1:12" ht="30" x14ac:dyDescent="0.25">
      <c r="A21" s="30"/>
      <c r="B21" s="30"/>
      <c r="C21" s="30"/>
      <c r="D21" s="30"/>
      <c r="E21" s="30"/>
      <c r="F21" s="234">
        <v>43301</v>
      </c>
      <c r="G21" s="231" t="s">
        <v>44</v>
      </c>
      <c r="H21" s="231">
        <v>2</v>
      </c>
      <c r="I21" s="231" t="s">
        <v>49</v>
      </c>
      <c r="J21" s="231" t="s">
        <v>46</v>
      </c>
      <c r="K21" s="231" t="s">
        <v>47</v>
      </c>
      <c r="L21" s="231" t="s">
        <v>50</v>
      </c>
    </row>
    <row r="22" spans="1:12" ht="45" x14ac:dyDescent="0.25">
      <c r="A22" s="30"/>
      <c r="B22" s="30"/>
      <c r="C22" s="30"/>
      <c r="D22" s="30"/>
      <c r="E22" s="30"/>
      <c r="F22" s="234">
        <v>43389</v>
      </c>
      <c r="G22" s="231" t="s">
        <v>821</v>
      </c>
      <c r="H22" s="231">
        <v>3</v>
      </c>
      <c r="I22" s="285" t="s">
        <v>822</v>
      </c>
      <c r="J22" s="285" t="s">
        <v>46</v>
      </c>
      <c r="K22" s="285" t="s">
        <v>47</v>
      </c>
      <c r="L22" s="285" t="s">
        <v>824</v>
      </c>
    </row>
    <row r="23" spans="1:12" ht="60" x14ac:dyDescent="0.25">
      <c r="A23" s="30"/>
      <c r="B23" s="30"/>
      <c r="C23" s="30"/>
      <c r="D23" s="30"/>
      <c r="E23" s="30"/>
      <c r="F23" s="234">
        <v>43663</v>
      </c>
      <c r="G23" s="231" t="s">
        <v>44</v>
      </c>
      <c r="H23" s="231">
        <v>4</v>
      </c>
      <c r="I23" s="231" t="s">
        <v>855</v>
      </c>
      <c r="J23" s="285" t="s">
        <v>46</v>
      </c>
      <c r="K23" s="285" t="s">
        <v>47</v>
      </c>
      <c r="L23" s="231" t="s">
        <v>856</v>
      </c>
    </row>
    <row r="24" spans="1:12" ht="60" x14ac:dyDescent="0.25">
      <c r="A24" s="30"/>
      <c r="B24" s="30"/>
      <c r="C24" s="30"/>
      <c r="D24" s="30"/>
      <c r="E24" s="30"/>
      <c r="F24" s="234">
        <v>43777</v>
      </c>
      <c r="G24" s="231" t="s">
        <v>821</v>
      </c>
      <c r="H24" s="231">
        <v>5</v>
      </c>
      <c r="I24" s="231" t="s">
        <v>900</v>
      </c>
      <c r="J24" s="231" t="s">
        <v>46</v>
      </c>
      <c r="K24" s="231" t="s">
        <v>47</v>
      </c>
      <c r="L24" s="285" t="s">
        <v>894</v>
      </c>
    </row>
    <row r="25" spans="1:12" ht="90" x14ac:dyDescent="0.25">
      <c r="A25" s="30"/>
      <c r="B25" s="30"/>
      <c r="C25" s="30"/>
      <c r="D25" s="30"/>
      <c r="E25" s="30"/>
      <c r="F25" s="234">
        <v>43860</v>
      </c>
      <c r="G25" s="231" t="s">
        <v>821</v>
      </c>
      <c r="H25" s="231">
        <v>6</v>
      </c>
      <c r="I25" s="231" t="s">
        <v>902</v>
      </c>
      <c r="J25" s="231" t="s">
        <v>46</v>
      </c>
      <c r="K25" s="231" t="s">
        <v>47</v>
      </c>
      <c r="L25" s="285" t="s">
        <v>903</v>
      </c>
    </row>
    <row r="26" spans="1:12" ht="45" x14ac:dyDescent="0.25">
      <c r="A26" s="30"/>
      <c r="B26" s="30"/>
      <c r="C26" s="30"/>
      <c r="D26" s="30"/>
      <c r="E26" s="30"/>
      <c r="F26" s="234">
        <v>43977</v>
      </c>
      <c r="G26" s="231" t="s">
        <v>44</v>
      </c>
      <c r="H26" s="231">
        <v>6</v>
      </c>
      <c r="I26" s="231" t="s">
        <v>1124</v>
      </c>
      <c r="J26" s="231" t="s">
        <v>46</v>
      </c>
      <c r="K26" s="231" t="s">
        <v>47</v>
      </c>
      <c r="L26" s="231" t="s">
        <v>1125</v>
      </c>
    </row>
    <row r="27" spans="1:12" ht="60" x14ac:dyDescent="0.25">
      <c r="A27" s="30"/>
      <c r="B27" s="30"/>
      <c r="C27" s="30"/>
      <c r="D27" s="30"/>
      <c r="E27" s="30"/>
      <c r="F27" s="234">
        <v>44141</v>
      </c>
      <c r="G27" s="231" t="s">
        <v>821</v>
      </c>
      <c r="H27" s="231">
        <v>7</v>
      </c>
      <c r="I27" s="231" t="s">
        <v>1136</v>
      </c>
      <c r="J27" s="231" t="s">
        <v>46</v>
      </c>
      <c r="K27" s="231" t="s">
        <v>47</v>
      </c>
      <c r="L27" s="231" t="s">
        <v>1137</v>
      </c>
    </row>
    <row r="28" spans="1:12" ht="45" x14ac:dyDescent="0.25">
      <c r="A28" s="30"/>
      <c r="B28" s="30"/>
      <c r="C28" s="30"/>
      <c r="D28" s="30"/>
      <c r="E28" s="30"/>
      <c r="F28" s="234">
        <v>44225</v>
      </c>
      <c r="G28" s="231" t="s">
        <v>44</v>
      </c>
      <c r="H28" s="231">
        <v>7</v>
      </c>
      <c r="I28" s="231" t="s">
        <v>1152</v>
      </c>
      <c r="J28" s="231" t="s">
        <v>46</v>
      </c>
      <c r="K28" s="231" t="s">
        <v>47</v>
      </c>
      <c r="L28" s="231" t="s">
        <v>1153</v>
      </c>
    </row>
    <row r="29" spans="1:12" ht="90" x14ac:dyDescent="0.25">
      <c r="A29" s="30"/>
      <c r="B29" s="30"/>
      <c r="C29" s="30"/>
      <c r="D29" s="30"/>
      <c r="E29" s="30"/>
      <c r="F29" s="443">
        <v>44250</v>
      </c>
      <c r="G29" s="444" t="s">
        <v>821</v>
      </c>
      <c r="H29" s="445">
        <v>8</v>
      </c>
      <c r="I29" s="446" t="s">
        <v>1154</v>
      </c>
      <c r="J29" s="231" t="s">
        <v>46</v>
      </c>
      <c r="K29" s="444" t="s">
        <v>47</v>
      </c>
      <c r="L29" s="444" t="s">
        <v>1155</v>
      </c>
    </row>
    <row r="30" spans="1:12" ht="60" x14ac:dyDescent="0.25">
      <c r="A30" s="30"/>
      <c r="B30" s="30"/>
      <c r="C30" s="30"/>
      <c r="D30" s="30"/>
      <c r="E30" s="30"/>
      <c r="F30" s="443">
        <v>44522</v>
      </c>
      <c r="G30" s="444" t="s">
        <v>821</v>
      </c>
      <c r="H30" s="445">
        <v>8</v>
      </c>
      <c r="I30" s="446" t="s">
        <v>1158</v>
      </c>
      <c r="J30" s="231" t="s">
        <v>46</v>
      </c>
      <c r="K30" s="444" t="s">
        <v>47</v>
      </c>
      <c r="L30" s="444" t="s">
        <v>1164</v>
      </c>
    </row>
    <row r="31" spans="1:12" x14ac:dyDescent="0.25">
      <c r="A31" s="30"/>
      <c r="B31" s="30"/>
      <c r="C31" s="30"/>
      <c r="D31" s="30"/>
      <c r="E31" s="30"/>
      <c r="F31" s="234"/>
      <c r="G31" s="231"/>
      <c r="H31" s="231"/>
      <c r="I31" s="231"/>
      <c r="J31" s="231"/>
      <c r="K31" s="231"/>
      <c r="L31" s="231"/>
    </row>
    <row r="33" spans="2:12" x14ac:dyDescent="0.25">
      <c r="B33" s="31" t="s">
        <v>51</v>
      </c>
      <c r="C33" s="31"/>
      <c r="D33" s="31"/>
      <c r="E33" s="31"/>
      <c r="F33" s="31"/>
      <c r="G33" s="32"/>
      <c r="H33" s="32"/>
      <c r="I33" s="32"/>
      <c r="J33" s="32"/>
      <c r="K33" s="32"/>
      <c r="L33" s="31"/>
    </row>
    <row r="35" spans="2:12" x14ac:dyDescent="0.25">
      <c r="E35" s="27" t="s">
        <v>52</v>
      </c>
      <c r="F35" s="39"/>
      <c r="G35" s="40"/>
      <c r="H35" s="40"/>
      <c r="I35" s="40"/>
      <c r="J35" s="40"/>
    </row>
    <row r="36" spans="2:12" x14ac:dyDescent="0.25">
      <c r="F36" s="6" t="s">
        <v>53</v>
      </c>
      <c r="H36" s="233" t="s">
        <v>54</v>
      </c>
      <c r="I36" s="6" t="s">
        <v>55</v>
      </c>
      <c r="J36" s="41">
        <f>'Fixed inputs'!H197</f>
        <v>0</v>
      </c>
    </row>
    <row r="37" spans="2:12" x14ac:dyDescent="0.25">
      <c r="F37" s="6" t="s">
        <v>56</v>
      </c>
      <c r="H37" s="233" t="s">
        <v>57</v>
      </c>
      <c r="I37" s="6" t="s">
        <v>55</v>
      </c>
      <c r="J37" s="41">
        <f>'Inputs by customer type'!H236</f>
        <v>0</v>
      </c>
    </row>
    <row r="38" spans="2:12" x14ac:dyDescent="0.25">
      <c r="F38" s="6" t="s">
        <v>58</v>
      </c>
      <c r="H38" s="233" t="s">
        <v>59</v>
      </c>
      <c r="I38" s="6" t="s">
        <v>55</v>
      </c>
      <c r="J38" s="42">
        <f>'Inputs by network level'!H56</f>
        <v>0</v>
      </c>
    </row>
    <row r="39" spans="2:12" x14ac:dyDescent="0.25">
      <c r="F39" s="6" t="s">
        <v>60</v>
      </c>
      <c r="H39" s="233" t="s">
        <v>61</v>
      </c>
      <c r="I39" s="6" t="s">
        <v>55</v>
      </c>
      <c r="J39" s="41">
        <f>'General inputs'!H115</f>
        <v>0</v>
      </c>
    </row>
    <row r="40" spans="2:12" x14ac:dyDescent="0.25">
      <c r="F40" s="6" t="s">
        <v>62</v>
      </c>
      <c r="H40" s="233" t="s">
        <v>63</v>
      </c>
      <c r="I40" s="6" t="s">
        <v>55</v>
      </c>
      <c r="J40" s="42">
        <f>'Standing charge factors'!H58</f>
        <v>0</v>
      </c>
    </row>
    <row r="41" spans="2:12" x14ac:dyDescent="0.25">
      <c r="F41" s="6" t="s">
        <v>64</v>
      </c>
      <c r="H41" s="233" t="s">
        <v>65</v>
      </c>
      <c r="I41" s="6" t="s">
        <v>55</v>
      </c>
      <c r="J41" s="42">
        <f>'Load &amp; loss characteristics'!H183</f>
        <v>0</v>
      </c>
    </row>
    <row r="42" spans="2:12" x14ac:dyDescent="0.25">
      <c r="F42" s="6" t="s">
        <v>66</v>
      </c>
      <c r="H42" s="233" t="s">
        <v>67</v>
      </c>
      <c r="I42" s="6" t="s">
        <v>55</v>
      </c>
      <c r="J42" s="42">
        <f>'Customer contributions'!H70</f>
        <v>0</v>
      </c>
    </row>
    <row r="43" spans="2:12" x14ac:dyDescent="0.25">
      <c r="F43" s="6" t="s">
        <v>68</v>
      </c>
      <c r="H43" s="233" t="s">
        <v>69</v>
      </c>
      <c r="I43" s="6" t="s">
        <v>55</v>
      </c>
      <c r="J43" s="42">
        <f>'Volume adjustments'!H693</f>
        <v>0</v>
      </c>
    </row>
    <row r="44" spans="2:12" x14ac:dyDescent="0.25">
      <c r="F44" s="6" t="s">
        <v>70</v>
      </c>
      <c r="H44" s="233" t="s">
        <v>71</v>
      </c>
      <c r="I44" s="6" t="s">
        <v>55</v>
      </c>
      <c r="J44" s="42">
        <f>'Pseudo-load coefficients'!H306</f>
        <v>0</v>
      </c>
    </row>
    <row r="45" spans="2:12" x14ac:dyDescent="0.25">
      <c r="F45" s="6" t="s">
        <v>72</v>
      </c>
      <c r="H45" s="233" t="s">
        <v>73</v>
      </c>
      <c r="I45" s="6" t="s">
        <v>55</v>
      </c>
      <c r="J45" s="42">
        <f>'System peak demand'!H281</f>
        <v>0</v>
      </c>
    </row>
    <row r="46" spans="2:12" x14ac:dyDescent="0.25">
      <c r="F46" s="6" t="s">
        <v>74</v>
      </c>
      <c r="H46" s="233" t="s">
        <v>75</v>
      </c>
      <c r="I46" s="6" t="s">
        <v>55</v>
      </c>
      <c r="J46" s="42">
        <f>'Service model assets'!H38</f>
        <v>0</v>
      </c>
    </row>
    <row r="47" spans="2:12" x14ac:dyDescent="0.25">
      <c r="F47" s="6" t="s">
        <v>76</v>
      </c>
      <c r="H47" s="233" t="s">
        <v>77</v>
      </c>
      <c r="I47" s="6" t="s">
        <v>55</v>
      </c>
      <c r="J47" s="42">
        <f>'Unit costs'!H131</f>
        <v>0</v>
      </c>
    </row>
    <row r="48" spans="2:12" x14ac:dyDescent="0.25">
      <c r="F48" s="6" t="s">
        <v>78</v>
      </c>
      <c r="H48" s="233" t="s">
        <v>79</v>
      </c>
      <c r="I48" s="6" t="s">
        <v>55</v>
      </c>
      <c r="J48" s="42">
        <f>'Initial unit rates'!H241</f>
        <v>0</v>
      </c>
    </row>
    <row r="49" spans="2:12" x14ac:dyDescent="0.25">
      <c r="F49" s="6" t="s">
        <v>80</v>
      </c>
      <c r="H49" s="233" t="s">
        <v>81</v>
      </c>
      <c r="I49" s="6" t="s">
        <v>55</v>
      </c>
      <c r="J49" s="42">
        <f>'Service model charges'!H48</f>
        <v>0</v>
      </c>
    </row>
    <row r="50" spans="2:12" x14ac:dyDescent="0.25">
      <c r="F50" s="6" t="s">
        <v>82</v>
      </c>
      <c r="H50" s="233" t="s">
        <v>83</v>
      </c>
      <c r="I50" s="6" t="s">
        <v>55</v>
      </c>
      <c r="J50" s="42">
        <f>'Unit rate charges'!H223</f>
        <v>0</v>
      </c>
    </row>
    <row r="51" spans="2:12" x14ac:dyDescent="0.25">
      <c r="F51" s="6" t="s">
        <v>86</v>
      </c>
      <c r="H51" s="233" t="s">
        <v>85</v>
      </c>
      <c r="I51" s="6" t="s">
        <v>55</v>
      </c>
      <c r="J51" s="42">
        <f>'Capacity charges'!H295</f>
        <v>0</v>
      </c>
    </row>
    <row r="52" spans="2:12" x14ac:dyDescent="0.25">
      <c r="F52" s="6" t="s">
        <v>84</v>
      </c>
      <c r="H52" s="233" t="s">
        <v>87</v>
      </c>
      <c r="I52" s="6" t="s">
        <v>55</v>
      </c>
      <c r="J52" s="42">
        <f>'Reactive power charges'!H254</f>
        <v>0</v>
      </c>
    </row>
    <row r="53" spans="2:12" x14ac:dyDescent="0.25">
      <c r="F53" s="6" t="s">
        <v>88</v>
      </c>
      <c r="H53" s="233" t="s">
        <v>89</v>
      </c>
      <c r="I53" s="6" t="s">
        <v>55</v>
      </c>
      <c r="J53" s="42">
        <f>'Fixed charges'!H165</f>
        <v>0</v>
      </c>
    </row>
    <row r="54" spans="2:12" x14ac:dyDescent="0.25">
      <c r="F54" s="6" t="s">
        <v>1150</v>
      </c>
      <c r="H54" s="233" t="s">
        <v>91</v>
      </c>
      <c r="I54" s="6" t="s">
        <v>55</v>
      </c>
      <c r="J54" s="42">
        <f>'SoLR &amp; bad debt adders'!H71</f>
        <v>0</v>
      </c>
    </row>
    <row r="55" spans="2:12" x14ac:dyDescent="0.25">
      <c r="F55" s="6" t="s">
        <v>90</v>
      </c>
      <c r="H55" s="233" t="s">
        <v>93</v>
      </c>
      <c r="I55" s="6" t="s">
        <v>55</v>
      </c>
      <c r="J55" s="42">
        <f>'Revenue matching'!H433</f>
        <v>0</v>
      </c>
    </row>
    <row r="56" spans="2:12" x14ac:dyDescent="0.25">
      <c r="F56" s="6" t="s">
        <v>92</v>
      </c>
      <c r="H56" s="233" t="s">
        <v>95</v>
      </c>
      <c r="I56" s="6" t="s">
        <v>55</v>
      </c>
      <c r="J56" s="42">
        <f>Rounding!H178</f>
        <v>0</v>
      </c>
    </row>
    <row r="57" spans="2:12" x14ac:dyDescent="0.25">
      <c r="F57" s="6" t="s">
        <v>94</v>
      </c>
      <c r="H57" s="233" t="s">
        <v>884</v>
      </c>
      <c r="I57" s="6" t="s">
        <v>55</v>
      </c>
      <c r="J57" s="41">
        <f>'Net revenue summary'!$H$211</f>
        <v>0</v>
      </c>
    </row>
    <row r="58" spans="2:12" x14ac:dyDescent="0.25">
      <c r="F58" s="6" t="s">
        <v>96</v>
      </c>
      <c r="H58" s="233" t="s">
        <v>97</v>
      </c>
      <c r="I58" s="6" t="s">
        <v>55</v>
      </c>
      <c r="J58" s="42">
        <f>'Tariff summary'!$H$119</f>
        <v>0</v>
      </c>
    </row>
    <row r="59" spans="2:12" x14ac:dyDescent="0.25">
      <c r="F59" s="6" t="s">
        <v>98</v>
      </c>
      <c r="H59" s="233" t="s">
        <v>99</v>
      </c>
      <c r="I59" s="6" t="s">
        <v>55</v>
      </c>
      <c r="J59" s="41">
        <f>'Output to other models'!H78</f>
        <v>0</v>
      </c>
    </row>
    <row r="60" spans="2:12" x14ac:dyDescent="0.25">
      <c r="F60" s="43" t="s">
        <v>100</v>
      </c>
      <c r="G60" s="43"/>
      <c r="H60" s="43"/>
      <c r="I60" s="43" t="s">
        <v>55</v>
      </c>
      <c r="J60" s="423">
        <f>IFERROR(SUM(J36:J59), 1)</f>
        <v>0</v>
      </c>
    </row>
    <row r="62" spans="2:12" x14ac:dyDescent="0.25">
      <c r="B62" s="31" t="s">
        <v>101</v>
      </c>
      <c r="C62" s="31"/>
      <c r="D62" s="31"/>
      <c r="E62" s="31"/>
      <c r="F62" s="31"/>
      <c r="G62" s="32"/>
      <c r="H62" s="32"/>
      <c r="I62" s="32"/>
      <c r="J62" s="32"/>
      <c r="K62" s="32"/>
      <c r="L62" s="31"/>
    </row>
    <row r="64" spans="2:12" x14ac:dyDescent="0.25">
      <c r="F64" s="38" t="s">
        <v>102</v>
      </c>
    </row>
    <row r="65" spans="2:12" x14ac:dyDescent="0.25">
      <c r="F65" s="233" t="s">
        <v>103</v>
      </c>
    </row>
    <row r="66" spans="2:12" x14ac:dyDescent="0.25">
      <c r="F66" s="233" t="s">
        <v>104</v>
      </c>
    </row>
    <row r="67" spans="2:12" x14ac:dyDescent="0.25">
      <c r="F67" s="233" t="s">
        <v>44</v>
      </c>
    </row>
    <row r="68" spans="2:12" ht="30" x14ac:dyDescent="0.25">
      <c r="F68" s="286" t="s">
        <v>821</v>
      </c>
    </row>
    <row r="69" spans="2:12" x14ac:dyDescent="0.25">
      <c r="F69" s="233"/>
    </row>
    <row r="70" spans="2:12" x14ac:dyDescent="0.25">
      <c r="F70" s="233"/>
    </row>
    <row r="71" spans="2:12" x14ac:dyDescent="0.25">
      <c r="F71" s="233"/>
    </row>
    <row r="72" spans="2:12" x14ac:dyDescent="0.25">
      <c r="F72" s="233"/>
    </row>
    <row r="73" spans="2:12" x14ac:dyDescent="0.25">
      <c r="F73" s="233"/>
    </row>
    <row r="74" spans="2:12" x14ac:dyDescent="0.25">
      <c r="F74" s="233"/>
    </row>
    <row r="75" spans="2:12" x14ac:dyDescent="0.25">
      <c r="F75" s="233" t="s">
        <v>105</v>
      </c>
    </row>
    <row r="77" spans="2:12" x14ac:dyDescent="0.25">
      <c r="B77" s="31" t="s">
        <v>106</v>
      </c>
      <c r="C77" s="31"/>
      <c r="D77" s="31"/>
      <c r="E77" s="31"/>
      <c r="F77" s="31"/>
      <c r="G77" s="32"/>
      <c r="H77" s="32"/>
      <c r="I77" s="32"/>
      <c r="J77" s="32"/>
      <c r="K77" s="32"/>
      <c r="L77" s="31"/>
    </row>
  </sheetData>
  <sheetProtection sheet="1" objects="1" formatCells="0" formatColumns="0" formatRows="0" sort="0" autoFilter="0"/>
  <dataConsolidate/>
  <phoneticPr fontId="39" type="noConversion"/>
  <conditionalFormatting sqref="J36:J60">
    <cfRule type="cellIs" dxfId="228" priority="2" operator="greaterThan">
      <formula>0</formula>
    </cfRule>
  </conditionalFormatting>
  <conditionalFormatting sqref="A4:XFD4">
    <cfRule type="expression" dxfId="227" priority="1">
      <formula>LEFT($A$4,1) &lt;&gt; "0"</formula>
    </cfRule>
  </conditionalFormatting>
  <dataValidations count="6">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1">
      <formula1>0</formula1>
    </dataValidation>
    <dataValidation type="date" operator="greaterThan" allowBlank="1" showInputMessage="1" showErrorMessage="1" promptTitle="Model date" prompt="Input a date" sqref="F20:F28 F31">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8 G31">
      <formula1>$F$65:$F$75</formula1>
    </dataValidation>
    <dataValidation type="list" allowBlank="1" showInputMessage="1" showErrorMessage="1" errorTitle="Development stage" error="Selection is not consistent with the list of options specified below" promptTitle="Development stage" prompt="Select from the list of options" sqref="G29:G30">
      <formula1>$F$87:$F$97</formula1>
    </dataValidation>
    <dataValidation allowBlank="1" showErrorMessage="1" errorTitle="Author" error="Initials must be selected from the list specified below" promptTitle="Author" prompt="Select author initials from the list specified below" sqref="K29:K30"/>
    <dataValidation type="date" operator="greaterThanOrEqual" allowBlank="1" showInputMessage="1" showErrorMessage="1" promptTitle="Model date" prompt="Input a date" sqref="F29:F30">
      <formula1>1</formula1>
    </dataValidation>
  </dataValidations>
  <hyperlinks>
    <hyperlink ref="I65" location="'Cover'!A1" display="Cover"/>
    <hyperlink ref="I66" location="'Version control'!A1" display="Version control"/>
    <hyperlink ref="I75" location="'Model map'!A1" display="Model map"/>
    <hyperlink ref="I76"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control'!$H$36:$H$59,MATCH($A$1,'Version control'!$F$36:$F$59,0),1)&amp;"-A: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192</v>
      </c>
      <c r="G24" t="s">
        <v>269</v>
      </c>
      <c r="H24" s="256"/>
      <c r="I24" s="256"/>
      <c r="J24" s="268">
        <f>'Initial unit rates'!J154</f>
        <v>0.57914722296594423</v>
      </c>
      <c r="K24" s="268">
        <f>'Initial unit rates'!K154</f>
        <v>0.57914722296594423</v>
      </c>
      <c r="L24" s="268">
        <f>'Initial unit rates'!L154</f>
        <v>0.53693091398249704</v>
      </c>
      <c r="M24" s="268">
        <f>'Initial unit rates'!M154</f>
        <v>0.53693091398249704</v>
      </c>
      <c r="N24" s="268">
        <f>'Initial unit rates'!N154</f>
        <v>0.54625784071422967</v>
      </c>
      <c r="O24" s="268">
        <f>'Initial unit rates'!O154</f>
        <v>0.4711132112527725</v>
      </c>
      <c r="P24" s="268">
        <f>'Initial unit rates'!P154</f>
        <v>0.38568017659963072</v>
      </c>
      <c r="Q24" s="268">
        <f>'Initial unit rates'!Q154</f>
        <v>1.2716064300441328</v>
      </c>
      <c r="R24" s="268">
        <f>'Initial unit rates'!R154</f>
        <v>-0.36989782536150556</v>
      </c>
      <c r="S24" s="268">
        <f>'Initial unit rates'!S154</f>
        <v>-0.36245248944389058</v>
      </c>
      <c r="T24" s="268">
        <f>'Initial unit rates'!T154</f>
        <v>-0.36989782536150556</v>
      </c>
      <c r="U24" s="268">
        <f>'Initial unit rates'!U154</f>
        <v>-0.36989782536150556</v>
      </c>
      <c r="V24" s="268">
        <f>'Initial unit rates'!V154</f>
        <v>-0.36245248944389058</v>
      </c>
      <c r="W24" s="268">
        <f>'Initial unit rates'!W154</f>
        <v>-0.36245248944389058</v>
      </c>
      <c r="X24" s="268">
        <f>'Initial unit rates'!X154</f>
        <v>-0.35669927532573364</v>
      </c>
      <c r="Y24" s="268">
        <f>'Initial unit rates'!Y154</f>
        <v>-0.35669927532573364</v>
      </c>
      <c r="Z24" s="256"/>
      <c r="AA24" s="256"/>
    </row>
    <row r="25" spans="3:27" x14ac:dyDescent="0.25">
      <c r="D25"/>
      <c r="F25" t="s">
        <v>193</v>
      </c>
      <c r="G25" t="s">
        <v>269</v>
      </c>
      <c r="H25" s="256"/>
      <c r="I25" s="256"/>
      <c r="J25" s="268">
        <f>'Initial unit rates'!J155</f>
        <v>0.13711148648673901</v>
      </c>
      <c r="K25" s="268">
        <f>'Initial unit rates'!K155</f>
        <v>0.13711148648673901</v>
      </c>
      <c r="L25" s="268">
        <f>'Initial unit rates'!L155</f>
        <v>0.12711689331738821</v>
      </c>
      <c r="M25" s="268">
        <f>'Initial unit rates'!M155</f>
        <v>0.12711689331738821</v>
      </c>
      <c r="N25" s="268">
        <f>'Initial unit rates'!N155</f>
        <v>0.12932501715503972</v>
      </c>
      <c r="O25" s="268">
        <f>'Initial unit rates'!O155</f>
        <v>0.1115347361377353</v>
      </c>
      <c r="P25" s="268">
        <f>'Initial unit rates'!P155</f>
        <v>9.1308703944442418E-2</v>
      </c>
      <c r="Q25" s="268">
        <f>'Initial unit rates'!Q155</f>
        <v>0.30104926853754255</v>
      </c>
      <c r="R25" s="268">
        <f>'Initial unit rates'!R155</f>
        <v>-8.7572276395963253E-2</v>
      </c>
      <c r="S25" s="268">
        <f>'Initial unit rates'!S155</f>
        <v>-8.580961392504724E-2</v>
      </c>
      <c r="T25" s="268">
        <f>'Initial unit rates'!T155</f>
        <v>-8.7572276395963253E-2</v>
      </c>
      <c r="U25" s="268">
        <f>'Initial unit rates'!U155</f>
        <v>-8.7572276395963253E-2</v>
      </c>
      <c r="V25" s="268">
        <f>'Initial unit rates'!V155</f>
        <v>-8.580961392504724E-2</v>
      </c>
      <c r="W25" s="268">
        <f>'Initial unit rates'!W155</f>
        <v>-8.580961392504724E-2</v>
      </c>
      <c r="X25" s="268">
        <f>'Initial unit rates'!X155</f>
        <v>-8.4447556561157613E-2</v>
      </c>
      <c r="Y25" s="268">
        <f>'Initial unit rates'!Y155</f>
        <v>-8.4447556561157613E-2</v>
      </c>
      <c r="Z25" s="256"/>
      <c r="AA25" s="256"/>
    </row>
    <row r="26" spans="3:27" x14ac:dyDescent="0.25">
      <c r="D26"/>
      <c r="F26" t="s">
        <v>194</v>
      </c>
      <c r="G26" t="s">
        <v>269</v>
      </c>
      <c r="H26" s="256"/>
      <c r="I26" s="256"/>
      <c r="J26" s="268">
        <f>'Initial unit rates'!J156</f>
        <v>0.14879616737904044</v>
      </c>
      <c r="K26" s="268">
        <f>'Initial unit rates'!K156</f>
        <v>0.14879616737904044</v>
      </c>
      <c r="L26" s="268">
        <f>'Initial unit rates'!L156</f>
        <v>0.13794983206302763</v>
      </c>
      <c r="M26" s="268">
        <f>'Initial unit rates'!M156</f>
        <v>0.13794983206302763</v>
      </c>
      <c r="N26" s="268">
        <f>'Initial unit rates'!N156</f>
        <v>0.14034613285853109</v>
      </c>
      <c r="O26" s="268">
        <f>'Initial unit rates'!O156</f>
        <v>0.12103975890110914</v>
      </c>
      <c r="P26" s="268">
        <f>'Initial unit rates'!P156</f>
        <v>9.9090058341644041E-2</v>
      </c>
      <c r="Q26" s="268">
        <f>'Initial unit rates'!Q156</f>
        <v>0.33258624601524944</v>
      </c>
      <c r="R26" s="268">
        <f>'Initial unit rates'!R156</f>
        <v>-9.5035211347063914E-2</v>
      </c>
      <c r="S26" s="268">
        <f>'Initial unit rates'!S156</f>
        <v>-9.3122334265970233E-2</v>
      </c>
      <c r="T26" s="268">
        <f>'Initial unit rates'!T156</f>
        <v>-9.5035211347063914E-2</v>
      </c>
      <c r="U26" s="268">
        <f>'Initial unit rates'!U156</f>
        <v>-9.5035211347063914E-2</v>
      </c>
      <c r="V26" s="268">
        <f>'Initial unit rates'!V156</f>
        <v>-9.3122334265970233E-2</v>
      </c>
      <c r="W26" s="268">
        <f>'Initial unit rates'!W156</f>
        <v>-9.3122334265970233E-2</v>
      </c>
      <c r="X26" s="268">
        <f>'Initial unit rates'!X156</f>
        <v>-9.1644201976034206E-2</v>
      </c>
      <c r="Y26" s="268">
        <f>'Initial unit rates'!Y156</f>
        <v>-9.1644201976034206E-2</v>
      </c>
      <c r="Z26" s="256"/>
      <c r="AA26" s="256"/>
    </row>
    <row r="27" spans="3:27" x14ac:dyDescent="0.25">
      <c r="D27"/>
      <c r="F27" t="s">
        <v>195</v>
      </c>
      <c r="G27" t="s">
        <v>269</v>
      </c>
      <c r="H27" s="256"/>
      <c r="I27" s="256"/>
      <c r="J27" s="268">
        <f>'Initial unit rates'!J157</f>
        <v>0.28683260732530241</v>
      </c>
      <c r="K27" s="268">
        <f>'Initial unit rates'!K157</f>
        <v>0.28683260732530241</v>
      </c>
      <c r="L27" s="268">
        <f>'Initial unit rates'!L157</f>
        <v>0.26592425536021885</v>
      </c>
      <c r="M27" s="268">
        <f>'Initial unit rates'!M157</f>
        <v>0.26592425536021885</v>
      </c>
      <c r="N27" s="268">
        <f>'Initial unit rates'!N157</f>
        <v>0.27054357598666384</v>
      </c>
      <c r="O27" s="268">
        <f>'Initial unit rates'!O157</f>
        <v>0.23332690785771906</v>
      </c>
      <c r="P27" s="268">
        <f>'Initial unit rates'!P157</f>
        <v>0.14180149096151712</v>
      </c>
      <c r="Q27" s="268">
        <f>'Initial unit rates'!Q157</f>
        <v>0.64112256239824428</v>
      </c>
      <c r="R27" s="268">
        <f>'Initial unit rates'!R157</f>
        <v>-0.18319824991829234</v>
      </c>
      <c r="S27" s="268">
        <f>'Initial unit rates'!S157</f>
        <v>-0.17951081945333128</v>
      </c>
      <c r="T27" s="268">
        <f>'Initial unit rates'!T157</f>
        <v>-0.18319824991829234</v>
      </c>
      <c r="U27" s="268">
        <f>'Initial unit rates'!U157</f>
        <v>-0.18319824991829234</v>
      </c>
      <c r="V27" s="268">
        <f>'Initial unit rates'!V157</f>
        <v>-0.17951081945333128</v>
      </c>
      <c r="W27" s="268">
        <f>'Initial unit rates'!W157</f>
        <v>-0.17951081945333128</v>
      </c>
      <c r="X27" s="268">
        <f>'Initial unit rates'!X157</f>
        <v>-0.13114619867691216</v>
      </c>
      <c r="Y27" s="268">
        <f>'Initial unit rates'!Y157</f>
        <v>-0.13114619867691216</v>
      </c>
      <c r="Z27" s="256"/>
      <c r="AA27" s="256"/>
    </row>
    <row r="28" spans="3:27" x14ac:dyDescent="0.25">
      <c r="D28"/>
      <c r="F28" t="s">
        <v>196</v>
      </c>
      <c r="G28" t="s">
        <v>269</v>
      </c>
      <c r="H28" s="256"/>
      <c r="I28" s="256"/>
      <c r="J28" s="268">
        <f>'Initial unit rates'!J158</f>
        <v>0.28681786069558696</v>
      </c>
      <c r="K28" s="268">
        <f>'Initial unit rates'!K158</f>
        <v>0.28681786069558696</v>
      </c>
      <c r="L28" s="268">
        <f>'Initial unit rates'!L158</f>
        <v>0.26591058367009007</v>
      </c>
      <c r="M28" s="268">
        <f>'Initial unit rates'!M158</f>
        <v>0.26591058367009007</v>
      </c>
      <c r="N28" s="268">
        <f>'Initial unit rates'!N158</f>
        <v>0.27052966680815665</v>
      </c>
      <c r="O28" s="268">
        <f>'Initial unit rates'!O158</f>
        <v>0.23331491206147784</v>
      </c>
      <c r="P28" s="268">
        <f>'Initial unit rates'!P158</f>
        <v>0.14179420066736328</v>
      </c>
      <c r="Q28" s="268">
        <f>'Initial unit rates'!Q158</f>
        <v>0.62975254209836284</v>
      </c>
      <c r="R28" s="268">
        <f>'Initial unit rates'!R158</f>
        <v>-0.18318883133516381</v>
      </c>
      <c r="S28" s="268">
        <f>'Initial unit rates'!S158</f>
        <v>-0.17950159044827121</v>
      </c>
      <c r="T28" s="268">
        <f>'Initial unit rates'!T158</f>
        <v>-0.18318883133516381</v>
      </c>
      <c r="U28" s="268">
        <f>'Initial unit rates'!U158</f>
        <v>-0.18318883133516381</v>
      </c>
      <c r="V28" s="268">
        <f>'Initial unit rates'!V158</f>
        <v>-0.17950159044827121</v>
      </c>
      <c r="W28" s="268">
        <f>'Initial unit rates'!W158</f>
        <v>-0.17950159044827121</v>
      </c>
      <c r="X28" s="268">
        <f>'Initial unit rates'!X158</f>
        <v>-0.13113945619233722</v>
      </c>
      <c r="Y28" s="268">
        <f>'Initial unit rates'!Y158</f>
        <v>-0.13113945619233722</v>
      </c>
      <c r="Z28" s="256"/>
      <c r="AA28" s="256"/>
    </row>
    <row r="29" spans="3:27" x14ac:dyDescent="0.25">
      <c r="D29"/>
      <c r="F29" t="s">
        <v>197</v>
      </c>
      <c r="G29" t="s">
        <v>269</v>
      </c>
      <c r="H29" s="256"/>
      <c r="I29" s="256"/>
      <c r="J29" s="268">
        <f>'Initial unit rates'!J159</f>
        <v>1.1222819547139444</v>
      </c>
      <c r="K29" s="268">
        <f>'Initial unit rates'!K159</f>
        <v>1.1222819547139444</v>
      </c>
      <c r="L29" s="268">
        <f>'Initial unit rates'!L159</f>
        <v>1.0404744282544127</v>
      </c>
      <c r="M29" s="268">
        <f>'Initial unit rates'!M159</f>
        <v>1.0404744282544127</v>
      </c>
      <c r="N29" s="268">
        <f>'Initial unit rates'!N159</f>
        <v>1.0585483154265836</v>
      </c>
      <c r="O29" s="268">
        <f>'Initial unit rates'!O159</f>
        <v>0.91293169448110378</v>
      </c>
      <c r="P29" s="268">
        <f>'Initial unit rates'!P159</f>
        <v>0.59082980392938389</v>
      </c>
      <c r="Q29" s="268">
        <f>'Initial unit rates'!Q159</f>
        <v>2.5085023953482821</v>
      </c>
      <c r="R29" s="268">
        <f>'Initial unit rates'!R159</f>
        <v>-0.71679469058864631</v>
      </c>
      <c r="S29" s="268">
        <f>'Initial unit rates'!S159</f>
        <v>-0.70236698409921328</v>
      </c>
      <c r="T29" s="268">
        <f>'Initial unit rates'!T159</f>
        <v>-0.71679469058864631</v>
      </c>
      <c r="U29" s="268">
        <f>'Initial unit rates'!U159</f>
        <v>-0.71679469058864631</v>
      </c>
      <c r="V29" s="268">
        <f>'Initial unit rates'!V159</f>
        <v>-0.70236698409921328</v>
      </c>
      <c r="W29" s="268">
        <f>'Initial unit rates'!W159</f>
        <v>-0.70236698409921328</v>
      </c>
      <c r="X29" s="268">
        <f>'Initial unit rates'!X159</f>
        <v>0</v>
      </c>
      <c r="Y29" s="268">
        <f>'Initial unit rates'!Y159</f>
        <v>0</v>
      </c>
      <c r="Z29" s="256"/>
      <c r="AA29" s="256"/>
    </row>
    <row r="30" spans="3:27" x14ac:dyDescent="0.25">
      <c r="D30"/>
      <c r="F30" t="s">
        <v>198</v>
      </c>
      <c r="G30" t="s">
        <v>269</v>
      </c>
      <c r="H30" s="256"/>
      <c r="I30" s="256"/>
      <c r="J30" s="268">
        <f>'Initial unit rates'!J160</f>
        <v>0.31992134636833586</v>
      </c>
      <c r="K30" s="268">
        <f>'Initial unit rates'!K160</f>
        <v>0.31992134636833586</v>
      </c>
      <c r="L30" s="268">
        <f>'Initial unit rates'!L160</f>
        <v>0.29660102664113547</v>
      </c>
      <c r="M30" s="268">
        <f>'Initial unit rates'!M160</f>
        <v>0.29660102664113547</v>
      </c>
      <c r="N30" s="268">
        <f>'Initial unit rates'!N160</f>
        <v>0.30175322773814423</v>
      </c>
      <c r="O30" s="268">
        <f>'Initial unit rates'!O160</f>
        <v>0.26024327987628115</v>
      </c>
      <c r="P30" s="268">
        <f>'Initial unit rates'!P160</f>
        <v>0</v>
      </c>
      <c r="Q30" s="268">
        <f>'Initial unit rates'!Q160</f>
        <v>0.71508185649529676</v>
      </c>
      <c r="R30" s="268">
        <f>'Initial unit rates'!R160</f>
        <v>-0.2043318272378751</v>
      </c>
      <c r="S30" s="268">
        <f>'Initial unit rates'!S160</f>
        <v>0</v>
      </c>
      <c r="T30" s="268">
        <f>'Initial unit rates'!T160</f>
        <v>-0.2043318272378751</v>
      </c>
      <c r="U30" s="268">
        <f>'Initial unit rates'!U160</f>
        <v>-0.2043318272378751</v>
      </c>
      <c r="V30" s="268">
        <f>'Initial unit rates'!V160</f>
        <v>0</v>
      </c>
      <c r="W30" s="268">
        <f>'Initial unit rates'!W160</f>
        <v>0</v>
      </c>
      <c r="X30" s="268">
        <f>'Initial unit rates'!X160</f>
        <v>0</v>
      </c>
      <c r="Y30" s="268">
        <f>'Initial unit rates'!Y160</f>
        <v>0</v>
      </c>
      <c r="Z30" s="256"/>
      <c r="AA30" s="256"/>
    </row>
    <row r="31" spans="3:27" x14ac:dyDescent="0.25">
      <c r="D31"/>
      <c r="F31" t="s">
        <v>199</v>
      </c>
      <c r="G31" t="s">
        <v>269</v>
      </c>
      <c r="H31" s="256"/>
      <c r="I31" s="256"/>
      <c r="J31" s="268">
        <f>'Initial unit rates'!J161</f>
        <v>0.21361254473334243</v>
      </c>
      <c r="K31" s="268">
        <f>'Initial unit rates'!K161</f>
        <v>0.21361254473334243</v>
      </c>
      <c r="L31" s="268">
        <f>'Initial unit rates'!L161</f>
        <v>0.19804148985541289</v>
      </c>
      <c r="M31" s="268">
        <f>'Initial unit rates'!M161</f>
        <v>0.19804148985541289</v>
      </c>
      <c r="N31" s="268">
        <f>'Initial unit rates'!N161</f>
        <v>0.20148163162714339</v>
      </c>
      <c r="O31" s="268">
        <f>'Initial unit rates'!O161</f>
        <v>0</v>
      </c>
      <c r="P31" s="268">
        <f>'Initial unit rates'!P161</f>
        <v>0</v>
      </c>
      <c r="Q31" s="268">
        <f>'Initial unit rates'!Q161</f>
        <v>0.47746252881399354</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189</v>
      </c>
      <c r="G36" s="19" t="s">
        <v>269</v>
      </c>
      <c r="H36" s="255"/>
      <c r="I36" s="255"/>
      <c r="J36" s="267">
        <f>'Initial unit rates'!J164</f>
        <v>0.43333773154288502</v>
      </c>
      <c r="K36" s="267">
        <f>'Initial unit rates'!K164</f>
        <v>0.43333773154288502</v>
      </c>
      <c r="L36" s="267">
        <f>'Initial unit rates'!L164</f>
        <v>0.40175004736939768</v>
      </c>
      <c r="M36" s="267">
        <f>'Initial unit rates'!M164</f>
        <v>0.40175004736939768</v>
      </c>
      <c r="N36" s="267">
        <f>'Initial unit rates'!N164</f>
        <v>0.40872877248785244</v>
      </c>
      <c r="O36" s="267">
        <f>'Initial unit rates'!O164</f>
        <v>0.35250299434858068</v>
      </c>
      <c r="P36" s="267">
        <f>'Initial unit rates'!P164</f>
        <v>0.28857908007023469</v>
      </c>
      <c r="Q36" s="267">
        <f>'Initial unit rates'!Q164</f>
        <v>0.93607067725868043</v>
      </c>
      <c r="R36" s="267">
        <f>'Initial unit rates'!R164</f>
        <v>-0.27677018586727592</v>
      </c>
      <c r="S36" s="267">
        <f>'Initial unit rates'!S164</f>
        <v>-0.27119933125695567</v>
      </c>
      <c r="T36" s="267">
        <f>'Initial unit rates'!T164</f>
        <v>-0.27677018586727592</v>
      </c>
      <c r="U36" s="267">
        <f>'Initial unit rates'!U164</f>
        <v>-0.27677018586727592</v>
      </c>
      <c r="V36" s="267">
        <f>'Initial unit rates'!V164</f>
        <v>-0.27119933125695567</v>
      </c>
      <c r="W36" s="267">
        <f>'Initial unit rates'!W164</f>
        <v>-0.27119933125695567</v>
      </c>
      <c r="X36" s="267">
        <f>'Initial unit rates'!X164</f>
        <v>-0.26689457996716276</v>
      </c>
      <c r="Y36" s="267">
        <f>'Initial unit rates'!Y164</f>
        <v>-0.26689457996716276</v>
      </c>
      <c r="Z36" s="256"/>
      <c r="AA36" s="256"/>
    </row>
    <row r="37" spans="4:27" x14ac:dyDescent="0.2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192</v>
      </c>
      <c r="G38" t="s">
        <v>269</v>
      </c>
      <c r="H38" s="256"/>
      <c r="I38" s="256"/>
      <c r="J38" s="268">
        <f>'Initial unit rates'!J166</f>
        <v>0.45111468254762765</v>
      </c>
      <c r="K38" s="268">
        <f>'Initial unit rates'!K166</f>
        <v>0.45111468254762765</v>
      </c>
      <c r="L38" s="268">
        <f>'Initial unit rates'!L166</f>
        <v>0.41823116680206357</v>
      </c>
      <c r="M38" s="268">
        <f>'Initial unit rates'!M166</f>
        <v>0.41823116680206357</v>
      </c>
      <c r="N38" s="268">
        <f>'Initial unit rates'!N166</f>
        <v>0.4254961823713051</v>
      </c>
      <c r="O38" s="268">
        <f>'Initial unit rates'!O166</f>
        <v>0.36696383632799556</v>
      </c>
      <c r="P38" s="268">
        <f>'Initial unit rates'!P166</f>
        <v>0.30041755106867934</v>
      </c>
      <c r="Q38" s="268">
        <f>'Initial unit rates'!Q166</f>
        <v>0.99049137812858512</v>
      </c>
      <c r="R38" s="268">
        <f>'Initial unit rates'!R166</f>
        <v>-0.28812421685880324</v>
      </c>
      <c r="S38" s="268">
        <f>'Initial unit rates'!S166</f>
        <v>-0.28232482731544212</v>
      </c>
      <c r="T38" s="268">
        <f>'Initial unit rates'!T166</f>
        <v>-0.28812421685880324</v>
      </c>
      <c r="U38" s="268">
        <f>'Initial unit rates'!U166</f>
        <v>-0.28812421685880324</v>
      </c>
      <c r="V38" s="268">
        <f>'Initial unit rates'!V166</f>
        <v>-0.28232482731544212</v>
      </c>
      <c r="W38" s="268">
        <f>'Initial unit rates'!W166</f>
        <v>-0.28232482731544212</v>
      </c>
      <c r="X38" s="268">
        <f>'Initial unit rates'!X166</f>
        <v>-0.27784348085011767</v>
      </c>
      <c r="Y38" s="268">
        <f>'Initial unit rates'!Y166</f>
        <v>-0.27784348085011767</v>
      </c>
      <c r="Z38" s="256"/>
      <c r="AA38" s="256"/>
    </row>
    <row r="39" spans="4:27" x14ac:dyDescent="0.25">
      <c r="D39"/>
      <c r="F39" t="s">
        <v>193</v>
      </c>
      <c r="G39" t="s">
        <v>269</v>
      </c>
      <c r="H39" s="256"/>
      <c r="I39" s="256"/>
      <c r="J39" s="268">
        <f>'Initial unit rates'!J167</f>
        <v>0.10680014035694646</v>
      </c>
      <c r="K39" s="268">
        <f>'Initial unit rates'!K167</f>
        <v>0.10680014035694646</v>
      </c>
      <c r="L39" s="268">
        <f>'Initial unit rates'!L167</f>
        <v>9.9015059904183064E-2</v>
      </c>
      <c r="M39" s="268">
        <f>'Initial unit rates'!M167</f>
        <v>9.9015059904183064E-2</v>
      </c>
      <c r="N39" s="268">
        <f>'Initial unit rates'!N167</f>
        <v>0.10073503203656534</v>
      </c>
      <c r="O39" s="268">
        <f>'Initial unit rates'!O167</f>
        <v>8.6877662691937946E-2</v>
      </c>
      <c r="P39" s="268">
        <f>'Initial unit rates'!P167</f>
        <v>7.1123015634583481E-2</v>
      </c>
      <c r="Q39" s="268">
        <f>'Initial unit rates'!Q167</f>
        <v>0.2344960656325118</v>
      </c>
      <c r="R39" s="268">
        <f>'Initial unit rates'!R167</f>
        <v>-6.8212603116739962E-2</v>
      </c>
      <c r="S39" s="268">
        <f>'Initial unit rates'!S167</f>
        <v>-6.6839613849980342E-2</v>
      </c>
      <c r="T39" s="268">
        <f>'Initial unit rates'!T167</f>
        <v>-6.8212603116739962E-2</v>
      </c>
      <c r="U39" s="268">
        <f>'Initial unit rates'!U167</f>
        <v>-6.8212603116739962E-2</v>
      </c>
      <c r="V39" s="268">
        <f>'Initial unit rates'!V167</f>
        <v>-6.6839613849980342E-2</v>
      </c>
      <c r="W39" s="268">
        <f>'Initial unit rates'!W167</f>
        <v>-6.6839613849980342E-2</v>
      </c>
      <c r="X39" s="268">
        <f>'Initial unit rates'!X167</f>
        <v>-6.5778667598393348E-2</v>
      </c>
      <c r="Y39" s="268">
        <f>'Initial unit rates'!Y167</f>
        <v>-6.5778667598393348E-2</v>
      </c>
      <c r="Z39" s="256"/>
      <c r="AA39" s="256"/>
    </row>
    <row r="40" spans="4:27" x14ac:dyDescent="0.25">
      <c r="D40"/>
      <c r="F40" t="s">
        <v>194</v>
      </c>
      <c r="G40" t="s">
        <v>269</v>
      </c>
      <c r="H40" s="256"/>
      <c r="I40" s="256"/>
      <c r="J40" s="268">
        <f>'Initial unit rates'!J168</f>
        <v>0.11590167948616173</v>
      </c>
      <c r="K40" s="268">
        <f>'Initial unit rates'!K168</f>
        <v>0.11590167948616173</v>
      </c>
      <c r="L40" s="268">
        <f>'Initial unit rates'!L168</f>
        <v>0.10745315220525656</v>
      </c>
      <c r="M40" s="268">
        <f>'Initial unit rates'!M168</f>
        <v>0.10745315220525656</v>
      </c>
      <c r="N40" s="268">
        <f>'Initial unit rates'!N168</f>
        <v>0.10931970086470813</v>
      </c>
      <c r="O40" s="268">
        <f>'Initial unit rates'!O168</f>
        <v>9.4281402460469149E-2</v>
      </c>
      <c r="P40" s="268">
        <f>'Initial unit rates'!P168</f>
        <v>7.7184139783132863E-2</v>
      </c>
      <c r="Q40" s="268">
        <f>'Initial unit rates'!Q168</f>
        <v>0.25906113824135346</v>
      </c>
      <c r="R40" s="268">
        <f>'Initial unit rates'!R168</f>
        <v>-7.4025701061159105E-2</v>
      </c>
      <c r="S40" s="268">
        <f>'Initial unit rates'!S168</f>
        <v>-7.2535705248400195E-2</v>
      </c>
      <c r="T40" s="268">
        <f>'Initial unit rates'!T168</f>
        <v>-7.4025701061159105E-2</v>
      </c>
      <c r="U40" s="268">
        <f>'Initial unit rates'!U168</f>
        <v>-7.4025701061159105E-2</v>
      </c>
      <c r="V40" s="268">
        <f>'Initial unit rates'!V168</f>
        <v>-7.2535705248400195E-2</v>
      </c>
      <c r="W40" s="268">
        <f>'Initial unit rates'!W168</f>
        <v>-7.2535705248400195E-2</v>
      </c>
      <c r="X40" s="268">
        <f>'Initial unit rates'!X168</f>
        <v>-7.1384344847631925E-2</v>
      </c>
      <c r="Y40" s="268">
        <f>'Initial unit rates'!Y168</f>
        <v>-7.1384344847631925E-2</v>
      </c>
      <c r="Z40" s="256"/>
      <c r="AA40" s="256"/>
    </row>
    <row r="41" spans="4:27" x14ac:dyDescent="0.25">
      <c r="D41"/>
      <c r="F41" t="s">
        <v>195</v>
      </c>
      <c r="G41" t="s">
        <v>269</v>
      </c>
      <c r="H41" s="256"/>
      <c r="I41" s="256"/>
      <c r="J41" s="268">
        <f>'Initial unit rates'!J169</f>
        <v>0.22342229310054201</v>
      </c>
      <c r="K41" s="268">
        <f>'Initial unit rates'!K169</f>
        <v>0.22342229310054201</v>
      </c>
      <c r="L41" s="268">
        <f>'Initial unit rates'!L169</f>
        <v>0.20713616724981443</v>
      </c>
      <c r="M41" s="268">
        <f>'Initial unit rates'!M169</f>
        <v>0.20713616724981443</v>
      </c>
      <c r="N41" s="268">
        <f>'Initial unit rates'!N169</f>
        <v>0.21073429096577151</v>
      </c>
      <c r="O41" s="268">
        <f>'Initial unit rates'!O169</f>
        <v>0.18174514146680801</v>
      </c>
      <c r="P41" s="268">
        <f>'Initial unit rates'!P169</f>
        <v>0.14878695095526434</v>
      </c>
      <c r="Q41" s="268">
        <f>'Initial unit rates'!Q169</f>
        <v>0.49938908405576982</v>
      </c>
      <c r="R41" s="268">
        <f>'Initial unit rates'!R169</f>
        <v>-0.14269846608593875</v>
      </c>
      <c r="S41" s="268">
        <f>'Initial unit rates'!S169</f>
        <v>-0.1398262188271184</v>
      </c>
      <c r="T41" s="268">
        <f>'Initial unit rates'!T169</f>
        <v>-0.14269846608593875</v>
      </c>
      <c r="U41" s="268">
        <f>'Initial unit rates'!U169</f>
        <v>-0.14269846608593875</v>
      </c>
      <c r="V41" s="268">
        <f>'Initial unit rates'!V169</f>
        <v>-0.1398262188271184</v>
      </c>
      <c r="W41" s="268">
        <f>'Initial unit rates'!W169</f>
        <v>-0.1398262188271184</v>
      </c>
      <c r="X41" s="268">
        <f>'Initial unit rates'!X169</f>
        <v>-0.13760675503621175</v>
      </c>
      <c r="Y41" s="268">
        <f>'Initial unit rates'!Y169</f>
        <v>-0.13760675503621175</v>
      </c>
      <c r="Z41" s="256"/>
      <c r="AA41" s="256"/>
    </row>
    <row r="42" spans="4:27" x14ac:dyDescent="0.25">
      <c r="D42"/>
      <c r="F42" t="s">
        <v>196</v>
      </c>
      <c r="G42" t="s">
        <v>269</v>
      </c>
      <c r="H42" s="256"/>
      <c r="I42" s="256"/>
      <c r="J42" s="268">
        <f>'Initial unit rates'!J170</f>
        <v>0.22341080652006831</v>
      </c>
      <c r="K42" s="268">
        <f>'Initial unit rates'!K170</f>
        <v>0.22341080652006831</v>
      </c>
      <c r="L42" s="268">
        <f>'Initial unit rates'!L170</f>
        <v>0.2071255179711721</v>
      </c>
      <c r="M42" s="268">
        <f>'Initial unit rates'!M170</f>
        <v>0.2071255179711721</v>
      </c>
      <c r="N42" s="268">
        <f>'Initial unit rates'!N170</f>
        <v>0.21072345670049672</v>
      </c>
      <c r="O42" s="268">
        <f>'Initial unit rates'!O170</f>
        <v>0.18173579759084918</v>
      </c>
      <c r="P42" s="268">
        <f>'Initial unit rates'!P170</f>
        <v>0.14877930152484328</v>
      </c>
      <c r="Q42" s="268">
        <f>'Initial unit rates'!Q170</f>
        <v>0.49053264324979767</v>
      </c>
      <c r="R42" s="268">
        <f>'Initial unit rates'!R170</f>
        <v>-0.14269112967652578</v>
      </c>
      <c r="S42" s="268">
        <f>'Initial unit rates'!S170</f>
        <v>-0.13981903008559846</v>
      </c>
      <c r="T42" s="268">
        <f>'Initial unit rates'!T170</f>
        <v>-0.14269112967652578</v>
      </c>
      <c r="U42" s="268">
        <f>'Initial unit rates'!U170</f>
        <v>-0.14269112967652578</v>
      </c>
      <c r="V42" s="268">
        <f>'Initial unit rates'!V170</f>
        <v>-0.13981903008559846</v>
      </c>
      <c r="W42" s="268">
        <f>'Initial unit rates'!W170</f>
        <v>-0.13981903008559846</v>
      </c>
      <c r="X42" s="268">
        <f>'Initial unit rates'!X170</f>
        <v>-0.13759968040170006</v>
      </c>
      <c r="Y42" s="268">
        <f>'Initial unit rates'!Y170</f>
        <v>-0.13759968040170006</v>
      </c>
      <c r="Z42" s="256"/>
      <c r="AA42" s="256"/>
    </row>
    <row r="43" spans="4:27" x14ac:dyDescent="0.25">
      <c r="D43"/>
      <c r="F43" t="s">
        <v>197</v>
      </c>
      <c r="G43" t="s">
        <v>269</v>
      </c>
      <c r="H43" s="256"/>
      <c r="I43" s="256"/>
      <c r="J43" s="268">
        <f>'Initial unit rates'!J171</f>
        <v>1.4257159783503079</v>
      </c>
      <c r="K43" s="268">
        <f>'Initial unit rates'!K171</f>
        <v>1.4257159783503079</v>
      </c>
      <c r="L43" s="268">
        <f>'Initial unit rates'!L171</f>
        <v>1.321789957680753</v>
      </c>
      <c r="M43" s="268">
        <f>'Initial unit rates'!M171</f>
        <v>1.321789957680753</v>
      </c>
      <c r="N43" s="268">
        <f>'Initial unit rates'!N171</f>
        <v>1.3447505244296256</v>
      </c>
      <c r="O43" s="268">
        <f>'Initial unit rates'!O171</f>
        <v>1.159763193640486</v>
      </c>
      <c r="P43" s="268">
        <f>'Initial unit rates'!P171</f>
        <v>0.94944837600196241</v>
      </c>
      <c r="Q43" s="268">
        <f>'Initial unit rates'!Q171</f>
        <v>3.186732114649077</v>
      </c>
      <c r="R43" s="268">
        <f>'Initial unit rates'!R171</f>
        <v>-0.91059616460587156</v>
      </c>
      <c r="S43" s="268">
        <f>'Initial unit rates'!S171</f>
        <v>-0.8922676050255155</v>
      </c>
      <c r="T43" s="268">
        <f>'Initial unit rates'!T171</f>
        <v>-0.91059616460587156</v>
      </c>
      <c r="U43" s="268">
        <f>'Initial unit rates'!U171</f>
        <v>-0.91059616460587156</v>
      </c>
      <c r="V43" s="268">
        <f>'Initial unit rates'!V171</f>
        <v>-0.8922676050255155</v>
      </c>
      <c r="W43" s="268">
        <f>'Initial unit rates'!W171</f>
        <v>-0.8922676050255155</v>
      </c>
      <c r="X43" s="268">
        <f>'Initial unit rates'!X171</f>
        <v>0</v>
      </c>
      <c r="Y43" s="268">
        <f>'Initial unit rates'!Y171</f>
        <v>0</v>
      </c>
      <c r="Z43" s="256"/>
      <c r="AA43" s="256"/>
    </row>
    <row r="44" spans="4:27" x14ac:dyDescent="0.25">
      <c r="D44"/>
      <c r="F44" t="s">
        <v>198</v>
      </c>
      <c r="G44" t="s">
        <v>269</v>
      </c>
      <c r="H44" s="256"/>
      <c r="I44" s="256"/>
      <c r="J44" s="268">
        <f>'Initial unit rates'!J172</f>
        <v>0.69461983692988982</v>
      </c>
      <c r="K44" s="268">
        <f>'Initial unit rates'!K172</f>
        <v>0.69461983692988982</v>
      </c>
      <c r="L44" s="268">
        <f>'Initial unit rates'!L172</f>
        <v>0.64398627693164356</v>
      </c>
      <c r="M44" s="268">
        <f>'Initial unit rates'!M172</f>
        <v>0.64398627693164356</v>
      </c>
      <c r="N44" s="268">
        <f>'Initial unit rates'!N172</f>
        <v>0.65517284239987517</v>
      </c>
      <c r="O44" s="268">
        <f>'Initial unit rates'!O172</f>
        <v>0.56504558599111276</v>
      </c>
      <c r="P44" s="268">
        <f>'Initial unit rates'!P172</f>
        <v>0</v>
      </c>
      <c r="Q44" s="268">
        <f>'Initial unit rates'!Q172</f>
        <v>1.5526005006818377</v>
      </c>
      <c r="R44" s="268">
        <f>'Initial unit rates'!R172</f>
        <v>-0.44364948487103201</v>
      </c>
      <c r="S44" s="268">
        <f>'Initial unit rates'!S172</f>
        <v>0</v>
      </c>
      <c r="T44" s="268">
        <f>'Initial unit rates'!T172</f>
        <v>-0.44364948487103201</v>
      </c>
      <c r="U44" s="268">
        <f>'Initial unit rates'!U172</f>
        <v>-0.44364948487103201</v>
      </c>
      <c r="V44" s="268">
        <f>'Initial unit rates'!V172</f>
        <v>0</v>
      </c>
      <c r="W44" s="268">
        <f>'Initial unit rates'!W172</f>
        <v>0</v>
      </c>
      <c r="X44" s="268">
        <f>'Initial unit rates'!X172</f>
        <v>0</v>
      </c>
      <c r="Y44" s="268">
        <f>'Initial unit rates'!Y172</f>
        <v>0</v>
      </c>
      <c r="Z44" s="256"/>
      <c r="AA44" s="256"/>
    </row>
    <row r="45" spans="4:27" x14ac:dyDescent="0.25">
      <c r="D45"/>
      <c r="F45" t="s">
        <v>199</v>
      </c>
      <c r="G45" t="s">
        <v>269</v>
      </c>
      <c r="H45" s="256"/>
      <c r="I45" s="256"/>
      <c r="J45" s="268">
        <f>'Initial unit rates'!J173</f>
        <v>1.594479819361909</v>
      </c>
      <c r="K45" s="268">
        <f>'Initial unit rates'!K173</f>
        <v>1.594479819361909</v>
      </c>
      <c r="L45" s="268">
        <f>'Initial unit rates'!L173</f>
        <v>1.4782519414532007</v>
      </c>
      <c r="M45" s="268">
        <f>'Initial unit rates'!M173</f>
        <v>1.4782519414532007</v>
      </c>
      <c r="N45" s="268">
        <f>'Initial unit rates'!N173</f>
        <v>1.5039303801311139</v>
      </c>
      <c r="O45" s="268">
        <f>'Initial unit rates'!O173</f>
        <v>0</v>
      </c>
      <c r="P45" s="268">
        <f>'Initial unit rates'!P173</f>
        <v>0</v>
      </c>
      <c r="Q45" s="268">
        <f>'Initial unit rates'!Q173</f>
        <v>3.5639497092540644</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269</v>
      </c>
      <c r="H46" s="255"/>
      <c r="I46" s="255" t="s">
        <v>154</v>
      </c>
      <c r="J46" s="269"/>
      <c r="K46" s="269"/>
      <c r="L46" s="269"/>
      <c r="M46" s="269"/>
      <c r="N46" s="269"/>
      <c r="O46" s="269"/>
      <c r="P46" s="269"/>
      <c r="Q46" s="267">
        <f>'Service model charges'!$Q$44</f>
        <v>1.0020473814075446</v>
      </c>
      <c r="R46" s="269"/>
      <c r="S46" s="269"/>
      <c r="T46" s="269"/>
      <c r="U46" s="269"/>
      <c r="V46" s="269"/>
      <c r="W46" s="269"/>
      <c r="X46" s="269"/>
      <c r="Y46" s="269"/>
      <c r="Z46" s="256"/>
      <c r="AA46" s="256" t="s">
        <v>653</v>
      </c>
    </row>
    <row r="47" spans="4:27" x14ac:dyDescent="0.2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control'!$H$36:$H$59,MATCH($A$1,'Version control'!$F$36:$F$59,0),1)&amp;"-B: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192</v>
      </c>
      <c r="G54" t="s">
        <v>269</v>
      </c>
      <c r="H54" s="256"/>
      <c r="I54" s="256"/>
      <c r="J54" s="268">
        <f>'Initial unit rates'!J183</f>
        <v>0.12588193575291776</v>
      </c>
      <c r="K54" s="268">
        <f>'Initial unit rates'!K183</f>
        <v>0.12588193575291776</v>
      </c>
      <c r="L54" s="268">
        <f>'Initial unit rates'!L183</f>
        <v>0.11670590851071842</v>
      </c>
      <c r="M54" s="268">
        <f>'Initial unit rates'!M183</f>
        <v>0.11670590851071842</v>
      </c>
      <c r="N54" s="268">
        <f>'Initial unit rates'!N183</f>
        <v>0.11873318507366791</v>
      </c>
      <c r="O54" s="268">
        <f>'Initial unit rates'!O183</f>
        <v>0.102399943640513</v>
      </c>
      <c r="P54" s="268">
        <f>'Initial unit rates'!P183</f>
        <v>8.3830441184285204E-2</v>
      </c>
      <c r="Q54" s="268">
        <f>'Initial unit rates'!Q183</f>
        <v>8.6276964156188893E-2</v>
      </c>
      <c r="R54" s="268">
        <f>'Initial unit rates'!R183</f>
        <v>-8.0400030321891289E-2</v>
      </c>
      <c r="S54" s="268">
        <f>'Initial unit rates'!S183</f>
        <v>-7.8781731449904441E-2</v>
      </c>
      <c r="T54" s="268">
        <f>'Initial unit rates'!T183</f>
        <v>-8.0400030321891289E-2</v>
      </c>
      <c r="U54" s="268">
        <f>'Initial unit rates'!U183</f>
        <v>-8.0400030321891289E-2</v>
      </c>
      <c r="V54" s="268">
        <f>'Initial unit rates'!V183</f>
        <v>-7.8781731449904441E-2</v>
      </c>
      <c r="W54" s="268">
        <f>'Initial unit rates'!W183</f>
        <v>-7.8781731449904441E-2</v>
      </c>
      <c r="X54" s="268">
        <f>'Initial unit rates'!X183</f>
        <v>-7.7531227776096459E-2</v>
      </c>
      <c r="Y54" s="268">
        <f>'Initial unit rates'!Y183</f>
        <v>-7.7531227776096459E-2</v>
      </c>
      <c r="Z54" s="256"/>
      <c r="AA54" s="256"/>
    </row>
    <row r="55" spans="3:27" x14ac:dyDescent="0.25">
      <c r="D55"/>
      <c r="F55" t="s">
        <v>193</v>
      </c>
      <c r="G55" t="s">
        <v>269</v>
      </c>
      <c r="H55" s="256"/>
      <c r="I55" s="256"/>
      <c r="J55" s="268">
        <f>'Initial unit rates'!J184</f>
        <v>2.9802196485582858E-2</v>
      </c>
      <c r="K55" s="268">
        <f>'Initial unit rates'!K184</f>
        <v>2.9802196485582858E-2</v>
      </c>
      <c r="L55" s="268">
        <f>'Initial unit rates'!L184</f>
        <v>2.7629797680357563E-2</v>
      </c>
      <c r="M55" s="268">
        <f>'Initial unit rates'!M184</f>
        <v>2.7629797680357563E-2</v>
      </c>
      <c r="N55" s="268">
        <f>'Initial unit rates'!N184</f>
        <v>2.8109749740979073E-2</v>
      </c>
      <c r="O55" s="268">
        <f>'Initial unit rates'!O184</f>
        <v>2.424290047840676E-2</v>
      </c>
      <c r="P55" s="268">
        <f>'Initial unit rates'!P184</f>
        <v>1.9846622668330368E-2</v>
      </c>
      <c r="Q55" s="268">
        <f>'Initial unit rates'!Q184</f>
        <v>2.0425830144598273E-2</v>
      </c>
      <c r="R55" s="268">
        <f>'Initial unit rates'!R184</f>
        <v>-1.9034482483673482E-2</v>
      </c>
      <c r="S55" s="268">
        <f>'Initial unit rates'!S184</f>
        <v>-1.8651354748411984E-2</v>
      </c>
      <c r="T55" s="268">
        <f>'Initial unit rates'!T184</f>
        <v>-1.9034482483673482E-2</v>
      </c>
      <c r="U55" s="268">
        <f>'Initial unit rates'!U184</f>
        <v>-1.9034482483673482E-2</v>
      </c>
      <c r="V55" s="268">
        <f>'Initial unit rates'!V184</f>
        <v>-1.8651354748411984E-2</v>
      </c>
      <c r="W55" s="268">
        <f>'Initial unit rates'!W184</f>
        <v>-1.8651354748411984E-2</v>
      </c>
      <c r="X55" s="268">
        <f>'Initial unit rates'!X184</f>
        <v>-1.8355301498437192E-2</v>
      </c>
      <c r="Y55" s="268">
        <f>'Initial unit rates'!Y184</f>
        <v>-1.8355301498437192E-2</v>
      </c>
      <c r="Z55" s="256"/>
      <c r="AA55" s="256"/>
    </row>
    <row r="56" spans="3:27" x14ac:dyDescent="0.25">
      <c r="D56"/>
      <c r="F56" t="s">
        <v>194</v>
      </c>
      <c r="G56" t="s">
        <v>269</v>
      </c>
      <c r="H56" s="256"/>
      <c r="I56" s="256"/>
      <c r="J56" s="268">
        <f>'Initial unit rates'!J185</f>
        <v>2.5577110634046486E-2</v>
      </c>
      <c r="K56" s="268">
        <f>'Initial unit rates'!K185</f>
        <v>2.5577110634046486E-2</v>
      </c>
      <c r="L56" s="268">
        <f>'Initial unit rates'!L185</f>
        <v>2.3712694881690869E-2</v>
      </c>
      <c r="M56" s="268">
        <f>'Initial unit rates'!M185</f>
        <v>2.3712694881690869E-2</v>
      </c>
      <c r="N56" s="268">
        <f>'Initial unit rates'!N185</f>
        <v>2.4124603680409563E-2</v>
      </c>
      <c r="O56" s="268">
        <f>'Initial unit rates'!O185</f>
        <v>2.0805961329942595E-2</v>
      </c>
      <c r="P56" s="268">
        <f>'Initial unit rates'!P185</f>
        <v>1.7032948022660917E-2</v>
      </c>
      <c r="Q56" s="268">
        <f>'Initial unit rates'!Q185</f>
        <v>1.7318989053647094E-2</v>
      </c>
      <c r="R56" s="268">
        <f>'Initial unit rates'!R185</f>
        <v>-1.6335945727431671E-2</v>
      </c>
      <c r="S56" s="268">
        <f>'Initial unit rates'!S185</f>
        <v>-1.6007134377016761E-2</v>
      </c>
      <c r="T56" s="268">
        <f>'Initial unit rates'!T185</f>
        <v>-1.6335945727431671E-2</v>
      </c>
      <c r="U56" s="268">
        <f>'Initial unit rates'!U185</f>
        <v>-1.6335945727431671E-2</v>
      </c>
      <c r="V56" s="268">
        <f>'Initial unit rates'!V185</f>
        <v>-1.6007134377016761E-2</v>
      </c>
      <c r="W56" s="268">
        <f>'Initial unit rates'!W185</f>
        <v>-1.6007134377016761E-2</v>
      </c>
      <c r="X56" s="268">
        <f>'Initial unit rates'!X185</f>
        <v>-1.5753052878968877E-2</v>
      </c>
      <c r="Y56" s="268">
        <f>'Initial unit rates'!Y185</f>
        <v>-1.5753052878968877E-2</v>
      </c>
      <c r="Z56" s="256"/>
      <c r="AA56" s="256"/>
    </row>
    <row r="57" spans="3:27" x14ac:dyDescent="0.25">
      <c r="D57"/>
      <c r="F57" t="s">
        <v>195</v>
      </c>
      <c r="G57" t="s">
        <v>269</v>
      </c>
      <c r="H57" s="256"/>
      <c r="I57" s="256"/>
      <c r="J57" s="268">
        <f>'Initial unit rates'!J186</f>
        <v>4.9304692857597601E-2</v>
      </c>
      <c r="K57" s="268">
        <f>'Initial unit rates'!K186</f>
        <v>4.9304692857597601E-2</v>
      </c>
      <c r="L57" s="268">
        <f>'Initial unit rates'!L186</f>
        <v>4.5710680721355874E-2</v>
      </c>
      <c r="M57" s="268">
        <f>'Initial unit rates'!M186</f>
        <v>4.5710680721355874E-2</v>
      </c>
      <c r="N57" s="268">
        <f>'Initial unit rates'!N186</f>
        <v>4.6504712427937037E-2</v>
      </c>
      <c r="O57" s="268">
        <f>'Initial unit rates'!O186</f>
        <v>4.0107404923774154E-2</v>
      </c>
      <c r="P57" s="268">
        <f>'Initial unit rates'!P186</f>
        <v>2.4374770441206603E-2</v>
      </c>
      <c r="Q57" s="268">
        <f>'Initial unit rates'!Q186</f>
        <v>3.3385609817768162E-2</v>
      </c>
      <c r="R57" s="268">
        <f>'Initial unit rates'!R186</f>
        <v>-3.1490608855452885E-2</v>
      </c>
      <c r="S57" s="268">
        <f>'Initial unit rates'!S186</f>
        <v>-3.0856763114537999E-2</v>
      </c>
      <c r="T57" s="268">
        <f>'Initial unit rates'!T186</f>
        <v>-3.1490608855452885E-2</v>
      </c>
      <c r="U57" s="268">
        <f>'Initial unit rates'!U186</f>
        <v>-3.1490608855452885E-2</v>
      </c>
      <c r="V57" s="268">
        <f>'Initial unit rates'!V186</f>
        <v>-3.0856763114537999E-2</v>
      </c>
      <c r="W57" s="268">
        <f>'Initial unit rates'!W186</f>
        <v>-3.0856763114537999E-2</v>
      </c>
      <c r="X57" s="268">
        <f>'Initial unit rates'!X186</f>
        <v>-2.2543193765530534E-2</v>
      </c>
      <c r="Y57" s="268">
        <f>'Initial unit rates'!Y186</f>
        <v>-2.2543193765530534E-2</v>
      </c>
      <c r="Z57" s="256"/>
      <c r="AA57" s="256"/>
    </row>
    <row r="58" spans="3:27" x14ac:dyDescent="0.25">
      <c r="D58"/>
      <c r="F58" t="s">
        <v>196</v>
      </c>
      <c r="G58" t="s">
        <v>269</v>
      </c>
      <c r="H58" s="256"/>
      <c r="I58" s="256"/>
      <c r="J58" s="268">
        <f>'Initial unit rates'!J187</f>
        <v>6.2341985044784207E-2</v>
      </c>
      <c r="K58" s="268">
        <f>'Initial unit rates'!K187</f>
        <v>6.2341985044784207E-2</v>
      </c>
      <c r="L58" s="268">
        <f>'Initial unit rates'!L187</f>
        <v>5.7797633627861666E-2</v>
      </c>
      <c r="M58" s="268">
        <f>'Initial unit rates'!M187</f>
        <v>5.7797633627861666E-2</v>
      </c>
      <c r="N58" s="268">
        <f>'Initial unit rates'!N187</f>
        <v>5.8801625538322175E-2</v>
      </c>
      <c r="O58" s="268">
        <f>'Initial unit rates'!O187</f>
        <v>5.0712723130932946E-2</v>
      </c>
      <c r="P58" s="268">
        <f>'Initial unit rates'!P187</f>
        <v>3.0820019074139567E-2</v>
      </c>
      <c r="Q58" s="268">
        <f>'Initial unit rates'!Q187</f>
        <v>4.2727951210504322E-2</v>
      </c>
      <c r="R58" s="268">
        <f>'Initial unit rates'!R187</f>
        <v>-3.9817448452379438E-2</v>
      </c>
      <c r="S58" s="268">
        <f>'Initial unit rates'!S187</f>
        <v>-3.9015999352697506E-2</v>
      </c>
      <c r="T58" s="268">
        <f>'Initial unit rates'!T187</f>
        <v>-3.9817448452379438E-2</v>
      </c>
      <c r="U58" s="268">
        <f>'Initial unit rates'!U187</f>
        <v>-3.9817448452379438E-2</v>
      </c>
      <c r="V58" s="268">
        <f>'Initial unit rates'!V187</f>
        <v>-3.9015999352697506E-2</v>
      </c>
      <c r="W58" s="268">
        <f>'Initial unit rates'!W187</f>
        <v>-3.9015999352697506E-2</v>
      </c>
      <c r="X58" s="268">
        <f>'Initial unit rates'!X187</f>
        <v>-2.8504131496193155E-2</v>
      </c>
      <c r="Y58" s="268">
        <f>'Initial unit rates'!Y187</f>
        <v>-2.8504131496193155E-2</v>
      </c>
      <c r="Z58" s="256"/>
      <c r="AA58" s="256"/>
    </row>
    <row r="59" spans="3:27" x14ac:dyDescent="0.25">
      <c r="D59"/>
      <c r="F59" t="s">
        <v>197</v>
      </c>
      <c r="G59" t="s">
        <v>269</v>
      </c>
      <c r="H59" s="256"/>
      <c r="I59" s="256"/>
      <c r="J59" s="268">
        <f>'Initial unit rates'!J188</f>
        <v>0.19291309866329176</v>
      </c>
      <c r="K59" s="268">
        <f>'Initial unit rates'!K188</f>
        <v>0.19291309866329176</v>
      </c>
      <c r="L59" s="268">
        <f>'Initial unit rates'!L188</f>
        <v>0.1788509074670428</v>
      </c>
      <c r="M59" s="268">
        <f>'Initial unit rates'!M188</f>
        <v>0.1788509074670428</v>
      </c>
      <c r="N59" s="268">
        <f>'Initial unit rates'!N188</f>
        <v>0.18195769321248667</v>
      </c>
      <c r="O59" s="268">
        <f>'Initial unit rates'!O188</f>
        <v>0.15692712629881778</v>
      </c>
      <c r="P59" s="268">
        <f>'Initial unit rates'!P188</f>
        <v>0.10155986896153409</v>
      </c>
      <c r="Q59" s="268">
        <f>'Initial unit rates'!Q188</f>
        <v>0.13062694578203465</v>
      </c>
      <c r="R59" s="268">
        <f>'Initial unit rates'!R188</f>
        <v>-0.12321242829044401</v>
      </c>
      <c r="S59" s="268">
        <f>'Initial unit rates'!S188</f>
        <v>-0.12073239771186234</v>
      </c>
      <c r="T59" s="268">
        <f>'Initial unit rates'!T188</f>
        <v>-0.12321242829044401</v>
      </c>
      <c r="U59" s="268">
        <f>'Initial unit rates'!U188</f>
        <v>-0.12321242829044401</v>
      </c>
      <c r="V59" s="268">
        <f>'Initial unit rates'!V188</f>
        <v>-0.12073239771186234</v>
      </c>
      <c r="W59" s="268">
        <f>'Initial unit rates'!W188</f>
        <v>-0.12073239771186234</v>
      </c>
      <c r="X59" s="268">
        <f>'Initial unit rates'!X188</f>
        <v>0</v>
      </c>
      <c r="Y59" s="268">
        <f>'Initial unit rates'!Y188</f>
        <v>0</v>
      </c>
      <c r="Z59" s="256"/>
      <c r="AA59" s="256"/>
    </row>
    <row r="60" spans="3:27" x14ac:dyDescent="0.25">
      <c r="D60"/>
      <c r="F60" t="s">
        <v>198</v>
      </c>
      <c r="G60" t="s">
        <v>269</v>
      </c>
      <c r="H60" s="256"/>
      <c r="I60" s="256"/>
      <c r="J60" s="268">
        <f>'Initial unit rates'!J189</f>
        <v>5.4992435721893794E-2</v>
      </c>
      <c r="K60" s="268">
        <f>'Initial unit rates'!K189</f>
        <v>5.4992435721893794E-2</v>
      </c>
      <c r="L60" s="268">
        <f>'Initial unit rates'!L189</f>
        <v>5.0983821735456118E-2</v>
      </c>
      <c r="M60" s="268">
        <f>'Initial unit rates'!M189</f>
        <v>5.0983821735456118E-2</v>
      </c>
      <c r="N60" s="268">
        <f>'Initial unit rates'!N189</f>
        <v>5.1869452190784711E-2</v>
      </c>
      <c r="O60" s="268">
        <f>'Initial unit rates'!O189</f>
        <v>4.4734157326826243E-2</v>
      </c>
      <c r="P60" s="268">
        <f>'Initial unit rates'!P189</f>
        <v>0</v>
      </c>
      <c r="Q60" s="268">
        <f>'Initial unit rates'!Q189</f>
        <v>3.7236942277329911E-2</v>
      </c>
      <c r="R60" s="268">
        <f>'Initial unit rates'!R189</f>
        <v>-3.512333579135031E-2</v>
      </c>
      <c r="S60" s="268">
        <f>'Initial unit rates'!S189</f>
        <v>0</v>
      </c>
      <c r="T60" s="268">
        <f>'Initial unit rates'!T189</f>
        <v>-3.512333579135031E-2</v>
      </c>
      <c r="U60" s="268">
        <f>'Initial unit rates'!U189</f>
        <v>-3.512333579135031E-2</v>
      </c>
      <c r="V60" s="268">
        <f>'Initial unit rates'!V189</f>
        <v>0</v>
      </c>
      <c r="W60" s="268">
        <f>'Initial unit rates'!W189</f>
        <v>0</v>
      </c>
      <c r="X60" s="268">
        <f>'Initial unit rates'!X189</f>
        <v>0</v>
      </c>
      <c r="Y60" s="268">
        <f>'Initial unit rates'!Y189</f>
        <v>0</v>
      </c>
      <c r="Z60" s="256"/>
      <c r="AA60" s="256"/>
    </row>
    <row r="61" spans="3:27" x14ac:dyDescent="0.25">
      <c r="D61"/>
      <c r="F61" t="s">
        <v>199</v>
      </c>
      <c r="G61" t="s">
        <v>269</v>
      </c>
      <c r="H61" s="256"/>
      <c r="I61" s="256"/>
      <c r="J61" s="268">
        <f>'Initial unit rates'!J190</f>
        <v>3.6718631841820608E-2</v>
      </c>
      <c r="K61" s="268">
        <f>'Initial unit rates'!K190</f>
        <v>3.6718631841820608E-2</v>
      </c>
      <c r="L61" s="268">
        <f>'Initial unit rates'!L190</f>
        <v>3.4042066979184819E-2</v>
      </c>
      <c r="M61" s="268">
        <f>'Initial unit rates'!M190</f>
        <v>3.4042066979184819E-2</v>
      </c>
      <c r="N61" s="268">
        <f>'Initial unit rates'!N190</f>
        <v>3.4633405373460879E-2</v>
      </c>
      <c r="O61" s="268">
        <f>'Initial unit rates'!O190</f>
        <v>0</v>
      </c>
      <c r="P61" s="268">
        <f>'Initial unit rates'!P190</f>
        <v>0</v>
      </c>
      <c r="Q61" s="268">
        <f>'Initial unit rates'!Q190</f>
        <v>2.4863229941496329E-2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189</v>
      </c>
      <c r="G66" s="19" t="s">
        <v>269</v>
      </c>
      <c r="H66" s="255"/>
      <c r="I66" s="255"/>
      <c r="J66" s="267">
        <f>'Initial unit rates'!J193</f>
        <v>3.0685056597826863E-2</v>
      </c>
      <c r="K66" s="267">
        <f>'Initial unit rates'!K193</f>
        <v>3.0685056597826863E-2</v>
      </c>
      <c r="L66" s="267">
        <f>'Initial unit rates'!L193</f>
        <v>2.8448302661799447E-2</v>
      </c>
      <c r="M66" s="267">
        <f>'Initial unit rates'!M193</f>
        <v>2.8448302661799447E-2</v>
      </c>
      <c r="N66" s="267">
        <f>'Initial unit rates'!N193</f>
        <v>2.8942472819745331E-2</v>
      </c>
      <c r="O66" s="267">
        <f>'Initial unit rates'!O193</f>
        <v>2.4961072034917372E-2</v>
      </c>
      <c r="P66" s="267">
        <f>'Initial unit rates'!P193</f>
        <v>2.0434558914073291E-2</v>
      </c>
      <c r="Q66" s="267">
        <f>'Initial unit rates'!Q193</f>
        <v>2.4721194022859487E-2</v>
      </c>
      <c r="R66" s="267">
        <f>'Initial unit rates'!R193</f>
        <v>-1.9598359892849405E-2</v>
      </c>
      <c r="S66" s="267">
        <f>'Initial unit rates'!S193</f>
        <v>-1.9203882383569727E-2</v>
      </c>
      <c r="T66" s="267">
        <f>'Initial unit rates'!T193</f>
        <v>-1.9598359892849405E-2</v>
      </c>
      <c r="U66" s="267">
        <f>'Initial unit rates'!U193</f>
        <v>-1.9598359892849405E-2</v>
      </c>
      <c r="V66" s="267">
        <f>'Initial unit rates'!V193</f>
        <v>-1.9203882383569727E-2</v>
      </c>
      <c r="W66" s="267">
        <f>'Initial unit rates'!W193</f>
        <v>-1.9203882383569727E-2</v>
      </c>
      <c r="X66" s="267">
        <f>'Initial unit rates'!X193</f>
        <v>-1.8899058853671803E-2</v>
      </c>
      <c r="Y66" s="267">
        <f>'Initial unit rates'!Y193</f>
        <v>-1.8899058853671803E-2</v>
      </c>
      <c r="Z66" s="256"/>
      <c r="AA66" s="256"/>
    </row>
    <row r="67" spans="3:27" x14ac:dyDescent="0.2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192</v>
      </c>
      <c r="G68" t="s">
        <v>269</v>
      </c>
      <c r="H68" s="256"/>
      <c r="I68" s="256"/>
      <c r="J68" s="268">
        <f>'Initial unit rates'!J195</f>
        <v>9.8053115397563839E-2</v>
      </c>
      <c r="K68" s="268">
        <f>'Initial unit rates'!K195</f>
        <v>9.8053115397563839E-2</v>
      </c>
      <c r="L68" s="268">
        <f>'Initial unit rates'!L195</f>
        <v>9.0905639846849587E-2</v>
      </c>
      <c r="M68" s="268">
        <f>'Initial unit rates'!M195</f>
        <v>9.0905639846849587E-2</v>
      </c>
      <c r="N68" s="268">
        <f>'Initial unit rates'!N195</f>
        <v>9.2484744756388237E-2</v>
      </c>
      <c r="O68" s="268">
        <f>'Initial unit rates'!O195</f>
        <v>7.9762306088103863E-2</v>
      </c>
      <c r="P68" s="268">
        <f>'Initial unit rates'!P195</f>
        <v>6.5297978412131946E-2</v>
      </c>
      <c r="Q68" s="268">
        <f>'Initial unit rates'!Q195</f>
        <v>6.7203646591224131E-2</v>
      </c>
      <c r="R68" s="268">
        <f>'Initial unit rates'!R195</f>
        <v>-6.2625931226492987E-2</v>
      </c>
      <c r="S68" s="268">
        <f>'Initial unit rates'!S195</f>
        <v>-6.1365390982226882E-2</v>
      </c>
      <c r="T68" s="268">
        <f>'Initial unit rates'!T195</f>
        <v>-6.2625931226492987E-2</v>
      </c>
      <c r="U68" s="268">
        <f>'Initial unit rates'!U195</f>
        <v>-6.2625931226492987E-2</v>
      </c>
      <c r="V68" s="268">
        <f>'Initial unit rates'!V195</f>
        <v>-6.1365390982226882E-2</v>
      </c>
      <c r="W68" s="268">
        <f>'Initial unit rates'!W195</f>
        <v>-6.1365390982226882E-2</v>
      </c>
      <c r="X68" s="268">
        <f>'Initial unit rates'!X195</f>
        <v>-6.0391337157112188E-2</v>
      </c>
      <c r="Y68" s="268">
        <f>'Initial unit rates'!Y195</f>
        <v>-6.0391337157112188E-2</v>
      </c>
      <c r="Z68" s="256"/>
      <c r="AA68" s="256"/>
    </row>
    <row r="69" spans="3:27" x14ac:dyDescent="0.25">
      <c r="D69"/>
      <c r="F69" t="s">
        <v>193</v>
      </c>
      <c r="G69" t="s">
        <v>269</v>
      </c>
      <c r="H69" s="256"/>
      <c r="I69" s="256"/>
      <c r="J69" s="268">
        <f>'Initial unit rates'!J196</f>
        <v>2.3213801040027258E-2</v>
      </c>
      <c r="K69" s="268">
        <f>'Initial unit rates'!K196</f>
        <v>2.3213801040027258E-2</v>
      </c>
      <c r="L69" s="268">
        <f>'Initial unit rates'!L196</f>
        <v>2.1521656178540662E-2</v>
      </c>
      <c r="M69" s="268">
        <f>'Initial unit rates'!M196</f>
        <v>2.1521656178540662E-2</v>
      </c>
      <c r="N69" s="268">
        <f>'Initial unit rates'!N196</f>
        <v>2.1895504852728443E-2</v>
      </c>
      <c r="O69" s="268">
        <f>'Initial unit rates'!O196</f>
        <v>1.8883503053580712E-2</v>
      </c>
      <c r="P69" s="268">
        <f>'Initial unit rates'!P196</f>
        <v>1.5459113899943326E-2</v>
      </c>
      <c r="Q69" s="268">
        <f>'Initial unit rates'!Q196</f>
        <v>1.591027551554719E-2</v>
      </c>
      <c r="R69" s="268">
        <f>'Initial unit rates'!R196</f>
        <v>-1.482651419634912E-2</v>
      </c>
      <c r="S69" s="268">
        <f>'Initial unit rates'!S196</f>
        <v>-1.4528084816367711E-2</v>
      </c>
      <c r="T69" s="268">
        <f>'Initial unit rates'!T196</f>
        <v>-1.482651419634912E-2</v>
      </c>
      <c r="U69" s="268">
        <f>'Initial unit rates'!U196</f>
        <v>-1.482651419634912E-2</v>
      </c>
      <c r="V69" s="268">
        <f>'Initial unit rates'!V196</f>
        <v>-1.4528084816367711E-2</v>
      </c>
      <c r="W69" s="268">
        <f>'Initial unit rates'!W196</f>
        <v>-1.4528084816367711E-2</v>
      </c>
      <c r="X69" s="268">
        <f>'Initial unit rates'!X196</f>
        <v>-1.4297480295472984E-2</v>
      </c>
      <c r="Y69" s="268">
        <f>'Initial unit rates'!Y196</f>
        <v>-1.4297480295472984E-2</v>
      </c>
      <c r="Z69" s="256"/>
      <c r="AA69" s="256"/>
    </row>
    <row r="70" spans="3:27" x14ac:dyDescent="0.25">
      <c r="D70"/>
      <c r="F70" t="s">
        <v>194</v>
      </c>
      <c r="G70" t="s">
        <v>269</v>
      </c>
      <c r="H70" s="256"/>
      <c r="I70" s="256"/>
      <c r="J70" s="268">
        <f>'Initial unit rates'!J197</f>
        <v>1.9922758301548341E-2</v>
      </c>
      <c r="K70" s="268">
        <f>'Initial unit rates'!K197</f>
        <v>1.9922758301548341E-2</v>
      </c>
      <c r="L70" s="268">
        <f>'Initial unit rates'!L197</f>
        <v>1.8470510432770842E-2</v>
      </c>
      <c r="M70" s="268">
        <f>'Initial unit rates'!M197</f>
        <v>1.8470510432770842E-2</v>
      </c>
      <c r="N70" s="268">
        <f>'Initial unit rates'!N197</f>
        <v>1.87913582234603E-2</v>
      </c>
      <c r="O70" s="268">
        <f>'Initial unit rates'!O197</f>
        <v>1.6206370795301548E-2</v>
      </c>
      <c r="P70" s="268">
        <f>'Initial unit rates'!P197</f>
        <v>1.3267460561655418E-2</v>
      </c>
      <c r="Q70" s="268">
        <f>'Initial unit rates'!Q197</f>
        <v>1.3490266272832098E-2</v>
      </c>
      <c r="R70" s="268">
        <f>'Initial unit rates'!R197</f>
        <v>-1.2724545122059503E-2</v>
      </c>
      <c r="S70" s="268">
        <f>'Initial unit rates'!S197</f>
        <v>-1.2468424360224821E-2</v>
      </c>
      <c r="T70" s="268">
        <f>'Initial unit rates'!T197</f>
        <v>-1.2724545122059503E-2</v>
      </c>
      <c r="U70" s="268">
        <f>'Initial unit rates'!U197</f>
        <v>-1.2724545122059503E-2</v>
      </c>
      <c r="V70" s="268">
        <f>'Initial unit rates'!V197</f>
        <v>-1.2468424360224821E-2</v>
      </c>
      <c r="W70" s="268">
        <f>'Initial unit rates'!W197</f>
        <v>-1.2468424360224821E-2</v>
      </c>
      <c r="X70" s="268">
        <f>'Initial unit rates'!X197</f>
        <v>-1.2270512862443475E-2</v>
      </c>
      <c r="Y70" s="268">
        <f>'Initial unit rates'!Y197</f>
        <v>-1.2270512862443475E-2</v>
      </c>
      <c r="Z70" s="256"/>
      <c r="AA70" s="256"/>
    </row>
    <row r="71" spans="3:27" x14ac:dyDescent="0.25">
      <c r="D71"/>
      <c r="F71" t="s">
        <v>195</v>
      </c>
      <c r="G71" t="s">
        <v>269</v>
      </c>
      <c r="H71" s="256"/>
      <c r="I71" s="256"/>
      <c r="J71" s="268">
        <f>'Initial unit rates'!J198</f>
        <v>3.840486491959115E-2</v>
      </c>
      <c r="K71" s="268">
        <f>'Initial unit rates'!K198</f>
        <v>3.840486491959115E-2</v>
      </c>
      <c r="L71" s="268">
        <f>'Initial unit rates'!L198</f>
        <v>3.5605383924741683E-2</v>
      </c>
      <c r="M71" s="268">
        <f>'Initial unit rates'!M198</f>
        <v>3.5605383924741683E-2</v>
      </c>
      <c r="N71" s="268">
        <f>'Initial unit rates'!N198</f>
        <v>3.6223878406011385E-2</v>
      </c>
      <c r="O71" s="268">
        <f>'Initial unit rates'!O198</f>
        <v>3.1240828795377772E-2</v>
      </c>
      <c r="P71" s="268">
        <f>'Initial unit rates'!P198</f>
        <v>2.5575526389675654E-2</v>
      </c>
      <c r="Q71" s="268">
        <f>'Initial unit rates'!Q198</f>
        <v>2.6005026316921611E-2</v>
      </c>
      <c r="R71" s="268">
        <f>'Initial unit rates'!R198</f>
        <v>-2.4528954735045828E-2</v>
      </c>
      <c r="S71" s="268">
        <f>'Initial unit rates'!S198</f>
        <v>-2.4035233779720111E-2</v>
      </c>
      <c r="T71" s="268">
        <f>'Initial unit rates'!T198</f>
        <v>-2.4528954735045828E-2</v>
      </c>
      <c r="U71" s="268">
        <f>'Initial unit rates'!U198</f>
        <v>-2.4528954735045828E-2</v>
      </c>
      <c r="V71" s="268">
        <f>'Initial unit rates'!V198</f>
        <v>-2.4035233779720111E-2</v>
      </c>
      <c r="W71" s="268">
        <f>'Initial unit rates'!W198</f>
        <v>-2.4035233779720111E-2</v>
      </c>
      <c r="X71" s="268">
        <f>'Initial unit rates'!X198</f>
        <v>-2.3653722132422967E-2</v>
      </c>
      <c r="Y71" s="268">
        <f>'Initial unit rates'!Y198</f>
        <v>-2.3653722132422967E-2</v>
      </c>
      <c r="Z71" s="256"/>
      <c r="AA71" s="256"/>
    </row>
    <row r="72" spans="3:27" x14ac:dyDescent="0.25">
      <c r="D72"/>
      <c r="F72" t="s">
        <v>196</v>
      </c>
      <c r="G72" t="s">
        <v>269</v>
      </c>
      <c r="H72" s="256"/>
      <c r="I72" s="256"/>
      <c r="J72" s="268">
        <f>'Initial unit rates'!J199</f>
        <v>4.855999248142908E-2</v>
      </c>
      <c r="K72" s="268">
        <f>'Initial unit rates'!K199</f>
        <v>4.855999248142908E-2</v>
      </c>
      <c r="L72" s="268">
        <f>'Initial unit rates'!L199</f>
        <v>4.5020264471802719E-2</v>
      </c>
      <c r="M72" s="268">
        <f>'Initial unit rates'!M199</f>
        <v>4.5020264471802719E-2</v>
      </c>
      <c r="N72" s="268">
        <f>'Initial unit rates'!N199</f>
        <v>4.580230308652368E-2</v>
      </c>
      <c r="O72" s="268">
        <f>'Initial unit rates'!O199</f>
        <v>3.9501620812713127E-2</v>
      </c>
      <c r="P72" s="268">
        <f>'Initial unit rates'!P199</f>
        <v>3.2338282449151295E-2</v>
      </c>
      <c r="Q72" s="268">
        <f>'Initial unit rates'!Q199</f>
        <v>3.3282048815713013E-2</v>
      </c>
      <c r="R72" s="268">
        <f>'Initial unit rates'!R199</f>
        <v>-3.1014973233339529E-2</v>
      </c>
      <c r="S72" s="268">
        <f>'Initial unit rates'!S199</f>
        <v>-3.039070112800241E-2</v>
      </c>
      <c r="T72" s="268">
        <f>'Initial unit rates'!T199</f>
        <v>-3.1014973233339529E-2</v>
      </c>
      <c r="U72" s="268">
        <f>'Initial unit rates'!U199</f>
        <v>-3.1014973233339529E-2</v>
      </c>
      <c r="V72" s="268">
        <f>'Initial unit rates'!V199</f>
        <v>-3.039070112800241E-2</v>
      </c>
      <c r="W72" s="268">
        <f>'Initial unit rates'!W199</f>
        <v>-3.039070112800241E-2</v>
      </c>
      <c r="X72" s="268">
        <f>'Initial unit rates'!X199</f>
        <v>-2.9908309046605547E-2</v>
      </c>
      <c r="Y72" s="268">
        <f>'Initial unit rates'!Y199</f>
        <v>-2.9908309046605547E-2</v>
      </c>
      <c r="Z72" s="256"/>
      <c r="AA72" s="256"/>
    </row>
    <row r="73" spans="3:27" x14ac:dyDescent="0.25">
      <c r="D73"/>
      <c r="F73" t="s">
        <v>197</v>
      </c>
      <c r="G73" t="s">
        <v>269</v>
      </c>
      <c r="H73" s="256"/>
      <c r="I73" s="256"/>
      <c r="J73" s="268">
        <f>'Initial unit rates'!J200</f>
        <v>0.24507146893173434</v>
      </c>
      <c r="K73" s="268">
        <f>'Initial unit rates'!K200</f>
        <v>0.24507146893173434</v>
      </c>
      <c r="L73" s="268">
        <f>'Initial unit rates'!L200</f>
        <v>0.22720724987795887</v>
      </c>
      <c r="M73" s="268">
        <f>'Initial unit rates'!M200</f>
        <v>0.22720724987795887</v>
      </c>
      <c r="N73" s="268">
        <f>'Initial unit rates'!N200</f>
        <v>0.23115402462559292</v>
      </c>
      <c r="O73" s="268">
        <f>'Initial unit rates'!O200</f>
        <v>0.19935588419743258</v>
      </c>
      <c r="P73" s="268">
        <f>'Initial unit rates'!P200</f>
        <v>0.16320411057669917</v>
      </c>
      <c r="Q73" s="268">
        <f>'Initial unit rates'!Q200</f>
        <v>0.16594486173665299</v>
      </c>
      <c r="R73" s="268">
        <f>'Initial unit rates'!R200</f>
        <v>-0.15652566363307746</v>
      </c>
      <c r="S73" s="268">
        <f>'Initial unit rates'!S200</f>
        <v>-0.15337510132756266</v>
      </c>
      <c r="T73" s="268">
        <f>'Initial unit rates'!T200</f>
        <v>-0.15652566363307746</v>
      </c>
      <c r="U73" s="268">
        <f>'Initial unit rates'!U200</f>
        <v>-0.15652566363307746</v>
      </c>
      <c r="V73" s="268">
        <f>'Initial unit rates'!V200</f>
        <v>-0.15337510132756266</v>
      </c>
      <c r="W73" s="268">
        <f>'Initial unit rates'!W200</f>
        <v>-0.15337510132756266</v>
      </c>
      <c r="X73" s="268">
        <f>'Initial unit rates'!X200</f>
        <v>0</v>
      </c>
      <c r="Y73" s="268">
        <f>'Initial unit rates'!Y200</f>
        <v>0</v>
      </c>
      <c r="Z73" s="256"/>
      <c r="AA73" s="256"/>
    </row>
    <row r="74" spans="3:27" x14ac:dyDescent="0.25">
      <c r="D74"/>
      <c r="F74" t="s">
        <v>198</v>
      </c>
      <c r="G74" t="s">
        <v>269</v>
      </c>
      <c r="H74" s="256"/>
      <c r="I74" s="256"/>
      <c r="J74" s="268">
        <f>'Initial unit rates'!J201</f>
        <v>0.11940071260371524</v>
      </c>
      <c r="K74" s="268">
        <f>'Initial unit rates'!K201</f>
        <v>0.11940071260371524</v>
      </c>
      <c r="L74" s="268">
        <f>'Initial unit rates'!L201</f>
        <v>0.11069712709689393</v>
      </c>
      <c r="M74" s="268">
        <f>'Initial unit rates'!M201</f>
        <v>0.11069712709689393</v>
      </c>
      <c r="N74" s="268">
        <f>'Initial unit rates'!N201</f>
        <v>0.1126200262389606</v>
      </c>
      <c r="O74" s="268">
        <f>'Initial unit rates'!O201</f>
        <v>9.7127726612466964E-2</v>
      </c>
      <c r="P74" s="268">
        <f>'Initial unit rates'!P201</f>
        <v>0</v>
      </c>
      <c r="Q74" s="268">
        <f>'Initial unit rates'!Q201</f>
        <v>8.0849618401726803E-2</v>
      </c>
      <c r="R74" s="268">
        <f>'Initial unit rates'!R201</f>
        <v>-7.6260512331465483E-2</v>
      </c>
      <c r="S74" s="268">
        <f>'Initial unit rates'!S201</f>
        <v>0</v>
      </c>
      <c r="T74" s="268">
        <f>'Initial unit rates'!T201</f>
        <v>-7.6260512331465483E-2</v>
      </c>
      <c r="U74" s="268">
        <f>'Initial unit rates'!U201</f>
        <v>-7.6260512331465483E-2</v>
      </c>
      <c r="V74" s="268">
        <f>'Initial unit rates'!V201</f>
        <v>0</v>
      </c>
      <c r="W74" s="268">
        <f>'Initial unit rates'!W201</f>
        <v>0</v>
      </c>
      <c r="X74" s="268">
        <f>'Initial unit rates'!X201</f>
        <v>0</v>
      </c>
      <c r="Y74" s="268">
        <f>'Initial unit rates'!Y201</f>
        <v>0</v>
      </c>
      <c r="Z74" s="256"/>
      <c r="AA74" s="256"/>
    </row>
    <row r="75" spans="3:27" x14ac:dyDescent="0.25">
      <c r="D75"/>
      <c r="F75" t="s">
        <v>199</v>
      </c>
      <c r="G75" t="s">
        <v>269</v>
      </c>
      <c r="H75" s="256"/>
      <c r="I75" s="256"/>
      <c r="J75" s="268">
        <f>'Initial unit rates'!J202</f>
        <v>0.27408089510589512</v>
      </c>
      <c r="K75" s="268">
        <f>'Initial unit rates'!K202</f>
        <v>0.27408089510589512</v>
      </c>
      <c r="L75" s="268">
        <f>'Initial unit rates'!L202</f>
        <v>0.254102065379329</v>
      </c>
      <c r="M75" s="268">
        <f>'Initial unit rates'!M202</f>
        <v>0.254102065379329</v>
      </c>
      <c r="N75" s="268">
        <f>'Initial unit rates'!N202</f>
        <v>0.25851602494927883</v>
      </c>
      <c r="O75" s="268">
        <f>'Initial unit rates'!O202</f>
        <v>0</v>
      </c>
      <c r="P75" s="268">
        <f>'Initial unit rates'!P202</f>
        <v>0</v>
      </c>
      <c r="Q75" s="268">
        <f>'Initial unit rates'!Q202</f>
        <v>0.18558796926163257</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269</v>
      </c>
      <c r="H76" s="255"/>
      <c r="I76" s="255" t="s">
        <v>154</v>
      </c>
      <c r="J76" s="269"/>
      <c r="K76" s="269"/>
      <c r="L76" s="269"/>
      <c r="M76" s="269"/>
      <c r="N76" s="269"/>
      <c r="O76" s="269"/>
      <c r="P76" s="269"/>
      <c r="Q76" s="267">
        <f>'Service model charges'!$Q$44</f>
        <v>1.0020473814075446</v>
      </c>
      <c r="R76" s="269"/>
      <c r="S76" s="269"/>
      <c r="T76" s="269"/>
      <c r="U76" s="269"/>
      <c r="V76" s="269"/>
      <c r="W76" s="269"/>
      <c r="X76" s="269"/>
      <c r="Y76" s="269"/>
      <c r="Z76" s="256"/>
      <c r="AA76" s="256" t="s">
        <v>653</v>
      </c>
    </row>
    <row r="77" spans="3:27" x14ac:dyDescent="0.2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control'!$H$36:$H$59,MATCH($A$1,'Version control'!$F$36:$F$59,0),1)&amp;"-C: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192</v>
      </c>
      <c r="G84" t="s">
        <v>269</v>
      </c>
      <c r="H84" s="256"/>
      <c r="I84" s="256"/>
      <c r="J84" s="268">
        <f>'Initial unit rates'!J212</f>
        <v>1.0550369534884845E-2</v>
      </c>
      <c r="K84" s="268">
        <f>'Initial unit rates'!K212</f>
        <v>1.0550369534884845E-2</v>
      </c>
      <c r="L84" s="268">
        <f>'Initial unit rates'!L212</f>
        <v>9.7813117849516532E-3</v>
      </c>
      <c r="M84" s="268">
        <f>'Initial unit rates'!M212</f>
        <v>9.7813117849516532E-3</v>
      </c>
      <c r="N84" s="268">
        <f>'Initial unit rates'!N212</f>
        <v>9.9512211270713184E-3</v>
      </c>
      <c r="O84" s="268">
        <f>'Initial unit rates'!O212</f>
        <v>8.5823056286592897E-3</v>
      </c>
      <c r="P84" s="268">
        <f>'Initial unit rates'!P212</f>
        <v>7.0259654610223786E-3</v>
      </c>
      <c r="Q84" s="268">
        <f>'Initial unit rates'!Q212</f>
        <v>8.1204803314263527E-3</v>
      </c>
      <c r="R84" s="268">
        <f>'Initial unit rates'!R212</f>
        <v>-6.7384571538274766E-3</v>
      </c>
      <c r="S84" s="268">
        <f>'Initial unit rates'!S212</f>
        <v>-6.6028248963853862E-3</v>
      </c>
      <c r="T84" s="268">
        <f>'Initial unit rates'!T212</f>
        <v>-6.7384571538274766E-3</v>
      </c>
      <c r="U84" s="268">
        <f>'Initial unit rates'!U212</f>
        <v>-6.7384571538274766E-3</v>
      </c>
      <c r="V84" s="268">
        <f>'Initial unit rates'!V212</f>
        <v>-6.6028248963853862E-3</v>
      </c>
      <c r="W84" s="268">
        <f>'Initial unit rates'!W212</f>
        <v>-6.6028248963853862E-3</v>
      </c>
      <c r="X84" s="268">
        <f>'Initial unit rates'!X212</f>
        <v>-6.4980181519983179E-3</v>
      </c>
      <c r="Y84" s="268">
        <f>'Initial unit rates'!Y212</f>
        <v>-6.4980181519983179E-3</v>
      </c>
      <c r="Z84" s="256"/>
      <c r="AA84" s="256"/>
    </row>
    <row r="85" spans="4:27" x14ac:dyDescent="0.25">
      <c r="D85"/>
      <c r="F85" t="s">
        <v>193</v>
      </c>
      <c r="G85" t="s">
        <v>269</v>
      </c>
      <c r="H85" s="256"/>
      <c r="I85" s="256"/>
      <c r="J85" s="268">
        <f>'Initial unit rates'!J213</f>
        <v>2.4977705021258989E-3</v>
      </c>
      <c r="K85" s="268">
        <f>'Initial unit rates'!K213</f>
        <v>2.4977705021258989E-3</v>
      </c>
      <c r="L85" s="268">
        <f>'Initial unit rates'!L213</f>
        <v>2.3156982291251405E-3</v>
      </c>
      <c r="M85" s="268">
        <f>'Initial unit rates'!M213</f>
        <v>2.3156982291251405E-3</v>
      </c>
      <c r="N85" s="268">
        <f>'Initial unit rates'!N213</f>
        <v>2.3559237910240724E-3</v>
      </c>
      <c r="O85" s="268">
        <f>'Initial unit rates'!O213</f>
        <v>2.0318368725013784E-3</v>
      </c>
      <c r="P85" s="268">
        <f>'Initial unit rates'!P213</f>
        <v>1.6633776873379096E-3</v>
      </c>
      <c r="Q85" s="268">
        <f>'Initial unit rates'!Q213</f>
        <v>1.9225010240507825E-3</v>
      </c>
      <c r="R85" s="268">
        <f>'Initial unit rates'!R213</f>
        <v>-1.5953108991128072E-3</v>
      </c>
      <c r="S85" s="268">
        <f>'Initial unit rates'!S213</f>
        <v>-1.5632003412166665E-3</v>
      </c>
      <c r="T85" s="268">
        <f>'Initial unit rates'!T213</f>
        <v>-1.5953108991128072E-3</v>
      </c>
      <c r="U85" s="268">
        <f>'Initial unit rates'!U213</f>
        <v>-1.5953108991128072E-3</v>
      </c>
      <c r="V85" s="268">
        <f>'Initial unit rates'!V213</f>
        <v>-1.5632003412166665E-3</v>
      </c>
      <c r="W85" s="268">
        <f>'Initial unit rates'!W213</f>
        <v>-1.5632003412166665E-3</v>
      </c>
      <c r="X85" s="268">
        <f>'Initial unit rates'!X213</f>
        <v>-1.5383876373878305E-3</v>
      </c>
      <c r="Y85" s="268">
        <f>'Initial unit rates'!Y213</f>
        <v>-1.5383876373878305E-3</v>
      </c>
      <c r="Z85" s="256"/>
      <c r="AA85" s="256"/>
    </row>
    <row r="86" spans="4:27" x14ac:dyDescent="0.25">
      <c r="D86"/>
      <c r="F86" t="s">
        <v>194</v>
      </c>
      <c r="G86" t="s">
        <v>269</v>
      </c>
      <c r="H86" s="256"/>
      <c r="I86" s="256"/>
      <c r="J86" s="268">
        <f>'Initial unit rates'!J214</f>
        <v>3.5845104351930088E-3</v>
      </c>
      <c r="K86" s="268">
        <f>'Initial unit rates'!K214</f>
        <v>3.5845104351930088E-3</v>
      </c>
      <c r="L86" s="268">
        <f>'Initial unit rates'!L214</f>
        <v>3.3232214328707157E-3</v>
      </c>
      <c r="M86" s="268">
        <f>'Initial unit rates'!M214</f>
        <v>3.3232214328707157E-3</v>
      </c>
      <c r="N86" s="268">
        <f>'Initial unit rates'!N214</f>
        <v>3.3809484923685768E-3</v>
      </c>
      <c r="O86" s="268">
        <f>'Initial unit rates'!O214</f>
        <v>2.9158565472257366E-3</v>
      </c>
      <c r="P86" s="268">
        <f>'Initial unit rates'!P214</f>
        <v>2.3870866730371131E-3</v>
      </c>
      <c r="Q86" s="268">
        <f>'Initial unit rates'!Q214</f>
        <v>2.758950422592478E-3</v>
      </c>
      <c r="R86" s="268">
        <f>'Initial unit rates'!R214</f>
        <v>-2.2894051156341043E-3</v>
      </c>
      <c r="S86" s="268">
        <f>'Initial unit rates'!S214</f>
        <v>-2.2433237683843789E-3</v>
      </c>
      <c r="T86" s="268">
        <f>'Initial unit rates'!T214</f>
        <v>-2.2894051156341043E-3</v>
      </c>
      <c r="U86" s="268">
        <f>'Initial unit rates'!U214</f>
        <v>-2.2894051156341043E-3</v>
      </c>
      <c r="V86" s="268">
        <f>'Initial unit rates'!V214</f>
        <v>-2.2433237683843789E-3</v>
      </c>
      <c r="W86" s="268">
        <f>'Initial unit rates'!W214</f>
        <v>-2.2433237683843789E-3</v>
      </c>
      <c r="X86" s="268">
        <f>'Initial unit rates'!X214</f>
        <v>-2.2077154546005003E-3</v>
      </c>
      <c r="Y86" s="268">
        <f>'Initial unit rates'!Y214</f>
        <v>-2.2077154546005003E-3</v>
      </c>
      <c r="Z86" s="256"/>
      <c r="AA86" s="256"/>
    </row>
    <row r="87" spans="4:27" x14ac:dyDescent="0.25">
      <c r="D87"/>
      <c r="F87" t="s">
        <v>195</v>
      </c>
      <c r="G87" t="s">
        <v>269</v>
      </c>
      <c r="H87" s="256"/>
      <c r="I87" s="256"/>
      <c r="J87" s="268">
        <f>'Initial unit rates'!J215</f>
        <v>6.9098182582355413E-3</v>
      </c>
      <c r="K87" s="268">
        <f>'Initial unit rates'!K215</f>
        <v>6.9098182582355413E-3</v>
      </c>
      <c r="L87" s="268">
        <f>'Initial unit rates'!L215</f>
        <v>6.4061345470105471E-3</v>
      </c>
      <c r="M87" s="268">
        <f>'Initial unit rates'!M215</f>
        <v>6.4061345470105471E-3</v>
      </c>
      <c r="N87" s="268">
        <f>'Initial unit rates'!N215</f>
        <v>6.5174143150358551E-3</v>
      </c>
      <c r="O87" s="268">
        <f>'Initial unit rates'!O215</f>
        <v>5.6208620877766131E-3</v>
      </c>
      <c r="P87" s="268">
        <f>'Initial unit rates'!P215</f>
        <v>3.4160081743414799E-3</v>
      </c>
      <c r="Q87" s="268">
        <f>'Initial unit rates'!Q215</f>
        <v>5.3183960120260238E-3</v>
      </c>
      <c r="R87" s="268">
        <f>'Initial unit rates'!R215</f>
        <v>-4.4132590920061259E-3</v>
      </c>
      <c r="S87" s="268">
        <f>'Initial unit rates'!S215</f>
        <v>-4.3244286253783732E-3</v>
      </c>
      <c r="T87" s="268">
        <f>'Initial unit rates'!T215</f>
        <v>-4.4132590920061259E-3</v>
      </c>
      <c r="U87" s="268">
        <f>'Initial unit rates'!U215</f>
        <v>-4.4132590920061259E-3</v>
      </c>
      <c r="V87" s="268">
        <f>'Initial unit rates'!V215</f>
        <v>-4.3244286253783732E-3</v>
      </c>
      <c r="W87" s="268">
        <f>'Initial unit rates'!W215</f>
        <v>-4.3244286253783732E-3</v>
      </c>
      <c r="X87" s="268">
        <f>'Initial unit rates'!X215</f>
        <v>-3.1593214124647209E-3</v>
      </c>
      <c r="Y87" s="268">
        <f>'Initial unit rates'!Y215</f>
        <v>-3.1593214124647209E-3</v>
      </c>
      <c r="Z87" s="256"/>
      <c r="AA87" s="256"/>
    </row>
    <row r="88" spans="4:27" x14ac:dyDescent="0.25">
      <c r="D88"/>
      <c r="F88" t="s">
        <v>196</v>
      </c>
      <c r="G88" t="s">
        <v>269</v>
      </c>
      <c r="H88" s="256"/>
      <c r="I88" s="256"/>
      <c r="J88" s="268">
        <f>'Initial unit rates'!J216</f>
        <v>5.224983043252039E-3</v>
      </c>
      <c r="K88" s="268">
        <f>'Initial unit rates'!K216</f>
        <v>5.224983043252039E-3</v>
      </c>
      <c r="L88" s="268">
        <f>'Initial unit rates'!L216</f>
        <v>4.8441135685482455E-3</v>
      </c>
      <c r="M88" s="268">
        <f>'Initial unit rates'!M216</f>
        <v>4.8441135685482455E-3</v>
      </c>
      <c r="N88" s="268">
        <f>'Initial unit rates'!N216</f>
        <v>4.9282597615825209E-3</v>
      </c>
      <c r="O88" s="268">
        <f>'Initial unit rates'!O216</f>
        <v>4.2503157101255766E-3</v>
      </c>
      <c r="P88" s="268">
        <f>'Initial unit rates'!P216</f>
        <v>2.5830758667598182E-3</v>
      </c>
      <c r="Q88" s="268">
        <f>'Initial unit rates'!Q216</f>
        <v>4.0216005604800367E-3</v>
      </c>
      <c r="R88" s="268">
        <f>'Initial unit rates'!R216</f>
        <v>-3.3371650395763366E-3</v>
      </c>
      <c r="S88" s="268">
        <f>'Initial unit rates'!S216</f>
        <v>-3.2699942885510121E-3</v>
      </c>
      <c r="T88" s="268">
        <f>'Initial unit rates'!T216</f>
        <v>-3.3371650395763366E-3</v>
      </c>
      <c r="U88" s="268">
        <f>'Initial unit rates'!U216</f>
        <v>-3.3371650395763366E-3</v>
      </c>
      <c r="V88" s="268">
        <f>'Initial unit rates'!V216</f>
        <v>-3.2699942885510121E-3</v>
      </c>
      <c r="W88" s="268">
        <f>'Initial unit rates'!W216</f>
        <v>-3.2699942885510121E-3</v>
      </c>
      <c r="X88" s="268">
        <f>'Initial unit rates'!X216</f>
        <v>-2.3889775666149724E-3</v>
      </c>
      <c r="Y88" s="268">
        <f>'Initial unit rates'!Y216</f>
        <v>-2.3889775666149724E-3</v>
      </c>
      <c r="Z88" s="256"/>
      <c r="AA88" s="256"/>
    </row>
    <row r="89" spans="4:27" x14ac:dyDescent="0.25">
      <c r="D89"/>
      <c r="F89" t="s">
        <v>197</v>
      </c>
      <c r="G89" t="s">
        <v>269</v>
      </c>
      <c r="H89" s="256"/>
      <c r="I89" s="256"/>
      <c r="J89" s="268">
        <f>'Initial unit rates'!J217</f>
        <v>2.7035853468276905E-2</v>
      </c>
      <c r="K89" s="268">
        <f>'Initial unit rates'!K217</f>
        <v>2.7035853468276905E-2</v>
      </c>
      <c r="L89" s="268">
        <f>'Initial unit rates'!L217</f>
        <v>2.5065104238395693E-2</v>
      </c>
      <c r="M89" s="268">
        <f>'Initial unit rates'!M217</f>
        <v>2.5065104238395693E-2</v>
      </c>
      <c r="N89" s="268">
        <f>'Initial unit rates'!N217</f>
        <v>2.5500505487731057E-2</v>
      </c>
      <c r="O89" s="268">
        <f>'Initial unit rates'!O217</f>
        <v>2.1992590556112045E-2</v>
      </c>
      <c r="P89" s="268">
        <f>'Initial unit rates'!P217</f>
        <v>1.4233132713781418E-2</v>
      </c>
      <c r="Q89" s="268">
        <f>'Initial unit rates'!Q217</f>
        <v>2.0809139964865112E-2</v>
      </c>
      <c r="R89" s="268">
        <f>'Initial unit rates'!R217</f>
        <v>-1.7267635944955589E-2</v>
      </c>
      <c r="S89" s="268">
        <f>'Initial unit rates'!S217</f>
        <v>-1.6920071452010459E-2</v>
      </c>
      <c r="T89" s="268">
        <f>'Initial unit rates'!T217</f>
        <v>-1.7267635944955589E-2</v>
      </c>
      <c r="U89" s="268">
        <f>'Initial unit rates'!U217</f>
        <v>-1.7267635944955589E-2</v>
      </c>
      <c r="V89" s="268">
        <f>'Initial unit rates'!V217</f>
        <v>-1.6920071452010459E-2</v>
      </c>
      <c r="W89" s="268">
        <f>'Initial unit rates'!W217</f>
        <v>-1.6920071452010459E-2</v>
      </c>
      <c r="X89" s="268">
        <f>'Initial unit rates'!X217</f>
        <v>0</v>
      </c>
      <c r="Y89" s="268">
        <f>'Initial unit rates'!Y217</f>
        <v>0</v>
      </c>
      <c r="Z89" s="256"/>
      <c r="AA89" s="256"/>
    </row>
    <row r="90" spans="4:27" x14ac:dyDescent="0.25">
      <c r="D90"/>
      <c r="F90" t="s">
        <v>198</v>
      </c>
      <c r="G90" t="s">
        <v>269</v>
      </c>
      <c r="H90" s="256"/>
      <c r="I90" s="256"/>
      <c r="J90" s="268">
        <f>'Initial unit rates'!J218</f>
        <v>7.7069283752252797E-3</v>
      </c>
      <c r="K90" s="268">
        <f>'Initial unit rates'!K218</f>
        <v>7.7069283752252797E-3</v>
      </c>
      <c r="L90" s="268">
        <f>'Initial unit rates'!L218</f>
        <v>7.1451401861434534E-3</v>
      </c>
      <c r="M90" s="268">
        <f>'Initial unit rates'!M218</f>
        <v>7.1451401861434534E-3</v>
      </c>
      <c r="N90" s="268">
        <f>'Initial unit rates'!N218</f>
        <v>7.2692570832500539E-3</v>
      </c>
      <c r="O90" s="268">
        <f>'Initial unit rates'!O218</f>
        <v>6.2692794366744275E-3</v>
      </c>
      <c r="P90" s="268">
        <f>'Initial unit rates'!P218</f>
        <v>0</v>
      </c>
      <c r="Q90" s="268">
        <f>'Initial unit rates'!Q218</f>
        <v>5.931921159708615E-3</v>
      </c>
      <c r="R90" s="268">
        <f>'Initial unit rates'!R218</f>
        <v>-4.9223684983124702E-3</v>
      </c>
      <c r="S90" s="268">
        <f>'Initial unit rates'!S218</f>
        <v>0</v>
      </c>
      <c r="T90" s="268">
        <f>'Initial unit rates'!T218</f>
        <v>-4.9223684983124702E-3</v>
      </c>
      <c r="U90" s="268">
        <f>'Initial unit rates'!U218</f>
        <v>-4.9223684983124702E-3</v>
      </c>
      <c r="V90" s="268">
        <f>'Initial unit rates'!V218</f>
        <v>0</v>
      </c>
      <c r="W90" s="268">
        <f>'Initial unit rates'!W218</f>
        <v>0</v>
      </c>
      <c r="X90" s="268">
        <f>'Initial unit rates'!X218</f>
        <v>0</v>
      </c>
      <c r="Y90" s="268">
        <f>'Initial unit rates'!Y218</f>
        <v>0</v>
      </c>
      <c r="Z90" s="256"/>
      <c r="AA90" s="256"/>
    </row>
    <row r="91" spans="4:27" x14ac:dyDescent="0.25">
      <c r="D91"/>
      <c r="F91" t="s">
        <v>199</v>
      </c>
      <c r="G91" t="s">
        <v>269</v>
      </c>
      <c r="H91" s="256"/>
      <c r="I91" s="256"/>
      <c r="J91" s="268">
        <f>'Initial unit rates'!J219</f>
        <v>5.1459416540903195E-3</v>
      </c>
      <c r="K91" s="268">
        <f>'Initial unit rates'!K219</f>
        <v>5.1459416540903195E-3</v>
      </c>
      <c r="L91" s="268">
        <f>'Initial unit rates'!L219</f>
        <v>4.7708338157632707E-3</v>
      </c>
      <c r="M91" s="268">
        <f>'Initial unit rates'!M219</f>
        <v>4.7708338157632707E-3</v>
      </c>
      <c r="N91" s="268">
        <f>'Initial unit rates'!N219</f>
        <v>4.8537070798837043E-3</v>
      </c>
      <c r="O91" s="268">
        <f>'Initial unit rates'!O219</f>
        <v>0</v>
      </c>
      <c r="P91" s="268">
        <f>'Initial unit rates'!P219</f>
        <v>0</v>
      </c>
      <c r="Q91" s="268">
        <f>'Initial unit rates'!Q219</f>
        <v>3.960763445350176E-3</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189</v>
      </c>
      <c r="G96" s="19" t="s">
        <v>269</v>
      </c>
      <c r="H96" s="255"/>
      <c r="I96" s="255"/>
      <c r="J96" s="267">
        <f>'Initial unit rates'!J222</f>
        <v>0</v>
      </c>
      <c r="K96" s="267">
        <f>'Initial unit rates'!K222</f>
        <v>0</v>
      </c>
      <c r="L96" s="267">
        <f>'Initial unit rates'!L222</f>
        <v>0</v>
      </c>
      <c r="M96" s="267">
        <f>'Initial unit rates'!M222</f>
        <v>0</v>
      </c>
      <c r="N96" s="267">
        <f>'Initial unit rates'!N222</f>
        <v>0</v>
      </c>
      <c r="O96" s="267">
        <f>'Initial unit rates'!O222</f>
        <v>0</v>
      </c>
      <c r="P96" s="267">
        <f>'Initial unit rates'!P222</f>
        <v>0</v>
      </c>
      <c r="Q96" s="267">
        <f>'Initial unit rates'!Q222</f>
        <v>0</v>
      </c>
      <c r="R96" s="267">
        <f>'Initial unit rates'!R222</f>
        <v>0</v>
      </c>
      <c r="S96" s="267">
        <f>'Initial unit rates'!S222</f>
        <v>0</v>
      </c>
      <c r="T96" s="267">
        <f>'Initial unit rates'!T222</f>
        <v>0</v>
      </c>
      <c r="U96" s="267">
        <f>'Initial unit rates'!U222</f>
        <v>0</v>
      </c>
      <c r="V96" s="267">
        <f>'Initial unit rates'!V222</f>
        <v>0</v>
      </c>
      <c r="W96" s="267">
        <f>'Initial unit rates'!W222</f>
        <v>0</v>
      </c>
      <c r="X96" s="267">
        <f>'Initial unit rates'!X222</f>
        <v>0</v>
      </c>
      <c r="Y96" s="267">
        <f>'Initial unit rates'!Y222</f>
        <v>0</v>
      </c>
      <c r="Z96" s="256"/>
      <c r="AA96" s="256"/>
    </row>
    <row r="97" spans="3:42" x14ac:dyDescent="0.2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192</v>
      </c>
      <c r="G98" t="s">
        <v>269</v>
      </c>
      <c r="H98" s="256"/>
      <c r="I98" s="256"/>
      <c r="J98" s="268">
        <f>'Initial unit rates'!J224</f>
        <v>8.217990892049238E-3</v>
      </c>
      <c r="K98" s="268">
        <f>'Initial unit rates'!K224</f>
        <v>8.217990892049238E-3</v>
      </c>
      <c r="L98" s="268">
        <f>'Initial unit rates'!L224</f>
        <v>7.6189493548297696E-3</v>
      </c>
      <c r="M98" s="268">
        <f>'Initial unit rates'!M224</f>
        <v>7.6189493548297696E-3</v>
      </c>
      <c r="N98" s="268">
        <f>'Initial unit rates'!N224</f>
        <v>7.7512967026071716E-3</v>
      </c>
      <c r="O98" s="268">
        <f>'Initial unit rates'!O224</f>
        <v>6.6850084497893144E-3</v>
      </c>
      <c r="P98" s="268">
        <f>'Initial unit rates'!P224</f>
        <v>5.4727296494799646E-3</v>
      </c>
      <c r="Q98" s="268">
        <f>'Initial unit rates'!Q224</f>
        <v>6.3252792408901286E-3</v>
      </c>
      <c r="R98" s="268">
        <f>'Initial unit rates'!R224</f>
        <v>-5.248781034021161E-3</v>
      </c>
      <c r="S98" s="268">
        <f>'Initial unit rates'!S224</f>
        <v>-5.1431331083592524E-3</v>
      </c>
      <c r="T98" s="268">
        <f>'Initial unit rates'!T224</f>
        <v>-5.248781034021161E-3</v>
      </c>
      <c r="U98" s="268">
        <f>'Initial unit rates'!U224</f>
        <v>-5.248781034021161E-3</v>
      </c>
      <c r="V98" s="268">
        <f>'Initial unit rates'!V224</f>
        <v>-5.1431331083592524E-3</v>
      </c>
      <c r="W98" s="268">
        <f>'Initial unit rates'!W224</f>
        <v>-5.1431331083592524E-3</v>
      </c>
      <c r="X98" s="268">
        <f>'Initial unit rates'!X224</f>
        <v>-5.0614960748932335E-3</v>
      </c>
      <c r="Y98" s="268">
        <f>'Initial unit rates'!Y224</f>
        <v>-5.0614960748932335E-3</v>
      </c>
      <c r="Z98" s="256"/>
      <c r="AA98" s="256"/>
    </row>
    <row r="99" spans="3:42" x14ac:dyDescent="0.25">
      <c r="D99"/>
      <c r="F99" t="s">
        <v>193</v>
      </c>
      <c r="G99" t="s">
        <v>269</v>
      </c>
      <c r="H99" s="256"/>
      <c r="I99" s="256"/>
      <c r="J99" s="268">
        <f>'Initial unit rates'!J225</f>
        <v>1.9455863767641891E-3</v>
      </c>
      <c r="K99" s="268">
        <f>'Initial unit rates'!K225</f>
        <v>1.9455863767641891E-3</v>
      </c>
      <c r="L99" s="268">
        <f>'Initial unit rates'!L225</f>
        <v>1.8037649669768333E-3</v>
      </c>
      <c r="M99" s="268">
        <f>'Initial unit rates'!M225</f>
        <v>1.8037649669768333E-3</v>
      </c>
      <c r="N99" s="268">
        <f>'Initial unit rates'!N225</f>
        <v>1.8350978316902392E-3</v>
      </c>
      <c r="O99" s="268">
        <f>'Initial unit rates'!O225</f>
        <v>1.5826570678055768E-3</v>
      </c>
      <c r="P99" s="268">
        <f>'Initial unit rates'!P225</f>
        <v>1.2956534498040279E-3</v>
      </c>
      <c r="Q99" s="268">
        <f>'Initial unit rates'!Q225</f>
        <v>1.4974921829386998E-3</v>
      </c>
      <c r="R99" s="268">
        <f>'Initial unit rates'!R225</f>
        <v>-1.2426342409663307E-3</v>
      </c>
      <c r="S99" s="268">
        <f>'Initial unit rates'!S225</f>
        <v>-1.2176223898215375E-3</v>
      </c>
      <c r="T99" s="268">
        <f>'Initial unit rates'!T225</f>
        <v>-1.2426342409663307E-3</v>
      </c>
      <c r="U99" s="268">
        <f>'Initial unit rates'!U225</f>
        <v>-1.2426342409663307E-3</v>
      </c>
      <c r="V99" s="268">
        <f>'Initial unit rates'!V225</f>
        <v>-1.2176223898215375E-3</v>
      </c>
      <c r="W99" s="268">
        <f>'Initial unit rates'!W225</f>
        <v>-1.2176223898215375E-3</v>
      </c>
      <c r="X99" s="268">
        <f>'Initial unit rates'!X225</f>
        <v>-1.1982950503005606E-3</v>
      </c>
      <c r="Y99" s="268">
        <f>'Initial unit rates'!Y225</f>
        <v>-1.1982950503005606E-3</v>
      </c>
      <c r="Z99" s="256"/>
      <c r="AA99" s="256"/>
    </row>
    <row r="100" spans="3:42" x14ac:dyDescent="0.25">
      <c r="D100"/>
      <c r="F100" t="s">
        <v>194</v>
      </c>
      <c r="G100" t="s">
        <v>269</v>
      </c>
      <c r="H100" s="256"/>
      <c r="I100" s="256"/>
      <c r="J100" s="268">
        <f>'Initial unit rates'!J226</f>
        <v>2.7920798424614728E-3</v>
      </c>
      <c r="K100" s="268">
        <f>'Initial unit rates'!K226</f>
        <v>2.7920798424614728E-3</v>
      </c>
      <c r="L100" s="268">
        <f>'Initial unit rates'!L226</f>
        <v>2.5885542091481297E-3</v>
      </c>
      <c r="M100" s="268">
        <f>'Initial unit rates'!M226</f>
        <v>2.5885542091481297E-3</v>
      </c>
      <c r="N100" s="268">
        <f>'Initial unit rates'!N226</f>
        <v>2.6335195013693739E-3</v>
      </c>
      <c r="O100" s="268">
        <f>'Initial unit rates'!O226</f>
        <v>2.2712458050299744E-3</v>
      </c>
      <c r="P100" s="268">
        <f>'Initial unit rates'!P226</f>
        <v>1.859371510418401E-3</v>
      </c>
      <c r="Q100" s="268">
        <f>'Initial unit rates'!Q226</f>
        <v>2.1490270430350243E-3</v>
      </c>
      <c r="R100" s="268">
        <f>'Initial unit rates'!R226</f>
        <v>-1.7832844931433352E-3</v>
      </c>
      <c r="S100" s="268">
        <f>'Initial unit rates'!S226</f>
        <v>-1.747390386236516E-3</v>
      </c>
      <c r="T100" s="268">
        <f>'Initial unit rates'!T226</f>
        <v>-1.7832844931433352E-3</v>
      </c>
      <c r="U100" s="268">
        <f>'Initial unit rates'!U226</f>
        <v>-1.7832844931433352E-3</v>
      </c>
      <c r="V100" s="268">
        <f>'Initial unit rates'!V226</f>
        <v>-1.747390386236516E-3</v>
      </c>
      <c r="W100" s="268">
        <f>'Initial unit rates'!W226</f>
        <v>-1.747390386236516E-3</v>
      </c>
      <c r="X100" s="268">
        <f>'Initial unit rates'!X226</f>
        <v>-1.7196540308994286E-3</v>
      </c>
      <c r="Y100" s="268">
        <f>'Initial unit rates'!Y226</f>
        <v>-1.7196540308994286E-3</v>
      </c>
      <c r="Z100" s="256"/>
      <c r="AA100" s="256"/>
    </row>
    <row r="101" spans="3:42" x14ac:dyDescent="0.25">
      <c r="D101"/>
      <c r="F101" t="s">
        <v>195</v>
      </c>
      <c r="G101" t="s">
        <v>269</v>
      </c>
      <c r="H101" s="256"/>
      <c r="I101" s="256"/>
      <c r="J101" s="268">
        <f>'Initial unit rates'!J227</f>
        <v>5.3822592018351514E-3</v>
      </c>
      <c r="K101" s="268">
        <f>'Initial unit rates'!K227</f>
        <v>5.3822592018351514E-3</v>
      </c>
      <c r="L101" s="268">
        <f>'Initial unit rates'!L227</f>
        <v>4.9899252520494075E-3</v>
      </c>
      <c r="M101" s="268">
        <f>'Initial unit rates'!M227</f>
        <v>4.9899252520494075E-3</v>
      </c>
      <c r="N101" s="268">
        <f>'Initial unit rates'!N227</f>
        <v>5.0766043126337351E-3</v>
      </c>
      <c r="O101" s="268">
        <f>'Initial unit rates'!O227</f>
        <v>4.3782536043006255E-3</v>
      </c>
      <c r="P101" s="268">
        <f>'Initial unit rates'!P227</f>
        <v>3.5842884108775812E-3</v>
      </c>
      <c r="Q101" s="268">
        <f>'Initial unit rates'!Q227</f>
        <v>4.1426539461603702E-3</v>
      </c>
      <c r="R101" s="268">
        <f>'Initial unit rates'!R227</f>
        <v>-3.4376163699706558E-3</v>
      </c>
      <c r="S101" s="268">
        <f>'Initial unit rates'!S227</f>
        <v>-3.3684237257443485E-3</v>
      </c>
      <c r="T101" s="268">
        <f>'Initial unit rates'!T227</f>
        <v>-3.4376163699706558E-3</v>
      </c>
      <c r="U101" s="268">
        <f>'Initial unit rates'!U227</f>
        <v>-3.4376163699706558E-3</v>
      </c>
      <c r="V101" s="268">
        <f>'Initial unit rates'!V227</f>
        <v>-3.3684237257443485E-3</v>
      </c>
      <c r="W101" s="268">
        <f>'Initial unit rates'!W227</f>
        <v>-3.3684237257443485E-3</v>
      </c>
      <c r="X101" s="268">
        <f>'Initial unit rates'!X227</f>
        <v>-3.3149566824785645E-3</v>
      </c>
      <c r="Y101" s="268">
        <f>'Initial unit rates'!Y227</f>
        <v>-3.3149566824785645E-3</v>
      </c>
      <c r="Z101" s="256"/>
      <c r="AA101" s="256"/>
    </row>
    <row r="102" spans="3:42" x14ac:dyDescent="0.25">
      <c r="D102"/>
      <c r="F102" t="s">
        <v>196</v>
      </c>
      <c r="G102" t="s">
        <v>269</v>
      </c>
      <c r="H102" s="256"/>
      <c r="I102" s="256"/>
      <c r="J102" s="268">
        <f>'Initial unit rates'!J228</f>
        <v>4.0698918572074109E-3</v>
      </c>
      <c r="K102" s="268">
        <f>'Initial unit rates'!K228</f>
        <v>4.0698918572074109E-3</v>
      </c>
      <c r="L102" s="268">
        <f>'Initial unit rates'!L228</f>
        <v>3.7732215023135798E-3</v>
      </c>
      <c r="M102" s="268">
        <f>'Initial unit rates'!M228</f>
        <v>3.7732215023135798E-3</v>
      </c>
      <c r="N102" s="268">
        <f>'Initial unit rates'!N228</f>
        <v>3.8387654290613403E-3</v>
      </c>
      <c r="O102" s="268">
        <f>'Initial unit rates'!O228</f>
        <v>3.310695012023294E-3</v>
      </c>
      <c r="P102" s="268">
        <f>'Initial unit rates'!P228</f>
        <v>2.7103239866894009E-3</v>
      </c>
      <c r="Q102" s="268">
        <f>'Initial unit rates'!Q228</f>
        <v>3.132542103687156E-3</v>
      </c>
      <c r="R102" s="268">
        <f>'Initial unit rates'!R228</f>
        <v>-2.5994152915519474E-3</v>
      </c>
      <c r="S102" s="268">
        <f>'Initial unit rates'!S228</f>
        <v>-2.5470940322526404E-3</v>
      </c>
      <c r="T102" s="268">
        <f>'Initial unit rates'!T228</f>
        <v>-2.5994152915519474E-3</v>
      </c>
      <c r="U102" s="268">
        <f>'Initial unit rates'!U228</f>
        <v>-2.5994152915519474E-3</v>
      </c>
      <c r="V102" s="268">
        <f>'Initial unit rates'!V228</f>
        <v>-2.5470940322526404E-3</v>
      </c>
      <c r="W102" s="268">
        <f>'Initial unit rates'!W228</f>
        <v>-2.5470940322526404E-3</v>
      </c>
      <c r="X102" s="268">
        <f>'Initial unit rates'!X228</f>
        <v>-2.5066639682486303E-3</v>
      </c>
      <c r="Y102" s="268">
        <f>'Initial unit rates'!Y228</f>
        <v>-2.5066639682486303E-3</v>
      </c>
      <c r="Z102" s="256"/>
      <c r="AA102" s="256"/>
    </row>
    <row r="103" spans="3:42" x14ac:dyDescent="0.25">
      <c r="D103"/>
      <c r="F103" t="s">
        <v>197</v>
      </c>
      <c r="G103" t="s">
        <v>269</v>
      </c>
      <c r="H103" s="256"/>
      <c r="I103" s="256"/>
      <c r="J103" s="268">
        <f>'Initial unit rates'!J229</f>
        <v>3.4345601046293868E-2</v>
      </c>
      <c r="K103" s="268">
        <f>'Initial unit rates'!K229</f>
        <v>3.4345601046293868E-2</v>
      </c>
      <c r="L103" s="268">
        <f>'Initial unit rates'!L229</f>
        <v>3.1842015690972558E-2</v>
      </c>
      <c r="M103" s="268">
        <f>'Initial unit rates'!M229</f>
        <v>3.1842015690972558E-2</v>
      </c>
      <c r="N103" s="268">
        <f>'Initial unit rates'!N229</f>
        <v>3.2395137404784072E-2</v>
      </c>
      <c r="O103" s="268">
        <f>'Initial unit rates'!O229</f>
        <v>2.7938779225187733E-2</v>
      </c>
      <c r="P103" s="268">
        <f>'Initial unit rates'!P229</f>
        <v>2.2872280055349616E-2</v>
      </c>
      <c r="Q103" s="268">
        <f>'Initial unit rates'!Q229</f>
        <v>2.6435356301525974E-2</v>
      </c>
      <c r="R103" s="268">
        <f>'Initial unit rates'!R229</f>
        <v>-2.1936327472479325E-2</v>
      </c>
      <c r="S103" s="268">
        <f>'Initial unit rates'!S229</f>
        <v>-2.1494791146409297E-2</v>
      </c>
      <c r="T103" s="268">
        <f>'Initial unit rates'!T229</f>
        <v>-2.1936327472479325E-2</v>
      </c>
      <c r="U103" s="268">
        <f>'Initial unit rates'!U229</f>
        <v>-2.1936327472479325E-2</v>
      </c>
      <c r="V103" s="268">
        <f>'Initial unit rates'!V229</f>
        <v>-2.1494791146409297E-2</v>
      </c>
      <c r="W103" s="268">
        <f>'Initial unit rates'!W229</f>
        <v>-2.1494791146409297E-2</v>
      </c>
      <c r="X103" s="268">
        <f>'Initial unit rates'!X229</f>
        <v>0</v>
      </c>
      <c r="Y103" s="268">
        <f>'Initial unit rates'!Y229</f>
        <v>0</v>
      </c>
      <c r="Z103" s="256"/>
      <c r="AA103" s="256"/>
    </row>
    <row r="104" spans="3:42" x14ac:dyDescent="0.25">
      <c r="D104"/>
      <c r="F104" t="s">
        <v>198</v>
      </c>
      <c r="G104" t="s">
        <v>269</v>
      </c>
      <c r="H104" s="256"/>
      <c r="I104" s="256"/>
      <c r="J104" s="268">
        <f>'Initial unit rates'!J230</f>
        <v>1.6733442116318793E-2</v>
      </c>
      <c r="K104" s="268">
        <f>'Initial unit rates'!K230</f>
        <v>1.6733442116318793E-2</v>
      </c>
      <c r="L104" s="268">
        <f>'Initial unit rates'!L230</f>
        <v>1.5513675993429725E-2</v>
      </c>
      <c r="M104" s="268">
        <f>'Initial unit rates'!M230</f>
        <v>1.5513675993429725E-2</v>
      </c>
      <c r="N104" s="268">
        <f>'Initial unit rates'!N230</f>
        <v>1.5783161164729203E-2</v>
      </c>
      <c r="O104" s="268">
        <f>'Initial unit rates'!O230</f>
        <v>1.3611989038571118E-2</v>
      </c>
      <c r="P104" s="268">
        <f>'Initial unit rates'!P230</f>
        <v>0</v>
      </c>
      <c r="Q104" s="268">
        <f>'Initial unit rates'!Q230</f>
        <v>1.2879509777674464E-2</v>
      </c>
      <c r="R104" s="268">
        <f>'Initial unit rates'!R230</f>
        <v>-1.0687548181514676E-2</v>
      </c>
      <c r="S104" s="268">
        <f>'Initial unit rates'!S230</f>
        <v>0</v>
      </c>
      <c r="T104" s="268">
        <f>'Initial unit rates'!T230</f>
        <v>-1.0687548181514676E-2</v>
      </c>
      <c r="U104" s="268">
        <f>'Initial unit rates'!U230</f>
        <v>-1.0687548181514676E-2</v>
      </c>
      <c r="V104" s="268">
        <f>'Initial unit rates'!V230</f>
        <v>0</v>
      </c>
      <c r="W104" s="268">
        <f>'Initial unit rates'!W230</f>
        <v>0</v>
      </c>
      <c r="X104" s="268">
        <f>'Initial unit rates'!X230</f>
        <v>0</v>
      </c>
      <c r="Y104" s="268">
        <f>'Initial unit rates'!Y230</f>
        <v>0</v>
      </c>
      <c r="Z104" s="256"/>
      <c r="AA104" s="256"/>
    </row>
    <row r="105" spans="3:42" x14ac:dyDescent="0.25">
      <c r="D105"/>
      <c r="F105" t="s">
        <v>199</v>
      </c>
      <c r="G105" t="s">
        <v>269</v>
      </c>
      <c r="H105" s="256"/>
      <c r="I105" s="256"/>
      <c r="J105" s="268">
        <f>'Initial unit rates'!J231</f>
        <v>3.8411134183638299E-2</v>
      </c>
      <c r="K105" s="268">
        <f>'Initial unit rates'!K231</f>
        <v>3.8411134183638299E-2</v>
      </c>
      <c r="L105" s="268">
        <f>'Initial unit rates'!L231</f>
        <v>3.561119619758242E-2</v>
      </c>
      <c r="M105" s="268">
        <f>'Initial unit rates'!M231</f>
        <v>3.561119619758242E-2</v>
      </c>
      <c r="N105" s="268">
        <f>'Initial unit rates'!N231</f>
        <v>3.622979164275926E-2</v>
      </c>
      <c r="O105" s="268">
        <f>'Initial unit rates'!O231</f>
        <v>0</v>
      </c>
      <c r="P105" s="268">
        <f>'Initial unit rates'!P231</f>
        <v>0</v>
      </c>
      <c r="Q105" s="268">
        <f>'Initial unit rates'!Q231</f>
        <v>2.9564543556001403E-2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269</v>
      </c>
      <c r="H106" s="255"/>
      <c r="I106" s="255" t="s">
        <v>154</v>
      </c>
      <c r="J106" s="269"/>
      <c r="K106" s="269"/>
      <c r="L106" s="269"/>
      <c r="M106" s="269"/>
      <c r="N106" s="269"/>
      <c r="O106" s="269"/>
      <c r="P106" s="269"/>
      <c r="Q106" s="267">
        <f>'Service model charges'!$Q$44</f>
        <v>1.0020473814075446</v>
      </c>
      <c r="R106" s="269"/>
      <c r="S106" s="269"/>
      <c r="T106" s="269"/>
      <c r="U106" s="269"/>
      <c r="V106" s="269"/>
      <c r="W106" s="269"/>
      <c r="X106" s="269"/>
      <c r="Y106" s="269"/>
      <c r="Z106" s="256"/>
      <c r="AA106" s="256" t="s">
        <v>653</v>
      </c>
    </row>
    <row r="107" spans="3:42" x14ac:dyDescent="0.2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control'!$H$36:$H$59,MATCH($A$1,'Version control'!$F$36:$F$59,0),1)&amp;"-D: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120</v>
      </c>
      <c r="H111" s="13"/>
      <c r="I111" t="s">
        <v>154</v>
      </c>
      <c r="J111" s="53"/>
      <c r="L111" s="53"/>
      <c r="AA111" t="s">
        <v>203</v>
      </c>
      <c r="AP111" s="3"/>
    </row>
    <row r="112" spans="3:42" x14ac:dyDescent="0.2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0.13851312583363759</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control'!$H$36:$H$59,MATCH($A$1,'Version control'!$F$36:$F$59,0),1)&amp;"-E: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154</v>
      </c>
      <c r="AA125" t="s">
        <v>655</v>
      </c>
    </row>
    <row r="126" spans="2:42" x14ac:dyDescent="0.25">
      <c r="E126" s="27" t="s">
        <v>620</v>
      </c>
    </row>
    <row r="127" spans="2:42" x14ac:dyDescent="0.25">
      <c r="F127" s="19" t="s">
        <v>189</v>
      </c>
      <c r="G127" s="19" t="s">
        <v>269</v>
      </c>
      <c r="H127" s="255"/>
      <c r="I127" s="255"/>
      <c r="J127" s="421">
        <f t="shared" ref="J127:K127" si="0">J22 * (1 - J$112)</f>
        <v>0</v>
      </c>
      <c r="K127" s="421">
        <f t="shared" si="0"/>
        <v>0</v>
      </c>
      <c r="L127" s="421">
        <f t="shared" ref="L127:M127" si="1">L22 * (1 - L$112)</f>
        <v>0</v>
      </c>
      <c r="M127" s="421">
        <f t="shared" si="1"/>
        <v>0</v>
      </c>
      <c r="N127" s="421">
        <f t="shared" ref="N127:P127" si="2">N22 * (1 - N$112)</f>
        <v>0</v>
      </c>
      <c r="O127" s="421">
        <f t="shared" si="2"/>
        <v>0</v>
      </c>
      <c r="P127" s="421">
        <f t="shared" si="2"/>
        <v>0</v>
      </c>
      <c r="Q127" s="421">
        <f t="shared" ref="Q127:S127" si="3">Q22 * (1 - Q$112)</f>
        <v>0</v>
      </c>
      <c r="R127" s="421">
        <f t="shared" si="3"/>
        <v>0</v>
      </c>
      <c r="S127" s="421">
        <f t="shared" si="3"/>
        <v>0</v>
      </c>
      <c r="T127" s="421">
        <f t="shared" ref="T127:U127" si="4">T22 * (1 - T$112)</f>
        <v>0</v>
      </c>
      <c r="U127" s="421">
        <f t="shared" si="4"/>
        <v>0</v>
      </c>
      <c r="V127" s="421">
        <f t="shared" ref="V127:W127" si="5">V22 * (1 - V$112)</f>
        <v>0</v>
      </c>
      <c r="W127" s="421">
        <f t="shared" si="5"/>
        <v>0</v>
      </c>
      <c r="X127" s="421">
        <f t="shared" ref="X127:Y127" si="6">X22 * (1 - X$112)</f>
        <v>0</v>
      </c>
      <c r="Y127" s="421">
        <f t="shared" si="6"/>
        <v>0</v>
      </c>
      <c r="Z127" s="256"/>
      <c r="AA127" s="256"/>
    </row>
    <row r="128" spans="2:42" x14ac:dyDescent="0.2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192</v>
      </c>
      <c r="G129" t="s">
        <v>269</v>
      </c>
      <c r="H129" s="256"/>
      <c r="I129" s="256"/>
      <c r="J129" s="271">
        <f t="shared" ref="J129:K129" si="14">J24 * (1 - J$113)</f>
        <v>0.57914722296594423</v>
      </c>
      <c r="K129" s="271">
        <f t="shared" si="14"/>
        <v>0.57914722296594423</v>
      </c>
      <c r="L129" s="271">
        <f t="shared" ref="L129:M129" si="15">L24 * (1 - L$113)</f>
        <v>0.53693091398249704</v>
      </c>
      <c r="M129" s="271">
        <f t="shared" si="15"/>
        <v>0.53693091398249704</v>
      </c>
      <c r="N129" s="271">
        <f t="shared" ref="N129:P129" si="16">N24 * (1 - N$113)</f>
        <v>0.54625784071422967</v>
      </c>
      <c r="O129" s="271">
        <f t="shared" si="16"/>
        <v>0.4711132112527725</v>
      </c>
      <c r="P129" s="271">
        <f t="shared" si="16"/>
        <v>0.33225840976674648</v>
      </c>
      <c r="Q129" s="271">
        <f t="shared" ref="Q129:S129" si="17">Q24 * (1 - Q$113)</f>
        <v>1.2716064300441328</v>
      </c>
      <c r="R129" s="271">
        <f t="shared" si="17"/>
        <v>-0.36989782536150556</v>
      </c>
      <c r="S129" s="271">
        <f t="shared" si="17"/>
        <v>-0.36245248944389058</v>
      </c>
      <c r="T129" s="271">
        <f t="shared" ref="T129:U129" si="18">T24 * (1 - T$113)</f>
        <v>-0.36989782536150556</v>
      </c>
      <c r="U129" s="271">
        <f t="shared" si="18"/>
        <v>-0.36989782536150556</v>
      </c>
      <c r="V129" s="271">
        <f t="shared" ref="V129:W129" si="19">V24 * (1 - V$113)</f>
        <v>-0.36245248944389058</v>
      </c>
      <c r="W129" s="271">
        <f t="shared" si="19"/>
        <v>-0.36245248944389058</v>
      </c>
      <c r="X129" s="271">
        <f t="shared" ref="X129:Y129" si="20">X24 * (1 - X$113)</f>
        <v>-0.35669927532573364</v>
      </c>
      <c r="Y129" s="271">
        <f t="shared" si="20"/>
        <v>-0.35669927532573364</v>
      </c>
      <c r="Z129" s="256"/>
      <c r="AA129" s="256"/>
    </row>
    <row r="130" spans="4:27" x14ac:dyDescent="0.25">
      <c r="F130" t="s">
        <v>193</v>
      </c>
      <c r="G130" t="s">
        <v>269</v>
      </c>
      <c r="H130" s="256"/>
      <c r="I130" s="256"/>
      <c r="J130" s="271">
        <f t="shared" ref="J130:K130" si="21">J25 * (1 - J$114)</f>
        <v>0.13711148648673901</v>
      </c>
      <c r="K130" s="271">
        <f t="shared" si="21"/>
        <v>0.13711148648673901</v>
      </c>
      <c r="L130" s="271">
        <f t="shared" ref="L130:M130" si="22">L25 * (1 - L$114)</f>
        <v>0.12711689331738821</v>
      </c>
      <c r="M130" s="271">
        <f t="shared" si="22"/>
        <v>0.12711689331738821</v>
      </c>
      <c r="N130" s="271">
        <f t="shared" ref="N130:P130" si="23">N25 * (1 - N$114)</f>
        <v>0.12932501715503972</v>
      </c>
      <c r="O130" s="271">
        <f t="shared" si="23"/>
        <v>0.1115347361377353</v>
      </c>
      <c r="P130" s="271">
        <f t="shared" si="23"/>
        <v>9.1308703944442418E-2</v>
      </c>
      <c r="Q130" s="271">
        <f t="shared" ref="Q130:S130" si="24">Q25 * (1 - Q$114)</f>
        <v>0.30104926853754255</v>
      </c>
      <c r="R130" s="271">
        <f t="shared" si="24"/>
        <v>-8.7572276395963253E-2</v>
      </c>
      <c r="S130" s="271">
        <f t="shared" si="24"/>
        <v>-8.580961392504724E-2</v>
      </c>
      <c r="T130" s="271">
        <f t="shared" ref="T130:U130" si="25">T25 * (1 - T$114)</f>
        <v>-8.7572276395963253E-2</v>
      </c>
      <c r="U130" s="271">
        <f t="shared" si="25"/>
        <v>-8.7572276395963253E-2</v>
      </c>
      <c r="V130" s="271">
        <f t="shared" ref="V130:W130" si="26">V25 * (1 - V$114)</f>
        <v>-8.580961392504724E-2</v>
      </c>
      <c r="W130" s="271">
        <f t="shared" si="26"/>
        <v>-8.580961392504724E-2</v>
      </c>
      <c r="X130" s="271">
        <f t="shared" ref="X130:Y130" si="27">X25 * (1 - X$114)</f>
        <v>-8.4447556561157613E-2</v>
      </c>
      <c r="Y130" s="271">
        <f t="shared" si="27"/>
        <v>-8.4447556561157613E-2</v>
      </c>
      <c r="Z130" s="256"/>
      <c r="AA130" s="256"/>
    </row>
    <row r="131" spans="4:27" x14ac:dyDescent="0.25">
      <c r="F131" t="s">
        <v>194</v>
      </c>
      <c r="G131" t="s">
        <v>269</v>
      </c>
      <c r="H131" s="256"/>
      <c r="I131" s="256"/>
      <c r="J131" s="271">
        <f t="shared" ref="J131:K131" si="28">J26 * (1 - J$115)</f>
        <v>0.14879616737904044</v>
      </c>
      <c r="K131" s="271">
        <f t="shared" si="28"/>
        <v>0.14879616737904044</v>
      </c>
      <c r="L131" s="271">
        <f t="shared" ref="L131:M131" si="29">L26 * (1 - L$115)</f>
        <v>0.13794983206302763</v>
      </c>
      <c r="M131" s="271">
        <f t="shared" si="29"/>
        <v>0.13794983206302763</v>
      </c>
      <c r="N131" s="271">
        <f t="shared" ref="N131:P131" si="30">N26 * (1 - N$115)</f>
        <v>0.14034613285853109</v>
      </c>
      <c r="O131" s="271">
        <f t="shared" si="30"/>
        <v>0.12103975890110914</v>
      </c>
      <c r="P131" s="271">
        <f t="shared" si="30"/>
        <v>7.9272046673315236E-2</v>
      </c>
      <c r="Q131" s="271">
        <f t="shared" ref="Q131:S131" si="31">Q26 * (1 - Q$115)</f>
        <v>0.33258624601524944</v>
      </c>
      <c r="R131" s="271">
        <f t="shared" si="31"/>
        <v>-9.5035211347063914E-2</v>
      </c>
      <c r="S131" s="271">
        <f t="shared" si="31"/>
        <v>-9.3122334265970233E-2</v>
      </c>
      <c r="T131" s="271">
        <f t="shared" ref="T131:U131" si="32">T26 * (1 - T$115)</f>
        <v>-9.5035211347063914E-2</v>
      </c>
      <c r="U131" s="271">
        <f t="shared" si="32"/>
        <v>-9.5035211347063914E-2</v>
      </c>
      <c r="V131" s="271">
        <f t="shared" ref="V131:W131" si="33">V26 * (1 - V$115)</f>
        <v>-9.3122334265970233E-2</v>
      </c>
      <c r="W131" s="271">
        <f t="shared" si="33"/>
        <v>-9.3122334265970233E-2</v>
      </c>
      <c r="X131" s="271">
        <f t="shared" ref="X131:Y131" si="34">X26 * (1 - X$115)</f>
        <v>-9.1644201976034206E-2</v>
      </c>
      <c r="Y131" s="271">
        <f t="shared" si="34"/>
        <v>-9.1644201976034206E-2</v>
      </c>
      <c r="Z131" s="256"/>
      <c r="AA131" s="256"/>
    </row>
    <row r="132" spans="4:27" x14ac:dyDescent="0.25">
      <c r="F132" t="s">
        <v>195</v>
      </c>
      <c r="G132" t="s">
        <v>269</v>
      </c>
      <c r="H132" s="256"/>
      <c r="I132" s="256"/>
      <c r="J132" s="271">
        <f t="shared" ref="J132:K132" si="35">J27 * (1 - J$116)</f>
        <v>0.28683260732530241</v>
      </c>
      <c r="K132" s="271">
        <f t="shared" si="35"/>
        <v>0.28683260732530241</v>
      </c>
      <c r="L132" s="271">
        <f t="shared" ref="L132:M132" si="36">L27 * (1 - L$116)</f>
        <v>0.26592425536021885</v>
      </c>
      <c r="M132" s="271">
        <f t="shared" si="36"/>
        <v>0.26592425536021885</v>
      </c>
      <c r="N132" s="271">
        <f t="shared" ref="N132:P132" si="37">N27 * (1 - N$116)</f>
        <v>0.27054357598666384</v>
      </c>
      <c r="O132" s="271">
        <f t="shared" si="37"/>
        <v>0.23332690785771906</v>
      </c>
      <c r="P132" s="271">
        <f t="shared" si="37"/>
        <v>0</v>
      </c>
      <c r="Q132" s="271">
        <f t="shared" ref="Q132:S132" si="38">Q27 * (1 - Q$116)</f>
        <v>0.64112256239824428</v>
      </c>
      <c r="R132" s="271">
        <f t="shared" si="38"/>
        <v>-0.18319824991829234</v>
      </c>
      <c r="S132" s="271">
        <f t="shared" si="38"/>
        <v>-0.17951081945333128</v>
      </c>
      <c r="T132" s="271">
        <f t="shared" ref="T132:U132" si="39">T27 * (1 - T$116)</f>
        <v>-0.18319824991829234</v>
      </c>
      <c r="U132" s="271">
        <f t="shared" si="39"/>
        <v>-0.18319824991829234</v>
      </c>
      <c r="V132" s="271">
        <f t="shared" ref="V132:W132" si="40">V27 * (1 - V$116)</f>
        <v>-0.17951081945333128</v>
      </c>
      <c r="W132" s="271">
        <f t="shared" si="40"/>
        <v>-0.17951081945333128</v>
      </c>
      <c r="X132" s="271">
        <f t="shared" ref="X132:Y132" si="41">X27 * (1 - X$116)</f>
        <v>-0.13114619867691216</v>
      </c>
      <c r="Y132" s="271">
        <f t="shared" si="41"/>
        <v>-0.13114619867691216</v>
      </c>
      <c r="Z132" s="256"/>
      <c r="AA132" s="256"/>
    </row>
    <row r="133" spans="4:27" x14ac:dyDescent="0.25">
      <c r="F133" t="s">
        <v>196</v>
      </c>
      <c r="G133" t="s">
        <v>269</v>
      </c>
      <c r="H133" s="256"/>
      <c r="I133" s="256"/>
      <c r="J133" s="271">
        <f t="shared" ref="J133:K133" si="42">J28 * (1 - J$117)</f>
        <v>0.28681786069558696</v>
      </c>
      <c r="K133" s="271">
        <f t="shared" si="42"/>
        <v>0.28681786069558696</v>
      </c>
      <c r="L133" s="271">
        <f t="shared" ref="L133:M133" si="43">L28 * (1 - L$117)</f>
        <v>0.26591058367009007</v>
      </c>
      <c r="M133" s="271">
        <f t="shared" si="43"/>
        <v>0.26591058367009007</v>
      </c>
      <c r="N133" s="271">
        <f t="shared" ref="N133:P133" si="44">N28 * (1 - N$117)</f>
        <v>0.27052966680815665</v>
      </c>
      <c r="O133" s="271">
        <f t="shared" si="44"/>
        <v>0.23331491206147784</v>
      </c>
      <c r="P133" s="271">
        <f t="shared" si="44"/>
        <v>0</v>
      </c>
      <c r="Q133" s="271">
        <f t="shared" ref="Q133:S133" si="45">Q28 * (1 - Q$117)</f>
        <v>0.62975254209836284</v>
      </c>
      <c r="R133" s="271">
        <f t="shared" si="45"/>
        <v>-0.18318883133516381</v>
      </c>
      <c r="S133" s="271">
        <f t="shared" si="45"/>
        <v>-0.17950159044827121</v>
      </c>
      <c r="T133" s="271">
        <f t="shared" ref="T133:U133" si="46">T28 * (1 - T$117)</f>
        <v>-0.18318883133516381</v>
      </c>
      <c r="U133" s="271">
        <f t="shared" si="46"/>
        <v>-0.18318883133516381</v>
      </c>
      <c r="V133" s="271">
        <f t="shared" ref="V133:W133" si="47">V28 * (1 - V$117)</f>
        <v>-0.17950159044827121</v>
      </c>
      <c r="W133" s="271">
        <f t="shared" si="47"/>
        <v>-0.17950159044827121</v>
      </c>
      <c r="X133" s="271">
        <f t="shared" ref="X133:Y133" si="48">X28 * (1 - X$117)</f>
        <v>-0.13113945619233722</v>
      </c>
      <c r="Y133" s="271">
        <f t="shared" si="48"/>
        <v>-0.13113945619233722</v>
      </c>
      <c r="Z133" s="256"/>
      <c r="AA133" s="256"/>
    </row>
    <row r="134" spans="4:27" x14ac:dyDescent="0.25">
      <c r="F134" t="s">
        <v>197</v>
      </c>
      <c r="G134" t="s">
        <v>269</v>
      </c>
      <c r="H134" s="256"/>
      <c r="I134" s="256"/>
      <c r="J134" s="271">
        <f t="shared" ref="J134:K134" si="49">J29 * (1 - J$118)</f>
        <v>1.1222819547139444</v>
      </c>
      <c r="K134" s="271">
        <f t="shared" si="49"/>
        <v>1.1222819547139444</v>
      </c>
      <c r="L134" s="271">
        <f t="shared" ref="L134:M134" si="50">L29 * (1 - L$118)</f>
        <v>1.0404744282544127</v>
      </c>
      <c r="M134" s="271">
        <f t="shared" si="50"/>
        <v>1.0404744282544127</v>
      </c>
      <c r="N134" s="271">
        <f t="shared" ref="N134:P134" si="51">N29 * (1 - N$118)</f>
        <v>0.84683865234126687</v>
      </c>
      <c r="O134" s="271">
        <f t="shared" si="51"/>
        <v>0</v>
      </c>
      <c r="P134" s="271">
        <f t="shared" si="51"/>
        <v>0</v>
      </c>
      <c r="Q134" s="271">
        <f t="shared" ref="Q134:S134" si="52">Q29 * (1 - Q$118)</f>
        <v>2.5085023953482821</v>
      </c>
      <c r="R134" s="271">
        <f t="shared" si="52"/>
        <v>-0.71679469058864631</v>
      </c>
      <c r="S134" s="271">
        <f t="shared" si="52"/>
        <v>-0.70236698409921328</v>
      </c>
      <c r="T134" s="271">
        <f t="shared" ref="T134:U134" si="53">T29 * (1 - T$118)</f>
        <v>-0.71679469058864631</v>
      </c>
      <c r="U134" s="271">
        <f t="shared" si="53"/>
        <v>-0.71679469058864631</v>
      </c>
      <c r="V134" s="271">
        <f t="shared" ref="V134:W134" si="54">V29 * (1 - V$118)</f>
        <v>-0.70236698409921328</v>
      </c>
      <c r="W134" s="271">
        <f t="shared" si="54"/>
        <v>-0.70236698409921328</v>
      </c>
      <c r="X134" s="271">
        <f t="shared" ref="X134:Y134" si="55">X29 * (1 - X$118)</f>
        <v>0</v>
      </c>
      <c r="Y134" s="271">
        <f t="shared" si="55"/>
        <v>0</v>
      </c>
      <c r="Z134" s="256"/>
      <c r="AA134" s="256"/>
    </row>
    <row r="135" spans="4:27" x14ac:dyDescent="0.25">
      <c r="F135" t="s">
        <v>198</v>
      </c>
      <c r="G135" t="s">
        <v>269</v>
      </c>
      <c r="H135" s="256"/>
      <c r="I135" s="256"/>
      <c r="J135" s="271">
        <f t="shared" ref="J135:K135" si="56">J30 * (1 - J$119)</f>
        <v>0.31992134636833586</v>
      </c>
      <c r="K135" s="271">
        <f t="shared" si="56"/>
        <v>0.31992134636833586</v>
      </c>
      <c r="L135" s="271">
        <f t="shared" ref="L135:M135" si="57">L30 * (1 - L$119)</f>
        <v>0.29660102664113547</v>
      </c>
      <c r="M135" s="271">
        <f t="shared" si="57"/>
        <v>0.29660102664113547</v>
      </c>
      <c r="N135" s="271">
        <f t="shared" ref="N135:P135" si="58">N30 * (1 - N$119)</f>
        <v>0</v>
      </c>
      <c r="O135" s="271">
        <f t="shared" si="58"/>
        <v>0</v>
      </c>
      <c r="P135" s="271">
        <f t="shared" si="58"/>
        <v>0</v>
      </c>
      <c r="Q135" s="271">
        <f t="shared" ref="Q135:S135" si="59">Q30 * (1 - Q$119)</f>
        <v>0.71508185649529676</v>
      </c>
      <c r="R135" s="271">
        <f t="shared" si="59"/>
        <v>-0.2043318272378751</v>
      </c>
      <c r="S135" s="271">
        <f t="shared" si="59"/>
        <v>0</v>
      </c>
      <c r="T135" s="271">
        <f t="shared" ref="T135:U135" si="60">T30 * (1 - T$119)</f>
        <v>-0.2043318272378751</v>
      </c>
      <c r="U135" s="271">
        <f t="shared" si="60"/>
        <v>-0.2043318272378751</v>
      </c>
      <c r="V135" s="271">
        <f t="shared" ref="V135:W135" si="61">V30 * (1 - V$119)</f>
        <v>0</v>
      </c>
      <c r="W135" s="271">
        <f t="shared" si="61"/>
        <v>0</v>
      </c>
      <c r="X135" s="271">
        <f t="shared" ref="X135:Y135" si="62">X30 * (1 - X$119)</f>
        <v>0</v>
      </c>
      <c r="Y135" s="271">
        <f t="shared" si="62"/>
        <v>0</v>
      </c>
      <c r="Z135" s="256"/>
      <c r="AA135" s="256"/>
    </row>
    <row r="136" spans="4:27" x14ac:dyDescent="0.2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0.47746252881399354</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189</v>
      </c>
      <c r="G141" s="19" t="s">
        <v>269</v>
      </c>
      <c r="H141" s="255"/>
      <c r="I141" s="255"/>
      <c r="J141" s="421">
        <f t="shared" ref="J141:K141" si="70">J36 * (1 - J$112)</f>
        <v>0.43333773154288502</v>
      </c>
      <c r="K141" s="421">
        <f t="shared" si="70"/>
        <v>0.43333773154288502</v>
      </c>
      <c r="L141" s="421">
        <f t="shared" ref="L141:M141" si="71">L36 * (1 - L$112)</f>
        <v>0.40175004736939768</v>
      </c>
      <c r="M141" s="421">
        <f t="shared" si="71"/>
        <v>0.40175004736939768</v>
      </c>
      <c r="N141" s="421">
        <f t="shared" ref="N141:P141" si="72">N36 * (1 - N$112)</f>
        <v>0.40872877248785244</v>
      </c>
      <c r="O141" s="421">
        <f t="shared" si="72"/>
        <v>0.35250299434858068</v>
      </c>
      <c r="P141" s="421">
        <f t="shared" si="72"/>
        <v>0.28857908007023469</v>
      </c>
      <c r="Q141" s="421">
        <f t="shared" ref="Q141:S141" si="73">Q36 * (1 - Q$112)</f>
        <v>0.93607067725868043</v>
      </c>
      <c r="R141" s="421">
        <f t="shared" si="73"/>
        <v>-0.27677018586727592</v>
      </c>
      <c r="S141" s="421">
        <f t="shared" si="73"/>
        <v>-0.27119933125695567</v>
      </c>
      <c r="T141" s="421">
        <f t="shared" ref="T141:U141" si="74">T36 * (1 - T$112)</f>
        <v>-0.27677018586727592</v>
      </c>
      <c r="U141" s="421">
        <f t="shared" si="74"/>
        <v>-0.27677018586727592</v>
      </c>
      <c r="V141" s="421">
        <f t="shared" ref="V141:W141" si="75">V36 * (1 - V$112)</f>
        <v>-0.27119933125695567</v>
      </c>
      <c r="W141" s="421">
        <f t="shared" si="75"/>
        <v>-0.27119933125695567</v>
      </c>
      <c r="X141" s="421">
        <f t="shared" ref="X141:Y141" si="76">X36 * (1 - X$112)</f>
        <v>-0.26689457996716276</v>
      </c>
      <c r="Y141" s="421">
        <f t="shared" si="76"/>
        <v>-0.26689457996716276</v>
      </c>
      <c r="Z141" s="256"/>
      <c r="AA141" s="256"/>
    </row>
    <row r="142" spans="4:27" x14ac:dyDescent="0.2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192</v>
      </c>
      <c r="G143" t="s">
        <v>269</v>
      </c>
      <c r="H143" s="256"/>
      <c r="I143" s="256"/>
      <c r="J143" s="271">
        <f t="shared" ref="J143:K143" si="84">J38 * (1 - J$113)</f>
        <v>0.45111468254762765</v>
      </c>
      <c r="K143" s="271">
        <f t="shared" si="84"/>
        <v>0.45111468254762765</v>
      </c>
      <c r="L143" s="271">
        <f t="shared" ref="L143:M143" si="85">L38 * (1 - L$113)</f>
        <v>0.41823116680206357</v>
      </c>
      <c r="M143" s="271">
        <f t="shared" si="85"/>
        <v>0.41823116680206357</v>
      </c>
      <c r="N143" s="271">
        <f t="shared" ref="N143:P143" si="86">N38 * (1 - N$113)</f>
        <v>0.4254961823713051</v>
      </c>
      <c r="O143" s="271">
        <f t="shared" si="86"/>
        <v>0.36696383632799556</v>
      </c>
      <c r="P143" s="271">
        <f t="shared" si="86"/>
        <v>0.25880577701487012</v>
      </c>
      <c r="Q143" s="271">
        <f t="shared" ref="Q143:S143" si="87">Q38 * (1 - Q$113)</f>
        <v>0.99049137812858512</v>
      </c>
      <c r="R143" s="271">
        <f t="shared" si="87"/>
        <v>-0.28812421685880324</v>
      </c>
      <c r="S143" s="271">
        <f t="shared" si="87"/>
        <v>-0.28232482731544212</v>
      </c>
      <c r="T143" s="271">
        <f t="shared" ref="T143:U143" si="88">T38 * (1 - T$113)</f>
        <v>-0.28812421685880324</v>
      </c>
      <c r="U143" s="271">
        <f t="shared" si="88"/>
        <v>-0.28812421685880324</v>
      </c>
      <c r="V143" s="271">
        <f t="shared" ref="V143:W143" si="89">V38 * (1 - V$113)</f>
        <v>-0.28232482731544212</v>
      </c>
      <c r="W143" s="271">
        <f t="shared" si="89"/>
        <v>-0.28232482731544212</v>
      </c>
      <c r="X143" s="271">
        <f t="shared" ref="X143:Y143" si="90">X38 * (1 - X$113)</f>
        <v>-0.27784348085011767</v>
      </c>
      <c r="Y143" s="271">
        <f t="shared" si="90"/>
        <v>-0.27784348085011767</v>
      </c>
      <c r="Z143" s="256"/>
      <c r="AA143" s="256"/>
    </row>
    <row r="144" spans="4:27" x14ac:dyDescent="0.25">
      <c r="F144" t="s">
        <v>193</v>
      </c>
      <c r="G144" t="s">
        <v>269</v>
      </c>
      <c r="H144" s="256"/>
      <c r="I144" s="256"/>
      <c r="J144" s="271">
        <f t="shared" ref="J144:K144" si="91">J39 * (1 - J$114)</f>
        <v>0.10680014035694646</v>
      </c>
      <c r="K144" s="271">
        <f t="shared" si="91"/>
        <v>0.10680014035694646</v>
      </c>
      <c r="L144" s="271">
        <f t="shared" ref="L144:M144" si="92">L39 * (1 - L$114)</f>
        <v>9.9015059904183064E-2</v>
      </c>
      <c r="M144" s="271">
        <f t="shared" si="92"/>
        <v>9.9015059904183064E-2</v>
      </c>
      <c r="N144" s="271">
        <f t="shared" ref="N144:P144" si="93">N39 * (1 - N$114)</f>
        <v>0.10073503203656534</v>
      </c>
      <c r="O144" s="271">
        <f t="shared" si="93"/>
        <v>8.6877662691937946E-2</v>
      </c>
      <c r="P144" s="271">
        <f t="shared" si="93"/>
        <v>7.1123015634583481E-2</v>
      </c>
      <c r="Q144" s="271">
        <f t="shared" ref="Q144:S144" si="94">Q39 * (1 - Q$114)</f>
        <v>0.2344960656325118</v>
      </c>
      <c r="R144" s="271">
        <f t="shared" si="94"/>
        <v>-6.8212603116739962E-2</v>
      </c>
      <c r="S144" s="271">
        <f t="shared" si="94"/>
        <v>-6.6839613849980342E-2</v>
      </c>
      <c r="T144" s="271">
        <f t="shared" ref="T144:U144" si="95">T39 * (1 - T$114)</f>
        <v>-6.8212603116739962E-2</v>
      </c>
      <c r="U144" s="271">
        <f t="shared" si="95"/>
        <v>-6.8212603116739962E-2</v>
      </c>
      <c r="V144" s="271">
        <f t="shared" ref="V144:W144" si="96">V39 * (1 - V$114)</f>
        <v>-6.6839613849980342E-2</v>
      </c>
      <c r="W144" s="271">
        <f t="shared" si="96"/>
        <v>-6.6839613849980342E-2</v>
      </c>
      <c r="X144" s="271">
        <f t="shared" ref="X144:Y144" si="97">X39 * (1 - X$114)</f>
        <v>-6.5778667598393348E-2</v>
      </c>
      <c r="Y144" s="271">
        <f t="shared" si="97"/>
        <v>-6.5778667598393348E-2</v>
      </c>
      <c r="Z144" s="256"/>
      <c r="AA144" s="256"/>
    </row>
    <row r="145" spans="3:27" x14ac:dyDescent="0.25">
      <c r="F145" t="s">
        <v>194</v>
      </c>
      <c r="G145" t="s">
        <v>269</v>
      </c>
      <c r="H145" s="256"/>
      <c r="I145" s="256"/>
      <c r="J145" s="271">
        <f t="shared" ref="J145:K145" si="98">J40 * (1 - J$115)</f>
        <v>0.11590167948616173</v>
      </c>
      <c r="K145" s="271">
        <f t="shared" si="98"/>
        <v>0.11590167948616173</v>
      </c>
      <c r="L145" s="271">
        <f t="shared" ref="L145:M145" si="99">L40 * (1 - L$115)</f>
        <v>0.10745315220525656</v>
      </c>
      <c r="M145" s="271">
        <f t="shared" si="99"/>
        <v>0.10745315220525656</v>
      </c>
      <c r="N145" s="271">
        <f t="shared" ref="N145:P145" si="100">N40 * (1 - N$115)</f>
        <v>0.10931970086470813</v>
      </c>
      <c r="O145" s="271">
        <f t="shared" si="100"/>
        <v>9.4281402460469149E-2</v>
      </c>
      <c r="P145" s="271">
        <f t="shared" si="100"/>
        <v>6.1747311826506293E-2</v>
      </c>
      <c r="Q145" s="271">
        <f t="shared" ref="Q145:S145" si="101">Q40 * (1 - Q$115)</f>
        <v>0.25906113824135346</v>
      </c>
      <c r="R145" s="271">
        <f t="shared" si="101"/>
        <v>-7.4025701061159105E-2</v>
      </c>
      <c r="S145" s="271">
        <f t="shared" si="101"/>
        <v>-7.2535705248400195E-2</v>
      </c>
      <c r="T145" s="271">
        <f t="shared" ref="T145:U145" si="102">T40 * (1 - T$115)</f>
        <v>-7.4025701061159105E-2</v>
      </c>
      <c r="U145" s="271">
        <f t="shared" si="102"/>
        <v>-7.4025701061159105E-2</v>
      </c>
      <c r="V145" s="271">
        <f t="shared" ref="V145:W145" si="103">V40 * (1 - V$115)</f>
        <v>-7.2535705248400195E-2</v>
      </c>
      <c r="W145" s="271">
        <f t="shared" si="103"/>
        <v>-7.2535705248400195E-2</v>
      </c>
      <c r="X145" s="271">
        <f t="shared" ref="X145:Y145" si="104">X40 * (1 - X$115)</f>
        <v>-7.1384344847631925E-2</v>
      </c>
      <c r="Y145" s="271">
        <f t="shared" si="104"/>
        <v>-7.1384344847631925E-2</v>
      </c>
      <c r="Z145" s="256"/>
      <c r="AA145" s="256"/>
    </row>
    <row r="146" spans="3:27" x14ac:dyDescent="0.25">
      <c r="F146" t="s">
        <v>195</v>
      </c>
      <c r="G146" t="s">
        <v>269</v>
      </c>
      <c r="H146" s="256"/>
      <c r="I146" s="256"/>
      <c r="J146" s="271">
        <f t="shared" ref="J146:K146" si="105">J41 * (1 - J$116)</f>
        <v>0.22342229310054201</v>
      </c>
      <c r="K146" s="271">
        <f t="shared" si="105"/>
        <v>0.22342229310054201</v>
      </c>
      <c r="L146" s="271">
        <f t="shared" ref="L146:M146" si="106">L41 * (1 - L$116)</f>
        <v>0.20713616724981443</v>
      </c>
      <c r="M146" s="271">
        <f t="shared" si="106"/>
        <v>0.20713616724981443</v>
      </c>
      <c r="N146" s="271">
        <f t="shared" ref="N146:P146" si="107">N41 * (1 - N$116)</f>
        <v>0.21073429096577151</v>
      </c>
      <c r="O146" s="271">
        <f t="shared" si="107"/>
        <v>0.18174514146680801</v>
      </c>
      <c r="P146" s="271">
        <f t="shared" si="107"/>
        <v>0</v>
      </c>
      <c r="Q146" s="271">
        <f t="shared" ref="Q146:S146" si="108">Q41 * (1 - Q$116)</f>
        <v>0.49938908405576982</v>
      </c>
      <c r="R146" s="271">
        <f t="shared" si="108"/>
        <v>-0.14269846608593875</v>
      </c>
      <c r="S146" s="271">
        <f t="shared" si="108"/>
        <v>-0.1398262188271184</v>
      </c>
      <c r="T146" s="271">
        <f t="shared" ref="T146:U146" si="109">T41 * (1 - T$116)</f>
        <v>-0.14269846608593875</v>
      </c>
      <c r="U146" s="271">
        <f t="shared" si="109"/>
        <v>-0.14269846608593875</v>
      </c>
      <c r="V146" s="271">
        <f t="shared" ref="V146:W146" si="110">V41 * (1 - V$116)</f>
        <v>-0.1398262188271184</v>
      </c>
      <c r="W146" s="271">
        <f t="shared" si="110"/>
        <v>-0.1398262188271184</v>
      </c>
      <c r="X146" s="271">
        <f t="shared" ref="X146:Y146" si="111">X41 * (1 - X$116)</f>
        <v>-0.13760675503621175</v>
      </c>
      <c r="Y146" s="271">
        <f t="shared" si="111"/>
        <v>-0.13760675503621175</v>
      </c>
      <c r="Z146" s="256"/>
      <c r="AA146" s="256"/>
    </row>
    <row r="147" spans="3:27" x14ac:dyDescent="0.25">
      <c r="F147" t="s">
        <v>196</v>
      </c>
      <c r="G147" t="s">
        <v>269</v>
      </c>
      <c r="H147" s="256"/>
      <c r="I147" s="256"/>
      <c r="J147" s="271">
        <f t="shared" ref="J147:K147" si="112">J42 * (1 - J$117)</f>
        <v>0.22341080652006831</v>
      </c>
      <c r="K147" s="271">
        <f t="shared" si="112"/>
        <v>0.22341080652006831</v>
      </c>
      <c r="L147" s="271">
        <f t="shared" ref="L147:M147" si="113">L42 * (1 - L$117)</f>
        <v>0.2071255179711721</v>
      </c>
      <c r="M147" s="271">
        <f t="shared" si="113"/>
        <v>0.2071255179711721</v>
      </c>
      <c r="N147" s="271">
        <f t="shared" ref="N147:P147" si="114">N42 * (1 - N$117)</f>
        <v>0.21072345670049672</v>
      </c>
      <c r="O147" s="271">
        <f t="shared" si="114"/>
        <v>0.18173579759084918</v>
      </c>
      <c r="P147" s="271">
        <f t="shared" si="114"/>
        <v>0</v>
      </c>
      <c r="Q147" s="271">
        <f t="shared" ref="Q147:S147" si="115">Q42 * (1 - Q$117)</f>
        <v>0.49053264324979767</v>
      </c>
      <c r="R147" s="271">
        <f t="shared" si="115"/>
        <v>-0.14269112967652578</v>
      </c>
      <c r="S147" s="271">
        <f t="shared" si="115"/>
        <v>-0.13981903008559846</v>
      </c>
      <c r="T147" s="271">
        <f t="shared" ref="T147:U147" si="116">T42 * (1 - T$117)</f>
        <v>-0.14269112967652578</v>
      </c>
      <c r="U147" s="271">
        <f t="shared" si="116"/>
        <v>-0.14269112967652578</v>
      </c>
      <c r="V147" s="271">
        <f t="shared" ref="V147:W147" si="117">V42 * (1 - V$117)</f>
        <v>-0.13981903008559846</v>
      </c>
      <c r="W147" s="271">
        <f t="shared" si="117"/>
        <v>-0.13981903008559846</v>
      </c>
      <c r="X147" s="271">
        <f t="shared" ref="X147:Y147" si="118">X42 * (1 - X$117)</f>
        <v>-0.13759968040170006</v>
      </c>
      <c r="Y147" s="271">
        <f t="shared" si="118"/>
        <v>-0.13759968040170006</v>
      </c>
      <c r="Z147" s="256"/>
      <c r="AA147" s="256"/>
    </row>
    <row r="148" spans="3:27" x14ac:dyDescent="0.25">
      <c r="F148" t="s">
        <v>197</v>
      </c>
      <c r="G148" t="s">
        <v>269</v>
      </c>
      <c r="H148" s="256"/>
      <c r="I148" s="256"/>
      <c r="J148" s="271">
        <f t="shared" ref="J148:K148" si="119">J43 * (1 - J$118)</f>
        <v>1.4257159783503079</v>
      </c>
      <c r="K148" s="271">
        <f t="shared" si="119"/>
        <v>1.4257159783503079</v>
      </c>
      <c r="L148" s="271">
        <f t="shared" ref="L148:M148" si="120">L43 * (1 - L$118)</f>
        <v>1.321789957680753</v>
      </c>
      <c r="M148" s="271">
        <f t="shared" si="120"/>
        <v>1.321789957680753</v>
      </c>
      <c r="N148" s="271">
        <f t="shared" ref="N148:P148" si="121">N43 * (1 - N$118)</f>
        <v>1.0758004195437005</v>
      </c>
      <c r="O148" s="271">
        <f t="shared" si="121"/>
        <v>0</v>
      </c>
      <c r="P148" s="271">
        <f t="shared" si="121"/>
        <v>0</v>
      </c>
      <c r="Q148" s="271">
        <f t="shared" ref="Q148:S148" si="122">Q43 * (1 - Q$118)</f>
        <v>3.186732114649077</v>
      </c>
      <c r="R148" s="271">
        <f t="shared" si="122"/>
        <v>-0.91059616460587156</v>
      </c>
      <c r="S148" s="271">
        <f t="shared" si="122"/>
        <v>-0.8922676050255155</v>
      </c>
      <c r="T148" s="271">
        <f t="shared" ref="T148:U148" si="123">T43 * (1 - T$118)</f>
        <v>-0.91059616460587156</v>
      </c>
      <c r="U148" s="271">
        <f t="shared" si="123"/>
        <v>-0.91059616460587156</v>
      </c>
      <c r="V148" s="271">
        <f t="shared" ref="V148:W148" si="124">V43 * (1 - V$118)</f>
        <v>-0.8922676050255155</v>
      </c>
      <c r="W148" s="271">
        <f t="shared" si="124"/>
        <v>-0.8922676050255155</v>
      </c>
      <c r="X148" s="271">
        <f t="shared" ref="X148:Y148" si="125">X43 * (1 - X$118)</f>
        <v>0</v>
      </c>
      <c r="Y148" s="271">
        <f t="shared" si="125"/>
        <v>0</v>
      </c>
      <c r="Z148" s="256"/>
      <c r="AA148" s="256"/>
    </row>
    <row r="149" spans="3:27" x14ac:dyDescent="0.25">
      <c r="F149" t="s">
        <v>198</v>
      </c>
      <c r="G149" t="s">
        <v>269</v>
      </c>
      <c r="H149" s="256"/>
      <c r="I149" s="256"/>
      <c r="J149" s="271">
        <f t="shared" ref="J149:K149" si="126">J44 * (1 - J$119)</f>
        <v>0.69461983692988982</v>
      </c>
      <c r="K149" s="271">
        <f t="shared" si="126"/>
        <v>0.69461983692988982</v>
      </c>
      <c r="L149" s="271">
        <f t="shared" ref="L149:M149" si="127">L44 * (1 - L$119)</f>
        <v>0.64398627693164356</v>
      </c>
      <c r="M149" s="271">
        <f t="shared" si="127"/>
        <v>0.64398627693164356</v>
      </c>
      <c r="N149" s="271">
        <f t="shared" ref="N149:P149" si="128">N44 * (1 - N$119)</f>
        <v>0</v>
      </c>
      <c r="O149" s="271">
        <f t="shared" si="128"/>
        <v>0</v>
      </c>
      <c r="P149" s="271">
        <f t="shared" si="128"/>
        <v>0</v>
      </c>
      <c r="Q149" s="271">
        <f t="shared" ref="Q149:S149" si="129">Q44 * (1 - Q$119)</f>
        <v>1.5526005006818377</v>
      </c>
      <c r="R149" s="271">
        <f t="shared" si="129"/>
        <v>-0.44364948487103201</v>
      </c>
      <c r="S149" s="271">
        <f t="shared" si="129"/>
        <v>0</v>
      </c>
      <c r="T149" s="271">
        <f t="shared" ref="T149:U149" si="130">T44 * (1 - T$119)</f>
        <v>-0.44364948487103201</v>
      </c>
      <c r="U149" s="271">
        <f t="shared" si="130"/>
        <v>-0.44364948487103201</v>
      </c>
      <c r="V149" s="271">
        <f t="shared" ref="V149:W149" si="131">V44 * (1 - V$119)</f>
        <v>0</v>
      </c>
      <c r="W149" s="271">
        <f t="shared" si="131"/>
        <v>0</v>
      </c>
      <c r="X149" s="271">
        <f t="shared" ref="X149:Y149" si="132">X44 * (1 - X$119)</f>
        <v>0</v>
      </c>
      <c r="Y149" s="271">
        <f t="shared" si="132"/>
        <v>0</v>
      </c>
      <c r="Z149" s="256"/>
      <c r="AA149" s="256"/>
    </row>
    <row r="150" spans="3:27" x14ac:dyDescent="0.2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3.5639497092540644</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269</v>
      </c>
      <c r="H151" s="255"/>
      <c r="I151" s="255" t="s">
        <v>154</v>
      </c>
      <c r="J151" s="269"/>
      <c r="K151" s="269"/>
      <c r="L151" s="269"/>
      <c r="M151" s="269"/>
      <c r="N151" s="269"/>
      <c r="O151" s="269"/>
      <c r="P151" s="269"/>
      <c r="Q151" s="270">
        <f t="shared" ref="Q151" si="140">Q46</f>
        <v>1.0020473814075446</v>
      </c>
      <c r="R151" s="269"/>
      <c r="S151" s="269"/>
      <c r="T151" s="269"/>
      <c r="U151" s="269"/>
      <c r="V151" s="269"/>
      <c r="W151" s="269"/>
      <c r="X151" s="269"/>
      <c r="Y151" s="269"/>
      <c r="Z151" s="256"/>
      <c r="AA151" s="256" t="s">
        <v>653</v>
      </c>
    </row>
    <row r="152" spans="3:27" x14ac:dyDescent="0.2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control'!$H$36:$H$59,MATCH($A$1,'Version control'!$F$36:$F$59,0),1)&amp;"-F: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189</v>
      </c>
      <c r="G157" s="19" t="s">
        <v>269</v>
      </c>
      <c r="H157" s="255"/>
      <c r="I157" s="255"/>
      <c r="J157" s="421">
        <f t="shared" ref="J157:K157" si="141">J52 * (1 - J$112)</f>
        <v>0</v>
      </c>
      <c r="K157" s="421">
        <f t="shared" si="141"/>
        <v>0</v>
      </c>
      <c r="L157" s="421">
        <f t="shared" ref="L157:M157" si="142">L52 * (1 - L$112)</f>
        <v>0</v>
      </c>
      <c r="M157" s="421">
        <f t="shared" si="142"/>
        <v>0</v>
      </c>
      <c r="N157" s="421">
        <f t="shared" ref="N157:P157" si="143">N52 * (1 - N$112)</f>
        <v>0</v>
      </c>
      <c r="O157" s="421">
        <f t="shared" si="143"/>
        <v>0</v>
      </c>
      <c r="P157" s="421">
        <f t="shared" si="143"/>
        <v>0</v>
      </c>
      <c r="Q157" s="421">
        <f t="shared" ref="Q157:S157" si="144">Q52 * (1 - Q$112)</f>
        <v>0</v>
      </c>
      <c r="R157" s="421">
        <f t="shared" si="144"/>
        <v>0</v>
      </c>
      <c r="S157" s="421">
        <f t="shared" si="144"/>
        <v>0</v>
      </c>
      <c r="T157" s="421">
        <f t="shared" ref="T157:U157" si="145">T52 * (1 - T$112)</f>
        <v>0</v>
      </c>
      <c r="U157" s="421">
        <f t="shared" si="145"/>
        <v>0</v>
      </c>
      <c r="V157" s="421">
        <f t="shared" ref="V157:W157" si="146">V52 * (1 - V$112)</f>
        <v>0</v>
      </c>
      <c r="W157" s="421">
        <f t="shared" si="146"/>
        <v>0</v>
      </c>
      <c r="X157" s="421">
        <f t="shared" ref="X157:Y157" si="147">X52 * (1 - X$112)</f>
        <v>0</v>
      </c>
      <c r="Y157" s="421">
        <f t="shared" si="147"/>
        <v>0</v>
      </c>
      <c r="Z157" s="256"/>
      <c r="AA157" s="256"/>
    </row>
    <row r="158" spans="3:27" x14ac:dyDescent="0.2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192</v>
      </c>
      <c r="G159" t="s">
        <v>269</v>
      </c>
      <c r="H159" s="256"/>
      <c r="I159" s="256"/>
      <c r="J159" s="271">
        <f t="shared" ref="J159:K159" si="155">J54 * (1 - J$113)</f>
        <v>0.12588193575291776</v>
      </c>
      <c r="K159" s="271">
        <f t="shared" si="155"/>
        <v>0.12588193575291776</v>
      </c>
      <c r="L159" s="271">
        <f t="shared" ref="L159:M159" si="156">L54 * (1 - L$113)</f>
        <v>0.11670590851071842</v>
      </c>
      <c r="M159" s="271">
        <f t="shared" si="156"/>
        <v>0.11670590851071842</v>
      </c>
      <c r="N159" s="271">
        <f t="shared" ref="N159:P159" si="157">N54 * (1 - N$113)</f>
        <v>0.11873318507366791</v>
      </c>
      <c r="O159" s="271">
        <f t="shared" si="157"/>
        <v>0.102399943640513</v>
      </c>
      <c r="P159" s="271">
        <f t="shared" si="157"/>
        <v>7.2218824735836948E-2</v>
      </c>
      <c r="Q159" s="271">
        <f t="shared" ref="Q159:S159" si="158">Q54 * (1 - Q$113)</f>
        <v>8.6276964156188893E-2</v>
      </c>
      <c r="R159" s="271">
        <f t="shared" si="158"/>
        <v>-8.0400030321891289E-2</v>
      </c>
      <c r="S159" s="271">
        <f t="shared" si="158"/>
        <v>-7.8781731449904441E-2</v>
      </c>
      <c r="T159" s="271">
        <f t="shared" ref="T159:U159" si="159">T54 * (1 - T$113)</f>
        <v>-8.0400030321891289E-2</v>
      </c>
      <c r="U159" s="271">
        <f t="shared" si="159"/>
        <v>-8.0400030321891289E-2</v>
      </c>
      <c r="V159" s="271">
        <f t="shared" ref="V159:W159" si="160">V54 * (1 - V$113)</f>
        <v>-7.8781731449904441E-2</v>
      </c>
      <c r="W159" s="271">
        <f t="shared" si="160"/>
        <v>-7.8781731449904441E-2</v>
      </c>
      <c r="X159" s="271">
        <f t="shared" ref="X159:Y159" si="161">X54 * (1 - X$113)</f>
        <v>-7.7531227776096459E-2</v>
      </c>
      <c r="Y159" s="271">
        <f t="shared" si="161"/>
        <v>-7.7531227776096459E-2</v>
      </c>
      <c r="Z159" s="256"/>
      <c r="AA159" s="256"/>
    </row>
    <row r="160" spans="3:27" x14ac:dyDescent="0.25">
      <c r="F160" t="s">
        <v>193</v>
      </c>
      <c r="G160" t="s">
        <v>269</v>
      </c>
      <c r="H160" s="256"/>
      <c r="I160" s="256"/>
      <c r="J160" s="271">
        <f t="shared" ref="J160:K160" si="162">J55 * (1 - J$114)</f>
        <v>2.9802196485582858E-2</v>
      </c>
      <c r="K160" s="271">
        <f t="shared" si="162"/>
        <v>2.9802196485582858E-2</v>
      </c>
      <c r="L160" s="271">
        <f t="shared" ref="L160:M160" si="163">L55 * (1 - L$114)</f>
        <v>2.7629797680357563E-2</v>
      </c>
      <c r="M160" s="271">
        <f t="shared" si="163"/>
        <v>2.7629797680357563E-2</v>
      </c>
      <c r="N160" s="271">
        <f t="shared" ref="N160:P160" si="164">N55 * (1 - N$114)</f>
        <v>2.8109749740979073E-2</v>
      </c>
      <c r="O160" s="271">
        <f t="shared" si="164"/>
        <v>2.424290047840676E-2</v>
      </c>
      <c r="P160" s="271">
        <f t="shared" si="164"/>
        <v>1.9846622668330368E-2</v>
      </c>
      <c r="Q160" s="271">
        <f t="shared" ref="Q160:S160" si="165">Q55 * (1 - Q$114)</f>
        <v>2.0425830144598273E-2</v>
      </c>
      <c r="R160" s="271">
        <f t="shared" si="165"/>
        <v>-1.9034482483673482E-2</v>
      </c>
      <c r="S160" s="271">
        <f t="shared" si="165"/>
        <v>-1.8651354748411984E-2</v>
      </c>
      <c r="T160" s="271">
        <f t="shared" ref="T160:U160" si="166">T55 * (1 - T$114)</f>
        <v>-1.9034482483673482E-2</v>
      </c>
      <c r="U160" s="271">
        <f t="shared" si="166"/>
        <v>-1.9034482483673482E-2</v>
      </c>
      <c r="V160" s="271">
        <f t="shared" ref="V160:W160" si="167">V55 * (1 - V$114)</f>
        <v>-1.8651354748411984E-2</v>
      </c>
      <c r="W160" s="271">
        <f t="shared" si="167"/>
        <v>-1.8651354748411984E-2</v>
      </c>
      <c r="X160" s="271">
        <f t="shared" ref="X160:Y160" si="168">X55 * (1 - X$114)</f>
        <v>-1.8355301498437192E-2</v>
      </c>
      <c r="Y160" s="271">
        <f t="shared" si="168"/>
        <v>-1.8355301498437192E-2</v>
      </c>
      <c r="Z160" s="256"/>
      <c r="AA160" s="256"/>
    </row>
    <row r="161" spans="4:27" x14ac:dyDescent="0.25">
      <c r="F161" t="s">
        <v>194</v>
      </c>
      <c r="G161" t="s">
        <v>269</v>
      </c>
      <c r="H161" s="256"/>
      <c r="I161" s="256"/>
      <c r="J161" s="271">
        <f t="shared" ref="J161:K161" si="169">J56 * (1 - J$115)</f>
        <v>2.5577110634046486E-2</v>
      </c>
      <c r="K161" s="271">
        <f t="shared" si="169"/>
        <v>2.5577110634046486E-2</v>
      </c>
      <c r="L161" s="271">
        <f t="shared" ref="L161:M161" si="170">L56 * (1 - L$115)</f>
        <v>2.3712694881690869E-2</v>
      </c>
      <c r="M161" s="271">
        <f t="shared" si="170"/>
        <v>2.3712694881690869E-2</v>
      </c>
      <c r="N161" s="271">
        <f t="shared" ref="N161:P161" si="171">N56 * (1 - N$115)</f>
        <v>2.4124603680409563E-2</v>
      </c>
      <c r="O161" s="271">
        <f t="shared" si="171"/>
        <v>2.0805961329942595E-2</v>
      </c>
      <c r="P161" s="271">
        <f t="shared" si="171"/>
        <v>1.3626358418128735E-2</v>
      </c>
      <c r="Q161" s="271">
        <f t="shared" ref="Q161:S161" si="172">Q56 * (1 - Q$115)</f>
        <v>1.7318989053647094E-2</v>
      </c>
      <c r="R161" s="271">
        <f t="shared" si="172"/>
        <v>-1.6335945727431671E-2</v>
      </c>
      <c r="S161" s="271">
        <f t="shared" si="172"/>
        <v>-1.6007134377016761E-2</v>
      </c>
      <c r="T161" s="271">
        <f t="shared" ref="T161:U161" si="173">T56 * (1 - T$115)</f>
        <v>-1.6335945727431671E-2</v>
      </c>
      <c r="U161" s="271">
        <f t="shared" si="173"/>
        <v>-1.6335945727431671E-2</v>
      </c>
      <c r="V161" s="271">
        <f t="shared" ref="V161:W161" si="174">V56 * (1 - V$115)</f>
        <v>-1.6007134377016761E-2</v>
      </c>
      <c r="W161" s="271">
        <f t="shared" si="174"/>
        <v>-1.6007134377016761E-2</v>
      </c>
      <c r="X161" s="271">
        <f t="shared" ref="X161:Y161" si="175">X56 * (1 - X$115)</f>
        <v>-1.5753052878968877E-2</v>
      </c>
      <c r="Y161" s="271">
        <f t="shared" si="175"/>
        <v>-1.5753052878968877E-2</v>
      </c>
      <c r="Z161" s="256"/>
      <c r="AA161" s="256"/>
    </row>
    <row r="162" spans="4:27" x14ac:dyDescent="0.25">
      <c r="F162" t="s">
        <v>195</v>
      </c>
      <c r="G162" t="s">
        <v>269</v>
      </c>
      <c r="H162" s="256"/>
      <c r="I162" s="256"/>
      <c r="J162" s="271">
        <f t="shared" ref="J162:K162" si="176">J57 * (1 - J$116)</f>
        <v>4.9304692857597601E-2</v>
      </c>
      <c r="K162" s="271">
        <f t="shared" si="176"/>
        <v>4.9304692857597601E-2</v>
      </c>
      <c r="L162" s="271">
        <f t="shared" ref="L162:M162" si="177">L57 * (1 - L$116)</f>
        <v>4.5710680721355874E-2</v>
      </c>
      <c r="M162" s="271">
        <f t="shared" si="177"/>
        <v>4.5710680721355874E-2</v>
      </c>
      <c r="N162" s="271">
        <f t="shared" ref="N162:P162" si="178">N57 * (1 - N$116)</f>
        <v>4.6504712427937037E-2</v>
      </c>
      <c r="O162" s="271">
        <f t="shared" si="178"/>
        <v>4.0107404923774154E-2</v>
      </c>
      <c r="P162" s="271">
        <f t="shared" si="178"/>
        <v>0</v>
      </c>
      <c r="Q162" s="271">
        <f t="shared" ref="Q162:S162" si="179">Q57 * (1 - Q$116)</f>
        <v>3.3385609817768162E-2</v>
      </c>
      <c r="R162" s="271">
        <f t="shared" si="179"/>
        <v>-3.1490608855452885E-2</v>
      </c>
      <c r="S162" s="271">
        <f t="shared" si="179"/>
        <v>-3.0856763114537999E-2</v>
      </c>
      <c r="T162" s="271">
        <f t="shared" ref="T162:U162" si="180">T57 * (1 - T$116)</f>
        <v>-3.1490608855452885E-2</v>
      </c>
      <c r="U162" s="271">
        <f t="shared" si="180"/>
        <v>-3.1490608855452885E-2</v>
      </c>
      <c r="V162" s="271">
        <f t="shared" ref="V162:W162" si="181">V57 * (1 - V$116)</f>
        <v>-3.0856763114537999E-2</v>
      </c>
      <c r="W162" s="271">
        <f t="shared" si="181"/>
        <v>-3.0856763114537999E-2</v>
      </c>
      <c r="X162" s="271">
        <f t="shared" ref="X162:Y162" si="182">X57 * (1 - X$116)</f>
        <v>-2.2543193765530534E-2</v>
      </c>
      <c r="Y162" s="271">
        <f t="shared" si="182"/>
        <v>-2.2543193765530534E-2</v>
      </c>
      <c r="Z162" s="256"/>
      <c r="AA162" s="256"/>
    </row>
    <row r="163" spans="4:27" x14ac:dyDescent="0.25">
      <c r="F163" t="s">
        <v>196</v>
      </c>
      <c r="G163" t="s">
        <v>269</v>
      </c>
      <c r="H163" s="256"/>
      <c r="I163" s="256"/>
      <c r="J163" s="271">
        <f t="shared" ref="J163:K163" si="183">J58 * (1 - J$117)</f>
        <v>6.2341985044784207E-2</v>
      </c>
      <c r="K163" s="271">
        <f t="shared" si="183"/>
        <v>6.2341985044784207E-2</v>
      </c>
      <c r="L163" s="271">
        <f t="shared" ref="L163:M163" si="184">L58 * (1 - L$117)</f>
        <v>5.7797633627861666E-2</v>
      </c>
      <c r="M163" s="271">
        <f t="shared" si="184"/>
        <v>5.7797633627861666E-2</v>
      </c>
      <c r="N163" s="271">
        <f t="shared" ref="N163:P163" si="185">N58 * (1 - N$117)</f>
        <v>5.8801625538322175E-2</v>
      </c>
      <c r="O163" s="271">
        <f t="shared" si="185"/>
        <v>5.0712723130932946E-2</v>
      </c>
      <c r="P163" s="271">
        <f t="shared" si="185"/>
        <v>0</v>
      </c>
      <c r="Q163" s="271">
        <f t="shared" ref="Q163:S163" si="186">Q58 * (1 - Q$117)</f>
        <v>4.2727951210504322E-2</v>
      </c>
      <c r="R163" s="271">
        <f t="shared" si="186"/>
        <v>-3.9817448452379438E-2</v>
      </c>
      <c r="S163" s="271">
        <f t="shared" si="186"/>
        <v>-3.9015999352697506E-2</v>
      </c>
      <c r="T163" s="271">
        <f t="shared" ref="T163:U163" si="187">T58 * (1 - T$117)</f>
        <v>-3.9817448452379438E-2</v>
      </c>
      <c r="U163" s="271">
        <f t="shared" si="187"/>
        <v>-3.9817448452379438E-2</v>
      </c>
      <c r="V163" s="271">
        <f t="shared" ref="V163:W163" si="188">V58 * (1 - V$117)</f>
        <v>-3.9015999352697506E-2</v>
      </c>
      <c r="W163" s="271">
        <f t="shared" si="188"/>
        <v>-3.9015999352697506E-2</v>
      </c>
      <c r="X163" s="271">
        <f t="shared" ref="X163:Y163" si="189">X58 * (1 - X$117)</f>
        <v>-2.8504131496193155E-2</v>
      </c>
      <c r="Y163" s="271">
        <f t="shared" si="189"/>
        <v>-2.8504131496193155E-2</v>
      </c>
      <c r="Z163" s="256"/>
      <c r="AA163" s="256"/>
    </row>
    <row r="164" spans="4:27" x14ac:dyDescent="0.25">
      <c r="F164" t="s">
        <v>197</v>
      </c>
      <c r="G164" t="s">
        <v>269</v>
      </c>
      <c r="H164" s="256"/>
      <c r="I164" s="256"/>
      <c r="J164" s="271">
        <f t="shared" ref="J164:K164" si="190">J59 * (1 - J$118)</f>
        <v>0.19291309866329176</v>
      </c>
      <c r="K164" s="271">
        <f t="shared" si="190"/>
        <v>0.19291309866329176</v>
      </c>
      <c r="L164" s="271">
        <f t="shared" ref="L164:M164" si="191">L59 * (1 - L$118)</f>
        <v>0.1788509074670428</v>
      </c>
      <c r="M164" s="271">
        <f t="shared" si="191"/>
        <v>0.1788509074670428</v>
      </c>
      <c r="N164" s="271">
        <f t="shared" ref="N164:P164" si="192">N59 * (1 - N$118)</f>
        <v>0.14556615456998934</v>
      </c>
      <c r="O164" s="271">
        <f t="shared" si="192"/>
        <v>0</v>
      </c>
      <c r="P164" s="271">
        <f t="shared" si="192"/>
        <v>0</v>
      </c>
      <c r="Q164" s="271">
        <f t="shared" ref="Q164:S164" si="193">Q59 * (1 - Q$118)</f>
        <v>0.13062694578203465</v>
      </c>
      <c r="R164" s="271">
        <f t="shared" si="193"/>
        <v>-0.12321242829044401</v>
      </c>
      <c r="S164" s="271">
        <f t="shared" si="193"/>
        <v>-0.12073239771186234</v>
      </c>
      <c r="T164" s="271">
        <f t="shared" ref="T164:U164" si="194">T59 * (1 - T$118)</f>
        <v>-0.12321242829044401</v>
      </c>
      <c r="U164" s="271">
        <f t="shared" si="194"/>
        <v>-0.12321242829044401</v>
      </c>
      <c r="V164" s="271">
        <f t="shared" ref="V164:W164" si="195">V59 * (1 - V$118)</f>
        <v>-0.12073239771186234</v>
      </c>
      <c r="W164" s="271">
        <f t="shared" si="195"/>
        <v>-0.12073239771186234</v>
      </c>
      <c r="X164" s="271">
        <f t="shared" ref="X164:Y164" si="196">X59 * (1 - X$118)</f>
        <v>0</v>
      </c>
      <c r="Y164" s="271">
        <f t="shared" si="196"/>
        <v>0</v>
      </c>
      <c r="Z164" s="256"/>
      <c r="AA164" s="256"/>
    </row>
    <row r="165" spans="4:27" x14ac:dyDescent="0.25">
      <c r="F165" t="s">
        <v>198</v>
      </c>
      <c r="G165" t="s">
        <v>269</v>
      </c>
      <c r="H165" s="256"/>
      <c r="I165" s="256"/>
      <c r="J165" s="271">
        <f t="shared" ref="J165:K165" si="197">J60 * (1 - J$119)</f>
        <v>5.4992435721893794E-2</v>
      </c>
      <c r="K165" s="271">
        <f t="shared" si="197"/>
        <v>5.4992435721893794E-2</v>
      </c>
      <c r="L165" s="271">
        <f t="shared" ref="L165:M165" si="198">L60 * (1 - L$119)</f>
        <v>5.0983821735456118E-2</v>
      </c>
      <c r="M165" s="271">
        <f t="shared" si="198"/>
        <v>5.0983821735456118E-2</v>
      </c>
      <c r="N165" s="271">
        <f t="shared" ref="N165:P165" si="199">N60 * (1 - N$119)</f>
        <v>0</v>
      </c>
      <c r="O165" s="271">
        <f t="shared" si="199"/>
        <v>0</v>
      </c>
      <c r="P165" s="271">
        <f t="shared" si="199"/>
        <v>0</v>
      </c>
      <c r="Q165" s="271">
        <f t="shared" ref="Q165:S165" si="200">Q60 * (1 - Q$119)</f>
        <v>3.7236942277329911E-2</v>
      </c>
      <c r="R165" s="271">
        <f t="shared" si="200"/>
        <v>-3.512333579135031E-2</v>
      </c>
      <c r="S165" s="271">
        <f t="shared" si="200"/>
        <v>0</v>
      </c>
      <c r="T165" s="271">
        <f t="shared" ref="T165:U165" si="201">T60 * (1 - T$119)</f>
        <v>-3.512333579135031E-2</v>
      </c>
      <c r="U165" s="271">
        <f t="shared" si="201"/>
        <v>-3.512333579135031E-2</v>
      </c>
      <c r="V165" s="271">
        <f t="shared" ref="V165:W165" si="202">V60 * (1 - V$119)</f>
        <v>0</v>
      </c>
      <c r="W165" s="271">
        <f t="shared" si="202"/>
        <v>0</v>
      </c>
      <c r="X165" s="271">
        <f t="shared" ref="X165:Y165" si="203">X60 * (1 - X$119)</f>
        <v>0</v>
      </c>
      <c r="Y165" s="271">
        <f t="shared" si="203"/>
        <v>0</v>
      </c>
      <c r="Z165" s="256"/>
      <c r="AA165" s="256"/>
    </row>
    <row r="166" spans="4:27" x14ac:dyDescent="0.2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2.4863229941496329E-2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189</v>
      </c>
      <c r="G171" s="19" t="s">
        <v>269</v>
      </c>
      <c r="H171" s="255"/>
      <c r="I171" s="255"/>
      <c r="J171" s="421">
        <f t="shared" ref="J171:K171" si="211">J66 * (1 - J$112)</f>
        <v>3.0685056597826863E-2</v>
      </c>
      <c r="K171" s="421">
        <f t="shared" si="211"/>
        <v>3.0685056597826863E-2</v>
      </c>
      <c r="L171" s="421">
        <f t="shared" ref="L171:M171" si="212">L66 * (1 - L$112)</f>
        <v>2.8448302661799447E-2</v>
      </c>
      <c r="M171" s="421">
        <f t="shared" si="212"/>
        <v>2.8448302661799447E-2</v>
      </c>
      <c r="N171" s="421">
        <f t="shared" ref="N171:P171" si="213">N66 * (1 - N$112)</f>
        <v>2.8942472819745331E-2</v>
      </c>
      <c r="O171" s="421">
        <f t="shared" si="213"/>
        <v>2.4961072034917372E-2</v>
      </c>
      <c r="P171" s="421">
        <f t="shared" si="213"/>
        <v>2.0434558914073291E-2</v>
      </c>
      <c r="Q171" s="421">
        <f t="shared" ref="Q171:S171" si="214">Q66 * (1 - Q$112)</f>
        <v>2.4721194022859487E-2</v>
      </c>
      <c r="R171" s="421">
        <f t="shared" si="214"/>
        <v>-1.9598359892849405E-2</v>
      </c>
      <c r="S171" s="421">
        <f t="shared" si="214"/>
        <v>-1.9203882383569727E-2</v>
      </c>
      <c r="T171" s="421">
        <f t="shared" ref="T171:U171" si="215">T66 * (1 - T$112)</f>
        <v>-1.9598359892849405E-2</v>
      </c>
      <c r="U171" s="421">
        <f t="shared" si="215"/>
        <v>-1.9598359892849405E-2</v>
      </c>
      <c r="V171" s="421">
        <f t="shared" ref="V171:W171" si="216">V66 * (1 - V$112)</f>
        <v>-1.9203882383569727E-2</v>
      </c>
      <c r="W171" s="421">
        <f t="shared" si="216"/>
        <v>-1.9203882383569727E-2</v>
      </c>
      <c r="X171" s="421">
        <f t="shared" ref="X171:Y171" si="217">X66 * (1 - X$112)</f>
        <v>-1.8899058853671803E-2</v>
      </c>
      <c r="Y171" s="421">
        <f t="shared" si="217"/>
        <v>-1.8899058853671803E-2</v>
      </c>
      <c r="Z171" s="256"/>
      <c r="AA171" s="256"/>
    </row>
    <row r="172" spans="4:27" x14ac:dyDescent="0.2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192</v>
      </c>
      <c r="G173" t="s">
        <v>269</v>
      </c>
      <c r="H173" s="256"/>
      <c r="I173" s="256"/>
      <c r="J173" s="271">
        <f t="shared" ref="J173:K173" si="225">J68 * (1 - J$113)</f>
        <v>9.8053115397563839E-2</v>
      </c>
      <c r="K173" s="271">
        <f t="shared" si="225"/>
        <v>9.8053115397563839E-2</v>
      </c>
      <c r="L173" s="271">
        <f t="shared" ref="L173:M173" si="226">L68 * (1 - L$113)</f>
        <v>9.0905639846849587E-2</v>
      </c>
      <c r="M173" s="271">
        <f t="shared" si="226"/>
        <v>9.0905639846849587E-2</v>
      </c>
      <c r="N173" s="271">
        <f t="shared" ref="N173:P173" si="227">N68 * (1 - N$113)</f>
        <v>9.2484744756388237E-2</v>
      </c>
      <c r="O173" s="271">
        <f t="shared" si="227"/>
        <v>7.9762306088103863E-2</v>
      </c>
      <c r="P173" s="271">
        <f t="shared" si="227"/>
        <v>5.6253351311650164E-2</v>
      </c>
      <c r="Q173" s="271">
        <f t="shared" ref="Q173:S173" si="228">Q68 * (1 - Q$113)</f>
        <v>6.7203646591224131E-2</v>
      </c>
      <c r="R173" s="271">
        <f t="shared" si="228"/>
        <v>-6.2625931226492987E-2</v>
      </c>
      <c r="S173" s="271">
        <f t="shared" si="228"/>
        <v>-6.1365390982226882E-2</v>
      </c>
      <c r="T173" s="271">
        <f t="shared" ref="T173:U173" si="229">T68 * (1 - T$113)</f>
        <v>-6.2625931226492987E-2</v>
      </c>
      <c r="U173" s="271">
        <f t="shared" si="229"/>
        <v>-6.2625931226492987E-2</v>
      </c>
      <c r="V173" s="271">
        <f t="shared" ref="V173:W173" si="230">V68 * (1 - V$113)</f>
        <v>-6.1365390982226882E-2</v>
      </c>
      <c r="W173" s="271">
        <f t="shared" si="230"/>
        <v>-6.1365390982226882E-2</v>
      </c>
      <c r="X173" s="271">
        <f t="shared" ref="X173:Y173" si="231">X68 * (1 - X$113)</f>
        <v>-6.0391337157112188E-2</v>
      </c>
      <c r="Y173" s="271">
        <f t="shared" si="231"/>
        <v>-6.0391337157112188E-2</v>
      </c>
      <c r="Z173" s="256"/>
      <c r="AA173" s="256"/>
    </row>
    <row r="174" spans="4:27" x14ac:dyDescent="0.25">
      <c r="F174" t="s">
        <v>193</v>
      </c>
      <c r="G174" t="s">
        <v>269</v>
      </c>
      <c r="H174" s="256"/>
      <c r="I174" s="256"/>
      <c r="J174" s="271">
        <f t="shared" ref="J174:K174" si="232">J69 * (1 - J$114)</f>
        <v>2.3213801040027258E-2</v>
      </c>
      <c r="K174" s="271">
        <f t="shared" si="232"/>
        <v>2.3213801040027258E-2</v>
      </c>
      <c r="L174" s="271">
        <f t="shared" ref="L174:M174" si="233">L69 * (1 - L$114)</f>
        <v>2.1521656178540662E-2</v>
      </c>
      <c r="M174" s="271">
        <f t="shared" si="233"/>
        <v>2.1521656178540662E-2</v>
      </c>
      <c r="N174" s="271">
        <f t="shared" ref="N174:P174" si="234">N69 * (1 - N$114)</f>
        <v>2.1895504852728443E-2</v>
      </c>
      <c r="O174" s="271">
        <f t="shared" si="234"/>
        <v>1.8883503053580712E-2</v>
      </c>
      <c r="P174" s="271">
        <f t="shared" si="234"/>
        <v>1.5459113899943326E-2</v>
      </c>
      <c r="Q174" s="271">
        <f t="shared" ref="Q174:S174" si="235">Q69 * (1 - Q$114)</f>
        <v>1.591027551554719E-2</v>
      </c>
      <c r="R174" s="271">
        <f t="shared" si="235"/>
        <v>-1.482651419634912E-2</v>
      </c>
      <c r="S174" s="271">
        <f t="shared" si="235"/>
        <v>-1.4528084816367711E-2</v>
      </c>
      <c r="T174" s="271">
        <f t="shared" ref="T174:U174" si="236">T69 * (1 - T$114)</f>
        <v>-1.482651419634912E-2</v>
      </c>
      <c r="U174" s="271">
        <f t="shared" si="236"/>
        <v>-1.482651419634912E-2</v>
      </c>
      <c r="V174" s="271">
        <f t="shared" ref="V174:W174" si="237">V69 * (1 - V$114)</f>
        <v>-1.4528084816367711E-2</v>
      </c>
      <c r="W174" s="271">
        <f t="shared" si="237"/>
        <v>-1.4528084816367711E-2</v>
      </c>
      <c r="X174" s="271">
        <f t="shared" ref="X174:Y174" si="238">X69 * (1 - X$114)</f>
        <v>-1.4297480295472984E-2</v>
      </c>
      <c r="Y174" s="271">
        <f t="shared" si="238"/>
        <v>-1.4297480295472984E-2</v>
      </c>
      <c r="Z174" s="256"/>
      <c r="AA174" s="256"/>
    </row>
    <row r="175" spans="4:27" x14ac:dyDescent="0.25">
      <c r="F175" t="s">
        <v>194</v>
      </c>
      <c r="G175" t="s">
        <v>269</v>
      </c>
      <c r="H175" s="256"/>
      <c r="I175" s="256"/>
      <c r="J175" s="271">
        <f t="shared" ref="J175:K175" si="239">J70 * (1 - J$115)</f>
        <v>1.9922758301548341E-2</v>
      </c>
      <c r="K175" s="271">
        <f t="shared" si="239"/>
        <v>1.9922758301548341E-2</v>
      </c>
      <c r="L175" s="271">
        <f t="shared" ref="L175:M175" si="240">L70 * (1 - L$115)</f>
        <v>1.8470510432770842E-2</v>
      </c>
      <c r="M175" s="271">
        <f t="shared" si="240"/>
        <v>1.8470510432770842E-2</v>
      </c>
      <c r="N175" s="271">
        <f t="shared" ref="N175:P175" si="241">N70 * (1 - N$115)</f>
        <v>1.87913582234603E-2</v>
      </c>
      <c r="O175" s="271">
        <f t="shared" si="241"/>
        <v>1.6206370795301548E-2</v>
      </c>
      <c r="P175" s="271">
        <f t="shared" si="241"/>
        <v>1.0613968449324336E-2</v>
      </c>
      <c r="Q175" s="271">
        <f t="shared" ref="Q175:S175" si="242">Q70 * (1 - Q$115)</f>
        <v>1.3490266272832098E-2</v>
      </c>
      <c r="R175" s="271">
        <f t="shared" si="242"/>
        <v>-1.2724545122059503E-2</v>
      </c>
      <c r="S175" s="271">
        <f t="shared" si="242"/>
        <v>-1.2468424360224821E-2</v>
      </c>
      <c r="T175" s="271">
        <f t="shared" ref="T175:U175" si="243">T70 * (1 - T$115)</f>
        <v>-1.2724545122059503E-2</v>
      </c>
      <c r="U175" s="271">
        <f t="shared" si="243"/>
        <v>-1.2724545122059503E-2</v>
      </c>
      <c r="V175" s="271">
        <f t="shared" ref="V175:W175" si="244">V70 * (1 - V$115)</f>
        <v>-1.2468424360224821E-2</v>
      </c>
      <c r="W175" s="271">
        <f t="shared" si="244"/>
        <v>-1.2468424360224821E-2</v>
      </c>
      <c r="X175" s="271">
        <f t="shared" ref="X175:Y175" si="245">X70 * (1 - X$115)</f>
        <v>-1.2270512862443475E-2</v>
      </c>
      <c r="Y175" s="271">
        <f t="shared" si="245"/>
        <v>-1.2270512862443475E-2</v>
      </c>
      <c r="Z175" s="256"/>
      <c r="AA175" s="256"/>
    </row>
    <row r="176" spans="4:27" x14ac:dyDescent="0.25">
      <c r="F176" t="s">
        <v>195</v>
      </c>
      <c r="G176" t="s">
        <v>269</v>
      </c>
      <c r="H176" s="256"/>
      <c r="I176" s="256"/>
      <c r="J176" s="271">
        <f t="shared" ref="J176:K176" si="246">J71 * (1 - J$116)</f>
        <v>3.840486491959115E-2</v>
      </c>
      <c r="K176" s="271">
        <f t="shared" si="246"/>
        <v>3.840486491959115E-2</v>
      </c>
      <c r="L176" s="271">
        <f t="shared" ref="L176:M176" si="247">L71 * (1 - L$116)</f>
        <v>3.5605383924741683E-2</v>
      </c>
      <c r="M176" s="271">
        <f t="shared" si="247"/>
        <v>3.5605383924741683E-2</v>
      </c>
      <c r="N176" s="271">
        <f t="shared" ref="N176:P176" si="248">N71 * (1 - N$116)</f>
        <v>3.6223878406011385E-2</v>
      </c>
      <c r="O176" s="271">
        <f t="shared" si="248"/>
        <v>3.1240828795377772E-2</v>
      </c>
      <c r="P176" s="271">
        <f t="shared" si="248"/>
        <v>0</v>
      </c>
      <c r="Q176" s="271">
        <f t="shared" ref="Q176:S176" si="249">Q71 * (1 - Q$116)</f>
        <v>2.6005026316921611E-2</v>
      </c>
      <c r="R176" s="271">
        <f t="shared" si="249"/>
        <v>-2.4528954735045828E-2</v>
      </c>
      <c r="S176" s="271">
        <f t="shared" si="249"/>
        <v>-2.4035233779720111E-2</v>
      </c>
      <c r="T176" s="271">
        <f t="shared" ref="T176:U176" si="250">T71 * (1 - T$116)</f>
        <v>-2.4528954735045828E-2</v>
      </c>
      <c r="U176" s="271">
        <f t="shared" si="250"/>
        <v>-2.4528954735045828E-2</v>
      </c>
      <c r="V176" s="271">
        <f t="shared" ref="V176:W176" si="251">V71 * (1 - V$116)</f>
        <v>-2.4035233779720111E-2</v>
      </c>
      <c r="W176" s="271">
        <f t="shared" si="251"/>
        <v>-2.4035233779720111E-2</v>
      </c>
      <c r="X176" s="271">
        <f t="shared" ref="X176:Y176" si="252">X71 * (1 - X$116)</f>
        <v>-2.3653722132422967E-2</v>
      </c>
      <c r="Y176" s="271">
        <f t="shared" si="252"/>
        <v>-2.3653722132422967E-2</v>
      </c>
      <c r="Z176" s="256"/>
      <c r="AA176" s="256"/>
    </row>
    <row r="177" spans="3:27" x14ac:dyDescent="0.25">
      <c r="F177" t="s">
        <v>196</v>
      </c>
      <c r="G177" t="s">
        <v>269</v>
      </c>
      <c r="H177" s="256"/>
      <c r="I177" s="256"/>
      <c r="J177" s="271">
        <f t="shared" ref="J177:K177" si="253">J72 * (1 - J$117)</f>
        <v>4.855999248142908E-2</v>
      </c>
      <c r="K177" s="271">
        <f t="shared" si="253"/>
        <v>4.855999248142908E-2</v>
      </c>
      <c r="L177" s="271">
        <f t="shared" ref="L177:M177" si="254">L72 * (1 - L$117)</f>
        <v>4.5020264471802719E-2</v>
      </c>
      <c r="M177" s="271">
        <f t="shared" si="254"/>
        <v>4.5020264471802719E-2</v>
      </c>
      <c r="N177" s="271">
        <f t="shared" ref="N177:P177" si="255">N72 * (1 - N$117)</f>
        <v>4.580230308652368E-2</v>
      </c>
      <c r="O177" s="271">
        <f t="shared" si="255"/>
        <v>3.9501620812713127E-2</v>
      </c>
      <c r="P177" s="271">
        <f t="shared" si="255"/>
        <v>0</v>
      </c>
      <c r="Q177" s="271">
        <f t="shared" ref="Q177:S177" si="256">Q72 * (1 - Q$117)</f>
        <v>3.3282048815713013E-2</v>
      </c>
      <c r="R177" s="271">
        <f t="shared" si="256"/>
        <v>-3.1014973233339529E-2</v>
      </c>
      <c r="S177" s="271">
        <f t="shared" si="256"/>
        <v>-3.039070112800241E-2</v>
      </c>
      <c r="T177" s="271">
        <f t="shared" ref="T177:U177" si="257">T72 * (1 - T$117)</f>
        <v>-3.1014973233339529E-2</v>
      </c>
      <c r="U177" s="271">
        <f t="shared" si="257"/>
        <v>-3.1014973233339529E-2</v>
      </c>
      <c r="V177" s="271">
        <f t="shared" ref="V177:W177" si="258">V72 * (1 - V$117)</f>
        <v>-3.039070112800241E-2</v>
      </c>
      <c r="W177" s="271">
        <f t="shared" si="258"/>
        <v>-3.039070112800241E-2</v>
      </c>
      <c r="X177" s="271">
        <f t="shared" ref="X177:Y177" si="259">X72 * (1 - X$117)</f>
        <v>-2.9908309046605547E-2</v>
      </c>
      <c r="Y177" s="271">
        <f t="shared" si="259"/>
        <v>-2.9908309046605547E-2</v>
      </c>
      <c r="Z177" s="256"/>
      <c r="AA177" s="256"/>
    </row>
    <row r="178" spans="3:27" x14ac:dyDescent="0.25">
      <c r="F178" t="s">
        <v>197</v>
      </c>
      <c r="G178" t="s">
        <v>269</v>
      </c>
      <c r="H178" s="256"/>
      <c r="I178" s="256"/>
      <c r="J178" s="271">
        <f t="shared" ref="J178:K178" si="260">J73 * (1 - J$118)</f>
        <v>0.24507146893173434</v>
      </c>
      <c r="K178" s="271">
        <f t="shared" si="260"/>
        <v>0.24507146893173434</v>
      </c>
      <c r="L178" s="271">
        <f t="shared" ref="L178:M178" si="261">L73 * (1 - L$118)</f>
        <v>0.22720724987795887</v>
      </c>
      <c r="M178" s="271">
        <f t="shared" si="261"/>
        <v>0.22720724987795887</v>
      </c>
      <c r="N178" s="271">
        <f t="shared" ref="N178:P178" si="262">N73 * (1 - N$118)</f>
        <v>0.18492321970047434</v>
      </c>
      <c r="O178" s="271">
        <f t="shared" si="262"/>
        <v>0</v>
      </c>
      <c r="P178" s="271">
        <f t="shared" si="262"/>
        <v>0</v>
      </c>
      <c r="Q178" s="271">
        <f t="shared" ref="Q178:S178" si="263">Q73 * (1 - Q$118)</f>
        <v>0.16594486173665299</v>
      </c>
      <c r="R178" s="271">
        <f t="shared" si="263"/>
        <v>-0.15652566363307746</v>
      </c>
      <c r="S178" s="271">
        <f t="shared" si="263"/>
        <v>-0.15337510132756266</v>
      </c>
      <c r="T178" s="271">
        <f t="shared" ref="T178:U178" si="264">T73 * (1 - T$118)</f>
        <v>-0.15652566363307746</v>
      </c>
      <c r="U178" s="271">
        <f t="shared" si="264"/>
        <v>-0.15652566363307746</v>
      </c>
      <c r="V178" s="271">
        <f t="shared" ref="V178:W178" si="265">V73 * (1 - V$118)</f>
        <v>-0.15337510132756266</v>
      </c>
      <c r="W178" s="271">
        <f t="shared" si="265"/>
        <v>-0.15337510132756266</v>
      </c>
      <c r="X178" s="271">
        <f t="shared" ref="X178:Y178" si="266">X73 * (1 - X$118)</f>
        <v>0</v>
      </c>
      <c r="Y178" s="271">
        <f t="shared" si="266"/>
        <v>0</v>
      </c>
      <c r="Z178" s="256"/>
      <c r="AA178" s="256"/>
    </row>
    <row r="179" spans="3:27" x14ac:dyDescent="0.25">
      <c r="F179" t="s">
        <v>198</v>
      </c>
      <c r="G179" t="s">
        <v>269</v>
      </c>
      <c r="H179" s="256"/>
      <c r="I179" s="256"/>
      <c r="J179" s="271">
        <f t="shared" ref="J179:K179" si="267">J74 * (1 - J$119)</f>
        <v>0.11940071260371524</v>
      </c>
      <c r="K179" s="271">
        <f t="shared" si="267"/>
        <v>0.11940071260371524</v>
      </c>
      <c r="L179" s="271">
        <f t="shared" ref="L179:M179" si="268">L74 * (1 - L$119)</f>
        <v>0.11069712709689393</v>
      </c>
      <c r="M179" s="271">
        <f t="shared" si="268"/>
        <v>0.11069712709689393</v>
      </c>
      <c r="N179" s="271">
        <f t="shared" ref="N179:P179" si="269">N74 * (1 - N$119)</f>
        <v>0</v>
      </c>
      <c r="O179" s="271">
        <f t="shared" si="269"/>
        <v>0</v>
      </c>
      <c r="P179" s="271">
        <f t="shared" si="269"/>
        <v>0</v>
      </c>
      <c r="Q179" s="271">
        <f t="shared" ref="Q179:S179" si="270">Q74 * (1 - Q$119)</f>
        <v>8.0849618401726803E-2</v>
      </c>
      <c r="R179" s="271">
        <f t="shared" si="270"/>
        <v>-7.6260512331465483E-2</v>
      </c>
      <c r="S179" s="271">
        <f t="shared" si="270"/>
        <v>0</v>
      </c>
      <c r="T179" s="271">
        <f t="shared" ref="T179:U179" si="271">T74 * (1 - T$119)</f>
        <v>-7.6260512331465483E-2</v>
      </c>
      <c r="U179" s="271">
        <f t="shared" si="271"/>
        <v>-7.6260512331465483E-2</v>
      </c>
      <c r="V179" s="271">
        <f t="shared" ref="V179:W179" si="272">V74 * (1 - V$119)</f>
        <v>0</v>
      </c>
      <c r="W179" s="271">
        <f t="shared" si="272"/>
        <v>0</v>
      </c>
      <c r="X179" s="271">
        <f t="shared" ref="X179:Y179" si="273">X74 * (1 - X$119)</f>
        <v>0</v>
      </c>
      <c r="Y179" s="271">
        <f t="shared" si="273"/>
        <v>0</v>
      </c>
      <c r="Z179" s="256"/>
      <c r="AA179" s="256"/>
    </row>
    <row r="180" spans="3:27" x14ac:dyDescent="0.2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0.18558796926163257</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269</v>
      </c>
      <c r="H181" s="255"/>
      <c r="I181" s="255" t="s">
        <v>154</v>
      </c>
      <c r="J181" s="269"/>
      <c r="K181" s="269"/>
      <c r="L181" s="269"/>
      <c r="M181" s="269"/>
      <c r="N181" s="269"/>
      <c r="O181" s="269"/>
      <c r="P181" s="269"/>
      <c r="Q181" s="270">
        <f>Q76</f>
        <v>1.0020473814075446</v>
      </c>
      <c r="R181" s="269"/>
      <c r="S181" s="269"/>
      <c r="T181" s="269"/>
      <c r="U181" s="269"/>
      <c r="V181" s="269"/>
      <c r="W181" s="269"/>
      <c r="X181" s="269"/>
      <c r="Y181" s="269"/>
      <c r="Z181" s="256"/>
      <c r="AA181" s="256" t="s">
        <v>653</v>
      </c>
    </row>
    <row r="182" spans="3:27" x14ac:dyDescent="0.2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control'!$H$36:$H$59,MATCH($A$1,'Version control'!$F$36:$F$59,0),1)&amp;"-G: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189</v>
      </c>
      <c r="G187" s="19" t="s">
        <v>269</v>
      </c>
      <c r="H187" s="255"/>
      <c r="I187" s="255"/>
      <c r="J187" s="421">
        <f t="shared" ref="J187:K187" si="281">J82 * (1 - J$112)</f>
        <v>0</v>
      </c>
      <c r="K187" s="421">
        <f t="shared" si="281"/>
        <v>0</v>
      </c>
      <c r="L187" s="421">
        <f t="shared" ref="L187:M187" si="282">L82 * (1 - L$112)</f>
        <v>0</v>
      </c>
      <c r="M187" s="421">
        <f t="shared" si="282"/>
        <v>0</v>
      </c>
      <c r="N187" s="421">
        <f t="shared" ref="N187:P187" si="283">N82 * (1 - N$112)</f>
        <v>0</v>
      </c>
      <c r="O187" s="421">
        <f t="shared" si="283"/>
        <v>0</v>
      </c>
      <c r="P187" s="421">
        <f t="shared" si="283"/>
        <v>0</v>
      </c>
      <c r="Q187" s="421">
        <f t="shared" ref="Q187:S187" si="284">Q82 * (1 - Q$112)</f>
        <v>0</v>
      </c>
      <c r="R187" s="421">
        <f t="shared" si="284"/>
        <v>0</v>
      </c>
      <c r="S187" s="421">
        <f t="shared" si="284"/>
        <v>0</v>
      </c>
      <c r="T187" s="421">
        <f t="shared" ref="T187:U187" si="285">T82 * (1 - T$112)</f>
        <v>0</v>
      </c>
      <c r="U187" s="421">
        <f t="shared" si="285"/>
        <v>0</v>
      </c>
      <c r="V187" s="421">
        <f t="shared" ref="V187:W187" si="286">V82 * (1 - V$112)</f>
        <v>0</v>
      </c>
      <c r="W187" s="421">
        <f t="shared" si="286"/>
        <v>0</v>
      </c>
      <c r="X187" s="421">
        <f t="shared" ref="X187:Y187" si="287">X82 * (1 - X$112)</f>
        <v>0</v>
      </c>
      <c r="Y187" s="421">
        <f t="shared" si="287"/>
        <v>0</v>
      </c>
      <c r="Z187" s="256"/>
      <c r="AA187" s="256"/>
    </row>
    <row r="188" spans="3:27" x14ac:dyDescent="0.2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192</v>
      </c>
      <c r="G189" t="s">
        <v>269</v>
      </c>
      <c r="H189" s="256"/>
      <c r="I189" s="256"/>
      <c r="J189" s="271">
        <f t="shared" ref="J189:K189" si="295">J84 * (1 - J$113)</f>
        <v>1.0550369534884845E-2</v>
      </c>
      <c r="K189" s="271">
        <f t="shared" si="295"/>
        <v>1.0550369534884845E-2</v>
      </c>
      <c r="L189" s="271">
        <f t="shared" ref="L189:M189" si="296">L84 * (1 - L$113)</f>
        <v>9.7813117849516532E-3</v>
      </c>
      <c r="M189" s="271">
        <f t="shared" si="296"/>
        <v>9.7813117849516532E-3</v>
      </c>
      <c r="N189" s="271">
        <f t="shared" ref="N189:P189" si="297">N84 * (1 - N$113)</f>
        <v>9.9512211270713184E-3</v>
      </c>
      <c r="O189" s="271">
        <f t="shared" si="297"/>
        <v>8.5823056286592897E-3</v>
      </c>
      <c r="P189" s="271">
        <f t="shared" si="297"/>
        <v>6.0527770230169942E-3</v>
      </c>
      <c r="Q189" s="271">
        <f t="shared" ref="Q189:S189" si="298">Q84 * (1 - Q$113)</f>
        <v>8.1204803314263527E-3</v>
      </c>
      <c r="R189" s="271">
        <f t="shared" si="298"/>
        <v>-6.7384571538274766E-3</v>
      </c>
      <c r="S189" s="271">
        <f t="shared" si="298"/>
        <v>-6.6028248963853862E-3</v>
      </c>
      <c r="T189" s="271">
        <f t="shared" ref="T189:U189" si="299">T84 * (1 - T$113)</f>
        <v>-6.7384571538274766E-3</v>
      </c>
      <c r="U189" s="271">
        <f t="shared" si="299"/>
        <v>-6.7384571538274766E-3</v>
      </c>
      <c r="V189" s="271">
        <f t="shared" ref="V189:W189" si="300">V84 * (1 - V$113)</f>
        <v>-6.6028248963853862E-3</v>
      </c>
      <c r="W189" s="271">
        <f t="shared" si="300"/>
        <v>-6.6028248963853862E-3</v>
      </c>
      <c r="X189" s="271">
        <f t="shared" ref="X189:Y189" si="301">X84 * (1 - X$113)</f>
        <v>-6.4980181519983179E-3</v>
      </c>
      <c r="Y189" s="271">
        <f t="shared" si="301"/>
        <v>-6.4980181519983179E-3</v>
      </c>
      <c r="Z189" s="256"/>
      <c r="AA189" s="256"/>
    </row>
    <row r="190" spans="3:27" x14ac:dyDescent="0.25">
      <c r="F190" t="s">
        <v>193</v>
      </c>
      <c r="G190" t="s">
        <v>269</v>
      </c>
      <c r="H190" s="256"/>
      <c r="I190" s="256"/>
      <c r="J190" s="271">
        <f t="shared" ref="J190:K190" si="302">J85 * (1 - J$114)</f>
        <v>2.4977705021258989E-3</v>
      </c>
      <c r="K190" s="271">
        <f t="shared" si="302"/>
        <v>2.4977705021258989E-3</v>
      </c>
      <c r="L190" s="271">
        <f t="shared" ref="L190:M190" si="303">L85 * (1 - L$114)</f>
        <v>2.3156982291251405E-3</v>
      </c>
      <c r="M190" s="271">
        <f t="shared" si="303"/>
        <v>2.3156982291251405E-3</v>
      </c>
      <c r="N190" s="271">
        <f t="shared" ref="N190:P190" si="304">N85 * (1 - N$114)</f>
        <v>2.3559237910240724E-3</v>
      </c>
      <c r="O190" s="271">
        <f t="shared" si="304"/>
        <v>2.0318368725013784E-3</v>
      </c>
      <c r="P190" s="271">
        <f t="shared" si="304"/>
        <v>1.6633776873379096E-3</v>
      </c>
      <c r="Q190" s="271">
        <f t="shared" ref="Q190:S190" si="305">Q85 * (1 - Q$114)</f>
        <v>1.9225010240507825E-3</v>
      </c>
      <c r="R190" s="271">
        <f t="shared" si="305"/>
        <v>-1.5953108991128072E-3</v>
      </c>
      <c r="S190" s="271">
        <f t="shared" si="305"/>
        <v>-1.5632003412166665E-3</v>
      </c>
      <c r="T190" s="271">
        <f t="shared" ref="T190:U190" si="306">T85 * (1 - T$114)</f>
        <v>-1.5953108991128072E-3</v>
      </c>
      <c r="U190" s="271">
        <f t="shared" si="306"/>
        <v>-1.5953108991128072E-3</v>
      </c>
      <c r="V190" s="271">
        <f t="shared" ref="V190:W190" si="307">V85 * (1 - V$114)</f>
        <v>-1.5632003412166665E-3</v>
      </c>
      <c r="W190" s="271">
        <f t="shared" si="307"/>
        <v>-1.5632003412166665E-3</v>
      </c>
      <c r="X190" s="271">
        <f t="shared" ref="X190:Y190" si="308">X85 * (1 - X$114)</f>
        <v>-1.5383876373878305E-3</v>
      </c>
      <c r="Y190" s="271">
        <f t="shared" si="308"/>
        <v>-1.5383876373878305E-3</v>
      </c>
      <c r="Z190" s="256"/>
      <c r="AA190" s="256"/>
    </row>
    <row r="191" spans="3:27" x14ac:dyDescent="0.25">
      <c r="F191" t="s">
        <v>194</v>
      </c>
      <c r="G191" t="s">
        <v>269</v>
      </c>
      <c r="H191" s="256"/>
      <c r="I191" s="256"/>
      <c r="J191" s="271">
        <f t="shared" ref="J191:K191" si="309">J86 * (1 - J$115)</f>
        <v>3.5845104351930088E-3</v>
      </c>
      <c r="K191" s="271">
        <f t="shared" si="309"/>
        <v>3.5845104351930088E-3</v>
      </c>
      <c r="L191" s="271">
        <f t="shared" ref="L191:M191" si="310">L86 * (1 - L$115)</f>
        <v>3.3232214328707157E-3</v>
      </c>
      <c r="M191" s="271">
        <f t="shared" si="310"/>
        <v>3.3232214328707157E-3</v>
      </c>
      <c r="N191" s="271">
        <f t="shared" ref="N191:P191" si="311">N86 * (1 - N$115)</f>
        <v>3.3809484923685768E-3</v>
      </c>
      <c r="O191" s="271">
        <f t="shared" si="311"/>
        <v>2.9158565472257366E-3</v>
      </c>
      <c r="P191" s="271">
        <f t="shared" si="311"/>
        <v>1.9096693384296906E-3</v>
      </c>
      <c r="Q191" s="271">
        <f t="shared" ref="Q191:S191" si="312">Q86 * (1 - Q$115)</f>
        <v>2.758950422592478E-3</v>
      </c>
      <c r="R191" s="271">
        <f t="shared" si="312"/>
        <v>-2.2894051156341043E-3</v>
      </c>
      <c r="S191" s="271">
        <f t="shared" si="312"/>
        <v>-2.2433237683843789E-3</v>
      </c>
      <c r="T191" s="271">
        <f t="shared" ref="T191:U191" si="313">T86 * (1 - T$115)</f>
        <v>-2.2894051156341043E-3</v>
      </c>
      <c r="U191" s="271">
        <f t="shared" si="313"/>
        <v>-2.2894051156341043E-3</v>
      </c>
      <c r="V191" s="271">
        <f t="shared" ref="V191:W191" si="314">V86 * (1 - V$115)</f>
        <v>-2.2433237683843789E-3</v>
      </c>
      <c r="W191" s="271">
        <f t="shared" si="314"/>
        <v>-2.2433237683843789E-3</v>
      </c>
      <c r="X191" s="271">
        <f t="shared" ref="X191:Y191" si="315">X86 * (1 - X$115)</f>
        <v>-2.2077154546005003E-3</v>
      </c>
      <c r="Y191" s="271">
        <f t="shared" si="315"/>
        <v>-2.2077154546005003E-3</v>
      </c>
      <c r="Z191" s="256"/>
      <c r="AA191" s="256"/>
    </row>
    <row r="192" spans="3:27" x14ac:dyDescent="0.25">
      <c r="F192" t="s">
        <v>195</v>
      </c>
      <c r="G192" t="s">
        <v>269</v>
      </c>
      <c r="H192" s="256"/>
      <c r="I192" s="256"/>
      <c r="J192" s="271">
        <f t="shared" ref="J192:K192" si="316">J87 * (1 - J$116)</f>
        <v>6.9098182582355413E-3</v>
      </c>
      <c r="K192" s="271">
        <f t="shared" si="316"/>
        <v>6.9098182582355413E-3</v>
      </c>
      <c r="L192" s="271">
        <f t="shared" ref="L192:M192" si="317">L87 * (1 - L$116)</f>
        <v>6.4061345470105471E-3</v>
      </c>
      <c r="M192" s="271">
        <f t="shared" si="317"/>
        <v>6.4061345470105471E-3</v>
      </c>
      <c r="N192" s="271">
        <f t="shared" ref="N192:P192" si="318">N87 * (1 - N$116)</f>
        <v>6.5174143150358551E-3</v>
      </c>
      <c r="O192" s="271">
        <f t="shared" si="318"/>
        <v>5.6208620877766131E-3</v>
      </c>
      <c r="P192" s="271">
        <f t="shared" si="318"/>
        <v>0</v>
      </c>
      <c r="Q192" s="271">
        <f t="shared" ref="Q192:S192" si="319">Q87 * (1 - Q$116)</f>
        <v>5.3183960120260238E-3</v>
      </c>
      <c r="R192" s="271">
        <f t="shared" si="319"/>
        <v>-4.4132590920061259E-3</v>
      </c>
      <c r="S192" s="271">
        <f t="shared" si="319"/>
        <v>-4.3244286253783732E-3</v>
      </c>
      <c r="T192" s="271">
        <f t="shared" ref="T192:U192" si="320">T87 * (1 - T$116)</f>
        <v>-4.4132590920061259E-3</v>
      </c>
      <c r="U192" s="271">
        <f t="shared" si="320"/>
        <v>-4.4132590920061259E-3</v>
      </c>
      <c r="V192" s="271">
        <f t="shared" ref="V192:W192" si="321">V87 * (1 - V$116)</f>
        <v>-4.3244286253783732E-3</v>
      </c>
      <c r="W192" s="271">
        <f t="shared" si="321"/>
        <v>-4.3244286253783732E-3</v>
      </c>
      <c r="X192" s="271">
        <f t="shared" ref="X192:Y192" si="322">X87 * (1 - X$116)</f>
        <v>-3.1593214124647209E-3</v>
      </c>
      <c r="Y192" s="271">
        <f t="shared" si="322"/>
        <v>-3.1593214124647209E-3</v>
      </c>
      <c r="Z192" s="256"/>
      <c r="AA192" s="256"/>
    </row>
    <row r="193" spans="4:27" x14ac:dyDescent="0.25">
      <c r="F193" t="s">
        <v>196</v>
      </c>
      <c r="G193" t="s">
        <v>269</v>
      </c>
      <c r="H193" s="256"/>
      <c r="I193" s="256"/>
      <c r="J193" s="271">
        <f t="shared" ref="J193:K193" si="323">J88 * (1 - J$117)</f>
        <v>5.224983043252039E-3</v>
      </c>
      <c r="K193" s="271">
        <f t="shared" si="323"/>
        <v>5.224983043252039E-3</v>
      </c>
      <c r="L193" s="271">
        <f t="shared" ref="L193:M193" si="324">L88 * (1 - L$117)</f>
        <v>4.8441135685482455E-3</v>
      </c>
      <c r="M193" s="271">
        <f t="shared" si="324"/>
        <v>4.8441135685482455E-3</v>
      </c>
      <c r="N193" s="271">
        <f t="shared" ref="N193:P193" si="325">N88 * (1 - N$117)</f>
        <v>4.9282597615825209E-3</v>
      </c>
      <c r="O193" s="271">
        <f t="shared" si="325"/>
        <v>4.2503157101255766E-3</v>
      </c>
      <c r="P193" s="271">
        <f t="shared" si="325"/>
        <v>0</v>
      </c>
      <c r="Q193" s="271">
        <f t="shared" ref="Q193:S193" si="326">Q88 * (1 - Q$117)</f>
        <v>4.0216005604800367E-3</v>
      </c>
      <c r="R193" s="271">
        <f t="shared" si="326"/>
        <v>-3.3371650395763366E-3</v>
      </c>
      <c r="S193" s="271">
        <f t="shared" si="326"/>
        <v>-3.2699942885510121E-3</v>
      </c>
      <c r="T193" s="271">
        <f t="shared" ref="T193:U193" si="327">T88 * (1 - T$117)</f>
        <v>-3.3371650395763366E-3</v>
      </c>
      <c r="U193" s="271">
        <f t="shared" si="327"/>
        <v>-3.3371650395763366E-3</v>
      </c>
      <c r="V193" s="271">
        <f t="shared" ref="V193:W193" si="328">V88 * (1 - V$117)</f>
        <v>-3.2699942885510121E-3</v>
      </c>
      <c r="W193" s="271">
        <f t="shared" si="328"/>
        <v>-3.2699942885510121E-3</v>
      </c>
      <c r="X193" s="271">
        <f t="shared" ref="X193:Y193" si="329">X88 * (1 - X$117)</f>
        <v>-2.3889775666149724E-3</v>
      </c>
      <c r="Y193" s="271">
        <f t="shared" si="329"/>
        <v>-2.3889775666149724E-3</v>
      </c>
      <c r="Z193" s="256"/>
      <c r="AA193" s="256"/>
    </row>
    <row r="194" spans="4:27" x14ac:dyDescent="0.25">
      <c r="F194" t="s">
        <v>197</v>
      </c>
      <c r="G194" t="s">
        <v>269</v>
      </c>
      <c r="H194" s="256"/>
      <c r="I194" s="256"/>
      <c r="J194" s="271">
        <f t="shared" ref="J194:K194" si="330">J89 * (1 - J$118)</f>
        <v>2.7035853468276905E-2</v>
      </c>
      <c r="K194" s="271">
        <f t="shared" si="330"/>
        <v>2.7035853468276905E-2</v>
      </c>
      <c r="L194" s="271">
        <f t="shared" ref="L194:M194" si="331">L89 * (1 - L$118)</f>
        <v>2.5065104238395693E-2</v>
      </c>
      <c r="M194" s="271">
        <f t="shared" si="331"/>
        <v>2.5065104238395693E-2</v>
      </c>
      <c r="N194" s="271">
        <f t="shared" ref="N194:P194" si="332">N89 * (1 - N$118)</f>
        <v>2.0400404390184847E-2</v>
      </c>
      <c r="O194" s="271">
        <f t="shared" si="332"/>
        <v>0</v>
      </c>
      <c r="P194" s="271">
        <f t="shared" si="332"/>
        <v>0</v>
      </c>
      <c r="Q194" s="271">
        <f t="shared" ref="Q194:S194" si="333">Q89 * (1 - Q$118)</f>
        <v>2.0809139964865112E-2</v>
      </c>
      <c r="R194" s="271">
        <f t="shared" si="333"/>
        <v>-1.7267635944955589E-2</v>
      </c>
      <c r="S194" s="271">
        <f t="shared" si="333"/>
        <v>-1.6920071452010459E-2</v>
      </c>
      <c r="T194" s="271">
        <f t="shared" ref="T194:U194" si="334">T89 * (1 - T$118)</f>
        <v>-1.7267635944955589E-2</v>
      </c>
      <c r="U194" s="271">
        <f t="shared" si="334"/>
        <v>-1.7267635944955589E-2</v>
      </c>
      <c r="V194" s="271">
        <f t="shared" ref="V194:W194" si="335">V89 * (1 - V$118)</f>
        <v>-1.6920071452010459E-2</v>
      </c>
      <c r="W194" s="271">
        <f t="shared" si="335"/>
        <v>-1.6920071452010459E-2</v>
      </c>
      <c r="X194" s="271">
        <f t="shared" ref="X194:Y194" si="336">X89 * (1 - X$118)</f>
        <v>0</v>
      </c>
      <c r="Y194" s="271">
        <f t="shared" si="336"/>
        <v>0</v>
      </c>
      <c r="Z194" s="256"/>
      <c r="AA194" s="256"/>
    </row>
    <row r="195" spans="4:27" x14ac:dyDescent="0.25">
      <c r="F195" t="s">
        <v>198</v>
      </c>
      <c r="G195" t="s">
        <v>269</v>
      </c>
      <c r="H195" s="256"/>
      <c r="I195" s="256"/>
      <c r="J195" s="271">
        <f t="shared" ref="J195:K195" si="337">J90 * (1 - J$119)</f>
        <v>7.7069283752252797E-3</v>
      </c>
      <c r="K195" s="271">
        <f t="shared" si="337"/>
        <v>7.7069283752252797E-3</v>
      </c>
      <c r="L195" s="271">
        <f t="shared" ref="L195:M195" si="338">L90 * (1 - L$119)</f>
        <v>7.1451401861434534E-3</v>
      </c>
      <c r="M195" s="271">
        <f t="shared" si="338"/>
        <v>7.1451401861434534E-3</v>
      </c>
      <c r="N195" s="271">
        <f t="shared" ref="N195:P195" si="339">N90 * (1 - N$119)</f>
        <v>0</v>
      </c>
      <c r="O195" s="271">
        <f t="shared" si="339"/>
        <v>0</v>
      </c>
      <c r="P195" s="271">
        <f t="shared" si="339"/>
        <v>0</v>
      </c>
      <c r="Q195" s="271">
        <f t="shared" ref="Q195:S195" si="340">Q90 * (1 - Q$119)</f>
        <v>5.931921159708615E-3</v>
      </c>
      <c r="R195" s="271">
        <f t="shared" si="340"/>
        <v>-4.9223684983124702E-3</v>
      </c>
      <c r="S195" s="271">
        <f t="shared" si="340"/>
        <v>0</v>
      </c>
      <c r="T195" s="271">
        <f t="shared" ref="T195:U195" si="341">T90 * (1 - T$119)</f>
        <v>-4.9223684983124702E-3</v>
      </c>
      <c r="U195" s="271">
        <f t="shared" si="341"/>
        <v>-4.9223684983124702E-3</v>
      </c>
      <c r="V195" s="271">
        <f t="shared" ref="V195:W195" si="342">V90 * (1 - V$119)</f>
        <v>0</v>
      </c>
      <c r="W195" s="271">
        <f t="shared" si="342"/>
        <v>0</v>
      </c>
      <c r="X195" s="271">
        <f t="shared" ref="X195:Y195" si="343">X90 * (1 - X$119)</f>
        <v>0</v>
      </c>
      <c r="Y195" s="271">
        <f t="shared" si="343"/>
        <v>0</v>
      </c>
      <c r="Z195" s="256"/>
      <c r="AA195" s="256"/>
    </row>
    <row r="196" spans="4:27" x14ac:dyDescent="0.2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3.960763445350176E-3</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189</v>
      </c>
      <c r="G201" s="19" t="s">
        <v>269</v>
      </c>
      <c r="H201" s="255"/>
      <c r="I201" s="255"/>
      <c r="J201" s="421">
        <f t="shared" ref="J201:K201" si="351">J96 * (1 - J$112)</f>
        <v>0</v>
      </c>
      <c r="K201" s="421">
        <f t="shared" si="351"/>
        <v>0</v>
      </c>
      <c r="L201" s="421">
        <f t="shared" ref="L201:M201" si="352">L96 * (1 - L$112)</f>
        <v>0</v>
      </c>
      <c r="M201" s="421">
        <f t="shared" si="352"/>
        <v>0</v>
      </c>
      <c r="N201" s="421">
        <f t="shared" ref="N201:P201" si="353">N96 * (1 - N$112)</f>
        <v>0</v>
      </c>
      <c r="O201" s="421">
        <f t="shared" si="353"/>
        <v>0</v>
      </c>
      <c r="P201" s="421">
        <f t="shared" si="353"/>
        <v>0</v>
      </c>
      <c r="Q201" s="421">
        <f t="shared" ref="Q201:S201" si="354">Q96 * (1 - Q$112)</f>
        <v>0</v>
      </c>
      <c r="R201" s="421">
        <f t="shared" si="354"/>
        <v>0</v>
      </c>
      <c r="S201" s="421">
        <f t="shared" si="354"/>
        <v>0</v>
      </c>
      <c r="T201" s="421">
        <f t="shared" ref="T201:U201" si="355">T96 * (1 - T$112)</f>
        <v>0</v>
      </c>
      <c r="U201" s="421">
        <f t="shared" si="355"/>
        <v>0</v>
      </c>
      <c r="V201" s="421">
        <f t="shared" ref="V201:W201" si="356">V96 * (1 - V$112)</f>
        <v>0</v>
      </c>
      <c r="W201" s="421">
        <f t="shared" si="356"/>
        <v>0</v>
      </c>
      <c r="X201" s="421">
        <f t="shared" ref="X201:Y201" si="357">X96 * (1 - X$112)</f>
        <v>0</v>
      </c>
      <c r="Y201" s="421">
        <f t="shared" si="357"/>
        <v>0</v>
      </c>
      <c r="Z201" s="256"/>
      <c r="AA201" s="256"/>
    </row>
    <row r="202" spans="4:27" x14ac:dyDescent="0.2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192</v>
      </c>
      <c r="G203" t="s">
        <v>269</v>
      </c>
      <c r="H203" s="256"/>
      <c r="I203" s="256"/>
      <c r="J203" s="271">
        <f t="shared" ref="J203:K203" si="365">J98 * (1 - J$113)</f>
        <v>8.217990892049238E-3</v>
      </c>
      <c r="K203" s="271">
        <f t="shared" si="365"/>
        <v>8.217990892049238E-3</v>
      </c>
      <c r="L203" s="271">
        <f t="shared" ref="L203:M203" si="366">L98 * (1 - L$113)</f>
        <v>7.6189493548297696E-3</v>
      </c>
      <c r="M203" s="271">
        <f t="shared" si="366"/>
        <v>7.6189493548297696E-3</v>
      </c>
      <c r="N203" s="271">
        <f t="shared" ref="N203:P203" si="367">N98 * (1 - N$113)</f>
        <v>7.7512967026071716E-3</v>
      </c>
      <c r="O203" s="271">
        <f t="shared" si="367"/>
        <v>6.6850084497893144E-3</v>
      </c>
      <c r="P203" s="271">
        <f t="shared" si="367"/>
        <v>4.7146847588880663E-3</v>
      </c>
      <c r="Q203" s="271">
        <f t="shared" ref="Q203:S203" si="368">Q98 * (1 - Q$113)</f>
        <v>6.3252792408901286E-3</v>
      </c>
      <c r="R203" s="271">
        <f t="shared" si="368"/>
        <v>-5.248781034021161E-3</v>
      </c>
      <c r="S203" s="271">
        <f t="shared" si="368"/>
        <v>-5.1431331083592524E-3</v>
      </c>
      <c r="T203" s="271">
        <f t="shared" ref="T203:U203" si="369">T98 * (1 - T$113)</f>
        <v>-5.248781034021161E-3</v>
      </c>
      <c r="U203" s="271">
        <f t="shared" si="369"/>
        <v>-5.248781034021161E-3</v>
      </c>
      <c r="V203" s="271">
        <f t="shared" ref="V203:W203" si="370">V98 * (1 - V$113)</f>
        <v>-5.1431331083592524E-3</v>
      </c>
      <c r="W203" s="271">
        <f t="shared" si="370"/>
        <v>-5.1431331083592524E-3</v>
      </c>
      <c r="X203" s="271">
        <f t="shared" ref="X203:Y203" si="371">X98 * (1 - X$113)</f>
        <v>-5.0614960748932335E-3</v>
      </c>
      <c r="Y203" s="271">
        <f t="shared" si="371"/>
        <v>-5.0614960748932335E-3</v>
      </c>
      <c r="Z203" s="256"/>
      <c r="AA203" s="256"/>
    </row>
    <row r="204" spans="4:27" x14ac:dyDescent="0.25">
      <c r="F204" t="s">
        <v>193</v>
      </c>
      <c r="G204" t="s">
        <v>269</v>
      </c>
      <c r="H204" s="256"/>
      <c r="I204" s="256"/>
      <c r="J204" s="271">
        <f t="shared" ref="J204:K204" si="372">J99 * (1 - J$114)</f>
        <v>1.9455863767641891E-3</v>
      </c>
      <c r="K204" s="271">
        <f t="shared" si="372"/>
        <v>1.9455863767641891E-3</v>
      </c>
      <c r="L204" s="271">
        <f t="shared" ref="L204:M204" si="373">L99 * (1 - L$114)</f>
        <v>1.8037649669768333E-3</v>
      </c>
      <c r="M204" s="271">
        <f t="shared" si="373"/>
        <v>1.8037649669768333E-3</v>
      </c>
      <c r="N204" s="271">
        <f t="shared" ref="N204:P204" si="374">N99 * (1 - N$114)</f>
        <v>1.8350978316902392E-3</v>
      </c>
      <c r="O204" s="271">
        <f t="shared" si="374"/>
        <v>1.5826570678055768E-3</v>
      </c>
      <c r="P204" s="271">
        <f t="shared" si="374"/>
        <v>1.2956534498040279E-3</v>
      </c>
      <c r="Q204" s="271">
        <f t="shared" ref="Q204:S204" si="375">Q99 * (1 - Q$114)</f>
        <v>1.4974921829386998E-3</v>
      </c>
      <c r="R204" s="271">
        <f t="shared" si="375"/>
        <v>-1.2426342409663307E-3</v>
      </c>
      <c r="S204" s="271">
        <f t="shared" si="375"/>
        <v>-1.2176223898215375E-3</v>
      </c>
      <c r="T204" s="271">
        <f t="shared" ref="T204:U204" si="376">T99 * (1 - T$114)</f>
        <v>-1.2426342409663307E-3</v>
      </c>
      <c r="U204" s="271">
        <f t="shared" si="376"/>
        <v>-1.2426342409663307E-3</v>
      </c>
      <c r="V204" s="271">
        <f t="shared" ref="V204:W204" si="377">V99 * (1 - V$114)</f>
        <v>-1.2176223898215375E-3</v>
      </c>
      <c r="W204" s="271">
        <f t="shared" si="377"/>
        <v>-1.2176223898215375E-3</v>
      </c>
      <c r="X204" s="271">
        <f t="shared" ref="X204:Y204" si="378">X99 * (1 - X$114)</f>
        <v>-1.1982950503005606E-3</v>
      </c>
      <c r="Y204" s="271">
        <f t="shared" si="378"/>
        <v>-1.1982950503005606E-3</v>
      </c>
      <c r="Z204" s="256"/>
      <c r="AA204" s="256"/>
    </row>
    <row r="205" spans="4:27" x14ac:dyDescent="0.25">
      <c r="F205" t="s">
        <v>194</v>
      </c>
      <c r="G205" t="s">
        <v>269</v>
      </c>
      <c r="H205" s="256"/>
      <c r="I205" s="256"/>
      <c r="J205" s="271">
        <f t="shared" ref="J205:K205" si="379">J100 * (1 - J$115)</f>
        <v>2.7920798424614728E-3</v>
      </c>
      <c r="K205" s="271">
        <f t="shared" si="379"/>
        <v>2.7920798424614728E-3</v>
      </c>
      <c r="L205" s="271">
        <f t="shared" ref="L205:M205" si="380">L100 * (1 - L$115)</f>
        <v>2.5885542091481297E-3</v>
      </c>
      <c r="M205" s="271">
        <f t="shared" si="380"/>
        <v>2.5885542091481297E-3</v>
      </c>
      <c r="N205" s="271">
        <f t="shared" ref="N205:P205" si="381">N100 * (1 - N$115)</f>
        <v>2.6335195013693739E-3</v>
      </c>
      <c r="O205" s="271">
        <f t="shared" si="381"/>
        <v>2.2712458050299744E-3</v>
      </c>
      <c r="P205" s="271">
        <f t="shared" si="381"/>
        <v>1.487497208334721E-3</v>
      </c>
      <c r="Q205" s="271">
        <f t="shared" ref="Q205:S205" si="382">Q100 * (1 - Q$115)</f>
        <v>2.1490270430350243E-3</v>
      </c>
      <c r="R205" s="271">
        <f t="shared" si="382"/>
        <v>-1.7832844931433352E-3</v>
      </c>
      <c r="S205" s="271">
        <f t="shared" si="382"/>
        <v>-1.747390386236516E-3</v>
      </c>
      <c r="T205" s="271">
        <f t="shared" ref="T205:U205" si="383">T100 * (1 - T$115)</f>
        <v>-1.7832844931433352E-3</v>
      </c>
      <c r="U205" s="271">
        <f t="shared" si="383"/>
        <v>-1.7832844931433352E-3</v>
      </c>
      <c r="V205" s="271">
        <f t="shared" ref="V205:W205" si="384">V100 * (1 - V$115)</f>
        <v>-1.747390386236516E-3</v>
      </c>
      <c r="W205" s="271">
        <f t="shared" si="384"/>
        <v>-1.747390386236516E-3</v>
      </c>
      <c r="X205" s="271">
        <f t="shared" ref="X205:Y205" si="385">X100 * (1 - X$115)</f>
        <v>-1.7196540308994286E-3</v>
      </c>
      <c r="Y205" s="271">
        <f t="shared" si="385"/>
        <v>-1.7196540308994286E-3</v>
      </c>
      <c r="Z205" s="256"/>
      <c r="AA205" s="256"/>
    </row>
    <row r="206" spans="4:27" x14ac:dyDescent="0.25">
      <c r="F206" t="s">
        <v>195</v>
      </c>
      <c r="G206" t="s">
        <v>269</v>
      </c>
      <c r="H206" s="256"/>
      <c r="I206" s="256"/>
      <c r="J206" s="271">
        <f t="shared" ref="J206:K206" si="386">J101 * (1 - J$116)</f>
        <v>5.3822592018351514E-3</v>
      </c>
      <c r="K206" s="271">
        <f t="shared" si="386"/>
        <v>5.3822592018351514E-3</v>
      </c>
      <c r="L206" s="271">
        <f t="shared" ref="L206:M206" si="387">L101 * (1 - L$116)</f>
        <v>4.9899252520494075E-3</v>
      </c>
      <c r="M206" s="271">
        <f t="shared" si="387"/>
        <v>4.9899252520494075E-3</v>
      </c>
      <c r="N206" s="271">
        <f t="shared" ref="N206:P206" si="388">N101 * (1 - N$116)</f>
        <v>5.0766043126337351E-3</v>
      </c>
      <c r="O206" s="271">
        <f t="shared" si="388"/>
        <v>4.3782536043006255E-3</v>
      </c>
      <c r="P206" s="271">
        <f t="shared" si="388"/>
        <v>0</v>
      </c>
      <c r="Q206" s="271">
        <f t="shared" ref="Q206:S206" si="389">Q101 * (1 - Q$116)</f>
        <v>4.1426539461603702E-3</v>
      </c>
      <c r="R206" s="271">
        <f t="shared" si="389"/>
        <v>-3.4376163699706558E-3</v>
      </c>
      <c r="S206" s="271">
        <f t="shared" si="389"/>
        <v>-3.3684237257443485E-3</v>
      </c>
      <c r="T206" s="271">
        <f t="shared" ref="T206:U206" si="390">T101 * (1 - T$116)</f>
        <v>-3.4376163699706558E-3</v>
      </c>
      <c r="U206" s="271">
        <f t="shared" si="390"/>
        <v>-3.4376163699706558E-3</v>
      </c>
      <c r="V206" s="271">
        <f t="shared" ref="V206:W206" si="391">V101 * (1 - V$116)</f>
        <v>-3.3684237257443485E-3</v>
      </c>
      <c r="W206" s="271">
        <f t="shared" si="391"/>
        <v>-3.3684237257443485E-3</v>
      </c>
      <c r="X206" s="271">
        <f t="shared" ref="X206:Y206" si="392">X101 * (1 - X$116)</f>
        <v>-3.3149566824785645E-3</v>
      </c>
      <c r="Y206" s="271">
        <f t="shared" si="392"/>
        <v>-3.3149566824785645E-3</v>
      </c>
      <c r="Z206" s="256"/>
      <c r="AA206" s="256"/>
    </row>
    <row r="207" spans="4:27" x14ac:dyDescent="0.25">
      <c r="F207" t="s">
        <v>196</v>
      </c>
      <c r="G207" t="s">
        <v>269</v>
      </c>
      <c r="H207" s="256"/>
      <c r="I207" s="256"/>
      <c r="J207" s="271">
        <f t="shared" ref="J207:K207" si="393">J102 * (1 - J$117)</f>
        <v>4.0698918572074109E-3</v>
      </c>
      <c r="K207" s="271">
        <f t="shared" si="393"/>
        <v>4.0698918572074109E-3</v>
      </c>
      <c r="L207" s="271">
        <f t="shared" ref="L207:M207" si="394">L102 * (1 - L$117)</f>
        <v>3.7732215023135798E-3</v>
      </c>
      <c r="M207" s="271">
        <f t="shared" si="394"/>
        <v>3.7732215023135798E-3</v>
      </c>
      <c r="N207" s="271">
        <f t="shared" ref="N207:P207" si="395">N102 * (1 - N$117)</f>
        <v>3.8387654290613403E-3</v>
      </c>
      <c r="O207" s="271">
        <f t="shared" si="395"/>
        <v>3.310695012023294E-3</v>
      </c>
      <c r="P207" s="271">
        <f t="shared" si="395"/>
        <v>0</v>
      </c>
      <c r="Q207" s="271">
        <f t="shared" ref="Q207:S207" si="396">Q102 * (1 - Q$117)</f>
        <v>3.132542103687156E-3</v>
      </c>
      <c r="R207" s="271">
        <f t="shared" si="396"/>
        <v>-2.5994152915519474E-3</v>
      </c>
      <c r="S207" s="271">
        <f t="shared" si="396"/>
        <v>-2.5470940322526404E-3</v>
      </c>
      <c r="T207" s="271">
        <f t="shared" ref="T207:U207" si="397">T102 * (1 - T$117)</f>
        <v>-2.5994152915519474E-3</v>
      </c>
      <c r="U207" s="271">
        <f t="shared" si="397"/>
        <v>-2.5994152915519474E-3</v>
      </c>
      <c r="V207" s="271">
        <f t="shared" ref="V207:W207" si="398">V102 * (1 - V$117)</f>
        <v>-2.5470940322526404E-3</v>
      </c>
      <c r="W207" s="271">
        <f t="shared" si="398"/>
        <v>-2.5470940322526404E-3</v>
      </c>
      <c r="X207" s="271">
        <f t="shared" ref="X207:Y207" si="399">X102 * (1 - X$117)</f>
        <v>-2.5066639682486303E-3</v>
      </c>
      <c r="Y207" s="271">
        <f t="shared" si="399"/>
        <v>-2.5066639682486303E-3</v>
      </c>
      <c r="Z207" s="256"/>
      <c r="AA207" s="256"/>
    </row>
    <row r="208" spans="4:27" x14ac:dyDescent="0.25">
      <c r="F208" t="s">
        <v>197</v>
      </c>
      <c r="G208" t="s">
        <v>269</v>
      </c>
      <c r="H208" s="256"/>
      <c r="I208" s="256"/>
      <c r="J208" s="271">
        <f t="shared" ref="J208:K208" si="400">J103 * (1 - J$118)</f>
        <v>3.4345601046293868E-2</v>
      </c>
      <c r="K208" s="271">
        <f t="shared" si="400"/>
        <v>3.4345601046293868E-2</v>
      </c>
      <c r="L208" s="271">
        <f t="shared" ref="L208:M208" si="401">L103 * (1 - L$118)</f>
        <v>3.1842015690972558E-2</v>
      </c>
      <c r="M208" s="271">
        <f t="shared" si="401"/>
        <v>3.1842015690972558E-2</v>
      </c>
      <c r="N208" s="271">
        <f t="shared" ref="N208:P208" si="402">N103 * (1 - N$118)</f>
        <v>2.5916109923827257E-2</v>
      </c>
      <c r="O208" s="271">
        <f t="shared" si="402"/>
        <v>0</v>
      </c>
      <c r="P208" s="271">
        <f t="shared" si="402"/>
        <v>0</v>
      </c>
      <c r="Q208" s="271">
        <f t="shared" ref="Q208:S208" si="403">Q103 * (1 - Q$118)</f>
        <v>2.6435356301525974E-2</v>
      </c>
      <c r="R208" s="271">
        <f t="shared" si="403"/>
        <v>-2.1936327472479325E-2</v>
      </c>
      <c r="S208" s="271">
        <f t="shared" si="403"/>
        <v>-2.1494791146409297E-2</v>
      </c>
      <c r="T208" s="271">
        <f t="shared" ref="T208:U208" si="404">T103 * (1 - T$118)</f>
        <v>-2.1936327472479325E-2</v>
      </c>
      <c r="U208" s="271">
        <f t="shared" si="404"/>
        <v>-2.1936327472479325E-2</v>
      </c>
      <c r="V208" s="271">
        <f t="shared" ref="V208:W208" si="405">V103 * (1 - V$118)</f>
        <v>-2.1494791146409297E-2</v>
      </c>
      <c r="W208" s="271">
        <f t="shared" si="405"/>
        <v>-2.1494791146409297E-2</v>
      </c>
      <c r="X208" s="271">
        <f t="shared" ref="X208:Y208" si="406">X103 * (1 - X$118)</f>
        <v>0</v>
      </c>
      <c r="Y208" s="271">
        <f t="shared" si="406"/>
        <v>0</v>
      </c>
      <c r="Z208" s="256"/>
      <c r="AA208" s="256"/>
    </row>
    <row r="209" spans="2:27" x14ac:dyDescent="0.25">
      <c r="F209" t="s">
        <v>198</v>
      </c>
      <c r="G209" t="s">
        <v>269</v>
      </c>
      <c r="H209" s="256"/>
      <c r="I209" s="256"/>
      <c r="J209" s="271">
        <f t="shared" ref="J209:K209" si="407">J104 * (1 - J$119)</f>
        <v>1.6733442116318793E-2</v>
      </c>
      <c r="K209" s="271">
        <f t="shared" si="407"/>
        <v>1.6733442116318793E-2</v>
      </c>
      <c r="L209" s="271">
        <f t="shared" ref="L209:M209" si="408">L104 * (1 - L$119)</f>
        <v>1.5513675993429725E-2</v>
      </c>
      <c r="M209" s="271">
        <f t="shared" si="408"/>
        <v>1.5513675993429725E-2</v>
      </c>
      <c r="N209" s="271">
        <f t="shared" ref="N209:P209" si="409">N104 * (1 - N$119)</f>
        <v>0</v>
      </c>
      <c r="O209" s="271">
        <f t="shared" si="409"/>
        <v>0</v>
      </c>
      <c r="P209" s="271">
        <f t="shared" si="409"/>
        <v>0</v>
      </c>
      <c r="Q209" s="271">
        <f t="shared" ref="Q209:S209" si="410">Q104 * (1 - Q$119)</f>
        <v>1.2879509777674464E-2</v>
      </c>
      <c r="R209" s="271">
        <f t="shared" si="410"/>
        <v>-1.0687548181514676E-2</v>
      </c>
      <c r="S209" s="271">
        <f t="shared" si="410"/>
        <v>0</v>
      </c>
      <c r="T209" s="271">
        <f t="shared" ref="T209:U209" si="411">T104 * (1 - T$119)</f>
        <v>-1.0687548181514676E-2</v>
      </c>
      <c r="U209" s="271">
        <f t="shared" si="411"/>
        <v>-1.0687548181514676E-2</v>
      </c>
      <c r="V209" s="271">
        <f t="shared" ref="V209:W209" si="412">V104 * (1 - V$119)</f>
        <v>0</v>
      </c>
      <c r="W209" s="271">
        <f t="shared" si="412"/>
        <v>0</v>
      </c>
      <c r="X209" s="271">
        <f t="shared" ref="X209:Y209" si="413">X104 * (1 - X$119)</f>
        <v>0</v>
      </c>
      <c r="Y209" s="271">
        <f t="shared" si="413"/>
        <v>0</v>
      </c>
      <c r="Z209" s="256"/>
      <c r="AA209" s="256"/>
    </row>
    <row r="210" spans="2:27" x14ac:dyDescent="0.2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2.9564543556001403E-2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269</v>
      </c>
      <c r="H211" s="255"/>
      <c r="I211" s="255" t="s">
        <v>154</v>
      </c>
      <c r="J211" s="269"/>
      <c r="K211" s="269"/>
      <c r="L211" s="269"/>
      <c r="M211" s="269"/>
      <c r="N211" s="269"/>
      <c r="O211" s="269"/>
      <c r="P211" s="269"/>
      <c r="Q211" s="270">
        <f>Q106</f>
        <v>1.0020473814075446</v>
      </c>
      <c r="R211" s="269"/>
      <c r="S211" s="269"/>
      <c r="T211" s="269"/>
      <c r="U211" s="269"/>
      <c r="V211" s="269"/>
      <c r="W211" s="269"/>
      <c r="X211" s="269"/>
      <c r="Y211" s="269"/>
      <c r="Z211" s="256"/>
      <c r="AA211" s="256" t="s">
        <v>653</v>
      </c>
    </row>
    <row r="212" spans="2:27" x14ac:dyDescent="0.2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control'!$H$36:$H$59,MATCH($A$1,'Version control'!$F$36:$F$59,0),1)&amp;"-H: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269</v>
      </c>
      <c r="H217" s="255"/>
      <c r="I217" s="255"/>
      <c r="J217" s="422">
        <f t="shared" ref="J217:K217" si="421">SUM(J127:J138,J141:J152)</f>
        <v>6.5552317947693215</v>
      </c>
      <c r="K217" s="422">
        <f t="shared" si="421"/>
        <v>6.5552317947693215</v>
      </c>
      <c r="L217" s="422">
        <f t="shared" ref="L217:M217" si="422">SUM(L127:L138,L141:L152)</f>
        <v>6.0773952794030546</v>
      </c>
      <c r="M217" s="422">
        <f t="shared" si="422"/>
        <v>6.0773952794030546</v>
      </c>
      <c r="N217" s="422">
        <f t="shared" ref="N217:P217" si="423">SUM(N127:N138,N141:N152)</f>
        <v>4.7453787408342878</v>
      </c>
      <c r="O217" s="422">
        <f t="shared" si="423"/>
        <v>2.4344363610974544</v>
      </c>
      <c r="P217" s="422">
        <f t="shared" si="423"/>
        <v>1.1830943449306988</v>
      </c>
      <c r="Q217" s="422">
        <f t="shared" ref="Q217:S217" si="424">SUM(Q127:Q138,Q141:Q152)</f>
        <v>19.592534522310324</v>
      </c>
      <c r="R217" s="422">
        <f t="shared" si="424"/>
        <v>-4.186786864327857</v>
      </c>
      <c r="S217" s="422">
        <f t="shared" si="424"/>
        <v>-3.4675761632447348</v>
      </c>
      <c r="T217" s="422">
        <f t="shared" ref="T217:U217" si="425">SUM(T127:T138,T141:T152)</f>
        <v>-4.186786864327857</v>
      </c>
      <c r="U217" s="422">
        <f t="shared" si="425"/>
        <v>-4.186786864327857</v>
      </c>
      <c r="V217" s="422">
        <f t="shared" ref="V217:W217" si="426">SUM(V127:V138,V141:V152)</f>
        <v>-3.4675761632447348</v>
      </c>
      <c r="W217" s="422">
        <f t="shared" si="426"/>
        <v>-3.4675761632447348</v>
      </c>
      <c r="X217" s="422">
        <f t="shared" ref="X217:Y217" si="427">SUM(X127:X138,X141:X152)</f>
        <v>-1.7521841974333925</v>
      </c>
      <c r="Y217" s="422">
        <f t="shared" si="427"/>
        <v>-1.7521841974333925</v>
      </c>
      <c r="Z217" s="256"/>
      <c r="AA217" s="256"/>
    </row>
    <row r="218" spans="2:27" x14ac:dyDescent="0.25">
      <c r="D218"/>
      <c r="F218" t="s">
        <v>658</v>
      </c>
      <c r="G218" t="s">
        <v>269</v>
      </c>
      <c r="H218" s="256"/>
      <c r="I218" s="256"/>
      <c r="J218" s="422">
        <f t="shared" ref="J218:K218" si="428">SUM(J157:J168,J171:J182)</f>
        <v>1.1641252254335506</v>
      </c>
      <c r="K218" s="422">
        <f t="shared" si="428"/>
        <v>1.1641252254335506</v>
      </c>
      <c r="L218" s="422">
        <f t="shared" ref="L218:M218" si="429">SUM(L157:L168,L171:L182)</f>
        <v>1.079267579115841</v>
      </c>
      <c r="M218" s="422">
        <f t="shared" si="429"/>
        <v>1.079267579115841</v>
      </c>
      <c r="N218" s="422">
        <f t="shared" ref="N218:P218" si="430">SUM(N157:N168,N171:N182)</f>
        <v>0.85090351287663679</v>
      </c>
      <c r="O218" s="422">
        <f t="shared" si="430"/>
        <v>0.44882463508356385</v>
      </c>
      <c r="P218" s="422">
        <f t="shared" si="430"/>
        <v>0.20845279839728717</v>
      </c>
      <c r="Q218" s="422">
        <f t="shared" ref="Q218:S218" si="431">SUM(Q157:Q168,Q171:Q182)</f>
        <v>2.0079047507262224</v>
      </c>
      <c r="R218" s="422">
        <f t="shared" si="431"/>
        <v>-0.74351973429330243</v>
      </c>
      <c r="S218" s="422">
        <f t="shared" si="431"/>
        <v>-0.61941219953210536</v>
      </c>
      <c r="T218" s="422">
        <f t="shared" ref="T218:U218" si="432">SUM(T157:T168,T171:T182)</f>
        <v>-0.74351973429330243</v>
      </c>
      <c r="U218" s="422">
        <f t="shared" si="432"/>
        <v>-0.74351973429330243</v>
      </c>
      <c r="V218" s="422">
        <f t="shared" ref="V218:W218" si="433">SUM(V157:V168,V171:V182)</f>
        <v>-0.61941219953210536</v>
      </c>
      <c r="W218" s="422">
        <f t="shared" si="433"/>
        <v>-0.61941219953210536</v>
      </c>
      <c r="X218" s="422">
        <f t="shared" ref="X218:Y218" si="434">SUM(X157:X168,X171:X182)</f>
        <v>-0.32210732776295514</v>
      </c>
      <c r="Y218" s="422">
        <f t="shared" si="434"/>
        <v>-0.32210732776295514</v>
      </c>
      <c r="Z218" s="256"/>
      <c r="AA218" s="256"/>
    </row>
    <row r="219" spans="2:27" x14ac:dyDescent="0.25">
      <c r="D219"/>
      <c r="F219" s="28" t="s">
        <v>659</v>
      </c>
      <c r="G219" s="28" t="s">
        <v>269</v>
      </c>
      <c r="H219" s="258"/>
      <c r="I219" s="258"/>
      <c r="J219" s="262">
        <f t="shared" ref="J219:K219" si="435">SUM(J187:J198,J201:J212)</f>
        <v>0.13699708495012364</v>
      </c>
      <c r="K219" s="262">
        <f t="shared" si="435"/>
        <v>0.13699708495012364</v>
      </c>
      <c r="L219" s="262">
        <f t="shared" ref="L219:M219" si="436">SUM(L187:L198,L201:L212)</f>
        <v>0.12701083095676546</v>
      </c>
      <c r="M219" s="262">
        <f t="shared" si="436"/>
        <v>0.12701083095676546</v>
      </c>
      <c r="N219" s="262">
        <f t="shared" ref="N219:P219" si="437">SUM(N187:N198,N201:N212)</f>
        <v>9.4585565578456307E-2</v>
      </c>
      <c r="O219" s="262">
        <f t="shared" si="437"/>
        <v>4.1629036785237376E-2</v>
      </c>
      <c r="P219" s="262">
        <f t="shared" si="437"/>
        <v>1.712365946581141E-2</v>
      </c>
      <c r="Q219" s="262">
        <f t="shared" ref="Q219:S219" si="438">SUM(Q187:Q198,Q201:Q212)</f>
        <v>1.1410175384799575</v>
      </c>
      <c r="R219" s="262">
        <f t="shared" si="438"/>
        <v>-8.749920882707235E-2</v>
      </c>
      <c r="S219" s="262">
        <f t="shared" si="438"/>
        <v>-7.0442298160749872E-2</v>
      </c>
      <c r="T219" s="262">
        <f t="shared" ref="T219:U219" si="439">SUM(T187:T198,T201:T212)</f>
        <v>-8.749920882707235E-2</v>
      </c>
      <c r="U219" s="262">
        <f t="shared" si="439"/>
        <v>-8.749920882707235E-2</v>
      </c>
      <c r="V219" s="262">
        <f t="shared" ref="V219:W219" si="440">SUM(V187:V198,V201:V212)</f>
        <v>-7.0442298160749872E-2</v>
      </c>
      <c r="W219" s="262">
        <f t="shared" si="440"/>
        <v>-7.0442298160749872E-2</v>
      </c>
      <c r="X219" s="262">
        <f t="shared" ref="X219:Y219" si="441">SUM(X187:X198,X201:X212)</f>
        <v>-2.9593486029886762E-2</v>
      </c>
      <c r="Y219" s="262">
        <f t="shared" si="441"/>
        <v>-2.9593486029886762E-2</v>
      </c>
      <c r="Z219" s="256"/>
      <c r="AA219" s="256"/>
    </row>
    <row r="221" spans="2:27" x14ac:dyDescent="0.2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232</v>
      </c>
      <c r="G223" s="6" t="s">
        <v>55</v>
      </c>
      <c r="H223" s="93">
        <f t="array" ref="H223">SUM(IF(ISERROR(H22:Y219), 1))</f>
        <v>0</v>
      </c>
      <c r="AA223" s="3"/>
    </row>
    <row r="225" spans="2:27" x14ac:dyDescent="0.2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control'!$H$36:$H$59,MATCH($A$1,'Version control'!$F$36:$F$59,0),1)&amp;"-A: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189</v>
      </c>
      <c r="G23" s="98" t="s">
        <v>167</v>
      </c>
      <c r="H23" s="197">
        <f>'System peak demand'!H226</f>
        <v>5.649040831841079E-2</v>
      </c>
    </row>
    <row r="24" spans="2:27" x14ac:dyDescent="0.25">
      <c r="C24" s="78"/>
      <c r="F24" t="s">
        <v>191</v>
      </c>
      <c r="G24" t="s">
        <v>167</v>
      </c>
      <c r="H24" s="21">
        <f>'System peak demand'!H226</f>
        <v>5.649040831841079E-2</v>
      </c>
    </row>
    <row r="25" spans="2:27" x14ac:dyDescent="0.25">
      <c r="C25" s="78"/>
      <c r="F25" t="s">
        <v>192</v>
      </c>
      <c r="G25" t="s">
        <v>167</v>
      </c>
      <c r="H25" s="21">
        <f>'System peak demand'!H227</f>
        <v>8.3503476129090037E-2</v>
      </c>
    </row>
    <row r="26" spans="2:27" x14ac:dyDescent="0.25">
      <c r="C26" s="78"/>
      <c r="F26" t="s">
        <v>193</v>
      </c>
      <c r="G26" t="s">
        <v>167</v>
      </c>
      <c r="H26" s="21">
        <f>'System peak demand'!H228</f>
        <v>8.3503476129090037E-2</v>
      </c>
    </row>
    <row r="27" spans="2:27" x14ac:dyDescent="0.25">
      <c r="C27" s="78"/>
      <c r="F27" t="s">
        <v>194</v>
      </c>
      <c r="G27" t="s">
        <v>167</v>
      </c>
      <c r="H27" s="21">
        <f>'System peak demand'!H229</f>
        <v>0.11235890369236912</v>
      </c>
    </row>
    <row r="28" spans="2:27" x14ac:dyDescent="0.25">
      <c r="C28" s="78"/>
      <c r="F28" t="s">
        <v>195</v>
      </c>
      <c r="G28" t="s">
        <v>167</v>
      </c>
      <c r="H28" s="21">
        <f>'System peak demand'!H230</f>
        <v>0.11235890369236912</v>
      </c>
    </row>
    <row r="29" spans="2:27" x14ac:dyDescent="0.25">
      <c r="C29" s="78"/>
      <c r="F29" t="s">
        <v>196</v>
      </c>
      <c r="G29" t="s">
        <v>167</v>
      </c>
      <c r="H29" s="21">
        <f>'System peak demand'!H231</f>
        <v>8.3503476129090037E-2</v>
      </c>
    </row>
    <row r="30" spans="2:27" x14ac:dyDescent="0.25">
      <c r="C30" s="78"/>
      <c r="F30" t="s">
        <v>197</v>
      </c>
      <c r="G30" t="s">
        <v>167</v>
      </c>
      <c r="H30" s="21">
        <f>'System peak demand'!H232</f>
        <v>0.49056093094777475</v>
      </c>
    </row>
    <row r="31" spans="2:27" x14ac:dyDescent="0.25">
      <c r="C31" s="78"/>
      <c r="F31" t="s">
        <v>198</v>
      </c>
      <c r="G31" t="s">
        <v>167</v>
      </c>
      <c r="H31" s="21">
        <f>'System peak demand'!H233</f>
        <v>0.49056093094777475</v>
      </c>
    </row>
    <row r="32" spans="2:27" x14ac:dyDescent="0.25">
      <c r="C32" s="78"/>
      <c r="F32" t="s">
        <v>199</v>
      </c>
      <c r="G32" t="s">
        <v>167</v>
      </c>
      <c r="H32" s="21">
        <f>'System peak demand'!H234</f>
        <v>0.5909814327787748</v>
      </c>
    </row>
    <row r="33" spans="3:8" x14ac:dyDescent="0.25">
      <c r="C33" s="78"/>
      <c r="F33" t="s">
        <v>375</v>
      </c>
      <c r="G33" t="s">
        <v>167</v>
      </c>
      <c r="H33" s="56"/>
    </row>
    <row r="34" spans="3:8" x14ac:dyDescent="0.25">
      <c r="C34" s="78"/>
      <c r="F34" s="28" t="s">
        <v>376</v>
      </c>
      <c r="G34" s="28" t="s">
        <v>167</v>
      </c>
      <c r="H34" s="58"/>
    </row>
    <row r="35" spans="3:8" x14ac:dyDescent="0.25">
      <c r="C35" s="78"/>
      <c r="F35" s="2"/>
    </row>
    <row r="36" spans="3:8" x14ac:dyDescent="0.25">
      <c r="E36" s="78" t="s">
        <v>393</v>
      </c>
      <c r="F36" s="2"/>
    </row>
    <row r="37" spans="3:8" x14ac:dyDescent="0.25">
      <c r="C37" s="78"/>
      <c r="F37" s="19" t="s">
        <v>189</v>
      </c>
      <c r="G37" s="54" t="s">
        <v>283</v>
      </c>
      <c r="H37" s="114">
        <f t="array" ref="H37:H46">TRANSPOSE('Load &amp; loss characteristics'!J29:S29)</f>
        <v>1</v>
      </c>
    </row>
    <row r="38" spans="3:8" x14ac:dyDescent="0.25">
      <c r="C38" s="78"/>
      <c r="F38" t="s">
        <v>191</v>
      </c>
      <c r="G38" s="23" t="s">
        <v>283</v>
      </c>
      <c r="H38" s="110">
        <v>1</v>
      </c>
    </row>
    <row r="39" spans="3:8" x14ac:dyDescent="0.25">
      <c r="C39" s="78"/>
      <c r="F39" t="s">
        <v>192</v>
      </c>
      <c r="G39" s="23" t="s">
        <v>283</v>
      </c>
      <c r="H39" s="110">
        <v>1.0069999999999999</v>
      </c>
    </row>
    <row r="40" spans="3:8" x14ac:dyDescent="0.25">
      <c r="C40" s="78"/>
      <c r="F40" t="s">
        <v>193</v>
      </c>
      <c r="G40" s="23" t="s">
        <v>283</v>
      </c>
      <c r="H40" s="110">
        <v>1.0109999999999999</v>
      </c>
    </row>
    <row r="41" spans="3:8" x14ac:dyDescent="0.25">
      <c r="C41" s="78"/>
      <c r="F41" t="s">
        <v>194</v>
      </c>
      <c r="G41" s="23" t="s">
        <v>283</v>
      </c>
      <c r="H41" s="110">
        <v>1.034</v>
      </c>
    </row>
    <row r="42" spans="3:8" x14ac:dyDescent="0.25">
      <c r="C42" s="78"/>
      <c r="F42" t="s">
        <v>195</v>
      </c>
      <c r="G42" s="23" t="s">
        <v>283</v>
      </c>
      <c r="H42" s="110">
        <v>1.0409999999999999</v>
      </c>
    </row>
    <row r="43" spans="3:8" x14ac:dyDescent="0.25">
      <c r="C43" s="78"/>
      <c r="F43" t="s">
        <v>196</v>
      </c>
      <c r="G43" s="23" t="s">
        <v>283</v>
      </c>
      <c r="H43" s="110">
        <v>1.0409999999999999</v>
      </c>
    </row>
    <row r="44" spans="3:8" x14ac:dyDescent="0.25">
      <c r="C44" s="78"/>
      <c r="F44" t="s">
        <v>197</v>
      </c>
      <c r="G44" s="23" t="s">
        <v>283</v>
      </c>
      <c r="H44" s="110">
        <v>1.054</v>
      </c>
    </row>
    <row r="45" spans="3:8" x14ac:dyDescent="0.25">
      <c r="C45" s="78"/>
      <c r="F45" t="s">
        <v>198</v>
      </c>
      <c r="G45" s="23" t="s">
        <v>283</v>
      </c>
      <c r="H45" s="110">
        <v>1.071</v>
      </c>
    </row>
    <row r="46" spans="3:8" x14ac:dyDescent="0.25">
      <c r="C46" s="78"/>
      <c r="F46" t="s">
        <v>199</v>
      </c>
      <c r="G46" s="23" t="s">
        <v>283</v>
      </c>
      <c r="H46" s="110">
        <v>1.093</v>
      </c>
    </row>
    <row r="47" spans="3:8" x14ac:dyDescent="0.25">
      <c r="C47" s="78"/>
      <c r="F47" t="s">
        <v>375</v>
      </c>
      <c r="G47" s="23" t="s">
        <v>283</v>
      </c>
      <c r="H47" s="69"/>
    </row>
    <row r="48" spans="3:8" x14ac:dyDescent="0.25">
      <c r="C48" s="78"/>
      <c r="F48" s="28" t="s">
        <v>376</v>
      </c>
      <c r="G48" s="57" t="s">
        <v>283</v>
      </c>
      <c r="H48" s="71"/>
    </row>
    <row r="49" spans="3:8" x14ac:dyDescent="0.25">
      <c r="C49" s="78"/>
      <c r="F49" s="2"/>
      <c r="H49" s="79"/>
    </row>
    <row r="50" spans="3:8" x14ac:dyDescent="0.25">
      <c r="C50" s="78"/>
      <c r="E50" s="78" t="s">
        <v>583</v>
      </c>
      <c r="H50" s="79"/>
    </row>
    <row r="51" spans="3:8" x14ac:dyDescent="0.25">
      <c r="C51" s="78"/>
      <c r="E51" s="24"/>
      <c r="F51" s="19" t="s">
        <v>189</v>
      </c>
      <c r="G51" s="19" t="s">
        <v>584</v>
      </c>
      <c r="H51" s="73"/>
    </row>
    <row r="52" spans="3:8" x14ac:dyDescent="0.25">
      <c r="C52" s="78"/>
      <c r="E52" s="24"/>
      <c r="F52" t="s">
        <v>191</v>
      </c>
      <c r="G52" t="s">
        <v>584</v>
      </c>
      <c r="H52" s="69"/>
    </row>
    <row r="53" spans="3:8" x14ac:dyDescent="0.25">
      <c r="C53" s="78"/>
      <c r="E53" s="24"/>
      <c r="F53" t="s">
        <v>192</v>
      </c>
      <c r="G53" t="s">
        <v>584</v>
      </c>
      <c r="H53" s="110">
        <f t="array" ref="H53:H60">TRANSPOSE('Unit costs'!L114:S114)</f>
        <v>5.0078304360215355</v>
      </c>
    </row>
    <row r="54" spans="3:8" x14ac:dyDescent="0.25">
      <c r="C54" s="78"/>
      <c r="E54" s="24"/>
      <c r="F54" t="s">
        <v>193</v>
      </c>
      <c r="G54" t="s">
        <v>584</v>
      </c>
      <c r="H54" s="110">
        <v>3.8717182166149238</v>
      </c>
    </row>
    <row r="55" spans="3:8" x14ac:dyDescent="0.25">
      <c r="C55" s="78"/>
      <c r="E55" s="24"/>
      <c r="F55" t="s">
        <v>194</v>
      </c>
      <c r="G55" t="s">
        <v>584</v>
      </c>
      <c r="H55" s="110">
        <v>4.0248723662030921</v>
      </c>
    </row>
    <row r="56" spans="3:8" x14ac:dyDescent="0.25">
      <c r="C56" s="78"/>
      <c r="E56" s="24"/>
      <c r="F56" t="s">
        <v>195</v>
      </c>
      <c r="G56" t="s">
        <v>584</v>
      </c>
      <c r="H56" s="110">
        <v>7.8112237702789642</v>
      </c>
    </row>
    <row r="57" spans="3:8" x14ac:dyDescent="0.25">
      <c r="C57" s="78"/>
      <c r="E57" s="24"/>
      <c r="F57" t="s">
        <v>196</v>
      </c>
      <c r="G57" t="s">
        <v>584</v>
      </c>
      <c r="H57" s="110">
        <v>3.7019210616888309</v>
      </c>
    </row>
    <row r="58" spans="3:8" x14ac:dyDescent="0.25">
      <c r="C58" s="78"/>
      <c r="E58" s="24"/>
      <c r="F58" t="s">
        <v>197</v>
      </c>
      <c r="G58" t="s">
        <v>584</v>
      </c>
      <c r="H58" s="110">
        <v>15.515575616305153</v>
      </c>
    </row>
    <row r="59" spans="3:8" x14ac:dyDescent="0.25">
      <c r="C59" s="78"/>
      <c r="E59" s="24"/>
      <c r="F59" t="s">
        <v>198</v>
      </c>
      <c r="G59" t="s">
        <v>584</v>
      </c>
      <c r="H59" s="110">
        <v>7.6812326102323452</v>
      </c>
    </row>
    <row r="60" spans="3:8" x14ac:dyDescent="0.25">
      <c r="C60" s="78"/>
      <c r="E60" s="24"/>
      <c r="F60" t="s">
        <v>199</v>
      </c>
      <c r="G60" t="s">
        <v>584</v>
      </c>
      <c r="H60" s="110">
        <v>17.994237709869179</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189</v>
      </c>
      <c r="G65" s="19" t="s">
        <v>584</v>
      </c>
      <c r="H65" s="114">
        <f t="array" ref="H65:H74">TRANSPOSE('Unit costs'!J115:S115)</f>
        <v>2.4646319074469734</v>
      </c>
    </row>
    <row r="66" spans="3:25" x14ac:dyDescent="0.25">
      <c r="C66" s="78"/>
      <c r="F66" t="s">
        <v>191</v>
      </c>
      <c r="G66" t="s">
        <v>584</v>
      </c>
      <c r="H66" s="110">
        <v>0</v>
      </c>
    </row>
    <row r="67" spans="3:25" x14ac:dyDescent="0.25">
      <c r="C67" s="78"/>
      <c r="F67" t="s">
        <v>192</v>
      </c>
      <c r="G67" t="s">
        <v>584</v>
      </c>
      <c r="H67" s="110">
        <v>3.9007453507742116</v>
      </c>
    </row>
    <row r="68" spans="3:25" x14ac:dyDescent="0.25">
      <c r="C68" s="78"/>
      <c r="F68" t="s">
        <v>193</v>
      </c>
      <c r="G68" t="s">
        <v>584</v>
      </c>
      <c r="H68" s="110">
        <v>3.0157943696206133</v>
      </c>
    </row>
    <row r="69" spans="3:25" x14ac:dyDescent="0.25">
      <c r="C69" s="78"/>
      <c r="F69" t="s">
        <v>194</v>
      </c>
      <c r="G69" t="s">
        <v>584</v>
      </c>
      <c r="H69" s="110">
        <v>3.1350906086986363</v>
      </c>
    </row>
    <row r="70" spans="3:25" x14ac:dyDescent="0.25">
      <c r="C70" s="78"/>
      <c r="F70" t="s">
        <v>195</v>
      </c>
      <c r="G70" t="s">
        <v>584</v>
      </c>
      <c r="H70" s="110">
        <v>6.0843902753982242</v>
      </c>
    </row>
    <row r="71" spans="3:25" x14ac:dyDescent="0.25">
      <c r="C71" s="78"/>
      <c r="F71" t="s">
        <v>196</v>
      </c>
      <c r="G71" t="s">
        <v>584</v>
      </c>
      <c r="H71" s="110">
        <v>2.8835344077240523</v>
      </c>
    </row>
    <row r="72" spans="3:25" x14ac:dyDescent="0.25">
      <c r="C72" s="78"/>
      <c r="F72" t="s">
        <v>197</v>
      </c>
      <c r="G72" t="s">
        <v>584</v>
      </c>
      <c r="H72" s="110">
        <v>12.085534888431631</v>
      </c>
    </row>
    <row r="73" spans="3:25" x14ac:dyDescent="0.25">
      <c r="C73" s="78"/>
      <c r="F73" t="s">
        <v>198</v>
      </c>
      <c r="G73" t="s">
        <v>584</v>
      </c>
      <c r="H73" s="110">
        <v>5.9831363652126326</v>
      </c>
    </row>
    <row r="74" spans="3:25" x14ac:dyDescent="0.25">
      <c r="C74" s="78"/>
      <c r="F74" t="s">
        <v>199</v>
      </c>
      <c r="G74" t="s">
        <v>584</v>
      </c>
      <c r="H74" s="110">
        <v>14.016237167818588</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189</v>
      </c>
      <c r="G80" s="54" t="s">
        <v>283</v>
      </c>
      <c r="H80" s="198"/>
      <c r="I80" s="198"/>
      <c r="J80" s="114">
        <f t="array" ref="J80:Y89">TRANSPOSE('Load &amp; loss characteristics'!J145:S160)</f>
        <v>1.093</v>
      </c>
      <c r="K80" s="114">
        <v>1.093</v>
      </c>
      <c r="L80" s="114">
        <v>1.093</v>
      </c>
      <c r="M80" s="114">
        <v>1.093</v>
      </c>
      <c r="N80" s="114">
        <v>1.093</v>
      </c>
      <c r="O80" s="114">
        <v>1.071</v>
      </c>
      <c r="P80" s="114">
        <v>1.054</v>
      </c>
      <c r="Q80" s="114">
        <v>1.093</v>
      </c>
      <c r="R80" s="114">
        <v>-1.093</v>
      </c>
      <c r="S80" s="114">
        <v>-1.071</v>
      </c>
      <c r="T80" s="114">
        <v>-1.093</v>
      </c>
      <c r="U80" s="114">
        <v>-1.093</v>
      </c>
      <c r="V80" s="114">
        <v>-1.071</v>
      </c>
      <c r="W80" s="114">
        <v>-1.071</v>
      </c>
      <c r="X80" s="114">
        <v>-1.054</v>
      </c>
      <c r="Y80" s="114">
        <v>-1.054</v>
      </c>
    </row>
    <row r="81" spans="3:42" x14ac:dyDescent="0.25">
      <c r="C81" s="78"/>
      <c r="F81" t="s">
        <v>191</v>
      </c>
      <c r="G81" s="23" t="s">
        <v>283</v>
      </c>
      <c r="H81" s="199"/>
      <c r="I81" s="199"/>
      <c r="J81" s="110">
        <v>1.093</v>
      </c>
      <c r="K81" s="110">
        <v>1.093</v>
      </c>
      <c r="L81" s="110">
        <v>1.093</v>
      </c>
      <c r="M81" s="110">
        <v>1.093</v>
      </c>
      <c r="N81" s="110">
        <v>1.093</v>
      </c>
      <c r="O81" s="110">
        <v>1.071</v>
      </c>
      <c r="P81" s="110">
        <v>1.054</v>
      </c>
      <c r="Q81" s="110">
        <v>1.093</v>
      </c>
      <c r="R81" s="110">
        <v>-1.093</v>
      </c>
      <c r="S81" s="110">
        <v>-1.071</v>
      </c>
      <c r="T81" s="110">
        <v>-1.093</v>
      </c>
      <c r="U81" s="110">
        <v>-1.093</v>
      </c>
      <c r="V81" s="110">
        <v>-1.071</v>
      </c>
      <c r="W81" s="110">
        <v>-1.071</v>
      </c>
      <c r="X81" s="110">
        <v>-1.054</v>
      </c>
      <c r="Y81" s="110">
        <v>-1.054</v>
      </c>
    </row>
    <row r="82" spans="3:42" x14ac:dyDescent="0.25">
      <c r="C82" s="78"/>
      <c r="F82" t="s">
        <v>192</v>
      </c>
      <c r="G82" s="23" t="s">
        <v>283</v>
      </c>
      <c r="H82" s="199"/>
      <c r="I82" s="199"/>
      <c r="J82" s="110">
        <v>1.093</v>
      </c>
      <c r="K82" s="110">
        <v>1.093</v>
      </c>
      <c r="L82" s="110">
        <v>1.093</v>
      </c>
      <c r="M82" s="110">
        <v>1.093</v>
      </c>
      <c r="N82" s="110">
        <v>1.093</v>
      </c>
      <c r="O82" s="110">
        <v>1.071</v>
      </c>
      <c r="P82" s="110">
        <v>1.054</v>
      </c>
      <c r="Q82" s="110">
        <v>1.093</v>
      </c>
      <c r="R82" s="110">
        <v>-1.093</v>
      </c>
      <c r="S82" s="110">
        <v>-1.071</v>
      </c>
      <c r="T82" s="110">
        <v>-1.093</v>
      </c>
      <c r="U82" s="110">
        <v>-1.093</v>
      </c>
      <c r="V82" s="110">
        <v>-1.071</v>
      </c>
      <c r="W82" s="110">
        <v>-1.071</v>
      </c>
      <c r="X82" s="110">
        <v>-1.054</v>
      </c>
      <c r="Y82" s="110">
        <v>-1.054</v>
      </c>
    </row>
    <row r="83" spans="3:42" x14ac:dyDescent="0.25">
      <c r="C83" s="78"/>
      <c r="F83" t="s">
        <v>193</v>
      </c>
      <c r="G83" s="23" t="s">
        <v>283</v>
      </c>
      <c r="H83" s="199"/>
      <c r="I83" s="199"/>
      <c r="J83" s="110">
        <v>0.33602576731917067</v>
      </c>
      <c r="K83" s="110">
        <v>0.33602576731917067</v>
      </c>
      <c r="L83" s="110">
        <v>0.33602576731917067</v>
      </c>
      <c r="M83" s="110">
        <v>0.33602576731917067</v>
      </c>
      <c r="N83" s="110">
        <v>0.33602576731917067</v>
      </c>
      <c r="O83" s="110">
        <v>0.32926221116087079</v>
      </c>
      <c r="P83" s="110">
        <v>0.32403582685672999</v>
      </c>
      <c r="Q83" s="110">
        <v>0.33602576731917067</v>
      </c>
      <c r="R83" s="110">
        <v>-0.33602576731917067</v>
      </c>
      <c r="S83" s="110">
        <v>-0.32926221116087079</v>
      </c>
      <c r="T83" s="110">
        <v>-0.33602576731917067</v>
      </c>
      <c r="U83" s="110">
        <v>-0.33602576731917067</v>
      </c>
      <c r="V83" s="110">
        <v>-0.32926221116087079</v>
      </c>
      <c r="W83" s="110">
        <v>-0.32926221116087079</v>
      </c>
      <c r="X83" s="110">
        <v>-0.32403582685672999</v>
      </c>
      <c r="Y83" s="110">
        <v>-0.32403582685672999</v>
      </c>
    </row>
    <row r="84" spans="3:42" x14ac:dyDescent="0.25">
      <c r="C84" s="78"/>
      <c r="F84" t="s">
        <v>194</v>
      </c>
      <c r="G84" s="23" t="s">
        <v>283</v>
      </c>
      <c r="H84" s="199"/>
      <c r="I84" s="199"/>
      <c r="J84" s="110">
        <v>0.33602576731917067</v>
      </c>
      <c r="K84" s="110">
        <v>0.33602576731917067</v>
      </c>
      <c r="L84" s="110">
        <v>0.33602576731917067</v>
      </c>
      <c r="M84" s="110">
        <v>0.33602576731917067</v>
      </c>
      <c r="N84" s="110">
        <v>0.33602576731917067</v>
      </c>
      <c r="O84" s="110">
        <v>0.32926221116087079</v>
      </c>
      <c r="P84" s="110">
        <v>0.32403582685672999</v>
      </c>
      <c r="Q84" s="110">
        <v>0.33602576731917067</v>
      </c>
      <c r="R84" s="110">
        <v>-0.33602576731917067</v>
      </c>
      <c r="S84" s="110">
        <v>-0.32926221116087079</v>
      </c>
      <c r="T84" s="110">
        <v>-0.33602576731917067</v>
      </c>
      <c r="U84" s="110">
        <v>-0.33602576731917067</v>
      </c>
      <c r="V84" s="110">
        <v>-0.32926221116087079</v>
      </c>
      <c r="W84" s="110">
        <v>-0.32926221116087079</v>
      </c>
      <c r="X84" s="110">
        <v>-0.32403582685672999</v>
      </c>
      <c r="Y84" s="110">
        <v>-0.32403582685672999</v>
      </c>
    </row>
    <row r="85" spans="3:42" x14ac:dyDescent="0.25">
      <c r="C85" s="78"/>
      <c r="F85" t="s">
        <v>195</v>
      </c>
      <c r="G85" s="23" t="s">
        <v>283</v>
      </c>
      <c r="H85" s="199"/>
      <c r="I85" s="199"/>
      <c r="J85" s="110">
        <v>0.33602576731917067</v>
      </c>
      <c r="K85" s="110">
        <v>0.33602576731917067</v>
      </c>
      <c r="L85" s="110">
        <v>0.33602576731917067</v>
      </c>
      <c r="M85" s="110">
        <v>0.33602576731917067</v>
      </c>
      <c r="N85" s="110">
        <v>0.33602576731917067</v>
      </c>
      <c r="O85" s="110">
        <v>0.32926221116087079</v>
      </c>
      <c r="P85" s="110">
        <v>0.32403582685672999</v>
      </c>
      <c r="Q85" s="110">
        <v>0.33602576731917067</v>
      </c>
      <c r="R85" s="110">
        <v>-0.33602576731917067</v>
      </c>
      <c r="S85" s="110">
        <v>-0.32926221116087079</v>
      </c>
      <c r="T85" s="110">
        <v>-0.33602576731917067</v>
      </c>
      <c r="U85" s="110">
        <v>-0.33602576731917067</v>
      </c>
      <c r="V85" s="110">
        <v>-0.32926221116087079</v>
      </c>
      <c r="W85" s="110">
        <v>-0.32926221116087079</v>
      </c>
      <c r="X85" s="110">
        <v>-0.32403582685672999</v>
      </c>
      <c r="Y85" s="110">
        <v>-0.32403582685672999</v>
      </c>
    </row>
    <row r="86" spans="3:42" x14ac:dyDescent="0.25">
      <c r="C86" s="78"/>
      <c r="F86" t="s">
        <v>196</v>
      </c>
      <c r="G86" s="23" t="s">
        <v>283</v>
      </c>
      <c r="H86" s="199"/>
      <c r="I86" s="199"/>
      <c r="J86" s="110">
        <v>0.75697423268082931</v>
      </c>
      <c r="K86" s="110">
        <v>0.75697423268082931</v>
      </c>
      <c r="L86" s="110">
        <v>0.75697423268082931</v>
      </c>
      <c r="M86" s="110">
        <v>0.75697423268082931</v>
      </c>
      <c r="N86" s="110">
        <v>0.75697423268082931</v>
      </c>
      <c r="O86" s="110">
        <v>0.74173778883912922</v>
      </c>
      <c r="P86" s="110">
        <v>0.72996417314327</v>
      </c>
      <c r="Q86" s="110">
        <v>0.75697423268082931</v>
      </c>
      <c r="R86" s="110">
        <v>-0.75697423268082931</v>
      </c>
      <c r="S86" s="110">
        <v>-0.74173778883912922</v>
      </c>
      <c r="T86" s="110">
        <v>-0.75697423268082931</v>
      </c>
      <c r="U86" s="110">
        <v>-0.75697423268082931</v>
      </c>
      <c r="V86" s="110">
        <v>-0.74173778883912922</v>
      </c>
      <c r="W86" s="110">
        <v>-0.74173778883912922</v>
      </c>
      <c r="X86" s="110">
        <v>-0.72996417314327</v>
      </c>
      <c r="Y86" s="110">
        <v>-0.72996417314327</v>
      </c>
    </row>
    <row r="87" spans="3:42" x14ac:dyDescent="0.25">
      <c r="C87" s="78"/>
      <c r="F87" t="s">
        <v>197</v>
      </c>
      <c r="G87" s="23" t="s">
        <v>283</v>
      </c>
      <c r="H87" s="199"/>
      <c r="I87" s="199"/>
      <c r="J87" s="110">
        <v>1.093</v>
      </c>
      <c r="K87" s="110">
        <v>1.093</v>
      </c>
      <c r="L87" s="110">
        <v>1.093</v>
      </c>
      <c r="M87" s="110">
        <v>1.093</v>
      </c>
      <c r="N87" s="110">
        <v>1.093</v>
      </c>
      <c r="O87" s="110">
        <v>1.071</v>
      </c>
      <c r="P87" s="110">
        <v>1.054</v>
      </c>
      <c r="Q87" s="110">
        <v>1.093</v>
      </c>
      <c r="R87" s="110">
        <v>-1.093</v>
      </c>
      <c r="S87" s="110">
        <v>-1.071</v>
      </c>
      <c r="T87" s="110">
        <v>-1.093</v>
      </c>
      <c r="U87" s="110">
        <v>-1.093</v>
      </c>
      <c r="V87" s="110">
        <v>-1.071</v>
      </c>
      <c r="W87" s="110">
        <v>-1.071</v>
      </c>
      <c r="X87" s="110">
        <v>0</v>
      </c>
      <c r="Y87" s="110">
        <v>0</v>
      </c>
    </row>
    <row r="88" spans="3:42" x14ac:dyDescent="0.25">
      <c r="C88" s="78"/>
      <c r="F88" t="s">
        <v>198</v>
      </c>
      <c r="G88" s="23" t="s">
        <v>283</v>
      </c>
      <c r="H88" s="199"/>
      <c r="I88" s="199"/>
      <c r="J88" s="110">
        <v>1.093</v>
      </c>
      <c r="K88" s="110">
        <v>1.093</v>
      </c>
      <c r="L88" s="110">
        <v>1.093</v>
      </c>
      <c r="M88" s="110">
        <v>1.093</v>
      </c>
      <c r="N88" s="110">
        <v>1.093</v>
      </c>
      <c r="O88" s="110">
        <v>1.071</v>
      </c>
      <c r="P88" s="110">
        <v>0</v>
      </c>
      <c r="Q88" s="110">
        <v>1.093</v>
      </c>
      <c r="R88" s="110">
        <v>-1.093</v>
      </c>
      <c r="S88" s="110">
        <v>0</v>
      </c>
      <c r="T88" s="110">
        <v>-1.093</v>
      </c>
      <c r="U88" s="110">
        <v>-1.093</v>
      </c>
      <c r="V88" s="110">
        <v>0</v>
      </c>
      <c r="W88" s="110">
        <v>0</v>
      </c>
      <c r="X88" s="110">
        <v>0</v>
      </c>
      <c r="Y88" s="110">
        <v>0</v>
      </c>
    </row>
    <row r="89" spans="3:42" x14ac:dyDescent="0.25">
      <c r="C89" s="78"/>
      <c r="F89" t="s">
        <v>199</v>
      </c>
      <c r="G89" s="23" t="s">
        <v>283</v>
      </c>
      <c r="H89" s="199"/>
      <c r="I89" s="199"/>
      <c r="J89" s="110">
        <v>1.093</v>
      </c>
      <c r="K89" s="110">
        <v>1.093</v>
      </c>
      <c r="L89" s="110">
        <v>1.093</v>
      </c>
      <c r="M89" s="110">
        <v>1.093</v>
      </c>
      <c r="N89" s="110">
        <v>1.093</v>
      </c>
      <c r="O89" s="110">
        <v>0</v>
      </c>
      <c r="P89" s="110">
        <v>0</v>
      </c>
      <c r="Q89" s="110">
        <v>1.093</v>
      </c>
      <c r="R89" s="110">
        <v>0</v>
      </c>
      <c r="S89" s="110">
        <v>0</v>
      </c>
      <c r="T89" s="110">
        <v>0</v>
      </c>
      <c r="U89" s="110">
        <v>0</v>
      </c>
      <c r="V89" s="110">
        <v>0</v>
      </c>
      <c r="W89" s="110">
        <v>0</v>
      </c>
      <c r="X89" s="110">
        <v>0</v>
      </c>
      <c r="Y89" s="110">
        <v>0</v>
      </c>
    </row>
    <row r="90" spans="3:42" x14ac:dyDescent="0.25">
      <c r="C90" s="78"/>
      <c r="F90" t="s">
        <v>375</v>
      </c>
      <c r="G90" s="23" t="s">
        <v>283</v>
      </c>
      <c r="J90" s="69"/>
      <c r="K90" s="69"/>
      <c r="L90" s="69"/>
      <c r="M90" s="69"/>
      <c r="N90" s="69"/>
      <c r="O90" s="69"/>
      <c r="P90" s="69"/>
      <c r="Q90" s="69"/>
      <c r="R90" s="69"/>
      <c r="S90" s="69"/>
      <c r="T90" s="69"/>
      <c r="U90" s="69"/>
      <c r="V90" s="69"/>
      <c r="W90" s="69"/>
      <c r="X90" s="69"/>
      <c r="Y90" s="69"/>
    </row>
    <row r="91" spans="3:42" x14ac:dyDescent="0.2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120</v>
      </c>
      <c r="H93" s="13"/>
      <c r="J93" s="53"/>
      <c r="L93" s="53"/>
      <c r="AP93" s="3"/>
    </row>
    <row r="94" spans="3:42" x14ac:dyDescent="0.2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0.13851312583363759</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193</v>
      </c>
      <c r="G108" t="s">
        <v>167</v>
      </c>
      <c r="H108" s="199"/>
      <c r="I108" s="199"/>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row>
    <row r="109" spans="3:42" x14ac:dyDescent="0.25">
      <c r="C109" s="78"/>
      <c r="F109" t="s">
        <v>194</v>
      </c>
      <c r="G109" t="s">
        <v>167</v>
      </c>
      <c r="H109" s="199"/>
      <c r="I109" s="199"/>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42" x14ac:dyDescent="0.25">
      <c r="C110" s="78"/>
      <c r="F110" t="s">
        <v>195</v>
      </c>
      <c r="G110" t="s">
        <v>167</v>
      </c>
      <c r="H110" s="199"/>
      <c r="I110" s="199"/>
      <c r="J110" s="21">
        <v>0</v>
      </c>
      <c r="K110" s="21">
        <v>0</v>
      </c>
      <c r="L110" s="21">
        <v>0</v>
      </c>
      <c r="M110" s="21">
        <v>0</v>
      </c>
      <c r="N110" s="21">
        <v>0</v>
      </c>
      <c r="O110" s="21">
        <v>0</v>
      </c>
      <c r="P110" s="21">
        <v>0.25764106948138837</v>
      </c>
      <c r="Q110" s="21">
        <v>0</v>
      </c>
      <c r="R110" s="21">
        <v>0</v>
      </c>
      <c r="S110" s="21">
        <v>0</v>
      </c>
      <c r="T110" s="21">
        <v>0</v>
      </c>
      <c r="U110" s="21">
        <v>0</v>
      </c>
      <c r="V110" s="21">
        <v>0</v>
      </c>
      <c r="W110" s="21">
        <v>0</v>
      </c>
      <c r="X110" s="21">
        <v>0.25764106948138837</v>
      </c>
      <c r="Y110" s="21">
        <v>0.25764106948138837</v>
      </c>
    </row>
    <row r="111" spans="3:42" x14ac:dyDescent="0.25">
      <c r="C111" s="78"/>
      <c r="F111" t="s">
        <v>196</v>
      </c>
      <c r="G111" t="s">
        <v>167</v>
      </c>
      <c r="H111" s="199"/>
      <c r="I111" s="199"/>
      <c r="J111" s="21">
        <v>0</v>
      </c>
      <c r="K111" s="21">
        <v>0</v>
      </c>
      <c r="L111" s="21">
        <v>0</v>
      </c>
      <c r="M111" s="21">
        <v>0</v>
      </c>
      <c r="N111" s="21">
        <v>0</v>
      </c>
      <c r="O111" s="21">
        <v>0</v>
      </c>
      <c r="P111" s="21">
        <v>0.25764106948138837</v>
      </c>
      <c r="Q111" s="21">
        <v>0</v>
      </c>
      <c r="R111" s="21">
        <v>0</v>
      </c>
      <c r="S111" s="21">
        <v>0</v>
      </c>
      <c r="T111" s="21">
        <v>0</v>
      </c>
      <c r="U111" s="21">
        <v>0</v>
      </c>
      <c r="V111" s="21">
        <v>0</v>
      </c>
      <c r="W111" s="21">
        <v>0</v>
      </c>
      <c r="X111" s="21">
        <v>0.25764106948138837</v>
      </c>
      <c r="Y111" s="21">
        <v>0.25764106948138837</v>
      </c>
    </row>
    <row r="112" spans="3:42" x14ac:dyDescent="0.25">
      <c r="C112" s="78"/>
      <c r="F112" t="s">
        <v>197</v>
      </c>
      <c r="G112" t="s">
        <v>167</v>
      </c>
      <c r="H112" s="199"/>
      <c r="I112" s="199"/>
      <c r="J112" s="21">
        <v>0.38684969697494365</v>
      </c>
      <c r="K112" s="21">
        <v>0.38684969697494365</v>
      </c>
      <c r="L112" s="21">
        <v>0.38684969697494365</v>
      </c>
      <c r="M112" s="21">
        <v>0.38684969697494365</v>
      </c>
      <c r="N112" s="21">
        <v>0.38684969697494365</v>
      </c>
      <c r="O112" s="21">
        <v>0.38684969697494365</v>
      </c>
      <c r="P112" s="21">
        <v>0.51528213896277675</v>
      </c>
      <c r="Q112" s="21">
        <v>0.38684969697494365</v>
      </c>
      <c r="R112" s="21">
        <v>0.38684969697494365</v>
      </c>
      <c r="S112" s="21">
        <v>0.38684969697494365</v>
      </c>
      <c r="T112" s="21">
        <v>0.38684969697494365</v>
      </c>
      <c r="U112" s="21">
        <v>0.38684969697494365</v>
      </c>
      <c r="V112" s="21">
        <v>0.38684969697494365</v>
      </c>
      <c r="W112" s="21">
        <v>0.38684969697494365</v>
      </c>
      <c r="X112" s="21">
        <v>0.51528213896277675</v>
      </c>
      <c r="Y112" s="21">
        <v>0.51528213896277675</v>
      </c>
    </row>
    <row r="113" spans="2:27" x14ac:dyDescent="0.25">
      <c r="C113" s="78"/>
      <c r="F113" t="s">
        <v>198</v>
      </c>
      <c r="G113" t="s">
        <v>167</v>
      </c>
      <c r="H113" s="199"/>
      <c r="I113" s="199"/>
      <c r="J113" s="21">
        <v>0.64124825573068889</v>
      </c>
      <c r="K113" s="21">
        <v>0.64124825573068889</v>
      </c>
      <c r="L113" s="21">
        <v>0.64124825573068889</v>
      </c>
      <c r="M113" s="21">
        <v>0.64124825573068889</v>
      </c>
      <c r="N113" s="21">
        <v>0.64124825573068889</v>
      </c>
      <c r="O113" s="21">
        <v>0.64124825573068889</v>
      </c>
      <c r="P113" s="21">
        <v>0</v>
      </c>
      <c r="Q113" s="21">
        <v>0.64124825573068889</v>
      </c>
      <c r="R113" s="21">
        <v>0.64124825573068889</v>
      </c>
      <c r="S113" s="21">
        <v>0.64124825573068889</v>
      </c>
      <c r="T113" s="21">
        <v>0.64124825573068889</v>
      </c>
      <c r="U113" s="21">
        <v>0.64124825573068889</v>
      </c>
      <c r="V113" s="21">
        <v>0.64124825573068889</v>
      </c>
      <c r="W113" s="21">
        <v>0.64124825573068889</v>
      </c>
      <c r="X113" s="21">
        <v>0</v>
      </c>
      <c r="Y113" s="21">
        <v>0</v>
      </c>
    </row>
    <row r="114" spans="2:27" x14ac:dyDescent="0.25">
      <c r="C114" s="78"/>
      <c r="F114" t="s">
        <v>199</v>
      </c>
      <c r="G114" t="s">
        <v>167</v>
      </c>
      <c r="H114" s="199"/>
      <c r="I114" s="199"/>
      <c r="J114" s="21">
        <v>0.89564681448643413</v>
      </c>
      <c r="K114" s="21">
        <v>0.89564681448643413</v>
      </c>
      <c r="L114" s="21">
        <v>0.89564681448643413</v>
      </c>
      <c r="M114" s="21">
        <v>0.89564681448643413</v>
      </c>
      <c r="N114" s="21">
        <v>0.89564681448643413</v>
      </c>
      <c r="O114" s="21">
        <v>0</v>
      </c>
      <c r="P114" s="21">
        <v>0</v>
      </c>
      <c r="Q114" s="21">
        <v>0.89564681448643413</v>
      </c>
      <c r="R114" s="21">
        <v>0.89564681448643413</v>
      </c>
      <c r="S114" s="21">
        <v>0</v>
      </c>
      <c r="T114" s="21">
        <v>0.89564681448643413</v>
      </c>
      <c r="U114" s="21">
        <v>0.89564681448643413</v>
      </c>
      <c r="V114" s="21">
        <v>0</v>
      </c>
      <c r="W114" s="21">
        <v>0</v>
      </c>
      <c r="X114" s="21">
        <v>0</v>
      </c>
      <c r="Y114" s="21">
        <v>0</v>
      </c>
    </row>
    <row r="115" spans="2:27" x14ac:dyDescent="0.2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154</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control'!$H$36:$H$59,MATCH($A$1,'Version control'!$F$36:$F$59,0),1)&amp;"-B: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154</v>
      </c>
      <c r="AA131" t="s">
        <v>703</v>
      </c>
    </row>
    <row r="132" spans="3:27" x14ac:dyDescent="0.2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2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0.17392575477416383</v>
      </c>
      <c r="Q134" s="88">
        <f t="shared" ref="Q134" si="3">hundred*Q95*$H53*Q82/$H39*(1-Q107)/days_in_year/(1+$H25)*PowerFactor</f>
        <v>0</v>
      </c>
      <c r="R134" s="69"/>
      <c r="S134" s="69"/>
      <c r="T134" s="69"/>
      <c r="U134" s="69"/>
      <c r="V134" s="69"/>
      <c r="W134" s="69"/>
      <c r="X134" s="69"/>
      <c r="Y134" s="69"/>
    </row>
    <row r="135" spans="3:27" x14ac:dyDescent="0.2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5.8864327222844647E-2</v>
      </c>
      <c r="Q136" s="88">
        <f t="shared" ref="Q136" si="11">hundred*Q97*$H55*Q84/$H41*(1-Q109)/days_in_year/(1+$H27)*PowerFactor</f>
        <v>0</v>
      </c>
      <c r="R136" s="69"/>
      <c r="S136" s="69"/>
      <c r="T136" s="69"/>
      <c r="U136" s="69"/>
      <c r="V136" s="69"/>
      <c r="W136" s="69"/>
      <c r="X136" s="69"/>
      <c r="Y136" s="69"/>
    </row>
    <row r="137" spans="3:27" x14ac:dyDescent="0.2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0.42118500606119952</v>
      </c>
      <c r="Q137" s="88">
        <f t="shared" ref="Q137" si="15">hundred*Q98*$H56*Q85/$H42*(1-Q110)/days_in_year/(1+$H28)*PowerFactor</f>
        <v>0</v>
      </c>
      <c r="R137" s="69"/>
      <c r="S137" s="69"/>
      <c r="T137" s="69"/>
      <c r="U137" s="69"/>
      <c r="V137" s="69"/>
      <c r="W137" s="69"/>
      <c r="X137" s="69"/>
      <c r="Y137" s="69"/>
    </row>
    <row r="138" spans="3:27" x14ac:dyDescent="0.2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0.46164072878416518</v>
      </c>
      <c r="Q138" s="88">
        <f t="shared" ref="Q138" si="19">hundred*Q99*$H57*Q86/$H43*(1-Q111)/days_in_year/(1+$H29)*PowerFactor</f>
        <v>0</v>
      </c>
      <c r="R138" s="69"/>
      <c r="S138" s="69"/>
      <c r="T138" s="69"/>
      <c r="U138" s="69"/>
      <c r="V138" s="69"/>
      <c r="W138" s="69"/>
      <c r="X138" s="69"/>
      <c r="Y138" s="69"/>
    </row>
    <row r="139" spans="3:27" x14ac:dyDescent="0.2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0.34358735511926181</v>
      </c>
      <c r="O139" s="88">
        <f t="shared" si="22"/>
        <v>1.6833579932878746</v>
      </c>
      <c r="P139" s="88">
        <f t="shared" si="22"/>
        <v>1.3096332760455198</v>
      </c>
      <c r="Q139" s="88">
        <f t="shared" ref="Q139" si="23">hundred*Q100*$H58*Q87/$H44*(1-Q112)/days_in_year/(1+$H30)*PowerFactor</f>
        <v>0</v>
      </c>
      <c r="R139" s="69"/>
      <c r="S139" s="69"/>
      <c r="T139" s="69"/>
      <c r="U139" s="69"/>
      <c r="V139" s="69"/>
      <c r="W139" s="69"/>
      <c r="X139" s="69"/>
      <c r="Y139" s="69"/>
    </row>
    <row r="140" spans="3:27" x14ac:dyDescent="0.2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0.48972064810980243</v>
      </c>
      <c r="O140" s="88">
        <f t="shared" si="26"/>
        <v>0.47986350789167281</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199</v>
      </c>
      <c r="G141" t="s">
        <v>271</v>
      </c>
      <c r="J141" s="88">
        <f t="shared" ref="J141:K141" si="28">hundred*J102*$H60*J89/$H46*(1-J114)/days_in_year/(1+$H32)*PowerFactor</f>
        <v>0.30634907469343192</v>
      </c>
      <c r="K141" s="88">
        <f t="shared" si="28"/>
        <v>0.30634907469343192</v>
      </c>
      <c r="L141" s="88">
        <f t="shared" ref="L141:M141" si="29">hundred*L102*$H60*L89/$H46*(1-L114)/days_in_year/(1+$H32)*PowerFactor</f>
        <v>0.30634907469343192</v>
      </c>
      <c r="M141" s="88">
        <f t="shared" si="29"/>
        <v>0.30634907469343192</v>
      </c>
      <c r="N141" s="88">
        <f t="shared" ref="N141:P141" si="30">hundred*N102*$H60*N89/$H46*(1-N114)/days_in_year/(1+$H32)*PowerFactor</f>
        <v>0.30634907469343192</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0.13547584886963565</v>
      </c>
      <c r="Q148" s="88">
        <f t="shared" ref="Q148" si="43">hundred*Q95*$H67*Q82/$H39/days_in_year/(1+$H25)*PowerFactor</f>
        <v>0</v>
      </c>
      <c r="R148" s="69"/>
      <c r="S148" s="69"/>
      <c r="T148" s="69"/>
      <c r="U148" s="69"/>
      <c r="V148" s="69"/>
      <c r="W148" s="69"/>
      <c r="X148" s="69"/>
      <c r="Y148" s="69"/>
    </row>
    <row r="149" spans="3:27" x14ac:dyDescent="0.2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4.5851143259431189E-2</v>
      </c>
      <c r="Q150" s="88">
        <f t="shared" ref="Q150" si="51">hundred*Q97*$H69*Q84/$H41/days_in_year/(1+$H27)*PowerFactor</f>
        <v>0</v>
      </c>
      <c r="R150" s="69"/>
      <c r="S150" s="69"/>
      <c r="T150" s="69"/>
      <c r="U150" s="69"/>
      <c r="V150" s="69"/>
      <c r="W150" s="69"/>
      <c r="X150" s="69"/>
      <c r="Y150" s="69"/>
    </row>
    <row r="151" spans="3:27" x14ac:dyDescent="0.2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0.44193352562793081</v>
      </c>
      <c r="Q151" s="88">
        <f t="shared" ref="Q151" si="55">hundred*Q98*$H70*Q85/$H42/days_in_year/(1+$H28)*PowerFactor</f>
        <v>0</v>
      </c>
      <c r="R151" s="69"/>
      <c r="S151" s="69"/>
      <c r="T151" s="69"/>
      <c r="U151" s="69"/>
      <c r="V151" s="69"/>
      <c r="W151" s="69"/>
      <c r="X151" s="69"/>
      <c r="Y151" s="69"/>
    </row>
    <row r="152" spans="3:27" x14ac:dyDescent="0.2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0.48438218813370931</v>
      </c>
      <c r="Q152" s="88">
        <f t="shared" ref="Q152" si="59">hundred*Q99*$H71*Q86/$H43/days_in_year/(1+$H29)*PowerFactor</f>
        <v>0</v>
      </c>
      <c r="R152" s="69"/>
      <c r="S152" s="69"/>
      <c r="T152" s="69"/>
      <c r="U152" s="69"/>
      <c r="V152" s="69"/>
      <c r="W152" s="69"/>
      <c r="X152" s="69"/>
      <c r="Y152" s="69"/>
    </row>
    <row r="153" spans="3:27" x14ac:dyDescent="0.2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0.43648388009367189</v>
      </c>
      <c r="O153" s="88">
        <f t="shared" si="62"/>
        <v>2.1384914710902225</v>
      </c>
      <c r="P153" s="88">
        <f t="shared" si="62"/>
        <v>2.1045471620252987</v>
      </c>
      <c r="Q153" s="88">
        <f t="shared" ref="Q153" si="63">hundred*Q100*$H72*Q87/$H44/days_in_year/(1+$H30)*PowerFactor</f>
        <v>0</v>
      </c>
      <c r="R153" s="69"/>
      <c r="S153" s="69"/>
      <c r="T153" s="69"/>
      <c r="U153" s="69"/>
      <c r="V153" s="69"/>
      <c r="W153" s="69"/>
      <c r="X153" s="69"/>
      <c r="Y153" s="69"/>
    </row>
    <row r="154" spans="3:27" x14ac:dyDescent="0.2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1.063291588988196</v>
      </c>
      <c r="O154" s="88">
        <f t="shared" si="66"/>
        <v>1.0418895624943805</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199</v>
      </c>
      <c r="G155" t="s">
        <v>271</v>
      </c>
      <c r="J155" s="88">
        <f t="shared" ref="J155:K155" si="68">hundred*J102*$H74*J89/$H46/days_in_year/(1+$H32)*PowerFactor</f>
        <v>2.2866981800560291</v>
      </c>
      <c r="K155" s="88">
        <f t="shared" si="68"/>
        <v>2.2866981800560291</v>
      </c>
      <c r="L155" s="88">
        <f t="shared" ref="L155:M155" si="69">hundred*L102*$H74*L89/$H46/days_in_year/(1+$H32)*PowerFactor</f>
        <v>2.2866981800560291</v>
      </c>
      <c r="M155" s="88">
        <f t="shared" si="69"/>
        <v>2.2866981800560291</v>
      </c>
      <c r="N155" s="88">
        <f t="shared" ref="N155:P155" si="70">hundred*N102*$H74*N89/$H46/days_in_year/(1+$H32)*PowerFactor</f>
        <v>2.2866981800560291</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control'!$H$36:$H$59,MATCH($A$1,'Version control'!$F$36:$F$59,0),1)&amp;"-C: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2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0.17392575477416383</v>
      </c>
      <c r="Q164" s="88">
        <f t="shared" ref="Q164" si="75">hundred*Q95*$H53*Q82/$H39/days_in_year/(1+$H25)*PowerFactor</f>
        <v>0</v>
      </c>
      <c r="R164" s="69"/>
      <c r="S164" s="69"/>
      <c r="T164" s="69"/>
      <c r="U164" s="69"/>
      <c r="V164" s="69"/>
      <c r="W164" s="69"/>
      <c r="X164" s="69"/>
      <c r="Y164" s="69"/>
    </row>
    <row r="165" spans="3:25" x14ac:dyDescent="0.2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5.8864327222844647E-2</v>
      </c>
      <c r="Q166" s="88">
        <f t="shared" ref="Q166" si="83">hundred*Q97*$H55*Q84/$H41/days_in_year/(1+$H27)*PowerFactor</f>
        <v>0</v>
      </c>
      <c r="R166" s="69"/>
      <c r="S166" s="69"/>
      <c r="T166" s="69"/>
      <c r="U166" s="69"/>
      <c r="V166" s="69"/>
      <c r="W166" s="69"/>
      <c r="X166" s="69"/>
      <c r="Y166" s="69"/>
    </row>
    <row r="167" spans="3:25" x14ac:dyDescent="0.2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0.56736032766112199</v>
      </c>
      <c r="Q167" s="88">
        <f t="shared" ref="Q167" si="87">hundred*Q98*$H56*Q85/$H42/days_in_year/(1+$H28)*PowerFactor</f>
        <v>0</v>
      </c>
      <c r="R167" s="69"/>
      <c r="S167" s="69"/>
      <c r="T167" s="69"/>
      <c r="U167" s="69"/>
      <c r="V167" s="69"/>
      <c r="W167" s="69"/>
      <c r="X167" s="69"/>
      <c r="Y167" s="69"/>
    </row>
    <row r="168" spans="3:25" x14ac:dyDescent="0.2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0.62185650337857878</v>
      </c>
      <c r="Q168" s="88">
        <f t="shared" ref="Q168" si="91">hundred*Q99*$H57*Q86/$H43/days_in_year/(1+$H29)*PowerFactor</f>
        <v>0</v>
      </c>
      <c r="R168" s="69"/>
      <c r="S168" s="69"/>
      <c r="T168" s="69"/>
      <c r="U168" s="69"/>
      <c r="V168" s="69"/>
      <c r="W168" s="69"/>
      <c r="X168" s="69"/>
      <c r="Y168" s="69"/>
    </row>
    <row r="169" spans="3:25" x14ac:dyDescent="0.2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0.56036399790415037</v>
      </c>
      <c r="O169" s="88">
        <f t="shared" si="94"/>
        <v>2.7454247106831882</v>
      </c>
      <c r="P169" s="88">
        <f t="shared" si="94"/>
        <v>2.701846540672344</v>
      </c>
      <c r="Q169" s="88">
        <f t="shared" ref="Q169" si="95">hundred*Q100*$H58*Q87/$H44/days_in_year/(1+$H30)*PowerFactor</f>
        <v>0</v>
      </c>
      <c r="R169" s="69"/>
      <c r="S169" s="69"/>
      <c r="T169" s="69"/>
      <c r="U169" s="69"/>
      <c r="V169" s="69"/>
      <c r="W169" s="69"/>
      <c r="X169" s="69"/>
      <c r="Y169" s="69"/>
    </row>
    <row r="170" spans="3:25" x14ac:dyDescent="0.2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1.3650683402452655</v>
      </c>
      <c r="O170" s="88">
        <f t="shared" si="98"/>
        <v>1.3375921247965961</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199</v>
      </c>
      <c r="G171" t="s">
        <v>271</v>
      </c>
      <c r="J171" s="88">
        <f t="shared" ref="J171:K171" si="100">hundred*J102*$H60*J89/$H46/days_in_year/(1+$H32)*PowerFactor</f>
        <v>2.9356945184352483</v>
      </c>
      <c r="K171" s="88">
        <f t="shared" si="100"/>
        <v>2.9356945184352483</v>
      </c>
      <c r="L171" s="88">
        <f t="shared" ref="L171:M171" si="101">hundred*L102*$H60*L89/$H46/days_in_year/(1+$H32)*PowerFactor</f>
        <v>2.9356945184352483</v>
      </c>
      <c r="M171" s="88">
        <f t="shared" si="101"/>
        <v>2.9356945184352483</v>
      </c>
      <c r="N171" s="88">
        <f t="shared" ref="N171:P171" si="102">hundred*N102*$H60*N89/$H46/days_in_year/(1+$H32)*PowerFactor</f>
        <v>2.9356945184352483</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0.13547584886963565</v>
      </c>
      <c r="Q178" s="88">
        <f t="shared" ref="Q178" si="115">hundred*Q95*$H67*Q82/$H39/days_in_year/(1+$H25)*PowerFactor</f>
        <v>0</v>
      </c>
      <c r="R178" s="69"/>
      <c r="S178" s="69"/>
      <c r="T178" s="69"/>
      <c r="U178" s="69"/>
      <c r="V178" s="69"/>
      <c r="W178" s="69"/>
      <c r="X178" s="69"/>
      <c r="Y178" s="69"/>
    </row>
    <row r="179" spans="3:27" x14ac:dyDescent="0.2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4.5851143259431189E-2</v>
      </c>
      <c r="Q180" s="88">
        <f t="shared" ref="Q180" si="123">hundred*Q97*$H69*Q84/$H41/days_in_year/(1+$H27)*PowerFactor</f>
        <v>0</v>
      </c>
      <c r="R180" s="69"/>
      <c r="S180" s="69"/>
      <c r="T180" s="69"/>
      <c r="U180" s="69"/>
      <c r="V180" s="69"/>
      <c r="W180" s="69"/>
      <c r="X180" s="69"/>
      <c r="Y180" s="69"/>
    </row>
    <row r="181" spans="3:27" x14ac:dyDescent="0.2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0.44193352562793081</v>
      </c>
      <c r="Q181" s="88">
        <f t="shared" ref="Q181" si="127">hundred*Q98*$H70*Q85/$H42/days_in_year/(1+$H28)*PowerFactor</f>
        <v>0</v>
      </c>
      <c r="R181" s="69"/>
      <c r="S181" s="69"/>
      <c r="T181" s="69"/>
      <c r="U181" s="69"/>
      <c r="V181" s="69"/>
      <c r="W181" s="69"/>
      <c r="X181" s="69"/>
      <c r="Y181" s="69"/>
    </row>
    <row r="182" spans="3:27" x14ac:dyDescent="0.2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0.48438218813370931</v>
      </c>
      <c r="Q182" s="88">
        <f t="shared" ref="Q182" si="131">hundred*Q99*$H71*Q86/$H43/days_in_year/(1+$H29)*PowerFactor</f>
        <v>0</v>
      </c>
      <c r="R182" s="69"/>
      <c r="S182" s="69"/>
      <c r="T182" s="69"/>
      <c r="U182" s="69"/>
      <c r="V182" s="69"/>
      <c r="W182" s="69"/>
      <c r="X182" s="69"/>
      <c r="Y182" s="69"/>
    </row>
    <row r="183" spans="3:27" x14ac:dyDescent="0.2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0.43648388009367189</v>
      </c>
      <c r="O183" s="88">
        <f t="shared" si="134"/>
        <v>2.1384914710902225</v>
      </c>
      <c r="P183" s="88">
        <f t="shared" si="134"/>
        <v>2.1045471620252987</v>
      </c>
      <c r="Q183" s="88">
        <f t="shared" ref="Q183" si="135">hundred*Q100*$H72*Q87/$H44/days_in_year/(1+$H30)*PowerFactor</f>
        <v>0</v>
      </c>
      <c r="R183" s="69"/>
      <c r="S183" s="69"/>
      <c r="T183" s="69"/>
      <c r="U183" s="69"/>
      <c r="V183" s="69"/>
      <c r="W183" s="69"/>
      <c r="X183" s="69"/>
      <c r="Y183" s="69"/>
    </row>
    <row r="184" spans="3:27" x14ac:dyDescent="0.2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1.063291588988196</v>
      </c>
      <c r="O184" s="88">
        <f t="shared" si="138"/>
        <v>1.0418895624943805</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199</v>
      </c>
      <c r="G185" t="s">
        <v>271</v>
      </c>
      <c r="J185" s="88">
        <f t="shared" ref="J185:K185" si="140">hundred*J102*$H74*J89/$H46/days_in_year/(1+$H32)*PowerFactor</f>
        <v>2.2866981800560291</v>
      </c>
      <c r="K185" s="88">
        <f t="shared" si="140"/>
        <v>2.2866981800560291</v>
      </c>
      <c r="L185" s="88">
        <f t="shared" ref="L185:M185" si="141">hundred*L102*$H74*L89/$H46/days_in_year/(1+$H32)*PowerFactor</f>
        <v>2.2866981800560291</v>
      </c>
      <c r="M185" s="88">
        <f t="shared" si="141"/>
        <v>2.2866981800560291</v>
      </c>
      <c r="N185" s="88">
        <f t="shared" ref="N185:P185" si="142">hundred*N102*$H74*N89/$H46/days_in_year/(1+$H32)*PowerFactor</f>
        <v>2.2866981800560291</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control'!$H$36:$H$59,MATCH($A$1,'Version control'!$F$36:$F$59,0),1)&amp;"-D: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2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0.17392575477416383</v>
      </c>
      <c r="Q194" s="88">
        <f t="shared" ref="Q194" si="147">Q$121 * Q134</f>
        <v>0</v>
      </c>
      <c r="R194" s="69"/>
      <c r="S194" s="69"/>
      <c r="T194" s="69"/>
      <c r="U194" s="69"/>
      <c r="V194" s="69"/>
      <c r="W194" s="69"/>
      <c r="X194" s="69"/>
      <c r="Y194" s="69"/>
    </row>
    <row r="195" spans="3:25" x14ac:dyDescent="0.2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5.8864327222844647E-2</v>
      </c>
      <c r="Q196" s="88">
        <f t="shared" ref="Q196" si="155">Q$121 * Q136</f>
        <v>0</v>
      </c>
      <c r="R196" s="69"/>
      <c r="S196" s="69"/>
      <c r="T196" s="69"/>
      <c r="U196" s="69"/>
      <c r="V196" s="69"/>
      <c r="W196" s="69"/>
      <c r="X196" s="69"/>
      <c r="Y196" s="69"/>
    </row>
    <row r="197" spans="3:25" x14ac:dyDescent="0.2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0.42118500606119952</v>
      </c>
      <c r="Q197" s="88">
        <f t="shared" ref="Q197" si="159">Q$121 * Q137</f>
        <v>0</v>
      </c>
      <c r="R197" s="69"/>
      <c r="S197" s="69"/>
      <c r="T197" s="69"/>
      <c r="U197" s="69"/>
      <c r="V197" s="69"/>
      <c r="W197" s="69"/>
      <c r="X197" s="69"/>
      <c r="Y197" s="69"/>
    </row>
    <row r="198" spans="3:25" x14ac:dyDescent="0.2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0.46164072878416518</v>
      </c>
      <c r="Q198" s="88">
        <f t="shared" ref="Q198" si="163">Q$121 * Q138</f>
        <v>0</v>
      </c>
      <c r="R198" s="69"/>
      <c r="S198" s="69"/>
      <c r="T198" s="69"/>
      <c r="U198" s="69"/>
      <c r="V198" s="69"/>
      <c r="W198" s="69"/>
      <c r="X198" s="69"/>
      <c r="Y198" s="69"/>
    </row>
    <row r="199" spans="3:25" x14ac:dyDescent="0.2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0.34358735511926181</v>
      </c>
      <c r="O199" s="88">
        <f t="shared" si="166"/>
        <v>1.6833579932878746</v>
      </c>
      <c r="P199" s="88">
        <f t="shared" si="166"/>
        <v>1.3096332760455198</v>
      </c>
      <c r="Q199" s="88">
        <f t="shared" ref="Q199" si="167">Q$121 * Q139</f>
        <v>0</v>
      </c>
      <c r="R199" s="69"/>
      <c r="S199" s="69"/>
      <c r="T199" s="69"/>
      <c r="U199" s="69"/>
      <c r="V199" s="69"/>
      <c r="W199" s="69"/>
      <c r="X199" s="69"/>
      <c r="Y199" s="69"/>
    </row>
    <row r="200" spans="3:25" x14ac:dyDescent="0.2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0.48972064810980243</v>
      </c>
      <c r="O200" s="88">
        <f t="shared" si="170"/>
        <v>0.47986350789167281</v>
      </c>
      <c r="P200" s="88">
        <f t="shared" si="170"/>
        <v>0</v>
      </c>
      <c r="Q200" s="88">
        <f t="shared" ref="Q200" si="171">Q$121 * Q140</f>
        <v>0</v>
      </c>
      <c r="R200" s="69"/>
      <c r="S200" s="69"/>
      <c r="T200" s="69"/>
      <c r="U200" s="69"/>
      <c r="V200" s="69"/>
      <c r="W200" s="69"/>
      <c r="X200" s="69"/>
      <c r="Y200" s="69"/>
    </row>
    <row r="201" spans="3:25" x14ac:dyDescent="0.2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0.30634907469343192</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0.13547584886963565</v>
      </c>
      <c r="Q208" s="88">
        <f t="shared" ref="Q208" si="187">Q$121 * Q148</f>
        <v>0</v>
      </c>
      <c r="R208" s="69"/>
      <c r="S208" s="69"/>
      <c r="T208" s="69"/>
      <c r="U208" s="69"/>
      <c r="V208" s="69"/>
      <c r="W208" s="69"/>
      <c r="X208" s="69"/>
      <c r="Y208" s="69"/>
    </row>
    <row r="209" spans="3:27" x14ac:dyDescent="0.2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4.5851143259431189E-2</v>
      </c>
      <c r="Q210" s="88">
        <f t="shared" ref="Q210" si="195">Q$121 * Q150</f>
        <v>0</v>
      </c>
      <c r="R210" s="69"/>
      <c r="S210" s="69"/>
      <c r="T210" s="69"/>
      <c r="U210" s="69"/>
      <c r="V210" s="69"/>
      <c r="W210" s="69"/>
      <c r="X210" s="69"/>
      <c r="Y210" s="69"/>
    </row>
    <row r="211" spans="3:27" x14ac:dyDescent="0.2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0.44193352562793081</v>
      </c>
      <c r="Q211" s="88">
        <f t="shared" ref="Q211" si="199">Q$121 * Q151</f>
        <v>0</v>
      </c>
      <c r="R211" s="69"/>
      <c r="S211" s="69"/>
      <c r="T211" s="69"/>
      <c r="U211" s="69"/>
      <c r="V211" s="69"/>
      <c r="W211" s="69"/>
      <c r="X211" s="69"/>
      <c r="Y211" s="69"/>
    </row>
    <row r="212" spans="3:27" x14ac:dyDescent="0.2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0.48438218813370931</v>
      </c>
      <c r="Q212" s="88">
        <f t="shared" ref="Q212" si="203">Q$121 * Q152</f>
        <v>0</v>
      </c>
      <c r="R212" s="69"/>
      <c r="S212" s="69"/>
      <c r="T212" s="69"/>
      <c r="U212" s="69"/>
      <c r="V212" s="69"/>
      <c r="W212" s="69"/>
      <c r="X212" s="69"/>
      <c r="Y212" s="69"/>
    </row>
    <row r="213" spans="3:27" x14ac:dyDescent="0.2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0.43648388009367189</v>
      </c>
      <c r="O213" s="88">
        <f t="shared" si="206"/>
        <v>2.1384914710902225</v>
      </c>
      <c r="P213" s="88">
        <f t="shared" si="206"/>
        <v>2.1045471620252987</v>
      </c>
      <c r="Q213" s="88">
        <f t="shared" ref="Q213" si="207">Q$121 * Q153</f>
        <v>0</v>
      </c>
      <c r="R213" s="69"/>
      <c r="S213" s="69"/>
      <c r="T213" s="69"/>
      <c r="U213" s="69"/>
      <c r="V213" s="69"/>
      <c r="W213" s="69"/>
      <c r="X213" s="69"/>
      <c r="Y213" s="69"/>
    </row>
    <row r="214" spans="3:27" x14ac:dyDescent="0.2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1.063291588988196</v>
      </c>
      <c r="O214" s="88">
        <f t="shared" si="210"/>
        <v>1.0418895624943805</v>
      </c>
      <c r="P214" s="88">
        <f t="shared" si="210"/>
        <v>0</v>
      </c>
      <c r="Q214" s="88">
        <f t="shared" ref="Q214" si="211">Q$121 * Q154</f>
        <v>0</v>
      </c>
      <c r="R214" s="69"/>
      <c r="S214" s="69"/>
      <c r="T214" s="69"/>
      <c r="U214" s="69"/>
      <c r="V214" s="69"/>
      <c r="W214" s="69"/>
      <c r="X214" s="69"/>
      <c r="Y214" s="69"/>
    </row>
    <row r="215" spans="3:27" x14ac:dyDescent="0.2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2.2866981800560291</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control'!$H$36:$H$59,MATCH($A$1,'Version control'!$F$36:$F$59,0),1)&amp;"-E: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2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0.17392575477416383</v>
      </c>
      <c r="Q224" s="88">
        <f t="shared" ref="Q224" si="219">Q$122 * Q164</f>
        <v>0</v>
      </c>
      <c r="R224" s="69"/>
      <c r="S224" s="69"/>
      <c r="T224" s="69"/>
      <c r="U224" s="69"/>
      <c r="V224" s="69"/>
      <c r="W224" s="69"/>
      <c r="X224" s="69"/>
      <c r="Y224" s="69"/>
    </row>
    <row r="225" spans="3:25" x14ac:dyDescent="0.2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5.8864327222844647E-2</v>
      </c>
      <c r="Q226" s="88">
        <f t="shared" ref="Q226" si="227">Q$122 * Q166</f>
        <v>0</v>
      </c>
      <c r="R226" s="69"/>
      <c r="S226" s="69"/>
      <c r="T226" s="69"/>
      <c r="U226" s="69"/>
      <c r="V226" s="69"/>
      <c r="W226" s="69"/>
      <c r="X226" s="69"/>
      <c r="Y226" s="69"/>
    </row>
    <row r="227" spans="3:25" x14ac:dyDescent="0.2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0.56736032766112199</v>
      </c>
      <c r="Q227" s="88">
        <f t="shared" ref="Q227" si="231">Q$122 * Q167</f>
        <v>0</v>
      </c>
      <c r="R227" s="69"/>
      <c r="S227" s="69"/>
      <c r="T227" s="69"/>
      <c r="U227" s="69"/>
      <c r="V227" s="69"/>
      <c r="W227" s="69"/>
      <c r="X227" s="69"/>
      <c r="Y227" s="69"/>
    </row>
    <row r="228" spans="3:25" x14ac:dyDescent="0.2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0.62185650337857878</v>
      </c>
      <c r="Q228" s="88">
        <f t="shared" ref="Q228" si="235">Q$122 * Q168</f>
        <v>0</v>
      </c>
      <c r="R228" s="69"/>
      <c r="S228" s="69"/>
      <c r="T228" s="69"/>
      <c r="U228" s="69"/>
      <c r="V228" s="69"/>
      <c r="W228" s="69"/>
      <c r="X228" s="69"/>
      <c r="Y228" s="69"/>
    </row>
    <row r="229" spans="3:25" x14ac:dyDescent="0.2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0.56036399790415037</v>
      </c>
      <c r="O229" s="88">
        <f t="shared" si="238"/>
        <v>2.7454247106831882</v>
      </c>
      <c r="P229" s="88">
        <f t="shared" si="238"/>
        <v>2.701846540672344</v>
      </c>
      <c r="Q229" s="88">
        <f t="shared" ref="Q229" si="239">Q$122 * Q169</f>
        <v>0</v>
      </c>
      <c r="R229" s="69"/>
      <c r="S229" s="69"/>
      <c r="T229" s="69"/>
      <c r="U229" s="69"/>
      <c r="V229" s="69"/>
      <c r="W229" s="69"/>
      <c r="X229" s="69"/>
      <c r="Y229" s="69"/>
    </row>
    <row r="230" spans="3:25" x14ac:dyDescent="0.2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1.3650683402452655</v>
      </c>
      <c r="O230" s="88">
        <f t="shared" si="242"/>
        <v>1.3375921247965961</v>
      </c>
      <c r="P230" s="88">
        <f t="shared" si="242"/>
        <v>0</v>
      </c>
      <c r="Q230" s="88">
        <f t="shared" ref="Q230" si="243">Q$122 * Q170</f>
        <v>0</v>
      </c>
      <c r="R230" s="69"/>
      <c r="S230" s="69"/>
      <c r="T230" s="69"/>
      <c r="U230" s="69"/>
      <c r="V230" s="69"/>
      <c r="W230" s="69"/>
      <c r="X230" s="69"/>
      <c r="Y230" s="69"/>
    </row>
    <row r="231" spans="3:25" x14ac:dyDescent="0.2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2.9356945184352483</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0.13547584886963565</v>
      </c>
      <c r="Q238" s="88">
        <f t="shared" ref="Q238" si="259">Q$122 * Q178</f>
        <v>0</v>
      </c>
      <c r="R238" s="69"/>
      <c r="S238" s="69"/>
      <c r="T238" s="69"/>
      <c r="U238" s="69"/>
      <c r="V238" s="69"/>
      <c r="W238" s="69"/>
      <c r="X238" s="69"/>
      <c r="Y238" s="69"/>
    </row>
    <row r="239" spans="3:25" x14ac:dyDescent="0.2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4.5851143259431189E-2</v>
      </c>
      <c r="Q240" s="88">
        <f t="shared" ref="Q240" si="267">Q$122 * Q180</f>
        <v>0</v>
      </c>
      <c r="R240" s="69"/>
      <c r="S240" s="69"/>
      <c r="T240" s="69"/>
      <c r="U240" s="69"/>
      <c r="V240" s="69"/>
      <c r="W240" s="69"/>
      <c r="X240" s="69"/>
      <c r="Y240" s="69"/>
    </row>
    <row r="241" spans="2:27" x14ac:dyDescent="0.2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0.44193352562793081</v>
      </c>
      <c r="Q241" s="88">
        <f t="shared" ref="Q241" si="271">Q$122 * Q181</f>
        <v>0</v>
      </c>
      <c r="R241" s="69"/>
      <c r="S241" s="69"/>
      <c r="T241" s="69"/>
      <c r="U241" s="69"/>
      <c r="V241" s="69"/>
      <c r="W241" s="69"/>
      <c r="X241" s="69"/>
      <c r="Y241" s="69"/>
    </row>
    <row r="242" spans="2:27" x14ac:dyDescent="0.2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0.48438218813370931</v>
      </c>
      <c r="Q242" s="88">
        <f t="shared" ref="Q242" si="275">Q$122 * Q182</f>
        <v>0</v>
      </c>
      <c r="R242" s="69"/>
      <c r="S242" s="69"/>
      <c r="T242" s="69"/>
      <c r="U242" s="69"/>
      <c r="V242" s="69"/>
      <c r="W242" s="69"/>
      <c r="X242" s="69"/>
      <c r="Y242" s="69"/>
    </row>
    <row r="243" spans="2:27" x14ac:dyDescent="0.2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0.43648388009367189</v>
      </c>
      <c r="O243" s="88">
        <f t="shared" si="278"/>
        <v>2.1384914710902225</v>
      </c>
      <c r="P243" s="88">
        <f t="shared" si="278"/>
        <v>2.1045471620252987</v>
      </c>
      <c r="Q243" s="88">
        <f t="shared" ref="Q243" si="279">Q$122 * Q183</f>
        <v>0</v>
      </c>
      <c r="R243" s="69"/>
      <c r="S243" s="69"/>
      <c r="T243" s="69"/>
      <c r="U243" s="69"/>
      <c r="V243" s="69"/>
      <c r="W243" s="69"/>
      <c r="X243" s="69"/>
      <c r="Y243" s="69"/>
    </row>
    <row r="244" spans="2:27" x14ac:dyDescent="0.2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1.063291588988196</v>
      </c>
      <c r="O244" s="88">
        <f t="shared" si="282"/>
        <v>1.0418895624943805</v>
      </c>
      <c r="P244" s="88">
        <f t="shared" si="282"/>
        <v>0</v>
      </c>
      <c r="Q244" s="88">
        <f t="shared" ref="Q244" si="283">Q$122 * Q184</f>
        <v>0</v>
      </c>
      <c r="R244" s="69"/>
      <c r="S244" s="69"/>
      <c r="T244" s="69"/>
      <c r="U244" s="69"/>
      <c r="V244" s="69"/>
      <c r="W244" s="69"/>
      <c r="X244" s="69"/>
      <c r="Y244" s="69"/>
    </row>
    <row r="245" spans="2:27" x14ac:dyDescent="0.2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2.2866981800560291</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control'!$H$36:$H$59,MATCH($A$1,'Version control'!$F$36:$F$59,0),1)&amp;"-F: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4.9261307270603929</v>
      </c>
      <c r="O256" s="121">
        <f t="shared" si="290"/>
        <v>5.34360253476415</v>
      </c>
      <c r="P256" s="121">
        <f t="shared" si="290"/>
        <v>5.6374389608038982</v>
      </c>
      <c r="Q256" s="121">
        <f t="shared" ref="Q256" si="291">SUM(Q192:Q203,Q206:Q217)</f>
        <v>0</v>
      </c>
      <c r="R256" s="69"/>
      <c r="S256" s="69"/>
      <c r="T256" s="69"/>
      <c r="U256" s="69"/>
      <c r="V256" s="69"/>
      <c r="W256" s="69"/>
      <c r="X256" s="69"/>
      <c r="Y256" s="69"/>
      <c r="AA256" t="s">
        <v>710</v>
      </c>
    </row>
    <row r="257" spans="3:27" x14ac:dyDescent="0.2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8.6476005057225613</v>
      </c>
      <c r="O257" s="111">
        <f t="shared" si="294"/>
        <v>7.263397869064387</v>
      </c>
      <c r="P257" s="111">
        <f t="shared" si="294"/>
        <v>7.3360433216250591</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control'!$H$36:$H$59,MATCH($A$1,'Version control'!$F$36:$F$59,0),1)&amp;"-G: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2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199</v>
      </c>
      <c r="G271" t="s">
        <v>271</v>
      </c>
      <c r="J271" s="111">
        <f t="shared" ref="J271:K271" si="324">J$123 * J141</f>
        <v>0.30634907469343192</v>
      </c>
      <c r="K271" s="111">
        <f t="shared" si="324"/>
        <v>0</v>
      </c>
      <c r="L271" s="111">
        <f t="shared" ref="L271:M271" si="325">L$123 * L141</f>
        <v>0.30634907469343192</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199</v>
      </c>
      <c r="G285" t="s">
        <v>271</v>
      </c>
      <c r="J285" s="111">
        <f t="shared" ref="J285:K285" si="364">J$123 * J155</f>
        <v>2.2866981800560291</v>
      </c>
      <c r="K285" s="111">
        <f t="shared" si="364"/>
        <v>0</v>
      </c>
      <c r="L285" s="111">
        <f t="shared" ref="L285:M285" si="365">L$123 * L155</f>
        <v>2.2866981800560291</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232</v>
      </c>
      <c r="G291" s="6" t="s">
        <v>55</v>
      </c>
      <c r="H291" s="177">
        <f t="array" ref="H291">SUM(IF(ISERROR(H51:Y287), 1))</f>
        <v>0</v>
      </c>
    </row>
    <row r="293" spans="2:27" x14ac:dyDescent="0.2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239</v>
      </c>
      <c r="G295" s="6" t="s">
        <v>55</v>
      </c>
      <c r="H295" s="93">
        <f>H291 + H293</f>
        <v>0</v>
      </c>
    </row>
    <row r="297" spans="2:27" x14ac:dyDescent="0.2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control'!$H$36:$H$59,MATCH($A$1,'Version control'!$F$36:$F$59,0),1)&amp;"-A: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285</v>
      </c>
    </row>
    <row r="20" spans="3:27" x14ac:dyDescent="0.25">
      <c r="D20" s="24" t="s">
        <v>665</v>
      </c>
      <c r="E20"/>
    </row>
    <row r="21" spans="3:27" x14ac:dyDescent="0.25">
      <c r="C21" s="78"/>
      <c r="E21" s="19" t="s">
        <v>189</v>
      </c>
      <c r="F21" s="19"/>
      <c r="G21" s="19" t="s">
        <v>666</v>
      </c>
      <c r="H21" s="73"/>
    </row>
    <row r="22" spans="3:27" x14ac:dyDescent="0.25">
      <c r="C22" s="78"/>
      <c r="E22" t="s">
        <v>191</v>
      </c>
      <c r="G22" t="s">
        <v>666</v>
      </c>
      <c r="H22" s="110">
        <f t="array" ref="H22:H30">TRANSPOSE('Inputs by network level'!K21:S21)</f>
        <v>0.16610219800523407</v>
      </c>
    </row>
    <row r="23" spans="3:27" x14ac:dyDescent="0.25">
      <c r="C23" s="78"/>
      <c r="E23" t="s">
        <v>192</v>
      </c>
      <c r="G23" t="s">
        <v>666</v>
      </c>
      <c r="H23" s="110">
        <v>0.16610219800523407</v>
      </c>
    </row>
    <row r="24" spans="3:27" x14ac:dyDescent="0.25">
      <c r="C24" s="78"/>
      <c r="E24" t="s">
        <v>193</v>
      </c>
      <c r="G24" t="s">
        <v>666</v>
      </c>
      <c r="H24" s="110">
        <v>0.16610219800523407</v>
      </c>
    </row>
    <row r="25" spans="3:27" x14ac:dyDescent="0.25">
      <c r="C25" s="78"/>
      <c r="E25" t="s">
        <v>194</v>
      </c>
      <c r="G25" t="s">
        <v>666</v>
      </c>
      <c r="H25" s="110">
        <v>0.16610219800523407</v>
      </c>
    </row>
    <row r="26" spans="3:27" x14ac:dyDescent="0.25">
      <c r="C26" s="78"/>
      <c r="E26" t="s">
        <v>195</v>
      </c>
      <c r="G26" t="s">
        <v>666</v>
      </c>
      <c r="H26" s="110">
        <v>0.16610219800523407</v>
      </c>
    </row>
    <row r="27" spans="3:27" x14ac:dyDescent="0.25">
      <c r="C27" s="78"/>
      <c r="E27" t="s">
        <v>196</v>
      </c>
      <c r="G27" t="s">
        <v>666</v>
      </c>
      <c r="H27" s="110">
        <v>0.16610219800523407</v>
      </c>
    </row>
    <row r="28" spans="3:27" x14ac:dyDescent="0.25">
      <c r="C28" s="78"/>
      <c r="E28" t="s">
        <v>197</v>
      </c>
      <c r="G28" t="s">
        <v>666</v>
      </c>
      <c r="H28" s="110">
        <v>0.16610219800523407</v>
      </c>
    </row>
    <row r="29" spans="3:27" x14ac:dyDescent="0.25">
      <c r="C29" s="78"/>
      <c r="E29" t="s">
        <v>198</v>
      </c>
      <c r="G29" t="s">
        <v>666</v>
      </c>
      <c r="H29" s="110">
        <v>0.16610219800523407</v>
      </c>
    </row>
    <row r="30" spans="3:27" x14ac:dyDescent="0.25">
      <c r="C30" s="78"/>
      <c r="E30" t="s">
        <v>199</v>
      </c>
      <c r="G30" t="s">
        <v>666</v>
      </c>
      <c r="H30" s="110">
        <v>0.16610219800523407</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189</v>
      </c>
      <c r="F35" s="19"/>
      <c r="G35" s="54" t="s">
        <v>283</v>
      </c>
      <c r="H35" s="114">
        <f t="array" ref="H35:H44">TRANSPOSE('Load &amp; loss characteristics'!J29:S29)</f>
        <v>1</v>
      </c>
    </row>
    <row r="36" spans="3:8" x14ac:dyDescent="0.25">
      <c r="C36" s="78"/>
      <c r="E36" t="s">
        <v>191</v>
      </c>
      <c r="G36" s="23" t="s">
        <v>283</v>
      </c>
      <c r="H36" s="110">
        <v>1</v>
      </c>
    </row>
    <row r="37" spans="3:8" x14ac:dyDescent="0.25">
      <c r="C37" s="78"/>
      <c r="E37" t="s">
        <v>192</v>
      </c>
      <c r="G37" s="23" t="s">
        <v>283</v>
      </c>
      <c r="H37" s="110">
        <v>1.0069999999999999</v>
      </c>
    </row>
    <row r="38" spans="3:8" x14ac:dyDescent="0.25">
      <c r="C38" s="78"/>
      <c r="E38" t="s">
        <v>193</v>
      </c>
      <c r="G38" s="23" t="s">
        <v>283</v>
      </c>
      <c r="H38" s="110">
        <v>1.0109999999999999</v>
      </c>
    </row>
    <row r="39" spans="3:8" x14ac:dyDescent="0.25">
      <c r="C39" s="78"/>
      <c r="E39" t="s">
        <v>194</v>
      </c>
      <c r="G39" s="23" t="s">
        <v>283</v>
      </c>
      <c r="H39" s="110">
        <v>1.034</v>
      </c>
    </row>
    <row r="40" spans="3:8" x14ac:dyDescent="0.25">
      <c r="C40" s="78"/>
      <c r="E40" t="s">
        <v>195</v>
      </c>
      <c r="G40" s="23" t="s">
        <v>283</v>
      </c>
      <c r="H40" s="110">
        <v>1.0409999999999999</v>
      </c>
    </row>
    <row r="41" spans="3:8" x14ac:dyDescent="0.25">
      <c r="C41" s="78"/>
      <c r="E41" t="s">
        <v>196</v>
      </c>
      <c r="G41" s="23" t="s">
        <v>283</v>
      </c>
      <c r="H41" s="110">
        <v>1.0409999999999999</v>
      </c>
    </row>
    <row r="42" spans="3:8" x14ac:dyDescent="0.25">
      <c r="C42" s="78"/>
      <c r="E42" t="s">
        <v>197</v>
      </c>
      <c r="G42" s="23" t="s">
        <v>283</v>
      </c>
      <c r="H42" s="110">
        <v>1.054</v>
      </c>
    </row>
    <row r="43" spans="3:8" x14ac:dyDescent="0.25">
      <c r="C43" s="78"/>
      <c r="E43" t="s">
        <v>198</v>
      </c>
      <c r="G43" s="23" t="s">
        <v>283</v>
      </c>
      <c r="H43" s="110">
        <v>1.071</v>
      </c>
    </row>
    <row r="44" spans="3:8" x14ac:dyDescent="0.25">
      <c r="C44" s="78"/>
      <c r="E44" t="s">
        <v>199</v>
      </c>
      <c r="G44" s="23" t="s">
        <v>283</v>
      </c>
      <c r="H44" s="110">
        <v>1.093</v>
      </c>
    </row>
    <row r="45" spans="3:8" x14ac:dyDescent="0.25">
      <c r="C45" s="78"/>
      <c r="E45" t="s">
        <v>375</v>
      </c>
      <c r="G45" s="23" t="s">
        <v>283</v>
      </c>
      <c r="H45" s="69"/>
    </row>
    <row r="46" spans="3:8" x14ac:dyDescent="0.25">
      <c r="C46" s="78"/>
      <c r="E46" s="28" t="s">
        <v>376</v>
      </c>
      <c r="F46" s="28"/>
      <c r="G46" s="57" t="s">
        <v>283</v>
      </c>
      <c r="H46" s="71"/>
    </row>
    <row r="47" spans="3:8" x14ac:dyDescent="0.25">
      <c r="C47" s="78"/>
      <c r="H47" s="79"/>
    </row>
    <row r="48" spans="3:8" x14ac:dyDescent="0.25">
      <c r="D48" s="27" t="s">
        <v>667</v>
      </c>
      <c r="H48" s="79"/>
    </row>
    <row r="49" spans="3:8" x14ac:dyDescent="0.25">
      <c r="C49" s="78"/>
      <c r="E49" s="19" t="s">
        <v>189</v>
      </c>
      <c r="F49" s="19"/>
      <c r="G49" s="19" t="s">
        <v>584</v>
      </c>
      <c r="H49" s="73"/>
    </row>
    <row r="50" spans="3:8" x14ac:dyDescent="0.25">
      <c r="C50" s="78"/>
      <c r="E50" t="s">
        <v>191</v>
      </c>
      <c r="G50" t="s">
        <v>584</v>
      </c>
      <c r="H50" s="69"/>
    </row>
    <row r="51" spans="3:8" x14ac:dyDescent="0.25">
      <c r="C51" s="78"/>
      <c r="E51" t="s">
        <v>192</v>
      </c>
      <c r="G51" t="s">
        <v>584</v>
      </c>
      <c r="H51" s="110">
        <f t="array" ref="H51:H58">TRANSPOSE('Unit costs'!L114:S114)</f>
        <v>5.0078304360215355</v>
      </c>
    </row>
    <row r="52" spans="3:8" x14ac:dyDescent="0.25">
      <c r="C52" s="78"/>
      <c r="E52" t="s">
        <v>193</v>
      </c>
      <c r="G52" t="s">
        <v>584</v>
      </c>
      <c r="H52" s="110">
        <v>3.8717182166149238</v>
      </c>
    </row>
    <row r="53" spans="3:8" x14ac:dyDescent="0.25">
      <c r="C53" s="78"/>
      <c r="E53" t="s">
        <v>194</v>
      </c>
      <c r="G53" t="s">
        <v>584</v>
      </c>
      <c r="H53" s="110">
        <v>4.0248723662030921</v>
      </c>
    </row>
    <row r="54" spans="3:8" x14ac:dyDescent="0.25">
      <c r="C54" s="78"/>
      <c r="E54" t="s">
        <v>195</v>
      </c>
      <c r="G54" t="s">
        <v>584</v>
      </c>
      <c r="H54" s="110">
        <v>7.8112237702789642</v>
      </c>
    </row>
    <row r="55" spans="3:8" x14ac:dyDescent="0.25">
      <c r="C55" s="78"/>
      <c r="E55" t="s">
        <v>196</v>
      </c>
      <c r="G55" t="s">
        <v>584</v>
      </c>
      <c r="H55" s="110">
        <v>3.7019210616888309</v>
      </c>
    </row>
    <row r="56" spans="3:8" x14ac:dyDescent="0.25">
      <c r="C56" s="78"/>
      <c r="E56" t="s">
        <v>197</v>
      </c>
      <c r="G56" t="s">
        <v>584</v>
      </c>
      <c r="H56" s="110">
        <v>15.515575616305153</v>
      </c>
    </row>
    <row r="57" spans="3:8" x14ac:dyDescent="0.25">
      <c r="C57" s="78"/>
      <c r="E57" t="s">
        <v>198</v>
      </c>
      <c r="G57" t="s">
        <v>584</v>
      </c>
      <c r="H57" s="110">
        <v>7.6812326102323452</v>
      </c>
    </row>
    <row r="58" spans="3:8" x14ac:dyDescent="0.25">
      <c r="C58" s="78"/>
      <c r="E58" t="s">
        <v>199</v>
      </c>
      <c r="G58" t="s">
        <v>584</v>
      </c>
      <c r="H58" s="110">
        <v>17.994237709869179</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189</v>
      </c>
      <c r="F63" s="19"/>
      <c r="G63" s="19" t="s">
        <v>584</v>
      </c>
      <c r="H63" s="114">
        <f t="array" ref="H63:H72">TRANSPOSE('Unit costs'!J115:S115)</f>
        <v>2.4646319074469734</v>
      </c>
    </row>
    <row r="64" spans="3:8" x14ac:dyDescent="0.25">
      <c r="C64" s="78"/>
      <c r="E64" t="s">
        <v>191</v>
      </c>
      <c r="G64" t="s">
        <v>584</v>
      </c>
      <c r="H64" s="110">
        <v>0</v>
      </c>
    </row>
    <row r="65" spans="3:42" x14ac:dyDescent="0.25">
      <c r="C65" s="78"/>
      <c r="E65" t="s">
        <v>192</v>
      </c>
      <c r="G65" t="s">
        <v>584</v>
      </c>
      <c r="H65" s="110">
        <v>3.9007453507742116</v>
      </c>
    </row>
    <row r="66" spans="3:42" x14ac:dyDescent="0.25">
      <c r="C66" s="78"/>
      <c r="E66" t="s">
        <v>193</v>
      </c>
      <c r="G66" t="s">
        <v>584</v>
      </c>
      <c r="H66" s="110">
        <v>3.0157943696206133</v>
      </c>
    </row>
    <row r="67" spans="3:42" x14ac:dyDescent="0.25">
      <c r="C67" s="78"/>
      <c r="E67" t="s">
        <v>194</v>
      </c>
      <c r="G67" t="s">
        <v>584</v>
      </c>
      <c r="H67" s="110">
        <v>3.1350906086986363</v>
      </c>
    </row>
    <row r="68" spans="3:42" x14ac:dyDescent="0.25">
      <c r="C68" s="78"/>
      <c r="E68" t="s">
        <v>195</v>
      </c>
      <c r="G68" t="s">
        <v>584</v>
      </c>
      <c r="H68" s="110">
        <v>6.0843902753982242</v>
      </c>
    </row>
    <row r="69" spans="3:42" x14ac:dyDescent="0.25">
      <c r="C69" s="78"/>
      <c r="E69" t="s">
        <v>196</v>
      </c>
      <c r="G69" t="s">
        <v>584</v>
      </c>
      <c r="H69" s="110">
        <v>2.8835344077240523</v>
      </c>
    </row>
    <row r="70" spans="3:42" x14ac:dyDescent="0.25">
      <c r="C70" s="78"/>
      <c r="E70" t="s">
        <v>197</v>
      </c>
      <c r="G70" t="s">
        <v>584</v>
      </c>
      <c r="H70" s="110">
        <v>12.085534888431631</v>
      </c>
    </row>
    <row r="71" spans="3:42" x14ac:dyDescent="0.25">
      <c r="C71" s="78"/>
      <c r="E71" t="s">
        <v>198</v>
      </c>
      <c r="G71" t="s">
        <v>584</v>
      </c>
      <c r="H71" s="110">
        <v>5.9831363652126326</v>
      </c>
    </row>
    <row r="72" spans="3:42" x14ac:dyDescent="0.25">
      <c r="C72" s="78"/>
      <c r="E72" t="s">
        <v>199</v>
      </c>
      <c r="G72" t="s">
        <v>584</v>
      </c>
      <c r="H72" s="110">
        <v>14.016237167818588</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25">
      <c r="C79" s="78"/>
    </row>
    <row r="80" spans="3:42" x14ac:dyDescent="0.25">
      <c r="D80" s="27" t="s">
        <v>120</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0.13851312583363759</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154</v>
      </c>
      <c r="AA91" t="s">
        <v>673</v>
      </c>
    </row>
    <row r="92" spans="3:42" x14ac:dyDescent="0.25">
      <c r="D92" s="24" t="s">
        <v>400</v>
      </c>
      <c r="E92"/>
      <c r="AA92" s="194"/>
    </row>
    <row r="93" spans="3:42" x14ac:dyDescent="0.25">
      <c r="D93"/>
      <c r="E93" s="19" t="s">
        <v>189</v>
      </c>
      <c r="F93" s="19"/>
      <c r="G93" s="54" t="s">
        <v>283</v>
      </c>
      <c r="H93" s="19"/>
      <c r="I93" s="19"/>
      <c r="J93" s="73"/>
      <c r="K93" s="73"/>
      <c r="L93" s="73"/>
      <c r="M93" s="73"/>
      <c r="N93" s="73"/>
      <c r="O93" s="73"/>
      <c r="P93" s="73"/>
      <c r="Q93" s="73"/>
      <c r="R93" s="114">
        <f t="array" ref="R93:Y102">TRANSPOSE('Load &amp; loss characteristics'!J172:S179)</f>
        <v>-1.093</v>
      </c>
      <c r="S93" s="114">
        <v>-1.071</v>
      </c>
      <c r="T93" s="114">
        <v>-1.093</v>
      </c>
      <c r="U93" s="114">
        <v>-1.093</v>
      </c>
      <c r="V93" s="114">
        <v>-1.071</v>
      </c>
      <c r="W93" s="114">
        <v>-1.071</v>
      </c>
      <c r="X93" s="114">
        <v>-1.054</v>
      </c>
      <c r="Y93" s="114">
        <v>-1.054</v>
      </c>
    </row>
    <row r="94" spans="3:42" x14ac:dyDescent="0.25">
      <c r="D94"/>
      <c r="E94" t="s">
        <v>191</v>
      </c>
      <c r="G94" s="23" t="s">
        <v>283</v>
      </c>
      <c r="J94" s="69"/>
      <c r="K94" s="69"/>
      <c r="L94" s="69"/>
      <c r="M94" s="69"/>
      <c r="N94" s="69"/>
      <c r="O94" s="69"/>
      <c r="P94" s="69"/>
      <c r="Q94" s="69"/>
      <c r="R94" s="110">
        <v>-1.093</v>
      </c>
      <c r="S94" s="110">
        <v>-1.071</v>
      </c>
      <c r="T94" s="110">
        <v>-1.093</v>
      </c>
      <c r="U94" s="110">
        <v>-1.093</v>
      </c>
      <c r="V94" s="110">
        <v>-1.071</v>
      </c>
      <c r="W94" s="110">
        <v>-1.071</v>
      </c>
      <c r="X94" s="110">
        <v>-1.054</v>
      </c>
      <c r="Y94" s="110">
        <v>-1.054</v>
      </c>
    </row>
    <row r="95" spans="3:42" x14ac:dyDescent="0.25">
      <c r="D95"/>
      <c r="E95" t="s">
        <v>192</v>
      </c>
      <c r="G95" s="23" t="s">
        <v>283</v>
      </c>
      <c r="J95" s="69"/>
      <c r="K95" s="69"/>
      <c r="L95" s="69"/>
      <c r="M95" s="69"/>
      <c r="N95" s="69"/>
      <c r="O95" s="69"/>
      <c r="P95" s="69"/>
      <c r="Q95" s="69"/>
      <c r="R95" s="110">
        <v>-1.093</v>
      </c>
      <c r="S95" s="110">
        <v>-1.071</v>
      </c>
      <c r="T95" s="110">
        <v>-1.093</v>
      </c>
      <c r="U95" s="110">
        <v>-1.093</v>
      </c>
      <c r="V95" s="110">
        <v>-1.071</v>
      </c>
      <c r="W95" s="110">
        <v>-1.071</v>
      </c>
      <c r="X95" s="110">
        <v>-1.054</v>
      </c>
      <c r="Y95" s="110">
        <v>-1.054</v>
      </c>
    </row>
    <row r="96" spans="3:42" x14ac:dyDescent="0.25">
      <c r="D96"/>
      <c r="E96" t="s">
        <v>193</v>
      </c>
      <c r="G96" s="23" t="s">
        <v>283</v>
      </c>
      <c r="J96" s="69"/>
      <c r="K96" s="69"/>
      <c r="L96" s="69"/>
      <c r="M96" s="69"/>
      <c r="N96" s="69"/>
      <c r="O96" s="69"/>
      <c r="P96" s="69"/>
      <c r="Q96" s="69"/>
      <c r="R96" s="110">
        <v>-0.33602576731917067</v>
      </c>
      <c r="S96" s="110">
        <v>-0.32926221116087079</v>
      </c>
      <c r="T96" s="110">
        <v>-0.33602576731917067</v>
      </c>
      <c r="U96" s="110">
        <v>-0.33602576731917067</v>
      </c>
      <c r="V96" s="110">
        <v>-0.32926221116087079</v>
      </c>
      <c r="W96" s="110">
        <v>-0.32926221116087079</v>
      </c>
      <c r="X96" s="110">
        <v>-0.32403582685672999</v>
      </c>
      <c r="Y96" s="110">
        <v>-0.32403582685672999</v>
      </c>
    </row>
    <row r="97" spans="3:25" x14ac:dyDescent="0.25">
      <c r="D97"/>
      <c r="E97" t="s">
        <v>194</v>
      </c>
      <c r="G97" s="23" t="s">
        <v>283</v>
      </c>
      <c r="J97" s="69"/>
      <c r="K97" s="69"/>
      <c r="L97" s="69"/>
      <c r="M97" s="69"/>
      <c r="N97" s="69"/>
      <c r="O97" s="69"/>
      <c r="P97" s="69"/>
      <c r="Q97" s="69"/>
      <c r="R97" s="110">
        <v>-0.33602576731917067</v>
      </c>
      <c r="S97" s="110">
        <v>-0.32926221116087079</v>
      </c>
      <c r="T97" s="110">
        <v>-0.33602576731917067</v>
      </c>
      <c r="U97" s="110">
        <v>-0.33602576731917067</v>
      </c>
      <c r="V97" s="110">
        <v>-0.32926221116087079</v>
      </c>
      <c r="W97" s="110">
        <v>-0.32926221116087079</v>
      </c>
      <c r="X97" s="110">
        <v>-0.32403582685672999</v>
      </c>
      <c r="Y97" s="110">
        <v>-0.32403582685672999</v>
      </c>
    </row>
    <row r="98" spans="3:25" x14ac:dyDescent="0.25">
      <c r="D98"/>
      <c r="E98" t="s">
        <v>195</v>
      </c>
      <c r="G98" s="23" t="s">
        <v>283</v>
      </c>
      <c r="J98" s="69"/>
      <c r="K98" s="69"/>
      <c r="L98" s="69"/>
      <c r="M98" s="69"/>
      <c r="N98" s="69"/>
      <c r="O98" s="69"/>
      <c r="P98" s="69"/>
      <c r="Q98" s="69"/>
      <c r="R98" s="110">
        <v>-0.33602576731917067</v>
      </c>
      <c r="S98" s="110">
        <v>-0.32926221116087079</v>
      </c>
      <c r="T98" s="110">
        <v>-0.33602576731917067</v>
      </c>
      <c r="U98" s="110">
        <v>-0.33602576731917067</v>
      </c>
      <c r="V98" s="110">
        <v>-0.32926221116087079</v>
      </c>
      <c r="W98" s="110">
        <v>-0.32926221116087079</v>
      </c>
      <c r="X98" s="110">
        <v>-0.32403582685672999</v>
      </c>
      <c r="Y98" s="110">
        <v>-0.32403582685672999</v>
      </c>
    </row>
    <row r="99" spans="3:25" x14ac:dyDescent="0.25">
      <c r="D99"/>
      <c r="E99" t="s">
        <v>196</v>
      </c>
      <c r="G99" s="23" t="s">
        <v>283</v>
      </c>
      <c r="J99" s="69"/>
      <c r="K99" s="69"/>
      <c r="L99" s="69"/>
      <c r="M99" s="69"/>
      <c r="N99" s="69"/>
      <c r="O99" s="69"/>
      <c r="P99" s="69"/>
      <c r="Q99" s="69"/>
      <c r="R99" s="110">
        <v>-0.75697423268082931</v>
      </c>
      <c r="S99" s="110">
        <v>-0.74173778883912922</v>
      </c>
      <c r="T99" s="110">
        <v>-0.75697423268082931</v>
      </c>
      <c r="U99" s="110">
        <v>-0.75697423268082931</v>
      </c>
      <c r="V99" s="110">
        <v>-0.74173778883912922</v>
      </c>
      <c r="W99" s="110">
        <v>-0.74173778883912922</v>
      </c>
      <c r="X99" s="110">
        <v>-0.72996417314327</v>
      </c>
      <c r="Y99" s="110">
        <v>-0.72996417314327</v>
      </c>
    </row>
    <row r="100" spans="3:25" x14ac:dyDescent="0.25">
      <c r="D100"/>
      <c r="E100" t="s">
        <v>197</v>
      </c>
      <c r="G100" s="23" t="s">
        <v>283</v>
      </c>
      <c r="J100" s="69"/>
      <c r="K100" s="69"/>
      <c r="L100" s="69"/>
      <c r="M100" s="69"/>
      <c r="N100" s="69"/>
      <c r="O100" s="69"/>
      <c r="P100" s="69"/>
      <c r="Q100" s="69"/>
      <c r="R100" s="110">
        <v>-1.093</v>
      </c>
      <c r="S100" s="110">
        <v>-1.071</v>
      </c>
      <c r="T100" s="110">
        <v>-1.093</v>
      </c>
      <c r="U100" s="110">
        <v>-1.093</v>
      </c>
      <c r="V100" s="110">
        <v>-1.071</v>
      </c>
      <c r="W100" s="110">
        <v>-1.071</v>
      </c>
      <c r="X100" s="110">
        <v>-1.054</v>
      </c>
      <c r="Y100" s="110">
        <v>-1.054</v>
      </c>
    </row>
    <row r="101" spans="3:25" x14ac:dyDescent="0.25">
      <c r="D101"/>
      <c r="E101" t="s">
        <v>198</v>
      </c>
      <c r="G101" s="23" t="s">
        <v>283</v>
      </c>
      <c r="J101" s="69"/>
      <c r="K101" s="69"/>
      <c r="L101" s="69"/>
      <c r="M101" s="69"/>
      <c r="N101" s="69"/>
      <c r="O101" s="69"/>
      <c r="P101" s="69"/>
      <c r="Q101" s="69"/>
      <c r="R101" s="110">
        <v>-1.093</v>
      </c>
      <c r="S101" s="110">
        <v>-1.071</v>
      </c>
      <c r="T101" s="110">
        <v>-1.093</v>
      </c>
      <c r="U101" s="110">
        <v>-1.093</v>
      </c>
      <c r="V101" s="110">
        <v>-1.071</v>
      </c>
      <c r="W101" s="110">
        <v>-1.071</v>
      </c>
      <c r="X101" s="110">
        <v>0</v>
      </c>
      <c r="Y101" s="110">
        <v>0</v>
      </c>
    </row>
    <row r="102" spans="3:25" x14ac:dyDescent="0.25">
      <c r="D102"/>
      <c r="E102" t="s">
        <v>199</v>
      </c>
      <c r="G102" s="23" t="s">
        <v>283</v>
      </c>
      <c r="J102" s="69"/>
      <c r="K102" s="69"/>
      <c r="L102" s="69"/>
      <c r="M102" s="69"/>
      <c r="N102" s="69"/>
      <c r="O102" s="69"/>
      <c r="P102" s="69"/>
      <c r="Q102" s="69"/>
      <c r="R102" s="110">
        <v>-1.093</v>
      </c>
      <c r="S102" s="110">
        <v>0</v>
      </c>
      <c r="T102" s="110">
        <v>-1.093</v>
      </c>
      <c r="U102" s="110">
        <v>-1.093</v>
      </c>
      <c r="V102" s="110">
        <v>0</v>
      </c>
      <c r="W102" s="110">
        <v>0</v>
      </c>
      <c r="X102" s="110">
        <v>0</v>
      </c>
      <c r="Y102" s="110">
        <v>0</v>
      </c>
    </row>
    <row r="103" spans="3:25" x14ac:dyDescent="0.2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2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193</v>
      </c>
      <c r="G110" t="s">
        <v>167</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row>
    <row r="111" spans="3:25" x14ac:dyDescent="0.25">
      <c r="C111" s="78"/>
      <c r="E111" t="s">
        <v>194</v>
      </c>
      <c r="G111" t="s">
        <v>167</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row>
    <row r="112" spans="3:25" x14ac:dyDescent="0.25">
      <c r="C112" s="78"/>
      <c r="E112" t="s">
        <v>195</v>
      </c>
      <c r="G112" t="s">
        <v>167</v>
      </c>
      <c r="J112" s="21">
        <v>0</v>
      </c>
      <c r="K112" s="21">
        <v>0</v>
      </c>
      <c r="L112" s="21">
        <v>0</v>
      </c>
      <c r="M112" s="21">
        <v>0</v>
      </c>
      <c r="N112" s="21">
        <v>0</v>
      </c>
      <c r="O112" s="21">
        <v>0</v>
      </c>
      <c r="P112" s="21">
        <v>0.25764106948138837</v>
      </c>
      <c r="Q112" s="21">
        <v>0</v>
      </c>
      <c r="R112" s="21">
        <v>0</v>
      </c>
      <c r="S112" s="21">
        <v>0</v>
      </c>
      <c r="T112" s="21">
        <v>0</v>
      </c>
      <c r="U112" s="21">
        <v>0</v>
      </c>
      <c r="V112" s="21">
        <v>0</v>
      </c>
      <c r="W112" s="21">
        <v>0</v>
      </c>
      <c r="X112" s="21">
        <v>0.25764106948138837</v>
      </c>
      <c r="Y112" s="21">
        <v>0.25764106948138837</v>
      </c>
    </row>
    <row r="113" spans="3:27" x14ac:dyDescent="0.25">
      <c r="C113" s="78"/>
      <c r="E113" t="s">
        <v>196</v>
      </c>
      <c r="G113" t="s">
        <v>167</v>
      </c>
      <c r="J113" s="21">
        <v>0</v>
      </c>
      <c r="K113" s="21">
        <v>0</v>
      </c>
      <c r="L113" s="21">
        <v>0</v>
      </c>
      <c r="M113" s="21">
        <v>0</v>
      </c>
      <c r="N113" s="21">
        <v>0</v>
      </c>
      <c r="O113" s="21">
        <v>0</v>
      </c>
      <c r="P113" s="21">
        <v>0.25764106948138837</v>
      </c>
      <c r="Q113" s="21">
        <v>0</v>
      </c>
      <c r="R113" s="21">
        <v>0</v>
      </c>
      <c r="S113" s="21">
        <v>0</v>
      </c>
      <c r="T113" s="21">
        <v>0</v>
      </c>
      <c r="U113" s="21">
        <v>0</v>
      </c>
      <c r="V113" s="21">
        <v>0</v>
      </c>
      <c r="W113" s="21">
        <v>0</v>
      </c>
      <c r="X113" s="21">
        <v>0.25764106948138837</v>
      </c>
      <c r="Y113" s="21">
        <v>0.25764106948138837</v>
      </c>
    </row>
    <row r="114" spans="3:27" x14ac:dyDescent="0.25">
      <c r="C114" s="78"/>
      <c r="E114" t="s">
        <v>197</v>
      </c>
      <c r="G114" t="s">
        <v>167</v>
      </c>
      <c r="J114" s="21">
        <v>0.38684969697494365</v>
      </c>
      <c r="K114" s="21">
        <v>0.38684969697494365</v>
      </c>
      <c r="L114" s="21">
        <v>0.38684969697494365</v>
      </c>
      <c r="M114" s="21">
        <v>0.38684969697494365</v>
      </c>
      <c r="N114" s="21">
        <v>0.38684969697494365</v>
      </c>
      <c r="O114" s="21">
        <v>0.38684969697494365</v>
      </c>
      <c r="P114" s="21">
        <v>0.51528213896277675</v>
      </c>
      <c r="Q114" s="21">
        <v>0.38684969697494365</v>
      </c>
      <c r="R114" s="21">
        <v>0.38684969697494365</v>
      </c>
      <c r="S114" s="21">
        <v>0.38684969697494365</v>
      </c>
      <c r="T114" s="21">
        <v>0.38684969697494365</v>
      </c>
      <c r="U114" s="21">
        <v>0.38684969697494365</v>
      </c>
      <c r="V114" s="21">
        <v>0.38684969697494365</v>
      </c>
      <c r="W114" s="21">
        <v>0.38684969697494365</v>
      </c>
      <c r="X114" s="21">
        <v>0.51528213896277675</v>
      </c>
      <c r="Y114" s="21">
        <v>0.51528213896277675</v>
      </c>
    </row>
    <row r="115" spans="3:27" x14ac:dyDescent="0.25">
      <c r="C115" s="78"/>
      <c r="E115" t="s">
        <v>198</v>
      </c>
      <c r="G115" t="s">
        <v>167</v>
      </c>
      <c r="J115" s="21">
        <v>0.64124825573068889</v>
      </c>
      <c r="K115" s="21">
        <v>0.64124825573068889</v>
      </c>
      <c r="L115" s="21">
        <v>0.64124825573068889</v>
      </c>
      <c r="M115" s="21">
        <v>0.64124825573068889</v>
      </c>
      <c r="N115" s="21">
        <v>0.64124825573068889</v>
      </c>
      <c r="O115" s="21">
        <v>0.64124825573068889</v>
      </c>
      <c r="P115" s="21">
        <v>0</v>
      </c>
      <c r="Q115" s="21">
        <v>0.64124825573068889</v>
      </c>
      <c r="R115" s="21">
        <v>0.64124825573068889</v>
      </c>
      <c r="S115" s="21">
        <v>0.64124825573068889</v>
      </c>
      <c r="T115" s="21">
        <v>0.64124825573068889</v>
      </c>
      <c r="U115" s="21">
        <v>0.64124825573068889</v>
      </c>
      <c r="V115" s="21">
        <v>0.64124825573068889</v>
      </c>
      <c r="W115" s="21">
        <v>0.64124825573068889</v>
      </c>
      <c r="X115" s="21">
        <v>0</v>
      </c>
      <c r="Y115" s="21">
        <v>0</v>
      </c>
    </row>
    <row r="116" spans="3:27" x14ac:dyDescent="0.25">
      <c r="C116" s="78"/>
      <c r="E116" t="s">
        <v>199</v>
      </c>
      <c r="G116" t="s">
        <v>167</v>
      </c>
      <c r="J116" s="21">
        <v>0.89564681448643413</v>
      </c>
      <c r="K116" s="21">
        <v>0.89564681448643413</v>
      </c>
      <c r="L116" s="21">
        <v>0.89564681448643413</v>
      </c>
      <c r="M116" s="21">
        <v>0.89564681448643413</v>
      </c>
      <c r="N116" s="21">
        <v>0.89564681448643413</v>
      </c>
      <c r="O116" s="21">
        <v>0</v>
      </c>
      <c r="P116" s="21">
        <v>0</v>
      </c>
      <c r="Q116" s="21">
        <v>0.89564681448643413</v>
      </c>
      <c r="R116" s="21">
        <v>0.89564681448643413</v>
      </c>
      <c r="S116" s="21">
        <v>0</v>
      </c>
      <c r="T116" s="21">
        <v>0.89564681448643413</v>
      </c>
      <c r="U116" s="21">
        <v>0.89564681448643413</v>
      </c>
      <c r="V116" s="21">
        <v>0</v>
      </c>
      <c r="W116" s="21">
        <v>0</v>
      </c>
      <c r="X116" s="21">
        <v>0</v>
      </c>
      <c r="Y116" s="21">
        <v>0</v>
      </c>
    </row>
    <row r="117" spans="3:27" x14ac:dyDescent="0.2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control'!$H$36:$H$59,MATCH($A$1,'Version control'!$F$36:$F$59,0),1)&amp;"-B: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192</v>
      </c>
      <c r="G125" t="s">
        <v>269</v>
      </c>
      <c r="H125" s="256"/>
      <c r="I125" s="256"/>
      <c r="J125" s="268">
        <f>'Initial unit rates'!J125</f>
        <v>0.12232892749891422</v>
      </c>
      <c r="K125" s="268">
        <f>'Initial unit rates'!K125</f>
        <v>0.12232892749891422</v>
      </c>
      <c r="L125" s="268">
        <f>'Initial unit rates'!L125</f>
        <v>0.10474983993703958</v>
      </c>
      <c r="M125" s="268">
        <f>'Initial unit rates'!M125</f>
        <v>0.10474983993703958</v>
      </c>
      <c r="N125" s="268">
        <f>'Initial unit rates'!N125</f>
        <v>8.9826746440370794E-2</v>
      </c>
      <c r="O125" s="268">
        <f>'Initial unit rates'!O125</f>
        <v>9.1450869776658006E-2</v>
      </c>
      <c r="P125" s="268">
        <f>'Initial unit rates'!P125</f>
        <v>6.8847034146572061E-2</v>
      </c>
      <c r="Q125" s="268">
        <f>'Initial unit rates'!Q125</f>
        <v>0.11368456543136249</v>
      </c>
      <c r="R125" s="257"/>
      <c r="S125" s="257"/>
      <c r="T125" s="257"/>
      <c r="U125" s="257"/>
      <c r="V125" s="257"/>
      <c r="W125" s="257"/>
      <c r="X125" s="257"/>
      <c r="Y125" s="257"/>
      <c r="Z125" s="256"/>
      <c r="AA125" s="256"/>
    </row>
    <row r="126" spans="3:27" x14ac:dyDescent="0.25">
      <c r="E126" t="s">
        <v>193</v>
      </c>
      <c r="G126" t="s">
        <v>269</v>
      </c>
      <c r="H126" s="256"/>
      <c r="I126" s="256"/>
      <c r="J126" s="268">
        <f>'Initial unit rates'!J126</f>
        <v>2.8961031711086948E-2</v>
      </c>
      <c r="K126" s="268">
        <f>'Initial unit rates'!K126</f>
        <v>2.8961031711086948E-2</v>
      </c>
      <c r="L126" s="268">
        <f>'Initial unit rates'!L126</f>
        <v>2.4799231859322986E-2</v>
      </c>
      <c r="M126" s="268">
        <f>'Initial unit rates'!M126</f>
        <v>2.4799231859322986E-2</v>
      </c>
      <c r="N126" s="268">
        <f>'Initial unit rates'!N126</f>
        <v>2.1266231179754565E-2</v>
      </c>
      <c r="O126" s="268">
        <f>'Initial unit rates'!O126</f>
        <v>2.1650737840661474E-2</v>
      </c>
      <c r="P126" s="268">
        <f>'Initial unit rates'!P126</f>
        <v>1.6299342926478749E-2</v>
      </c>
      <c r="Q126" s="268">
        <f>'Initial unit rates'!Q126</f>
        <v>2.6914503150107738E-2</v>
      </c>
      <c r="R126" s="257"/>
      <c r="S126" s="257"/>
      <c r="T126" s="257"/>
      <c r="U126" s="257"/>
      <c r="V126" s="257"/>
      <c r="W126" s="257"/>
      <c r="X126" s="257"/>
      <c r="Y126" s="257"/>
      <c r="Z126" s="256"/>
      <c r="AA126" s="256"/>
    </row>
    <row r="127" spans="3:27" x14ac:dyDescent="0.25">
      <c r="E127" t="s">
        <v>194</v>
      </c>
      <c r="G127" t="s">
        <v>269</v>
      </c>
      <c r="H127" s="256"/>
      <c r="I127" s="256"/>
      <c r="J127" s="268">
        <f>'Initial unit rates'!J127</f>
        <v>2.9436964019164773E-2</v>
      </c>
      <c r="K127" s="268">
        <f>'Initial unit rates'!K127</f>
        <v>2.9436964019164773E-2</v>
      </c>
      <c r="L127" s="268">
        <f>'Initial unit rates'!L127</f>
        <v>2.5206771058033452E-2</v>
      </c>
      <c r="M127" s="268">
        <f>'Initial unit rates'!M127</f>
        <v>2.5206771058033452E-2</v>
      </c>
      <c r="N127" s="268">
        <f>'Initial unit rates'!N127</f>
        <v>2.1615710666206097E-2</v>
      </c>
      <c r="O127" s="268">
        <f>'Initial unit rates'!O127</f>
        <v>2.2006536133170135E-2</v>
      </c>
      <c r="P127" s="268">
        <f>'Initial unit rates'!P127</f>
        <v>1.6567198850139832E-2</v>
      </c>
      <c r="Q127" s="268">
        <f>'Initial unit rates'!Q127</f>
        <v>2.735680374674342E-2</v>
      </c>
      <c r="R127" s="257"/>
      <c r="S127" s="257"/>
      <c r="T127" s="257"/>
      <c r="U127" s="257"/>
      <c r="V127" s="257"/>
      <c r="W127" s="257"/>
      <c r="X127" s="257"/>
      <c r="Y127" s="257"/>
      <c r="Z127" s="256"/>
      <c r="AA127" s="256"/>
    </row>
    <row r="128" spans="3:27" x14ac:dyDescent="0.25">
      <c r="E128" t="s">
        <v>195</v>
      </c>
      <c r="G128" t="s">
        <v>269</v>
      </c>
      <c r="H128" s="256"/>
      <c r="I128" s="256"/>
      <c r="J128" s="268">
        <f>'Initial unit rates'!J128</f>
        <v>5.6745286455190655E-2</v>
      </c>
      <c r="K128" s="268">
        <f>'Initial unit rates'!K128</f>
        <v>5.6745286455190655E-2</v>
      </c>
      <c r="L128" s="268">
        <f>'Initial unit rates'!L128</f>
        <v>4.8590793648668591E-2</v>
      </c>
      <c r="M128" s="268">
        <f>'Initial unit rates'!M128</f>
        <v>4.8590793648668591E-2</v>
      </c>
      <c r="N128" s="268">
        <f>'Initial unit rates'!N128</f>
        <v>4.1668349116703085E-2</v>
      </c>
      <c r="O128" s="268">
        <f>'Initial unit rates'!O128</f>
        <v>4.242173873468201E-2</v>
      </c>
      <c r="P128" s="268">
        <f>'Initial unit rates'!P128</f>
        <v>2.3708266372252727E-2</v>
      </c>
      <c r="Q128" s="268">
        <f>'Initial unit rates'!Q128</f>
        <v>5.2735386166070888E-2</v>
      </c>
      <c r="R128" s="257"/>
      <c r="S128" s="257"/>
      <c r="T128" s="257"/>
      <c r="U128" s="257"/>
      <c r="V128" s="257"/>
      <c r="W128" s="257"/>
      <c r="X128" s="257"/>
      <c r="Y128" s="257"/>
      <c r="Z128" s="256"/>
      <c r="AA128" s="256"/>
    </row>
    <row r="129" spans="4:27" x14ac:dyDescent="0.25">
      <c r="E129" t="s">
        <v>196</v>
      </c>
      <c r="G129" t="s">
        <v>269</v>
      </c>
      <c r="H129" s="256"/>
      <c r="I129" s="256"/>
      <c r="J129" s="268">
        <f>'Initial unit rates'!J129</f>
        <v>6.0582387163561201E-2</v>
      </c>
      <c r="K129" s="268">
        <f>'Initial unit rates'!K129</f>
        <v>6.0582387163561201E-2</v>
      </c>
      <c r="L129" s="268">
        <f>'Initial unit rates'!L129</f>
        <v>5.1876489789736149E-2</v>
      </c>
      <c r="M129" s="268">
        <f>'Initial unit rates'!M129</f>
        <v>5.1876489789736149E-2</v>
      </c>
      <c r="N129" s="268">
        <f>'Initial unit rates'!N129</f>
        <v>4.4485951456918381E-2</v>
      </c>
      <c r="O129" s="268">
        <f>'Initial unit rates'!O129</f>
        <v>4.5290285074256774E-2</v>
      </c>
      <c r="P129" s="268">
        <f>'Initial unit rates'!P129</f>
        <v>2.5311412842630398E-2</v>
      </c>
      <c r="Q129" s="268">
        <f>'Initial unit rates'!Q129</f>
        <v>5.6301338516559288E-2</v>
      </c>
      <c r="R129" s="257"/>
      <c r="S129" s="257"/>
      <c r="T129" s="257"/>
      <c r="U129" s="257"/>
      <c r="V129" s="257"/>
      <c r="W129" s="257"/>
      <c r="X129" s="257"/>
      <c r="Y129" s="257"/>
      <c r="Z129" s="256"/>
      <c r="AA129" s="256"/>
    </row>
    <row r="130" spans="4:27" x14ac:dyDescent="0.25">
      <c r="E130" t="s">
        <v>197</v>
      </c>
      <c r="G130" t="s">
        <v>269</v>
      </c>
      <c r="H130" s="256"/>
      <c r="I130" s="256"/>
      <c r="J130" s="268">
        <f>'Initial unit rates'!J130</f>
        <v>0.22202570202037242</v>
      </c>
      <c r="K130" s="268">
        <f>'Initial unit rates'!K130</f>
        <v>0.22202570202037242</v>
      </c>
      <c r="L130" s="268">
        <f>'Initial unit rates'!L130</f>
        <v>0.19011984510981086</v>
      </c>
      <c r="M130" s="268">
        <f>'Initial unit rates'!M130</f>
        <v>0.19011984510981086</v>
      </c>
      <c r="N130" s="268">
        <f>'Initial unit rates'!N130</f>
        <v>0.16303458917193836</v>
      </c>
      <c r="O130" s="268">
        <f>'Initial unit rates'!O130</f>
        <v>0.16598235574914508</v>
      </c>
      <c r="P130" s="268">
        <f>'Initial unit rates'!P130</f>
        <v>9.8782814462967342E-2</v>
      </c>
      <c r="Q130" s="268">
        <f>'Initial unit rates'!Q130</f>
        <v>0.20633627683037811</v>
      </c>
      <c r="R130" s="257"/>
      <c r="S130" s="257"/>
      <c r="T130" s="257"/>
      <c r="U130" s="257"/>
      <c r="V130" s="257"/>
      <c r="W130" s="257"/>
      <c r="X130" s="257"/>
      <c r="Y130" s="257"/>
      <c r="Z130" s="256"/>
      <c r="AA130" s="256"/>
    </row>
    <row r="131" spans="4:27" x14ac:dyDescent="0.25">
      <c r="E131" t="s">
        <v>198</v>
      </c>
      <c r="G131" t="s">
        <v>269</v>
      </c>
      <c r="H131" s="256"/>
      <c r="I131" s="256"/>
      <c r="J131" s="268">
        <f>'Initial unit rates'!J131</f>
        <v>6.3291369179002202E-2</v>
      </c>
      <c r="K131" s="268">
        <f>'Initial unit rates'!K131</f>
        <v>6.3291369179002202E-2</v>
      </c>
      <c r="L131" s="268">
        <f>'Initial unit rates'!L131</f>
        <v>5.4196181773566242E-2</v>
      </c>
      <c r="M131" s="268">
        <f>'Initial unit rates'!M131</f>
        <v>5.4196181773566242E-2</v>
      </c>
      <c r="N131" s="268">
        <f>'Initial unit rates'!N131</f>
        <v>4.6475170569582502E-2</v>
      </c>
      <c r="O131" s="268">
        <f>'Initial unit rates'!O131</f>
        <v>4.7315470503300955E-2</v>
      </c>
      <c r="P131" s="268">
        <f>'Initial unit rates'!P131</f>
        <v>0</v>
      </c>
      <c r="Q131" s="268">
        <f>'Initial unit rates'!Q131</f>
        <v>5.8818890574632555E-2</v>
      </c>
      <c r="R131" s="257"/>
      <c r="S131" s="257"/>
      <c r="T131" s="257"/>
      <c r="U131" s="257"/>
      <c r="V131" s="257"/>
      <c r="W131" s="257"/>
      <c r="X131" s="257"/>
      <c r="Y131" s="257"/>
      <c r="Z131" s="256"/>
      <c r="AA131" s="256"/>
    </row>
    <row r="132" spans="4:27" x14ac:dyDescent="0.25">
      <c r="E132" t="s">
        <v>199</v>
      </c>
      <c r="G132" t="s">
        <v>269</v>
      </c>
      <c r="H132" s="256"/>
      <c r="I132" s="256"/>
      <c r="J132" s="268">
        <f>'Initial unit rates'!J132</f>
        <v>4.2259857253846005E-2</v>
      </c>
      <c r="K132" s="268">
        <f>'Initial unit rates'!K132</f>
        <v>4.2259857253846005E-2</v>
      </c>
      <c r="L132" s="268">
        <f>'Initial unit rates'!L132</f>
        <v>3.6186970437894185E-2</v>
      </c>
      <c r="M132" s="268">
        <f>'Initial unit rates'!M132</f>
        <v>3.6186970437894185E-2</v>
      </c>
      <c r="N132" s="268">
        <f>'Initial unit rates'!N132</f>
        <v>3.1031625632303387E-2</v>
      </c>
      <c r="O132" s="268">
        <f>'Initial unit rates'!O132</f>
        <v>0</v>
      </c>
      <c r="P132" s="268">
        <f>'Initial unit rates'!P132</f>
        <v>0</v>
      </c>
      <c r="Q132" s="268">
        <f>'Initial unit rates'!Q132</f>
        <v>3.9273568446331196E-2</v>
      </c>
      <c r="R132" s="257"/>
      <c r="S132" s="257"/>
      <c r="T132" s="257"/>
      <c r="U132" s="257"/>
      <c r="V132" s="257"/>
      <c r="W132" s="257"/>
      <c r="X132" s="257"/>
      <c r="Y132" s="257"/>
      <c r="Z132" s="256"/>
      <c r="AA132" s="256"/>
    </row>
    <row r="133" spans="4:27" x14ac:dyDescent="0.2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189</v>
      </c>
      <c r="F137" s="19"/>
      <c r="G137" s="19" t="s">
        <v>269</v>
      </c>
      <c r="H137" s="255"/>
      <c r="I137" s="255"/>
      <c r="J137" s="267">
        <f>'Initial unit rates'!J135</f>
        <v>6.0626303594299435E-2</v>
      </c>
      <c r="K137" s="267">
        <f>'Initial unit rates'!K135</f>
        <v>6.0626303594299435E-2</v>
      </c>
      <c r="L137" s="267">
        <f>'Initial unit rates'!L135</f>
        <v>5.1914095278351891E-2</v>
      </c>
      <c r="M137" s="267">
        <f>'Initial unit rates'!M135</f>
        <v>5.1914095278351891E-2</v>
      </c>
      <c r="N137" s="267">
        <f>'Initial unit rates'!N135</f>
        <v>4.4518199512788278E-2</v>
      </c>
      <c r="O137" s="267">
        <f>'Initial unit rates'!O135</f>
        <v>4.5323116194995031E-2</v>
      </c>
      <c r="P137" s="267">
        <f>'Initial unit rates'!P135</f>
        <v>3.4120639157685956E-2</v>
      </c>
      <c r="Q137" s="267">
        <f>'Initial unit rates'!Q135</f>
        <v>5.6342151596881745E-2</v>
      </c>
      <c r="R137" s="269"/>
      <c r="S137" s="269"/>
      <c r="T137" s="269"/>
      <c r="U137" s="269"/>
      <c r="V137" s="269"/>
      <c r="W137" s="269"/>
      <c r="X137" s="269"/>
      <c r="Y137" s="269"/>
      <c r="Z137" s="256"/>
      <c r="AA137" s="256"/>
    </row>
    <row r="138" spans="4:27" x14ac:dyDescent="0.2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192</v>
      </c>
      <c r="G139" t="s">
        <v>269</v>
      </c>
      <c r="H139" s="256"/>
      <c r="I139" s="256"/>
      <c r="J139" s="268">
        <f>'Initial unit rates'!J137</f>
        <v>9.5285573523866268E-2</v>
      </c>
      <c r="K139" s="268">
        <f>'Initial unit rates'!K137</f>
        <v>9.5285573523866268E-2</v>
      </c>
      <c r="L139" s="268">
        <f>'Initial unit rates'!L137</f>
        <v>8.1592708928332577E-2</v>
      </c>
      <c r="M139" s="268">
        <f>'Initial unit rates'!M137</f>
        <v>8.1592708928332577E-2</v>
      </c>
      <c r="N139" s="268">
        <f>'Initial unit rates'!N137</f>
        <v>6.9968675662832186E-2</v>
      </c>
      <c r="O139" s="268">
        <f>'Initial unit rates'!O137</f>
        <v>7.1233752752410992E-2</v>
      </c>
      <c r="P139" s="268">
        <f>'Initial unit rates'!P137</f>
        <v>5.3626965168410805E-2</v>
      </c>
      <c r="Q139" s="268">
        <f>'Initial unit rates'!Q137</f>
        <v>8.8552227501831268E-2</v>
      </c>
      <c r="R139" s="257"/>
      <c r="S139" s="257"/>
      <c r="T139" s="257"/>
      <c r="U139" s="257"/>
      <c r="V139" s="257"/>
      <c r="W139" s="257"/>
      <c r="X139" s="257"/>
      <c r="Y139" s="257"/>
      <c r="Z139" s="256"/>
      <c r="AA139" s="256"/>
    </row>
    <row r="140" spans="4:27" x14ac:dyDescent="0.25">
      <c r="E140" t="s">
        <v>193</v>
      </c>
      <c r="G140" t="s">
        <v>269</v>
      </c>
      <c r="H140" s="256"/>
      <c r="I140" s="256"/>
      <c r="J140" s="268">
        <f>'Initial unit rates'!J138</f>
        <v>2.2558593235915449E-2</v>
      </c>
      <c r="K140" s="268">
        <f>'Initial unit rates'!K138</f>
        <v>2.2558593235915449E-2</v>
      </c>
      <c r="L140" s="268">
        <f>'Initial unit rates'!L138</f>
        <v>1.9316845810553686E-2</v>
      </c>
      <c r="M140" s="268">
        <f>'Initial unit rates'!M138</f>
        <v>1.9316845810553686E-2</v>
      </c>
      <c r="N140" s="268">
        <f>'Initial unit rates'!N138</f>
        <v>1.656488842078687E-2</v>
      </c>
      <c r="O140" s="268">
        <f>'Initial unit rates'!O138</f>
        <v>1.6864391886216884E-2</v>
      </c>
      <c r="P140" s="268">
        <f>'Initial unit rates'!P138</f>
        <v>1.2696034131628314E-2</v>
      </c>
      <c r="Q140" s="268">
        <f>'Initial unit rates'!Q138</f>
        <v>2.0964492382970362E-2</v>
      </c>
      <c r="R140" s="257"/>
      <c r="S140" s="257"/>
      <c r="T140" s="257"/>
      <c r="U140" s="257"/>
      <c r="V140" s="257"/>
      <c r="W140" s="257"/>
      <c r="X140" s="257"/>
      <c r="Y140" s="257"/>
      <c r="Z140" s="256"/>
      <c r="AA140" s="256"/>
    </row>
    <row r="141" spans="4:27" x14ac:dyDescent="0.25">
      <c r="E141" t="s">
        <v>194</v>
      </c>
      <c r="G141" t="s">
        <v>269</v>
      </c>
      <c r="H141" s="256"/>
      <c r="I141" s="256"/>
      <c r="J141" s="268">
        <f>'Initial unit rates'!J139</f>
        <v>2.2929310807473787E-2</v>
      </c>
      <c r="K141" s="268">
        <f>'Initial unit rates'!K139</f>
        <v>2.2929310807473787E-2</v>
      </c>
      <c r="L141" s="268">
        <f>'Initial unit rates'!L139</f>
        <v>1.9634289992208339E-2</v>
      </c>
      <c r="M141" s="268">
        <f>'Initial unit rates'!M139</f>
        <v>1.9634289992208339E-2</v>
      </c>
      <c r="N141" s="268">
        <f>'Initial unit rates'!N139</f>
        <v>1.6837108197271515E-2</v>
      </c>
      <c r="O141" s="268">
        <f>'Initial unit rates'!O139</f>
        <v>1.7141533565242895E-2</v>
      </c>
      <c r="P141" s="268">
        <f>'Initial unit rates'!P139</f>
        <v>1.2904674931720655E-2</v>
      </c>
      <c r="Q141" s="268">
        <f>'Initial unit rates'!Q139</f>
        <v>2.1309013232470607E-2</v>
      </c>
      <c r="R141" s="257"/>
      <c r="S141" s="257"/>
      <c r="T141" s="257"/>
      <c r="U141" s="257"/>
      <c r="V141" s="257"/>
      <c r="W141" s="257"/>
      <c r="X141" s="257"/>
      <c r="Y141" s="257"/>
      <c r="Z141" s="256"/>
      <c r="AA141" s="256"/>
    </row>
    <row r="142" spans="4:27" x14ac:dyDescent="0.25">
      <c r="E142" t="s">
        <v>195</v>
      </c>
      <c r="G142" t="s">
        <v>269</v>
      </c>
      <c r="H142" s="256"/>
      <c r="I142" s="256"/>
      <c r="J142" s="268">
        <f>'Initial unit rates'!J140</f>
        <v>4.420056053141571E-2</v>
      </c>
      <c r="K142" s="268">
        <f>'Initial unit rates'!K140</f>
        <v>4.420056053141571E-2</v>
      </c>
      <c r="L142" s="268">
        <f>'Initial unit rates'!L140</f>
        <v>3.7848787980539762E-2</v>
      </c>
      <c r="M142" s="268">
        <f>'Initial unit rates'!M140</f>
        <v>3.7848787980539762E-2</v>
      </c>
      <c r="N142" s="268">
        <f>'Initial unit rates'!N140</f>
        <v>3.2456693805420475E-2</v>
      </c>
      <c r="O142" s="268">
        <f>'Initial unit rates'!O140</f>
        <v>3.3043530977165371E-2</v>
      </c>
      <c r="P142" s="268">
        <f>'Initial unit rates'!P140</f>
        <v>2.4876188833021631E-2</v>
      </c>
      <c r="Q142" s="268">
        <f>'Initial unit rates'!Q140</f>
        <v>4.1077132110728498E-2</v>
      </c>
      <c r="R142" s="257"/>
      <c r="S142" s="257"/>
      <c r="T142" s="257"/>
      <c r="U142" s="257"/>
      <c r="V142" s="257"/>
      <c r="W142" s="257"/>
      <c r="X142" s="257"/>
      <c r="Y142" s="257"/>
      <c r="Z142" s="256"/>
      <c r="AA142" s="256"/>
    </row>
    <row r="143" spans="4:27" x14ac:dyDescent="0.25">
      <c r="E143" t="s">
        <v>196</v>
      </c>
      <c r="G143" t="s">
        <v>269</v>
      </c>
      <c r="H143" s="256"/>
      <c r="I143" s="256"/>
      <c r="J143" s="268">
        <f>'Initial unit rates'!J141</f>
        <v>4.7189390313064593E-2</v>
      </c>
      <c r="K143" s="268">
        <f>'Initial unit rates'!K141</f>
        <v>4.7189390313064593E-2</v>
      </c>
      <c r="L143" s="268">
        <f>'Initial unit rates'!L141</f>
        <v>4.0408112644197552E-2</v>
      </c>
      <c r="M143" s="268">
        <f>'Initial unit rates'!M141</f>
        <v>4.0408112644197552E-2</v>
      </c>
      <c r="N143" s="268">
        <f>'Initial unit rates'!N141</f>
        <v>3.4651406539675307E-2</v>
      </c>
      <c r="O143" s="268">
        <f>'Initial unit rates'!O141</f>
        <v>3.5277925480040377E-2</v>
      </c>
      <c r="P143" s="268">
        <f>'Initial unit rates'!P141</f>
        <v>2.6558309899907456E-2</v>
      </c>
      <c r="Q143" s="268">
        <f>'Initial unit rates'!Q141</f>
        <v>4.3854756519134133E-2</v>
      </c>
      <c r="R143" s="257"/>
      <c r="S143" s="257"/>
      <c r="T143" s="257"/>
      <c r="U143" s="257"/>
      <c r="V143" s="257"/>
      <c r="W143" s="257"/>
      <c r="X143" s="257"/>
      <c r="Y143" s="257"/>
      <c r="Z143" s="256"/>
      <c r="AA143" s="256"/>
    </row>
    <row r="144" spans="4:27" x14ac:dyDescent="0.25">
      <c r="E144" t="s">
        <v>197</v>
      </c>
      <c r="G144" t="s">
        <v>269</v>
      </c>
      <c r="H144" s="256"/>
      <c r="I144" s="256"/>
      <c r="J144" s="268">
        <f>'Initial unit rates'!J142</f>
        <v>0.28205531564086561</v>
      </c>
      <c r="K144" s="268">
        <f>'Initial unit rates'!K142</f>
        <v>0.28205531564086561</v>
      </c>
      <c r="L144" s="268">
        <f>'Initial unit rates'!L142</f>
        <v>0.24152299681556585</v>
      </c>
      <c r="M144" s="268">
        <f>'Initial unit rates'!M142</f>
        <v>0.24152299681556585</v>
      </c>
      <c r="N144" s="268">
        <f>'Initial unit rates'!N142</f>
        <v>0.20711463623725193</v>
      </c>
      <c r="O144" s="268">
        <f>'Initial unit rates'!O142</f>
        <v>0.21085939742842855</v>
      </c>
      <c r="P144" s="268">
        <f>'Initial unit rates'!P142</f>
        <v>0.1587414550603429</v>
      </c>
      <c r="Q144" s="268">
        <f>'Initial unit rates'!Q142</f>
        <v>0.26212390349389919</v>
      </c>
      <c r="R144" s="257"/>
      <c r="S144" s="257"/>
      <c r="T144" s="257"/>
      <c r="U144" s="257"/>
      <c r="V144" s="257"/>
      <c r="W144" s="257"/>
      <c r="X144" s="257"/>
      <c r="Y144" s="257"/>
      <c r="Z144" s="256"/>
      <c r="AA144" s="256"/>
    </row>
    <row r="145" spans="2:27" x14ac:dyDescent="0.25">
      <c r="E145" t="s">
        <v>198</v>
      </c>
      <c r="G145" t="s">
        <v>269</v>
      </c>
      <c r="H145" s="256"/>
      <c r="I145" s="256"/>
      <c r="J145" s="268">
        <f>'Initial unit rates'!J143</f>
        <v>0.13741952838486565</v>
      </c>
      <c r="K145" s="268">
        <f>'Initial unit rates'!K143</f>
        <v>0.13741952838486565</v>
      </c>
      <c r="L145" s="268">
        <f>'Initial unit rates'!L143</f>
        <v>0.11767186958020136</v>
      </c>
      <c r="M145" s="268">
        <f>'Initial unit rates'!M143</f>
        <v>0.11767186958020136</v>
      </c>
      <c r="N145" s="268">
        <f>'Initial unit rates'!N143</f>
        <v>0.10090785053512567</v>
      </c>
      <c r="O145" s="268">
        <f>'Initial unit rates'!O143</f>
        <v>0.10273232711212686</v>
      </c>
      <c r="P145" s="268">
        <f>'Initial unit rates'!P143</f>
        <v>0</v>
      </c>
      <c r="Q145" s="268">
        <f>'Initial unit rates'!Q143</f>
        <v>0.1277087904359735</v>
      </c>
      <c r="R145" s="257"/>
      <c r="S145" s="257"/>
      <c r="T145" s="257"/>
      <c r="U145" s="257"/>
      <c r="V145" s="257"/>
      <c r="W145" s="257"/>
      <c r="X145" s="257"/>
      <c r="Y145" s="257"/>
      <c r="Z145" s="256"/>
      <c r="AA145" s="256"/>
    </row>
    <row r="146" spans="2:27" x14ac:dyDescent="0.25">
      <c r="E146" t="s">
        <v>199</v>
      </c>
      <c r="G146" t="s">
        <v>269</v>
      </c>
      <c r="H146" s="256"/>
      <c r="I146" s="256"/>
      <c r="J146" s="268">
        <f>'Initial unit rates'!J144</f>
        <v>0.31544256749755772</v>
      </c>
      <c r="K146" s="268">
        <f>'Initial unit rates'!K144</f>
        <v>0.31544256749755772</v>
      </c>
      <c r="L146" s="268">
        <f>'Initial unit rates'!L144</f>
        <v>0.27011238576412155</v>
      </c>
      <c r="M146" s="268">
        <f>'Initial unit rates'!M144</f>
        <v>0.27011238576412155</v>
      </c>
      <c r="N146" s="268">
        <f>'Initial unit rates'!N144</f>
        <v>0.23163106312163295</v>
      </c>
      <c r="O146" s="268">
        <f>'Initial unit rates'!O144</f>
        <v>0</v>
      </c>
      <c r="P146" s="268">
        <f>'Initial unit rates'!P144</f>
        <v>0</v>
      </c>
      <c r="Q146" s="268">
        <f>'Initial unit rates'!Q144</f>
        <v>0.29315184836253366</v>
      </c>
      <c r="R146" s="257"/>
      <c r="S146" s="257"/>
      <c r="T146" s="257"/>
      <c r="U146" s="257"/>
      <c r="V146" s="257"/>
      <c r="W146" s="257"/>
      <c r="X146" s="257"/>
      <c r="Y146" s="257"/>
      <c r="Z146" s="256"/>
      <c r="AA146" s="256"/>
    </row>
    <row r="147" spans="2:27" x14ac:dyDescent="0.2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control'!$H$36:$H$59,MATCH($A$1,'Version control'!$F$36:$F$59,0),1)&amp;"-C: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192</v>
      </c>
      <c r="G160" t="s">
        <v>269</v>
      </c>
      <c r="H160" s="256"/>
      <c r="I160" s="256"/>
      <c r="J160" s="257"/>
      <c r="K160" s="257"/>
      <c r="L160" s="257"/>
      <c r="M160" s="257"/>
      <c r="N160" s="257"/>
      <c r="O160" s="257"/>
      <c r="P160" s="257"/>
      <c r="Q160" s="257"/>
      <c r="R160" s="271">
        <f t="shared" ref="R160:S160" si="0">hundred * $H51 * R95 / $H37 * (1 - R109) / hours_in_year</f>
        <v>-6.1879668669173916E-2</v>
      </c>
      <c r="S160" s="271">
        <f t="shared" si="0"/>
        <v>-6.063414926320701E-2</v>
      </c>
      <c r="T160" s="271">
        <f t="shared" ref="T160:U160" si="1">hundred * $H51 * T95 / $H37 * (1 - T109) / hours_in_year</f>
        <v>-6.1879668669173916E-2</v>
      </c>
      <c r="U160" s="271">
        <f t="shared" si="1"/>
        <v>-6.1879668669173916E-2</v>
      </c>
      <c r="V160" s="271">
        <f t="shared" ref="V160:W160" si="2">hundred * $H51 * V95 / $H37 * (1 - V109) / hours_in_year</f>
        <v>-6.063414926320701E-2</v>
      </c>
      <c r="W160" s="271">
        <f t="shared" si="2"/>
        <v>-6.063414926320701E-2</v>
      </c>
      <c r="X160" s="271">
        <f t="shared" ref="X160:Y160" si="3">hundred * $H51 * X95 / $H37 * (1 - X109) / hours_in_year</f>
        <v>-5.9671702449505322E-2</v>
      </c>
      <c r="Y160" s="271">
        <f t="shared" si="3"/>
        <v>-5.9671702449505322E-2</v>
      </c>
      <c r="Z160" s="256"/>
      <c r="AA160" s="256"/>
    </row>
    <row r="161" spans="5:27" customFormat="1" x14ac:dyDescent="0.25">
      <c r="E161" s="2"/>
      <c r="F161" t="s">
        <v>193</v>
      </c>
      <c r="G161" t="s">
        <v>269</v>
      </c>
      <c r="H161" s="256"/>
      <c r="I161" s="256"/>
      <c r="J161" s="257"/>
      <c r="K161" s="257"/>
      <c r="L161" s="257"/>
      <c r="M161" s="257"/>
      <c r="N161" s="257"/>
      <c r="O161" s="257"/>
      <c r="P161" s="257"/>
      <c r="Q161" s="257"/>
      <c r="R161" s="271">
        <f t="shared" ref="R161:S161" si="4">hundred * $H52 * R96 / $H38 * (1 - R110) / hours_in_year</f>
        <v>-1.4649838621493725E-2</v>
      </c>
      <c r="S161" s="271">
        <f t="shared" si="4"/>
        <v>-1.4354965383000714E-2</v>
      </c>
      <c r="T161" s="271">
        <f t="shared" ref="T161:U161" si="5">hundred * $H52 * T96 / $H38 * (1 - T110) / hours_in_year</f>
        <v>-1.4649838621493725E-2</v>
      </c>
      <c r="U161" s="271">
        <f t="shared" si="5"/>
        <v>-1.4649838621493725E-2</v>
      </c>
      <c r="V161" s="271">
        <f t="shared" ref="V161:W161" si="6">hundred * $H52 * V96 / $H38 * (1 - V110) / hours_in_year</f>
        <v>-1.4354965383000714E-2</v>
      </c>
      <c r="W161" s="271">
        <f t="shared" si="6"/>
        <v>-1.4354965383000714E-2</v>
      </c>
      <c r="X161" s="271">
        <f t="shared" ref="X161:Y161" si="7">hundred * $H52 * X96 / $H38 * (1 - X110) / hours_in_year</f>
        <v>-1.4127108789619751E-2</v>
      </c>
      <c r="Y161" s="271">
        <f t="shared" si="7"/>
        <v>-1.4127108789619751E-2</v>
      </c>
      <c r="Z161" s="256"/>
      <c r="AA161" s="256"/>
    </row>
    <row r="162" spans="5:27" customFormat="1" x14ac:dyDescent="0.25">
      <c r="E162" s="2"/>
      <c r="F162" t="s">
        <v>194</v>
      </c>
      <c r="G162" t="s">
        <v>269</v>
      </c>
      <c r="H162" s="256"/>
      <c r="I162" s="256"/>
      <c r="J162" s="257"/>
      <c r="K162" s="257"/>
      <c r="L162" s="257"/>
      <c r="M162" s="257"/>
      <c r="N162" s="257"/>
      <c r="O162" s="257"/>
      <c r="P162" s="257"/>
      <c r="Q162" s="257"/>
      <c r="R162" s="271">
        <f t="shared" ref="R162:S162" si="8">hundred * $H53 * R97 / $H39 * (1 - R111) / hours_in_year</f>
        <v>-1.4890587348184495E-2</v>
      </c>
      <c r="S162" s="271">
        <f t="shared" si="8"/>
        <v>-1.4590868298175292E-2</v>
      </c>
      <c r="T162" s="271">
        <f t="shared" ref="T162:U162" si="9">hundred * $H53 * T97 / $H39 * (1 - T111) / hours_in_year</f>
        <v>-1.4890587348184495E-2</v>
      </c>
      <c r="U162" s="271">
        <f t="shared" si="9"/>
        <v>-1.4890587348184495E-2</v>
      </c>
      <c r="V162" s="271">
        <f t="shared" ref="V162:W162" si="10">hundred * $H53 * V97 / $H39 * (1 - V111) / hours_in_year</f>
        <v>-1.4590868298175292E-2</v>
      </c>
      <c r="W162" s="271">
        <f t="shared" si="10"/>
        <v>-1.4590868298175292E-2</v>
      </c>
      <c r="X162" s="271">
        <f t="shared" ref="X162:Y162" si="11">hundred * $H53 * X97 / $H39 * (1 - X111) / hours_in_year</f>
        <v>-1.4359267214077273E-2</v>
      </c>
      <c r="Y162" s="271">
        <f t="shared" si="11"/>
        <v>-1.4359267214077273E-2</v>
      </c>
      <c r="Z162" s="256"/>
      <c r="AA162" s="256"/>
    </row>
    <row r="163" spans="5:27" customFormat="1" x14ac:dyDescent="0.25">
      <c r="E163" s="2"/>
      <c r="F163" t="s">
        <v>195</v>
      </c>
      <c r="G163" t="s">
        <v>269</v>
      </c>
      <c r="H163" s="256"/>
      <c r="I163" s="256"/>
      <c r="J163" s="257"/>
      <c r="K163" s="257"/>
      <c r="L163" s="257"/>
      <c r="M163" s="257"/>
      <c r="N163" s="257"/>
      <c r="O163" s="257"/>
      <c r="P163" s="257"/>
      <c r="Q163" s="257"/>
      <c r="R163" s="271">
        <f t="shared" ref="R163:S163" si="12">hundred * $H54 * R98 / $H40 * (1 - R112) / hours_in_year</f>
        <v>-2.8704408647870529E-2</v>
      </c>
      <c r="S163" s="271">
        <f t="shared" si="12"/>
        <v>-2.8126643789450442E-2</v>
      </c>
      <c r="T163" s="271">
        <f t="shared" ref="T163:U163" si="13">hundred * $H54 * T98 / $H40 * (1 - T112) / hours_in_year</f>
        <v>-2.8704408647870529E-2</v>
      </c>
      <c r="U163" s="271">
        <f t="shared" si="13"/>
        <v>-2.8704408647870529E-2</v>
      </c>
      <c r="V163" s="271">
        <f t="shared" ref="V163:W163" si="14">hundred * $H54 * V98 / $H40 * (1 - V112) / hours_in_year</f>
        <v>-2.8126643789450442E-2</v>
      </c>
      <c r="W163" s="271">
        <f t="shared" si="14"/>
        <v>-2.8126643789450442E-2</v>
      </c>
      <c r="X163" s="271">
        <f t="shared" ref="X163:Y163" si="15">hundred * $H54 * X98 / $H40 * (1 - X112) / hours_in_year</f>
        <v>-2.0548635596223677E-2</v>
      </c>
      <c r="Y163" s="271">
        <f t="shared" si="15"/>
        <v>-2.0548635596223677E-2</v>
      </c>
      <c r="Z163" s="256"/>
      <c r="AA163" s="256"/>
    </row>
    <row r="164" spans="5:27" customFormat="1" x14ac:dyDescent="0.25">
      <c r="E164" s="2"/>
      <c r="F164" t="s">
        <v>196</v>
      </c>
      <c r="G164" t="s">
        <v>269</v>
      </c>
      <c r="H164" s="256"/>
      <c r="I164" s="256"/>
      <c r="J164" s="257"/>
      <c r="K164" s="257"/>
      <c r="L164" s="257"/>
      <c r="M164" s="257"/>
      <c r="N164" s="257"/>
      <c r="O164" s="257"/>
      <c r="P164" s="257"/>
      <c r="Q164" s="257"/>
      <c r="R164" s="271">
        <f t="shared" ref="R164:S164" si="16">hundred * $H55 * R99 / $H41 * (1 - R113) / hours_in_year</f>
        <v>-3.0645392888792037E-2</v>
      </c>
      <c r="S164" s="271">
        <f t="shared" si="16"/>
        <v>-3.0028559729090826E-2</v>
      </c>
      <c r="T164" s="271">
        <f t="shared" ref="T164:U164" si="17">hundred * $H55 * T99 / $H41 * (1 - T113) / hours_in_year</f>
        <v>-3.0645392888792037E-2</v>
      </c>
      <c r="U164" s="271">
        <f t="shared" si="17"/>
        <v>-3.0645392888792037E-2</v>
      </c>
      <c r="V164" s="271">
        <f t="shared" ref="V164:W164" si="18">hundred * $H55 * V99 / $H41 * (1 - V113) / hours_in_year</f>
        <v>-3.0028559729090826E-2</v>
      </c>
      <c r="W164" s="271">
        <f t="shared" si="18"/>
        <v>-3.0028559729090826E-2</v>
      </c>
      <c r="X164" s="271">
        <f t="shared" ref="X164:Y164" si="19">hundred * $H55 * X99 / $H41 * (1 - X113) / hours_in_year</f>
        <v>-2.1938128700017955E-2</v>
      </c>
      <c r="Y164" s="271">
        <f t="shared" si="19"/>
        <v>-2.1938128700017955E-2</v>
      </c>
      <c r="Z164" s="256"/>
      <c r="AA164" s="256"/>
    </row>
    <row r="165" spans="5:27" customFormat="1" x14ac:dyDescent="0.25">
      <c r="E165" s="2"/>
      <c r="F165" t="s">
        <v>197</v>
      </c>
      <c r="G165" t="s">
        <v>269</v>
      </c>
      <c r="H165" s="256"/>
      <c r="I165" s="256"/>
      <c r="J165" s="257"/>
      <c r="K165" s="257"/>
      <c r="L165" s="257"/>
      <c r="M165" s="257"/>
      <c r="N165" s="257"/>
      <c r="O165" s="257"/>
      <c r="P165" s="257"/>
      <c r="Q165" s="257"/>
      <c r="R165" s="271">
        <f t="shared" ref="R165:S165" si="20">hundred * $H56 * R100 / $H42 * (1 - R114) / hours_in_year</f>
        <v>-0.11231094033080057</v>
      </c>
      <c r="S165" s="271">
        <f t="shared" si="20"/>
        <v>-0.11005033585936633</v>
      </c>
      <c r="T165" s="271">
        <f t="shared" ref="T165:U165" si="21">hundred * $H56 * T100 / $H42 * (1 - T114) / hours_in_year</f>
        <v>-0.11231094033080057</v>
      </c>
      <c r="U165" s="271">
        <f t="shared" si="21"/>
        <v>-0.11231094033080057</v>
      </c>
      <c r="V165" s="271">
        <f t="shared" ref="V165:W165" si="22">hundred * $H56 * V100 / $H42 * (1 - V114) / hours_in_year</f>
        <v>-0.11005033585936633</v>
      </c>
      <c r="W165" s="271">
        <f t="shared" si="22"/>
        <v>-0.11005033585936633</v>
      </c>
      <c r="X165" s="271">
        <f t="shared" ref="X165:Y165" si="23">hundred * $H56 * X100 / $H42 * (1 - X114) / hours_in_year</f>
        <v>-8.5617903295727812E-2</v>
      </c>
      <c r="Y165" s="271">
        <f t="shared" si="23"/>
        <v>-8.5617903295727812E-2</v>
      </c>
      <c r="Z165" s="256"/>
      <c r="AA165" s="256"/>
    </row>
    <row r="166" spans="5:27" customFormat="1" x14ac:dyDescent="0.25">
      <c r="E166" s="2"/>
      <c r="F166" t="s">
        <v>198</v>
      </c>
      <c r="G166" t="s">
        <v>269</v>
      </c>
      <c r="H166" s="256"/>
      <c r="I166" s="256"/>
      <c r="J166" s="257"/>
      <c r="K166" s="257"/>
      <c r="L166" s="257"/>
      <c r="M166" s="257"/>
      <c r="N166" s="257"/>
      <c r="O166" s="257"/>
      <c r="P166" s="257"/>
      <c r="Q166" s="257"/>
      <c r="R166" s="271">
        <f t="shared" ref="R166:S166" si="24">hundred * $H57 * R101 / $H43 * (1 - R115) / hours_in_year</f>
        <v>-3.2015722155741E-2</v>
      </c>
      <c r="S166" s="271">
        <f t="shared" si="24"/>
        <v>-3.1371306888196344E-2</v>
      </c>
      <c r="T166" s="271">
        <f t="shared" ref="T166:U166" si="25">hundred * $H57 * T101 / $H43 * (1 - T115) / hours_in_year</f>
        <v>-3.2015722155741E-2</v>
      </c>
      <c r="U166" s="271">
        <f t="shared" si="25"/>
        <v>-3.2015722155741E-2</v>
      </c>
      <c r="V166" s="271">
        <f t="shared" ref="V166:W166" si="26">hundred * $H57 * V101 / $H43 * (1 - V115) / hours_in_year</f>
        <v>-3.1371306888196344E-2</v>
      </c>
      <c r="W166" s="271">
        <f t="shared" si="26"/>
        <v>-3.1371306888196344E-2</v>
      </c>
      <c r="X166" s="271">
        <f t="shared" ref="X166:Y166" si="27">hundred * $H57 * X101 / $H43 * (1 - X115) / hours_in_year</f>
        <v>0</v>
      </c>
      <c r="Y166" s="271">
        <f t="shared" si="27"/>
        <v>0</v>
      </c>
      <c r="Z166" s="256"/>
      <c r="AA166" s="256"/>
    </row>
    <row r="167" spans="5:27" customFormat="1" x14ac:dyDescent="0.25">
      <c r="E167" s="2"/>
      <c r="F167" t="s">
        <v>199</v>
      </c>
      <c r="G167" t="s">
        <v>269</v>
      </c>
      <c r="H167" s="256"/>
      <c r="I167" s="256"/>
      <c r="J167" s="257"/>
      <c r="K167" s="257"/>
      <c r="L167" s="257"/>
      <c r="M167" s="257"/>
      <c r="N167" s="257"/>
      <c r="O167" s="257"/>
      <c r="P167" s="257"/>
      <c r="Q167" s="257"/>
      <c r="R167" s="271">
        <f t="shared" ref="R167:S167" si="28">hundred * $H58 * R102 / $H44 * (1 - R116) / hours_in_year</f>
        <v>-2.1377003937991586E-2</v>
      </c>
      <c r="S167" s="271">
        <f t="shared" si="28"/>
        <v>0</v>
      </c>
      <c r="T167" s="271">
        <f t="shared" ref="T167:U167" si="29">hundred * $H58 * T102 / $H44 * (1 - T116) / hours_in_year</f>
        <v>-2.1377003937991586E-2</v>
      </c>
      <c r="U167" s="271">
        <f t="shared" si="29"/>
        <v>-2.1377003937991586E-2</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189</v>
      </c>
      <c r="G172" s="19" t="s">
        <v>269</v>
      </c>
      <c r="H172" s="255"/>
      <c r="I172" s="255"/>
      <c r="J172" s="269"/>
      <c r="K172" s="269"/>
      <c r="L172" s="269"/>
      <c r="M172" s="269"/>
      <c r="N172" s="269"/>
      <c r="O172" s="269"/>
      <c r="P172" s="269"/>
      <c r="Q172" s="269"/>
      <c r="R172" s="270">
        <f t="shared" ref="R172:S172" si="32">hundred * $H63 * R93 / $H35 / hours_in_year</f>
        <v>-3.066760786474888E-2</v>
      </c>
      <c r="S172" s="270">
        <f t="shared" si="32"/>
        <v>-3.005032756006043E-2</v>
      </c>
      <c r="T172" s="270">
        <f t="shared" ref="T172:U172" si="33">hundred * $H63 * T93 / $H35 / hours_in_year</f>
        <v>-3.066760786474888E-2</v>
      </c>
      <c r="U172" s="270">
        <f t="shared" si="33"/>
        <v>-3.066760786474888E-2</v>
      </c>
      <c r="V172" s="270">
        <f t="shared" ref="V172:W172" si="34">hundred * $H63 * V93 / $H35 / hours_in_year</f>
        <v>-3.005032756006043E-2</v>
      </c>
      <c r="W172" s="270">
        <f t="shared" si="34"/>
        <v>-3.005032756006043E-2</v>
      </c>
      <c r="X172" s="270">
        <f t="shared" ref="X172:Y172" si="35">hundred * $H63 * X93 / $H35 / hours_in_year</f>
        <v>-2.9573338233710271E-2</v>
      </c>
      <c r="Y172" s="270">
        <f t="shared" si="35"/>
        <v>-2.9573338233710271E-2</v>
      </c>
      <c r="Z172" s="256"/>
      <c r="AA172" s="256"/>
    </row>
    <row r="173" spans="5:27" customFormat="1" x14ac:dyDescent="0.2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192</v>
      </c>
      <c r="G174" t="s">
        <v>269</v>
      </c>
      <c r="H174" s="256"/>
      <c r="I174" s="256"/>
      <c r="J174" s="257"/>
      <c r="K174" s="257"/>
      <c r="L174" s="257"/>
      <c r="M174" s="257"/>
      <c r="N174" s="257"/>
      <c r="O174" s="257"/>
      <c r="P174" s="257"/>
      <c r="Q174" s="257"/>
      <c r="R174" s="271">
        <f t="shared" ref="R174:S174" si="40">hundred * $H65 * R95 / $H37 / hours_in_year</f>
        <v>-4.8199880757242713E-2</v>
      </c>
      <c r="S174" s="271">
        <f t="shared" si="40"/>
        <v>-4.722970932388558E-2</v>
      </c>
      <c r="T174" s="271">
        <f t="shared" ref="T174:U174" si="41">hundred * $H65 * T95 / $H37 / hours_in_year</f>
        <v>-4.8199880757242713E-2</v>
      </c>
      <c r="U174" s="271">
        <f t="shared" si="41"/>
        <v>-4.8199880757242713E-2</v>
      </c>
      <c r="V174" s="271">
        <f t="shared" ref="V174:W174" si="42">hundred * $H65 * V95 / $H37 / hours_in_year</f>
        <v>-4.722970932388558E-2</v>
      </c>
      <c r="W174" s="271">
        <f t="shared" si="42"/>
        <v>-4.722970932388558E-2</v>
      </c>
      <c r="X174" s="271">
        <f t="shared" ref="X174:Y174" si="43">hundred * $H65 * X95 / $H37 / hours_in_year</f>
        <v>-4.6480031398109634E-2</v>
      </c>
      <c r="Y174" s="271">
        <f t="shared" si="43"/>
        <v>-4.6480031398109634E-2</v>
      </c>
      <c r="Z174" s="256"/>
      <c r="AA174" s="256"/>
    </row>
    <row r="175" spans="5:27" customFormat="1" x14ac:dyDescent="0.25">
      <c r="E175" s="2"/>
      <c r="F175" t="s">
        <v>193</v>
      </c>
      <c r="G175" t="s">
        <v>269</v>
      </c>
      <c r="H175" s="256"/>
      <c r="I175" s="256"/>
      <c r="J175" s="257"/>
      <c r="K175" s="257"/>
      <c r="L175" s="257"/>
      <c r="M175" s="257"/>
      <c r="N175" s="257"/>
      <c r="O175" s="257"/>
      <c r="P175" s="257"/>
      <c r="Q175" s="257"/>
      <c r="R175" s="271">
        <f t="shared" ref="R175:S175" si="44">hundred * $H66 * R96 / $H38 / hours_in_year</f>
        <v>-1.1411187064429269E-2</v>
      </c>
      <c r="S175" s="271">
        <f t="shared" si="44"/>
        <v>-1.118150168893298E-2</v>
      </c>
      <c r="T175" s="271">
        <f t="shared" ref="T175:U175" si="45">hundred * $H66 * T96 / $H38 / hours_in_year</f>
        <v>-1.1411187064429269E-2</v>
      </c>
      <c r="U175" s="271">
        <f t="shared" si="45"/>
        <v>-1.1411187064429269E-2</v>
      </c>
      <c r="V175" s="271">
        <f t="shared" ref="V175:W175" si="46">hundred * $H66 * V96 / $H38 / hours_in_year</f>
        <v>-1.118150168893298E-2</v>
      </c>
      <c r="W175" s="271">
        <f t="shared" si="46"/>
        <v>-1.118150168893298E-2</v>
      </c>
      <c r="X175" s="271">
        <f t="shared" ref="X175:Y175" si="47">hundred * $H66 * X96 / $H38 / hours_in_year</f>
        <v>-1.1004017535140395E-2</v>
      </c>
      <c r="Y175" s="271">
        <f t="shared" si="47"/>
        <v>-1.1004017535140395E-2</v>
      </c>
      <c r="Z175" s="256"/>
      <c r="AA175" s="256"/>
    </row>
    <row r="176" spans="5:27" customFormat="1" x14ac:dyDescent="0.25">
      <c r="E176" s="2"/>
      <c r="F176" t="s">
        <v>194</v>
      </c>
      <c r="G176" t="s">
        <v>269</v>
      </c>
      <c r="H176" s="256"/>
      <c r="I176" s="256"/>
      <c r="J176" s="257"/>
      <c r="K176" s="257"/>
      <c r="L176" s="257"/>
      <c r="M176" s="257"/>
      <c r="N176" s="257"/>
      <c r="O176" s="257"/>
      <c r="P176" s="257"/>
      <c r="Q176" s="257"/>
      <c r="R176" s="271">
        <f t="shared" ref="R176:S176" si="48">hundred * $H67 * R97 / $H39 / hours_in_year</f>
        <v>-1.1598713277295596E-2</v>
      </c>
      <c r="S176" s="271">
        <f t="shared" si="48"/>
        <v>-1.1365253357715994E-2</v>
      </c>
      <c r="T176" s="271">
        <f t="shared" ref="T176:U176" si="49">hundred * $H67 * T97 / $H39 / hours_in_year</f>
        <v>-1.1598713277295596E-2</v>
      </c>
      <c r="U176" s="271">
        <f t="shared" si="49"/>
        <v>-1.1598713277295596E-2</v>
      </c>
      <c r="V176" s="271">
        <f t="shared" ref="V176:W176" si="50">hundred * $H67 * V97 / $H39 / hours_in_year</f>
        <v>-1.1365253357715994E-2</v>
      </c>
      <c r="W176" s="271">
        <f t="shared" si="50"/>
        <v>-1.1365253357715994E-2</v>
      </c>
      <c r="X176" s="271">
        <f t="shared" ref="X176:Y176" si="51">hundred * $H67 * X97 / $H39 / hours_in_year</f>
        <v>-1.1184852510768123E-2</v>
      </c>
      <c r="Y176" s="271">
        <f t="shared" si="51"/>
        <v>-1.1184852510768123E-2</v>
      </c>
      <c r="Z176" s="256"/>
      <c r="AA176" s="256"/>
    </row>
    <row r="177" spans="2:27" x14ac:dyDescent="0.25">
      <c r="D177"/>
      <c r="F177" t="s">
        <v>195</v>
      </c>
      <c r="G177" t="s">
        <v>269</v>
      </c>
      <c r="H177" s="256"/>
      <c r="I177" s="256"/>
      <c r="J177" s="257"/>
      <c r="K177" s="257"/>
      <c r="L177" s="257"/>
      <c r="M177" s="257"/>
      <c r="N177" s="257"/>
      <c r="O177" s="257"/>
      <c r="P177" s="257"/>
      <c r="Q177" s="257"/>
      <c r="R177" s="271">
        <f t="shared" ref="R177:S177" si="52">hundred * $H68 * R98 / $H40 / hours_in_year</f>
        <v>-2.2358702038812909E-2</v>
      </c>
      <c r="S177" s="271">
        <f t="shared" si="52"/>
        <v>-2.1908664120373861E-2</v>
      </c>
      <c r="T177" s="271">
        <f t="shared" ref="T177:U177" si="53">hundred * $H68 * T98 / $H40 / hours_in_year</f>
        <v>-2.2358702038812909E-2</v>
      </c>
      <c r="U177" s="271">
        <f t="shared" si="53"/>
        <v>-2.2358702038812909E-2</v>
      </c>
      <c r="V177" s="271">
        <f t="shared" ref="V177:W177" si="54">hundred * $H68 * V98 / $H40 / hours_in_year</f>
        <v>-2.1908664120373861E-2</v>
      </c>
      <c r="W177" s="271">
        <f t="shared" si="54"/>
        <v>-2.1908664120373861E-2</v>
      </c>
      <c r="X177" s="271">
        <f t="shared" ref="X177:Y177" si="55">hundred * $H68 * X98 / $H40 / hours_in_year</f>
        <v>-2.1560907547034592E-2</v>
      </c>
      <c r="Y177" s="271">
        <f t="shared" si="55"/>
        <v>-2.1560907547034592E-2</v>
      </c>
      <c r="Z177" s="256"/>
      <c r="AA177" s="256"/>
    </row>
    <row r="178" spans="2:27" x14ac:dyDescent="0.25">
      <c r="D178"/>
      <c r="F178" t="s">
        <v>196</v>
      </c>
      <c r="G178" t="s">
        <v>269</v>
      </c>
      <c r="H178" s="256"/>
      <c r="I178" s="256"/>
      <c r="J178" s="257"/>
      <c r="K178" s="257"/>
      <c r="L178" s="257"/>
      <c r="M178" s="257"/>
      <c r="N178" s="257"/>
      <c r="O178" s="257"/>
      <c r="P178" s="257"/>
      <c r="Q178" s="257"/>
      <c r="R178" s="271">
        <f t="shared" ref="R178:S178" si="56">hundred * $H69 * R99 / $H41 / hours_in_year</f>
        <v>-2.3870591339065574E-2</v>
      </c>
      <c r="S178" s="271">
        <f t="shared" si="56"/>
        <v>-2.3390121979999297E-2</v>
      </c>
      <c r="T178" s="271">
        <f t="shared" ref="T178:U178" si="57">hundred * $H69 * T99 / $H41 / hours_in_year</f>
        <v>-2.3870591339065574E-2</v>
      </c>
      <c r="U178" s="271">
        <f t="shared" si="57"/>
        <v>-2.3870591339065574E-2</v>
      </c>
      <c r="V178" s="271">
        <f t="shared" ref="V178:W178" si="58">hundred * $H69 * V99 / $H41 / hours_in_year</f>
        <v>-2.3390121979999297E-2</v>
      </c>
      <c r="W178" s="271">
        <f t="shared" si="58"/>
        <v>-2.3390121979999297E-2</v>
      </c>
      <c r="X178" s="271">
        <f t="shared" ref="X178:Y178" si="59">hundred * $H69 * X99 / $H41 / hours_in_year</f>
        <v>-2.3018850202538989E-2</v>
      </c>
      <c r="Y178" s="271">
        <f t="shared" si="59"/>
        <v>-2.3018850202538989E-2</v>
      </c>
      <c r="Z178" s="256"/>
      <c r="AA178" s="256"/>
    </row>
    <row r="179" spans="2:27" x14ac:dyDescent="0.25">
      <c r="D179"/>
      <c r="F179" t="s">
        <v>197</v>
      </c>
      <c r="G179" t="s">
        <v>269</v>
      </c>
      <c r="H179" s="256"/>
      <c r="I179" s="256"/>
      <c r="J179" s="257"/>
      <c r="K179" s="257"/>
      <c r="L179" s="257"/>
      <c r="M179" s="257"/>
      <c r="N179" s="257"/>
      <c r="O179" s="257"/>
      <c r="P179" s="257"/>
      <c r="Q179" s="257"/>
      <c r="R179" s="271">
        <f t="shared" ref="R179:S179" si="60">hundred * $H70 * R100 / $H42 / hours_in_year</f>
        <v>-0.14267671461757028</v>
      </c>
      <c r="S179" s="271">
        <f t="shared" si="60"/>
        <v>-0.1398049051742157</v>
      </c>
      <c r="T179" s="271">
        <f t="shared" ref="T179:U179" si="61">hundred * $H70 * T100 / $H42 / hours_in_year</f>
        <v>-0.14267671461757028</v>
      </c>
      <c r="U179" s="271">
        <f t="shared" si="61"/>
        <v>-0.14267671461757028</v>
      </c>
      <c r="V179" s="271">
        <f t="shared" ref="V179:W179" si="62">hundred * $H70 * V100 / $H42 / hours_in_year</f>
        <v>-0.1398049051742157</v>
      </c>
      <c r="W179" s="271">
        <f t="shared" si="62"/>
        <v>-0.1398049051742157</v>
      </c>
      <c r="X179" s="271">
        <f t="shared" ref="X179:Y179" si="63">hundred * $H70 * X100 / $H42 / hours_in_year</f>
        <v>-0.13758577969525992</v>
      </c>
      <c r="Y179" s="271">
        <f t="shared" si="63"/>
        <v>-0.13758577969525992</v>
      </c>
      <c r="Z179" s="256"/>
      <c r="AA179" s="256"/>
    </row>
    <row r="180" spans="2:27" x14ac:dyDescent="0.25">
      <c r="D180"/>
      <c r="F180" t="s">
        <v>198</v>
      </c>
      <c r="G180" t="s">
        <v>269</v>
      </c>
      <c r="H180" s="256"/>
      <c r="I180" s="256"/>
      <c r="J180" s="257"/>
      <c r="K180" s="257"/>
      <c r="L180" s="257"/>
      <c r="M180" s="257"/>
      <c r="N180" s="257"/>
      <c r="O180" s="257"/>
      <c r="P180" s="257"/>
      <c r="Q180" s="257"/>
      <c r="R180" s="271">
        <f t="shared" ref="R180:S180" si="64">hundred * $H71 * R101 / $H43 / hours_in_year</f>
        <v>-6.951319740136773E-2</v>
      </c>
      <c r="S180" s="271">
        <f t="shared" si="64"/>
        <v>-6.8114029658613753E-2</v>
      </c>
      <c r="T180" s="271">
        <f t="shared" ref="T180:U180" si="65">hundred * $H71 * T101 / $H43 / hours_in_year</f>
        <v>-6.951319740136773E-2</v>
      </c>
      <c r="U180" s="271">
        <f t="shared" si="65"/>
        <v>-6.951319740136773E-2</v>
      </c>
      <c r="V180" s="271">
        <f t="shared" ref="V180:W180" si="66">hundred * $H71 * V101 / $H43 / hours_in_year</f>
        <v>-6.8114029658613753E-2</v>
      </c>
      <c r="W180" s="271">
        <f t="shared" si="66"/>
        <v>-6.8114029658613753E-2</v>
      </c>
      <c r="X180" s="271">
        <f t="shared" ref="X180:Y180" si="67">hundred * $H71 * X101 / $H43 / hours_in_year</f>
        <v>0</v>
      </c>
      <c r="Y180" s="271">
        <f t="shared" si="67"/>
        <v>0</v>
      </c>
      <c r="Z180" s="256"/>
      <c r="AA180" s="256"/>
    </row>
    <row r="181" spans="2:27" x14ac:dyDescent="0.25">
      <c r="D181"/>
      <c r="F181" t="s">
        <v>199</v>
      </c>
      <c r="G181" t="s">
        <v>269</v>
      </c>
      <c r="H181" s="256"/>
      <c r="I181" s="256"/>
      <c r="J181" s="257"/>
      <c r="K181" s="257"/>
      <c r="L181" s="257"/>
      <c r="M181" s="257"/>
      <c r="N181" s="257"/>
      <c r="O181" s="257"/>
      <c r="P181" s="257"/>
      <c r="Q181" s="257"/>
      <c r="R181" s="271">
        <f t="shared" ref="R181:S181" si="68">hundred * $H72 * R102 / $H44 / hours_in_year</f>
        <v>-0.15956554152798938</v>
      </c>
      <c r="S181" s="271">
        <f t="shared" si="68"/>
        <v>0</v>
      </c>
      <c r="T181" s="271">
        <f t="shared" ref="T181:U181" si="69">hundred * $H72 * T102 / $H44 / hours_in_year</f>
        <v>-0.15956554152798938</v>
      </c>
      <c r="U181" s="271">
        <f t="shared" si="69"/>
        <v>-0.15956554152798938</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control'!$H$36:$H$59,MATCH($A$1,'Version control'!$F$36:$F$59,0),1)&amp;"-D: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192</v>
      </c>
      <c r="G195" t="s">
        <v>272</v>
      </c>
      <c r="H195" s="256"/>
      <c r="I195" s="256"/>
      <c r="J195" s="271">
        <f t="shared" ref="J195:K195" si="72">ABS(J125 + J160)*(1-J82)*PowerFactor*$H23</f>
        <v>1.9303148550332945E-2</v>
      </c>
      <c r="K195" s="271">
        <f t="shared" si="72"/>
        <v>1.9303148550332945E-2</v>
      </c>
      <c r="L195" s="271">
        <f t="shared" ref="L195:M195" si="73">ABS(L125 + L160)*(1-L82)*PowerFactor*$H23</f>
        <v>1.6529219721526787E-2</v>
      </c>
      <c r="M195" s="271">
        <f t="shared" si="73"/>
        <v>1.6529219721526787E-2</v>
      </c>
      <c r="N195" s="271">
        <f t="shared" ref="N195:P195" si="74">ABS(N125 + N160)*(1-N82)*PowerFactor*$H23</f>
        <v>1.4174399022234201E-2</v>
      </c>
      <c r="O195" s="271">
        <f t="shared" si="74"/>
        <v>1.4430680955423658E-2</v>
      </c>
      <c r="P195" s="271">
        <f t="shared" si="74"/>
        <v>9.3590740962043052E-3</v>
      </c>
      <c r="Q195" s="271">
        <f t="shared" ref="Q195:S195" si="75">ABS(Q125 + Q160)*(1-Q82)*PowerFactor*$H23</f>
        <v>1.7939093387548202E-2</v>
      </c>
      <c r="R195" s="271">
        <f t="shared" si="75"/>
        <v>9.764431528896134E-3</v>
      </c>
      <c r="S195" s="271">
        <f t="shared" si="75"/>
        <v>9.5678921934563219E-3</v>
      </c>
      <c r="T195" s="271">
        <f t="shared" ref="T195:U195" si="76">ABS(T125 + T160)*(1-T82)*PowerFactor*$H23</f>
        <v>9.764431528896134E-3</v>
      </c>
      <c r="U195" s="271">
        <f t="shared" si="76"/>
        <v>9.764431528896134E-3</v>
      </c>
      <c r="V195" s="271">
        <f t="shared" ref="V195:W195" si="77">ABS(V125 + V160)*(1-V82)*PowerFactor*$H23</f>
        <v>9.5678921934563219E-3</v>
      </c>
      <c r="W195" s="271">
        <f t="shared" si="77"/>
        <v>9.5678921934563219E-3</v>
      </c>
      <c r="X195" s="271">
        <f t="shared" ref="X195:Y195" si="78">ABS(X125 + X160)*(1-X82)*PowerFactor*$H23</f>
        <v>9.4160208887982856E-3</v>
      </c>
      <c r="Y195" s="271">
        <f t="shared" si="78"/>
        <v>9.4160208887982856E-3</v>
      </c>
      <c r="Z195" s="256"/>
      <c r="AA195" s="256"/>
    </row>
    <row r="196" spans="4:27" x14ac:dyDescent="0.25">
      <c r="F196" t="s">
        <v>193</v>
      </c>
      <c r="G196" t="s">
        <v>272</v>
      </c>
      <c r="H196" s="256"/>
      <c r="I196" s="256"/>
      <c r="J196" s="271">
        <f t="shared" ref="J196:K196" si="79">ABS(J126 + J161)*(1-J83)*PowerFactor*$H24</f>
        <v>4.5699664725252854E-3</v>
      </c>
      <c r="K196" s="271">
        <f t="shared" si="79"/>
        <v>4.5699664725252854E-3</v>
      </c>
      <c r="L196" s="271">
        <f t="shared" ref="L196:M196" si="80">ABS(L126 + L161)*(1-L83)*PowerFactor*$H24</f>
        <v>3.9132465746412265E-3</v>
      </c>
      <c r="M196" s="271">
        <f t="shared" si="80"/>
        <v>3.9132465746412265E-3</v>
      </c>
      <c r="N196" s="271">
        <f t="shared" ref="N196:P196" si="81">ABS(N126 + N161)*(1-N83)*PowerFactor*$H24</f>
        <v>3.3557493551324416E-3</v>
      </c>
      <c r="O196" s="271">
        <f t="shared" si="81"/>
        <v>3.4164233865805176E-3</v>
      </c>
      <c r="P196" s="271">
        <f t="shared" si="81"/>
        <v>2.5719888518227251E-3</v>
      </c>
      <c r="Q196" s="271">
        <f t="shared" ref="Q196:S196" si="82">ABS(Q126 + Q161)*(1-Q83)*PowerFactor*$H24</f>
        <v>4.2470302248791064E-3</v>
      </c>
      <c r="R196" s="271">
        <f t="shared" si="82"/>
        <v>2.3117018756794723E-3</v>
      </c>
      <c r="S196" s="271">
        <f t="shared" si="82"/>
        <v>2.265171737285192E-3</v>
      </c>
      <c r="T196" s="271">
        <f t="shared" ref="T196:U196" si="83">ABS(T126 + T161)*(1-T83)*PowerFactor*$H24</f>
        <v>2.3117018756794723E-3</v>
      </c>
      <c r="U196" s="271">
        <f t="shared" si="83"/>
        <v>2.3117018756794723E-3</v>
      </c>
      <c r="V196" s="271">
        <f t="shared" ref="V196:W196" si="84">ABS(V126 + V161)*(1-V83)*PowerFactor*$H24</f>
        <v>2.265171737285192E-3</v>
      </c>
      <c r="W196" s="271">
        <f t="shared" si="84"/>
        <v>2.265171737285192E-3</v>
      </c>
      <c r="X196" s="271">
        <f t="shared" ref="X196:Y196" si="85">ABS(X126 + X161)*(1-X83)*PowerFactor*$H24</f>
        <v>2.2292166303441571E-3</v>
      </c>
      <c r="Y196" s="271">
        <f t="shared" si="85"/>
        <v>2.2292166303441571E-3</v>
      </c>
      <c r="Z196" s="256"/>
      <c r="AA196" s="256"/>
    </row>
    <row r="197" spans="4:27" x14ac:dyDescent="0.25">
      <c r="F197" t="s">
        <v>194</v>
      </c>
      <c r="G197" t="s">
        <v>272</v>
      </c>
      <c r="H197" s="256"/>
      <c r="I197" s="256"/>
      <c r="J197" s="271">
        <f t="shared" ref="J197:K197" si="86">ABS(J127 + J162)*(1-J84)*PowerFactor*$H25</f>
        <v>4.645067204875045E-3</v>
      </c>
      <c r="K197" s="271">
        <f t="shared" si="86"/>
        <v>4.645067204875045E-3</v>
      </c>
      <c r="L197" s="271">
        <f t="shared" ref="L197:M197" si="87">ABS(L127 + L162)*(1-L84)*PowerFactor*$H25</f>
        <v>3.9775550734863722E-3</v>
      </c>
      <c r="M197" s="271">
        <f t="shared" si="87"/>
        <v>3.9775550734863722E-3</v>
      </c>
      <c r="N197" s="271">
        <f t="shared" ref="N197:P197" si="88">ABS(N127 + N162)*(1-N84)*PowerFactor*$H25</f>
        <v>3.4108962004469143E-3</v>
      </c>
      <c r="O197" s="271">
        <f t="shared" si="88"/>
        <v>3.4725673210911057E-3</v>
      </c>
      <c r="P197" s="271">
        <f t="shared" si="88"/>
        <v>2.0914045892864897E-3</v>
      </c>
      <c r="Q197" s="271">
        <f t="shared" ref="Q197:S197" si="89">ABS(Q127 + Q162)*(1-Q84)*PowerFactor*$H25</f>
        <v>4.3168239710953092E-3</v>
      </c>
      <c r="R197" s="271">
        <f t="shared" si="89"/>
        <v>2.3496913237162557E-3</v>
      </c>
      <c r="S197" s="271">
        <f t="shared" si="89"/>
        <v>2.3023965303752146E-3</v>
      </c>
      <c r="T197" s="271">
        <f t="shared" ref="T197:U197" si="90">ABS(T127 + T162)*(1-T84)*PowerFactor*$H25</f>
        <v>2.3496913237162557E-3</v>
      </c>
      <c r="U197" s="271">
        <f t="shared" si="90"/>
        <v>2.3496913237162557E-3</v>
      </c>
      <c r="V197" s="271">
        <f t="shared" ref="V197:W197" si="91">ABS(V127 + V162)*(1-V84)*PowerFactor*$H25</f>
        <v>2.3023965303752146E-3</v>
      </c>
      <c r="W197" s="271">
        <f t="shared" si="91"/>
        <v>2.3023965303752146E-3</v>
      </c>
      <c r="X197" s="271">
        <f t="shared" ref="X197:Y197" si="92">ABS(X127 + X162)*(1-X84)*PowerFactor*$H25</f>
        <v>2.2658505537025923E-3</v>
      </c>
      <c r="Y197" s="271">
        <f t="shared" si="92"/>
        <v>2.2658505537025923E-3</v>
      </c>
      <c r="Z197" s="256"/>
      <c r="AA197" s="256"/>
    </row>
    <row r="198" spans="4:27" x14ac:dyDescent="0.25">
      <c r="F198" t="s">
        <v>195</v>
      </c>
      <c r="G198" t="s">
        <v>272</v>
      </c>
      <c r="H198" s="256"/>
      <c r="I198" s="256"/>
      <c r="J198" s="271">
        <f t="shared" ref="J198:K198" si="93">ABS(J128 + J163)*(1-J85)*PowerFactor*$H26</f>
        <v>8.9542409663116145E-3</v>
      </c>
      <c r="K198" s="271">
        <f t="shared" si="93"/>
        <v>8.9542409663116145E-3</v>
      </c>
      <c r="L198" s="271">
        <f t="shared" ref="L198:M198" si="94">ABS(L128 + L163)*(1-L85)*PowerFactor*$H26</f>
        <v>7.6674857464694894E-3</v>
      </c>
      <c r="M198" s="271">
        <f t="shared" si="94"/>
        <v>7.6674857464694894E-3</v>
      </c>
      <c r="N198" s="271">
        <f t="shared" ref="N198:P198" si="95">ABS(N128 + N163)*(1-N85)*PowerFactor*$H26</f>
        <v>6.5751441567571435E-3</v>
      </c>
      <c r="O198" s="271">
        <f t="shared" si="95"/>
        <v>6.6940268446827357E-3</v>
      </c>
      <c r="P198" s="271">
        <f t="shared" si="95"/>
        <v>0</v>
      </c>
      <c r="Q198" s="271">
        <f t="shared" ref="Q198:S198" si="96">ABS(Q128 + Q163)*(1-Q85)*PowerFactor*$H26</f>
        <v>8.3214903770972293E-3</v>
      </c>
      <c r="R198" s="271">
        <f t="shared" si="96"/>
        <v>4.5294721004091563E-3</v>
      </c>
      <c r="S198" s="271">
        <f t="shared" si="96"/>
        <v>4.4383024881410847E-3</v>
      </c>
      <c r="T198" s="271">
        <f t="shared" ref="T198:U198" si="97">ABS(T128 + T163)*(1-T85)*PowerFactor*$H26</f>
        <v>4.5294721004091563E-3</v>
      </c>
      <c r="U198" s="271">
        <f t="shared" si="97"/>
        <v>4.5294721004091563E-3</v>
      </c>
      <c r="V198" s="271">
        <f t="shared" ref="V198:W198" si="98">ABS(V128 + V163)*(1-V85)*PowerFactor*$H26</f>
        <v>4.4383024881410847E-3</v>
      </c>
      <c r="W198" s="271">
        <f t="shared" si="98"/>
        <v>4.4383024881410847E-3</v>
      </c>
      <c r="X198" s="271">
        <f t="shared" ref="X198:Y198" si="99">ABS(X128 + X163)*(1-X85)*PowerFactor*$H26</f>
        <v>3.2425148616142792E-3</v>
      </c>
      <c r="Y198" s="271">
        <f t="shared" si="99"/>
        <v>3.2425148616142792E-3</v>
      </c>
      <c r="Z198" s="256"/>
      <c r="AA198" s="256"/>
    </row>
    <row r="199" spans="4:27" x14ac:dyDescent="0.25">
      <c r="F199" t="s">
        <v>196</v>
      </c>
      <c r="G199" t="s">
        <v>272</v>
      </c>
      <c r="H199" s="256"/>
      <c r="I199" s="256"/>
      <c r="J199" s="271">
        <f t="shared" ref="J199:K199" si="100">ABS(J129 + J164)*(1-J86)*PowerFactor*$H27</f>
        <v>9.5597242848580143E-3</v>
      </c>
      <c r="K199" s="271">
        <f t="shared" si="100"/>
        <v>9.5597242848580143E-3</v>
      </c>
      <c r="L199" s="271">
        <f t="shared" ref="L199:M199" si="101">ABS(L129 + L164)*(1-L86)*PowerFactor*$H27</f>
        <v>8.1859590299276953E-3</v>
      </c>
      <c r="M199" s="271">
        <f t="shared" si="101"/>
        <v>8.1859590299276953E-3</v>
      </c>
      <c r="N199" s="271">
        <f t="shared" ref="N199:P199" si="102">ABS(N129 + N164)*(1-N86)*PowerFactor*$H27</f>
        <v>7.019753601480873E-3</v>
      </c>
      <c r="O199" s="271">
        <f t="shared" si="102"/>
        <v>7.146675104161811E-3</v>
      </c>
      <c r="P199" s="271">
        <f t="shared" si="102"/>
        <v>0</v>
      </c>
      <c r="Q199" s="271">
        <f t="shared" ref="Q199:S199" si="103">ABS(Q129 + Q164)*(1-Q86)*PowerFactor*$H27</f>
        <v>8.8841872743253801E-3</v>
      </c>
      <c r="R199" s="271">
        <f t="shared" si="103"/>
        <v>4.8357537616842104E-3</v>
      </c>
      <c r="S199" s="271">
        <f t="shared" si="103"/>
        <v>4.7384192852367698E-3</v>
      </c>
      <c r="T199" s="271">
        <f t="shared" ref="T199:U199" si="104">ABS(T129 + T164)*(1-T86)*PowerFactor*$H27</f>
        <v>4.8357537616842104E-3</v>
      </c>
      <c r="U199" s="271">
        <f t="shared" si="104"/>
        <v>4.8357537616842104E-3</v>
      </c>
      <c r="V199" s="271">
        <f t="shared" ref="V199:W199" si="105">ABS(V129 + V164)*(1-V86)*PowerFactor*$H27</f>
        <v>4.7384192852367698E-3</v>
      </c>
      <c r="W199" s="271">
        <f t="shared" si="105"/>
        <v>4.7384192852367698E-3</v>
      </c>
      <c r="X199" s="271">
        <f t="shared" ref="X199:Y199" si="106">ABS(X129 + X164)*(1-X86)*PowerFactor*$H27</f>
        <v>3.4617728273349559E-3</v>
      </c>
      <c r="Y199" s="271">
        <f t="shared" si="106"/>
        <v>3.4617728273349559E-3</v>
      </c>
      <c r="Z199" s="256"/>
      <c r="AA199" s="256"/>
    </row>
    <row r="200" spans="4:27" x14ac:dyDescent="0.25">
      <c r="F200" t="s">
        <v>197</v>
      </c>
      <c r="G200" t="s">
        <v>272</v>
      </c>
      <c r="H200" s="256"/>
      <c r="I200" s="256"/>
      <c r="J200" s="271">
        <f t="shared" ref="J200:K200" si="107">ABS(J130 + J165)*(1-J87)*PowerFactor*$H28</f>
        <v>3.5035009263277045E-2</v>
      </c>
      <c r="K200" s="271">
        <f t="shared" si="107"/>
        <v>3.5035009263277045E-2</v>
      </c>
      <c r="L200" s="271">
        <f t="shared" ref="L200:M200" si="108">ABS(L130 + L165)*(1-L87)*PowerFactor*$H28</f>
        <v>3.0000357949296522E-2</v>
      </c>
      <c r="M200" s="271">
        <f t="shared" si="108"/>
        <v>3.0000357949296522E-2</v>
      </c>
      <c r="N200" s="271">
        <f t="shared" ref="N200:P200" si="109">ABS(N130 + N165)*(1-N87)*PowerFactor*$H28</f>
        <v>2.0581106745377869E-2</v>
      </c>
      <c r="O200" s="271">
        <f t="shared" si="109"/>
        <v>0</v>
      </c>
      <c r="P200" s="271">
        <f t="shared" si="109"/>
        <v>0</v>
      </c>
      <c r="Q200" s="271">
        <f t="shared" ref="Q200:S200" si="110">ABS(Q130 + Q165)*(1-Q87)*PowerFactor*$H28</f>
        <v>3.2559263654255141E-2</v>
      </c>
      <c r="R200" s="271">
        <f t="shared" si="110"/>
        <v>1.772233934653163E-2</v>
      </c>
      <c r="S200" s="271">
        <f t="shared" si="110"/>
        <v>1.7365622543582229E-2</v>
      </c>
      <c r="T200" s="271">
        <f t="shared" ref="T200:U200" si="111">ABS(T130 + T165)*(1-T87)*PowerFactor*$H28</f>
        <v>1.772233934653163E-2</v>
      </c>
      <c r="U200" s="271">
        <f t="shared" si="111"/>
        <v>1.772233934653163E-2</v>
      </c>
      <c r="V200" s="271">
        <f t="shared" ref="V200:W200" si="112">ABS(V130 + V165)*(1-V87)*PowerFactor*$H28</f>
        <v>1.7365622543582229E-2</v>
      </c>
      <c r="W200" s="271">
        <f t="shared" si="112"/>
        <v>1.7365622543582229E-2</v>
      </c>
      <c r="X200" s="271">
        <f t="shared" ref="X200:Y200" si="113">ABS(X130 + X165)*(1-X87)*PowerFactor*$H28</f>
        <v>1.3510255829718964E-2</v>
      </c>
      <c r="Y200" s="271">
        <f t="shared" si="113"/>
        <v>1.3510255829718964E-2</v>
      </c>
      <c r="Z200" s="256"/>
      <c r="AA200" s="256"/>
    </row>
    <row r="201" spans="4:27" x14ac:dyDescent="0.25">
      <c r="F201" t="s">
        <v>198</v>
      </c>
      <c r="G201" t="s">
        <v>272</v>
      </c>
      <c r="H201" s="256"/>
      <c r="I201" s="256"/>
      <c r="J201" s="271">
        <f t="shared" ref="J201:K201" si="114">ABS(J131 + J166)*(1-J88)*PowerFactor*$H29</f>
        <v>9.9871937586233431E-3</v>
      </c>
      <c r="K201" s="271">
        <f t="shared" si="114"/>
        <v>9.9871937586233431E-3</v>
      </c>
      <c r="L201" s="271">
        <f t="shared" ref="L201:M201" si="115">ABS(L131 + L166)*(1-L88)*PowerFactor*$H29</f>
        <v>8.5519996702765298E-3</v>
      </c>
      <c r="M201" s="271">
        <f t="shared" si="115"/>
        <v>8.5519996702765298E-3</v>
      </c>
      <c r="N201" s="271">
        <f t="shared" ref="N201:P201" si="116">ABS(N131 + N166)*(1-N88)*PowerFactor*$H29</f>
        <v>0</v>
      </c>
      <c r="O201" s="271">
        <f t="shared" si="116"/>
        <v>0</v>
      </c>
      <c r="P201" s="271">
        <f t="shared" si="116"/>
        <v>0</v>
      </c>
      <c r="Q201" s="271">
        <f t="shared" ref="Q201:S201" si="117">ABS(Q131 + Q166)*(1-Q88)*PowerFactor*$H29</f>
        <v>9.2814496582420223E-3</v>
      </c>
      <c r="R201" s="271">
        <f t="shared" si="117"/>
        <v>5.0519877297537782E-3</v>
      </c>
      <c r="S201" s="271">
        <f t="shared" si="117"/>
        <v>4.950300877004845E-3</v>
      </c>
      <c r="T201" s="271">
        <f t="shared" ref="T201:U201" si="118">ABS(T131 + T166)*(1-T88)*PowerFactor*$H29</f>
        <v>5.0519877297537782E-3</v>
      </c>
      <c r="U201" s="271">
        <f t="shared" si="118"/>
        <v>5.0519877297537782E-3</v>
      </c>
      <c r="V201" s="271">
        <f t="shared" ref="V201:W201" si="119">ABS(V131 + V166)*(1-V88)*PowerFactor*$H29</f>
        <v>4.950300877004845E-3</v>
      </c>
      <c r="W201" s="271">
        <f t="shared" si="119"/>
        <v>4.950300877004845E-3</v>
      </c>
      <c r="X201" s="271">
        <f t="shared" ref="X201:Y201" si="120">ABS(X131 + X166)*(1-X88)*PowerFactor*$H29</f>
        <v>0</v>
      </c>
      <c r="Y201" s="271">
        <f t="shared" si="120"/>
        <v>0</v>
      </c>
      <c r="Z201" s="256"/>
      <c r="AA201" s="256"/>
    </row>
    <row r="202" spans="4:27" x14ac:dyDescent="0.2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6.197254740322386E-3</v>
      </c>
      <c r="R202" s="271">
        <f t="shared" si="124"/>
        <v>3.3732289738235993E-3</v>
      </c>
      <c r="S202" s="271">
        <f t="shared" si="124"/>
        <v>0</v>
      </c>
      <c r="T202" s="271">
        <f t="shared" ref="T202:U202" si="125">ABS(T132 + T167)*(1-T89)*PowerFactor*$H30</f>
        <v>3.3732289738235993E-3</v>
      </c>
      <c r="U202" s="271">
        <f t="shared" si="125"/>
        <v>3.3732289738235993E-3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189</v>
      </c>
      <c r="G207" s="19" t="s">
        <v>272</v>
      </c>
      <c r="H207" s="255"/>
      <c r="I207" s="255"/>
      <c r="J207" s="421">
        <f t="shared" ref="J207:K207" si="128">ABS(J137 + J172)*(1-J81)*PowerFactor*$H22</f>
        <v>9.5666541697484713E-3</v>
      </c>
      <c r="K207" s="421">
        <f t="shared" si="128"/>
        <v>9.5666541697484713E-3</v>
      </c>
      <c r="L207" s="421">
        <f t="shared" ref="L207:M207" si="129">ABS(L137 + L172)*(1-L81)*PowerFactor*$H22</f>
        <v>8.1918930665280231E-3</v>
      </c>
      <c r="M207" s="421">
        <f t="shared" si="129"/>
        <v>8.1918930665280231E-3</v>
      </c>
      <c r="N207" s="421">
        <f t="shared" ref="N207:P207" si="130">ABS(N137 + N172)*(1-N81)*PowerFactor*$H22</f>
        <v>7.02484225079419E-3</v>
      </c>
      <c r="O207" s="421">
        <f t="shared" si="130"/>
        <v>7.1518557594135307E-3</v>
      </c>
      <c r="P207" s="421">
        <f t="shared" si="130"/>
        <v>5.3841375033633412E-3</v>
      </c>
      <c r="Q207" s="421">
        <f t="shared" ref="Q207:S207" si="131">ABS(Q137 + Q172)*(1-Q81)*PowerFactor*$H22</f>
        <v>8.8906274595568578E-3</v>
      </c>
      <c r="R207" s="421">
        <f t="shared" si="131"/>
        <v>4.8392592202025223E-3</v>
      </c>
      <c r="S207" s="421">
        <f t="shared" si="131"/>
        <v>4.7418541855781347E-3</v>
      </c>
      <c r="T207" s="421">
        <f t="shared" ref="T207:U207" si="132">ABS(T137 + T172)*(1-T81)*PowerFactor*$H22</f>
        <v>4.8392592202025223E-3</v>
      </c>
      <c r="U207" s="421">
        <f t="shared" si="132"/>
        <v>4.8392592202025223E-3</v>
      </c>
      <c r="V207" s="421">
        <f t="shared" ref="V207:W207" si="133">ABS(V137 + V172)*(1-V81)*PowerFactor*$H22</f>
        <v>4.7418541855781347E-3</v>
      </c>
      <c r="W207" s="421">
        <f t="shared" si="133"/>
        <v>4.7418541855781347E-3</v>
      </c>
      <c r="X207" s="421">
        <f t="shared" ref="X207:Y207" si="134">ABS(X137 + X172)*(1-X81)*PowerFactor*$H22</f>
        <v>4.6665866588229271E-3</v>
      </c>
      <c r="Y207" s="421">
        <f t="shared" si="134"/>
        <v>4.6665866588229271E-3</v>
      </c>
      <c r="Z207" s="256"/>
      <c r="AA207" s="256"/>
    </row>
    <row r="208" spans="4:27" x14ac:dyDescent="0.2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192</v>
      </c>
      <c r="G209" t="s">
        <v>272</v>
      </c>
      <c r="H209" s="256"/>
      <c r="I209" s="256"/>
      <c r="J209" s="271">
        <f t="shared" ref="J209:K209" si="142">ABS(J139 + J174)*(1-J82)*PowerFactor*$H23</f>
        <v>1.5035786040478347E-2</v>
      </c>
      <c r="K209" s="271">
        <f t="shared" si="142"/>
        <v>1.5035786040478347E-2</v>
      </c>
      <c r="L209" s="271">
        <f t="shared" ref="L209:M209" si="143">ABS(L139 + L174)*(1-L82)*PowerFactor*$H23</f>
        <v>1.287509187948746E-2</v>
      </c>
      <c r="M209" s="271">
        <f t="shared" si="143"/>
        <v>1.287509187948746E-2</v>
      </c>
      <c r="N209" s="271">
        <f t="shared" ref="N209:P209" si="144">ABS(N139 + N174)*(1-N82)*PowerFactor*$H23</f>
        <v>1.1040853278156165E-2</v>
      </c>
      <c r="O209" s="271">
        <f t="shared" si="144"/>
        <v>1.1240478759120015E-2</v>
      </c>
      <c r="P209" s="271">
        <f t="shared" si="144"/>
        <v>7.2900560901026697E-3</v>
      </c>
      <c r="Q209" s="271">
        <f t="shared" ref="Q209:S209" si="145">ABS(Q139 + Q174)*(1-Q82)*PowerFactor*$H23</f>
        <v>1.3973283644998025E-2</v>
      </c>
      <c r="R209" s="271">
        <f t="shared" si="145"/>
        <v>7.6058008304997907E-3</v>
      </c>
      <c r="S209" s="271">
        <f t="shared" si="145"/>
        <v>7.4527106033534076E-3</v>
      </c>
      <c r="T209" s="271">
        <f t="shared" ref="T209:U209" si="146">ABS(T139 + T174)*(1-T82)*PowerFactor*$H23</f>
        <v>7.6058008304997907E-3</v>
      </c>
      <c r="U209" s="271">
        <f t="shared" si="146"/>
        <v>7.6058008304997907E-3</v>
      </c>
      <c r="V209" s="271">
        <f t="shared" ref="V209:W209" si="147">ABS(V139 + V174)*(1-V82)*PowerFactor*$H23</f>
        <v>7.4527106033534076E-3</v>
      </c>
      <c r="W209" s="271">
        <f t="shared" si="147"/>
        <v>7.4527106033534076E-3</v>
      </c>
      <c r="X209" s="271">
        <f t="shared" ref="X209:Y209" si="148">ABS(X139 + X174)*(1-X82)*PowerFactor*$H23</f>
        <v>7.334413609649388E-3</v>
      </c>
      <c r="Y209" s="271">
        <f t="shared" si="148"/>
        <v>7.334413609649388E-3</v>
      </c>
      <c r="Z209" s="256"/>
      <c r="AA209" s="256"/>
    </row>
    <row r="210" spans="3:27" x14ac:dyDescent="0.25">
      <c r="F210" t="s">
        <v>193</v>
      </c>
      <c r="G210" t="s">
        <v>272</v>
      </c>
      <c r="H210" s="256"/>
      <c r="I210" s="256"/>
      <c r="J210" s="271">
        <f t="shared" ref="J210:K210" si="149">ABS(J140 + J175)*(1-J83)*PowerFactor*$H24</f>
        <v>3.5596803243719832E-3</v>
      </c>
      <c r="K210" s="271">
        <f t="shared" si="149"/>
        <v>3.5596803243719832E-3</v>
      </c>
      <c r="L210" s="271">
        <f t="shared" ref="L210:M210" si="150">ABS(L140 + L175)*(1-L83)*PowerFactor*$H24</f>
        <v>3.0481420202781058E-3</v>
      </c>
      <c r="M210" s="271">
        <f t="shared" si="150"/>
        <v>3.0481420202781058E-3</v>
      </c>
      <c r="N210" s="271">
        <f t="shared" ref="N210:P210" si="151">ABS(N140 + N175)*(1-N83)*PowerFactor*$H24</f>
        <v>2.6138911575839421E-3</v>
      </c>
      <c r="O210" s="271">
        <f t="shared" si="151"/>
        <v>2.6611519323061464E-3</v>
      </c>
      <c r="P210" s="271">
        <f t="shared" si="151"/>
        <v>2.0033972164522893E-3</v>
      </c>
      <c r="Q210" s="271">
        <f t="shared" ref="Q210:S210" si="152">ABS(Q140 + Q175)*(1-Q83)*PowerFactor*$H24</f>
        <v>3.3081358516315962E-3</v>
      </c>
      <c r="R210" s="271">
        <f t="shared" si="152"/>
        <v>1.8006520905880662E-3</v>
      </c>
      <c r="S210" s="271">
        <f t="shared" si="152"/>
        <v>1.7644084071544545E-3</v>
      </c>
      <c r="T210" s="271">
        <f t="shared" ref="T210:U210" si="153">ABS(T140 + T175)*(1-T83)*PowerFactor*$H24</f>
        <v>1.8006520905880662E-3</v>
      </c>
      <c r="U210" s="271">
        <f t="shared" si="153"/>
        <v>1.8006520905880662E-3</v>
      </c>
      <c r="V210" s="271">
        <f t="shared" ref="V210:W210" si="154">ABS(V140 + V175)*(1-V83)*PowerFactor*$H24</f>
        <v>1.7644084071544545E-3</v>
      </c>
      <c r="W210" s="271">
        <f t="shared" si="154"/>
        <v>1.7644084071544545E-3</v>
      </c>
      <c r="X210" s="271">
        <f t="shared" ref="X210:Y210" si="155">ABS(X140 + X175)*(1-X83)*PowerFactor*$H24</f>
        <v>1.7364019245012098E-3</v>
      </c>
      <c r="Y210" s="271">
        <f t="shared" si="155"/>
        <v>1.7364019245012098E-3</v>
      </c>
      <c r="Z210" s="256"/>
      <c r="AA210" s="256"/>
    </row>
    <row r="211" spans="3:27" x14ac:dyDescent="0.25">
      <c r="F211" t="s">
        <v>194</v>
      </c>
      <c r="G211" t="s">
        <v>272</v>
      </c>
      <c r="H211" s="256"/>
      <c r="I211" s="256"/>
      <c r="J211" s="271">
        <f t="shared" ref="J211:K211" si="156">ABS(J141 + J176)*(1-J84)*PowerFactor*$H25</f>
        <v>3.6181784776732361E-3</v>
      </c>
      <c r="K211" s="271">
        <f t="shared" si="156"/>
        <v>3.6181784776732361E-3</v>
      </c>
      <c r="L211" s="271">
        <f t="shared" ref="L211:M211" si="157">ABS(L141 + L176)*(1-L84)*PowerFactor*$H25</f>
        <v>3.0982337877790765E-3</v>
      </c>
      <c r="M211" s="271">
        <f t="shared" si="157"/>
        <v>3.0982337877790765E-3</v>
      </c>
      <c r="N211" s="271">
        <f t="shared" ref="N211:P211" si="158">ABS(N141 + N176)*(1-N84)*PowerFactor*$H25</f>
        <v>2.6568466456378058E-3</v>
      </c>
      <c r="O211" s="271">
        <f t="shared" si="158"/>
        <v>2.704884082248974E-3</v>
      </c>
      <c r="P211" s="271">
        <f t="shared" si="158"/>
        <v>1.6290561017334021E-3</v>
      </c>
      <c r="Q211" s="271">
        <f t="shared" ref="Q211:S211" si="159">ABS(Q141 + Q176)*(1-Q84)*PowerFactor*$H25</f>
        <v>3.3625002384741857E-3</v>
      </c>
      <c r="R211" s="271">
        <f t="shared" si="159"/>
        <v>1.8302431809217258E-3</v>
      </c>
      <c r="S211" s="271">
        <f t="shared" si="159"/>
        <v>1.7934038854228436E-3</v>
      </c>
      <c r="T211" s="271">
        <f t="shared" ref="T211:U211" si="160">ABS(T141 + T176)*(1-T84)*PowerFactor*$H25</f>
        <v>1.8302431809217258E-3</v>
      </c>
      <c r="U211" s="271">
        <f t="shared" si="160"/>
        <v>1.8302431809217258E-3</v>
      </c>
      <c r="V211" s="271">
        <f t="shared" ref="V211:W211" si="161">ABS(V141 + V176)*(1-V84)*PowerFactor*$H25</f>
        <v>1.7934038854228436E-3</v>
      </c>
      <c r="W211" s="271">
        <f t="shared" si="161"/>
        <v>1.7934038854228436E-3</v>
      </c>
      <c r="X211" s="271">
        <f t="shared" ref="X211:Y211" si="162">ABS(X141 + X176)*(1-X84)*PowerFactor*$H25</f>
        <v>1.7649371570827987E-3</v>
      </c>
      <c r="Y211" s="271">
        <f t="shared" si="162"/>
        <v>1.7649371570827987E-3</v>
      </c>
      <c r="Z211" s="256"/>
      <c r="AA211" s="256"/>
    </row>
    <row r="212" spans="3:27" x14ac:dyDescent="0.25">
      <c r="F212" t="s">
        <v>195</v>
      </c>
      <c r="G212" t="s">
        <v>272</v>
      </c>
      <c r="H212" s="256"/>
      <c r="I212" s="256"/>
      <c r="J212" s="271">
        <f t="shared" ref="J212:K212" si="163">ABS(J142 + J177)*(1-J85)*PowerFactor*$H26</f>
        <v>6.9747197444649679E-3</v>
      </c>
      <c r="K212" s="271">
        <f t="shared" si="163"/>
        <v>6.9747197444649679E-3</v>
      </c>
      <c r="L212" s="271">
        <f t="shared" ref="L212:M212" si="164">ABS(L142 + L177)*(1-L85)*PowerFactor*$H26</f>
        <v>5.972428531631652E-3</v>
      </c>
      <c r="M212" s="271">
        <f t="shared" si="164"/>
        <v>5.972428531631652E-3</v>
      </c>
      <c r="N212" s="271">
        <f t="shared" ref="N212:P212" si="165">ABS(N142 + N177)*(1-N85)*PowerFactor*$H26</f>
        <v>5.1215717720100454E-3</v>
      </c>
      <c r="O212" s="271">
        <f t="shared" si="165"/>
        <v>5.2141729689031474E-3</v>
      </c>
      <c r="P212" s="271">
        <f t="shared" si="165"/>
        <v>0</v>
      </c>
      <c r="Q212" s="271">
        <f t="shared" ref="Q212:S212" si="166">ABS(Q142 + Q177)*(1-Q85)*PowerFactor*$H26</f>
        <v>6.4818518347762137E-3</v>
      </c>
      <c r="R212" s="271">
        <f t="shared" si="166"/>
        <v>3.5281380755313855E-3</v>
      </c>
      <c r="S212" s="271">
        <f t="shared" si="166"/>
        <v>3.4571234024648807E-3</v>
      </c>
      <c r="T212" s="271">
        <f t="shared" ref="T212:U212" si="167">ABS(T142 + T177)*(1-T85)*PowerFactor*$H26</f>
        <v>3.5281380755313855E-3</v>
      </c>
      <c r="U212" s="271">
        <f t="shared" si="167"/>
        <v>3.5281380755313855E-3</v>
      </c>
      <c r="V212" s="271">
        <f t="shared" ref="V212:W212" si="168">ABS(V142 + V177)*(1-V85)*PowerFactor*$H26</f>
        <v>3.4571234024648807E-3</v>
      </c>
      <c r="W212" s="271">
        <f t="shared" si="168"/>
        <v>3.4571234024648807E-3</v>
      </c>
      <c r="X212" s="271">
        <f t="shared" ref="X212:Y212" si="169">ABS(X142 + X177)*(1-X85)*PowerFactor*$H26</f>
        <v>3.4022484278225813E-3</v>
      </c>
      <c r="Y212" s="271">
        <f t="shared" si="169"/>
        <v>3.4022484278225813E-3</v>
      </c>
      <c r="Z212" s="256"/>
      <c r="AA212" s="256"/>
    </row>
    <row r="213" spans="3:27" x14ac:dyDescent="0.25">
      <c r="F213" t="s">
        <v>196</v>
      </c>
      <c r="G213" t="s">
        <v>272</v>
      </c>
      <c r="H213" s="256"/>
      <c r="I213" s="256"/>
      <c r="J213" s="271">
        <f t="shared" ref="J213:K213" si="170">ABS(J143 + J178)*(1-J86)*PowerFactor*$H27</f>
        <v>7.446348380850583E-3</v>
      </c>
      <c r="K213" s="271">
        <f t="shared" si="170"/>
        <v>7.446348380850583E-3</v>
      </c>
      <c r="L213" s="271">
        <f t="shared" ref="L213:M213" si="171">ABS(L143 + L178)*(1-L86)*PowerFactor*$H27</f>
        <v>6.3762825110720888E-3</v>
      </c>
      <c r="M213" s="271">
        <f t="shared" si="171"/>
        <v>6.3762825110720888E-3</v>
      </c>
      <c r="N213" s="271">
        <f t="shared" ref="N213:P213" si="172">ABS(N143 + N178)*(1-N86)*PowerFactor*$H27</f>
        <v>5.4678910507023597E-3</v>
      </c>
      <c r="O213" s="271">
        <f t="shared" si="172"/>
        <v>5.5667539151345799E-3</v>
      </c>
      <c r="P213" s="271">
        <f t="shared" si="172"/>
        <v>0</v>
      </c>
      <c r="Q213" s="271">
        <f t="shared" ref="Q213:S213" si="173">ABS(Q143 + Q178)*(1-Q86)*PowerFactor*$H27</f>
        <v>6.9201528782719202E-3</v>
      </c>
      <c r="R213" s="271">
        <f t="shared" si="173"/>
        <v>3.7667098046483207E-3</v>
      </c>
      <c r="S213" s="271">
        <f t="shared" si="173"/>
        <v>3.6908931388639995E-3</v>
      </c>
      <c r="T213" s="271">
        <f t="shared" ref="T213:U213" si="174">ABS(T143 + T178)*(1-T86)*PowerFactor*$H27</f>
        <v>3.7667098046483207E-3</v>
      </c>
      <c r="U213" s="271">
        <f t="shared" si="174"/>
        <v>3.7667098046483207E-3</v>
      </c>
      <c r="V213" s="271">
        <f t="shared" ref="V213:W213" si="175">ABS(V143 + V178)*(1-V86)*PowerFactor*$H27</f>
        <v>3.6908931388639995E-3</v>
      </c>
      <c r="W213" s="271">
        <f t="shared" si="175"/>
        <v>3.6908931388639995E-3</v>
      </c>
      <c r="X213" s="271">
        <f t="shared" ref="X213:Y213" si="176">ABS(X143 + X178)*(1-X86)*PowerFactor*$H27</f>
        <v>3.6323075334852061E-3</v>
      </c>
      <c r="Y213" s="271">
        <f t="shared" si="176"/>
        <v>3.6323075334852061E-3</v>
      </c>
      <c r="Z213" s="256"/>
      <c r="AA213" s="256"/>
    </row>
    <row r="214" spans="3:27" x14ac:dyDescent="0.25">
      <c r="F214" t="s">
        <v>197</v>
      </c>
      <c r="G214" t="s">
        <v>272</v>
      </c>
      <c r="H214" s="256"/>
      <c r="I214" s="256"/>
      <c r="J214" s="271">
        <f t="shared" ref="J214:K214" si="177">ABS(J144 + J179)*(1-J87)*PowerFactor*$H28</f>
        <v>4.4507507492657458E-2</v>
      </c>
      <c r="K214" s="271">
        <f t="shared" si="177"/>
        <v>4.4507507492657458E-2</v>
      </c>
      <c r="L214" s="271">
        <f t="shared" ref="L214:M214" si="178">ABS(L144 + L179)*(1-L87)*PowerFactor*$H28</f>
        <v>3.8111625607882803E-2</v>
      </c>
      <c r="M214" s="271">
        <f t="shared" si="178"/>
        <v>3.8111625607882803E-2</v>
      </c>
      <c r="N214" s="271">
        <f t="shared" ref="N214:P214" si="179">ABS(N144 + N179)*(1-N87)*PowerFactor*$H28</f>
        <v>2.6145669201727156E-2</v>
      </c>
      <c r="O214" s="271">
        <f t="shared" si="179"/>
        <v>0</v>
      </c>
      <c r="P214" s="271">
        <f t="shared" si="179"/>
        <v>0</v>
      </c>
      <c r="Q214" s="271">
        <f t="shared" ref="Q214:S214" si="180">ABS(Q144 + Q179)*(1-Q87)*PowerFactor*$H28</f>
        <v>4.1362388694046084E-2</v>
      </c>
      <c r="R214" s="271">
        <f t="shared" si="180"/>
        <v>2.2513970107036735E-2</v>
      </c>
      <c r="S214" s="271">
        <f t="shared" si="180"/>
        <v>2.2060806939283022E-2</v>
      </c>
      <c r="T214" s="271">
        <f t="shared" ref="T214:U214" si="181">ABS(T144 + T179)*(1-T87)*PowerFactor*$H28</f>
        <v>2.2513970107036735E-2</v>
      </c>
      <c r="U214" s="271">
        <f t="shared" si="181"/>
        <v>2.2513970107036735E-2</v>
      </c>
      <c r="V214" s="271">
        <f t="shared" ref="V214:W214" si="182">ABS(V144 + V179)*(1-V87)*PowerFactor*$H28</f>
        <v>2.2060806939283022E-2</v>
      </c>
      <c r="W214" s="271">
        <f t="shared" si="182"/>
        <v>2.2060806939283022E-2</v>
      </c>
      <c r="X214" s="271">
        <f t="shared" ref="X214:Y214" si="183">ABS(X144 + X179)*(1-X87)*PowerFactor*$H28</f>
        <v>2.1710635400564247E-2</v>
      </c>
      <c r="Y214" s="271">
        <f t="shared" si="183"/>
        <v>2.1710635400564247E-2</v>
      </c>
      <c r="Z214" s="256"/>
      <c r="AA214" s="256"/>
    </row>
    <row r="215" spans="3:27" x14ac:dyDescent="0.25">
      <c r="F215" t="s">
        <v>198</v>
      </c>
      <c r="G215" t="s">
        <v>272</v>
      </c>
      <c r="H215" s="256"/>
      <c r="I215" s="256"/>
      <c r="J215" s="271">
        <f t="shared" ref="J215:K215" si="184">ABS(J145 + J180)*(1-J88)*PowerFactor*$H29</f>
        <v>2.1684401427890396E-2</v>
      </c>
      <c r="K215" s="271">
        <f t="shared" si="184"/>
        <v>2.1684401427890396E-2</v>
      </c>
      <c r="L215" s="271">
        <f t="shared" ref="L215:M215" si="185">ABS(L145 + L180)*(1-L88)*PowerFactor*$H29</f>
        <v>1.856827837162385E-2</v>
      </c>
      <c r="M215" s="271">
        <f t="shared" si="185"/>
        <v>1.856827837162385E-2</v>
      </c>
      <c r="N215" s="271">
        <f t="shared" ref="N215:P215" si="186">ABS(N145 + N180)*(1-N88)*PowerFactor*$H29</f>
        <v>0</v>
      </c>
      <c r="O215" s="271">
        <f t="shared" si="186"/>
        <v>0</v>
      </c>
      <c r="P215" s="271">
        <f t="shared" si="186"/>
        <v>0</v>
      </c>
      <c r="Q215" s="271">
        <f t="shared" ref="Q215:S215" si="187">ABS(Q145 + Q180)*(1-Q88)*PowerFactor*$H29</f>
        <v>2.0152075256204761E-2</v>
      </c>
      <c r="R215" s="271">
        <f t="shared" si="187"/>
        <v>1.0968980134801959E-2</v>
      </c>
      <c r="S215" s="271">
        <f t="shared" si="187"/>
        <v>1.0748195539224974E-2</v>
      </c>
      <c r="T215" s="271">
        <f t="shared" ref="T215:U215" si="188">ABS(T145 + T180)*(1-T88)*PowerFactor*$H29</f>
        <v>1.0968980134801959E-2</v>
      </c>
      <c r="U215" s="271">
        <f t="shared" si="188"/>
        <v>1.0968980134801959E-2</v>
      </c>
      <c r="V215" s="271">
        <f t="shared" ref="V215:W215" si="189">ABS(V145 + V180)*(1-V88)*PowerFactor*$H29</f>
        <v>1.0748195539224974E-2</v>
      </c>
      <c r="W215" s="271">
        <f t="shared" si="189"/>
        <v>1.0748195539224974E-2</v>
      </c>
      <c r="X215" s="271">
        <f t="shared" ref="X215:Y215" si="190">ABS(X145 + X180)*(1-X88)*PowerFactor*$H29</f>
        <v>0</v>
      </c>
      <c r="Y215" s="271">
        <f t="shared" si="190"/>
        <v>0</v>
      </c>
      <c r="Z215" s="256"/>
      <c r="AA215" s="256"/>
    </row>
    <row r="216" spans="3:27" x14ac:dyDescent="0.2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4.6258508044198218E-2</v>
      </c>
      <c r="R216" s="271">
        <f t="shared" si="194"/>
        <v>2.5178977815009766E-2</v>
      </c>
      <c r="S216" s="271">
        <f t="shared" si="194"/>
        <v>0</v>
      </c>
      <c r="T216" s="271">
        <f t="shared" ref="T216:U216" si="195">ABS(T146 + T181)*(1-T89)*PowerFactor*$H30</f>
        <v>2.5178977815009766E-2</v>
      </c>
      <c r="U216" s="271">
        <f t="shared" si="195"/>
        <v>2.5178977815009766E-2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control'!$H$36:$H$59,MATCH($A$1,'Version control'!$F$36:$F$59,0),1)&amp;"-E: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1.4174399022234201E-2</v>
      </c>
      <c r="O225" s="271">
        <f t="shared" si="200"/>
        <v>1.4430680955423658E-2</v>
      </c>
      <c r="P225" s="271">
        <f t="shared" si="200"/>
        <v>9.3590740962043052E-3</v>
      </c>
      <c r="Q225" s="271">
        <f t="shared" ref="Q225:S225" si="201">Q$78 * Q195</f>
        <v>0</v>
      </c>
      <c r="R225" s="271">
        <f t="shared" si="201"/>
        <v>0</v>
      </c>
      <c r="S225" s="271">
        <f t="shared" si="201"/>
        <v>0</v>
      </c>
      <c r="T225" s="271">
        <f t="shared" ref="T225:U225" si="202">T$78 * T195</f>
        <v>9.764431528896134E-3</v>
      </c>
      <c r="U225" s="271">
        <f t="shared" si="202"/>
        <v>0</v>
      </c>
      <c r="V225" s="271">
        <f t="shared" ref="V225:W225" si="203">V$78 * V195</f>
        <v>9.5678921934563219E-3</v>
      </c>
      <c r="W225" s="271">
        <f t="shared" si="203"/>
        <v>0</v>
      </c>
      <c r="X225" s="271">
        <f t="shared" ref="X225:Y225" si="204">X$78 * X195</f>
        <v>9.4160208887982856E-3</v>
      </c>
      <c r="Y225" s="271">
        <f t="shared" si="204"/>
        <v>0</v>
      </c>
      <c r="Z225" s="256"/>
      <c r="AA225" s="256"/>
    </row>
    <row r="226" spans="5:27" customFormat="1" x14ac:dyDescent="0.2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3.3557493551324416E-3</v>
      </c>
      <c r="O226" s="271">
        <f t="shared" si="207"/>
        <v>3.4164233865805176E-3</v>
      </c>
      <c r="P226" s="271">
        <f t="shared" si="207"/>
        <v>2.5719888518227251E-3</v>
      </c>
      <c r="Q226" s="271">
        <f t="shared" ref="Q226:S226" si="208">Q$78 * Q196</f>
        <v>0</v>
      </c>
      <c r="R226" s="271">
        <f t="shared" si="208"/>
        <v>0</v>
      </c>
      <c r="S226" s="271">
        <f t="shared" si="208"/>
        <v>0</v>
      </c>
      <c r="T226" s="271">
        <f t="shared" ref="T226:U226" si="209">T$78 * T196</f>
        <v>2.3117018756794723E-3</v>
      </c>
      <c r="U226" s="271">
        <f t="shared" si="209"/>
        <v>0</v>
      </c>
      <c r="V226" s="271">
        <f t="shared" ref="V226:W226" si="210">V$78 * V196</f>
        <v>2.265171737285192E-3</v>
      </c>
      <c r="W226" s="271">
        <f t="shared" si="210"/>
        <v>0</v>
      </c>
      <c r="X226" s="271">
        <f t="shared" ref="X226:Y226" si="211">X$78 * X196</f>
        <v>2.2292166303441571E-3</v>
      </c>
      <c r="Y226" s="271">
        <f t="shared" si="211"/>
        <v>0</v>
      </c>
      <c r="Z226" s="256"/>
      <c r="AA226" s="256"/>
    </row>
    <row r="227" spans="5:27" customFormat="1" x14ac:dyDescent="0.2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3.4108962004469143E-3</v>
      </c>
      <c r="O227" s="271">
        <f t="shared" si="214"/>
        <v>3.4725673210911057E-3</v>
      </c>
      <c r="P227" s="271">
        <f t="shared" si="214"/>
        <v>2.0914045892864897E-3</v>
      </c>
      <c r="Q227" s="271">
        <f t="shared" ref="Q227:S227" si="215">Q$78 * Q197</f>
        <v>0</v>
      </c>
      <c r="R227" s="271">
        <f t="shared" si="215"/>
        <v>0</v>
      </c>
      <c r="S227" s="271">
        <f t="shared" si="215"/>
        <v>0</v>
      </c>
      <c r="T227" s="271">
        <f t="shared" ref="T227:U227" si="216">T$78 * T197</f>
        <v>2.3496913237162557E-3</v>
      </c>
      <c r="U227" s="271">
        <f t="shared" si="216"/>
        <v>0</v>
      </c>
      <c r="V227" s="271">
        <f t="shared" ref="V227:W227" si="217">V$78 * V197</f>
        <v>2.3023965303752146E-3</v>
      </c>
      <c r="W227" s="271">
        <f t="shared" si="217"/>
        <v>0</v>
      </c>
      <c r="X227" s="271">
        <f t="shared" ref="X227:Y227" si="218">X$78 * X197</f>
        <v>2.2658505537025923E-3</v>
      </c>
      <c r="Y227" s="271">
        <f t="shared" si="218"/>
        <v>0</v>
      </c>
      <c r="Z227" s="256"/>
      <c r="AA227" s="256"/>
    </row>
    <row r="228" spans="5:27" customFormat="1" x14ac:dyDescent="0.2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6.5751441567571435E-3</v>
      </c>
      <c r="O228" s="271">
        <f t="shared" si="221"/>
        <v>6.6940268446827357E-3</v>
      </c>
      <c r="P228" s="271">
        <f t="shared" si="221"/>
        <v>0</v>
      </c>
      <c r="Q228" s="271">
        <f t="shared" ref="Q228:S228" si="222">Q$78 * Q198</f>
        <v>0</v>
      </c>
      <c r="R228" s="271">
        <f t="shared" si="222"/>
        <v>0</v>
      </c>
      <c r="S228" s="271">
        <f t="shared" si="222"/>
        <v>0</v>
      </c>
      <c r="T228" s="271">
        <f t="shared" ref="T228:U228" si="223">T$78 * T198</f>
        <v>4.5294721004091563E-3</v>
      </c>
      <c r="U228" s="271">
        <f t="shared" si="223"/>
        <v>0</v>
      </c>
      <c r="V228" s="271">
        <f t="shared" ref="V228:W228" si="224">V$78 * V198</f>
        <v>4.4383024881410847E-3</v>
      </c>
      <c r="W228" s="271">
        <f t="shared" si="224"/>
        <v>0</v>
      </c>
      <c r="X228" s="271">
        <f t="shared" ref="X228:Y228" si="225">X$78 * X198</f>
        <v>3.2425148616142792E-3</v>
      </c>
      <c r="Y228" s="271">
        <f t="shared" si="225"/>
        <v>0</v>
      </c>
      <c r="Z228" s="256"/>
      <c r="AA228" s="256"/>
    </row>
    <row r="229" spans="5:27" customFormat="1" x14ac:dyDescent="0.2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7.019753601480873E-3</v>
      </c>
      <c r="O229" s="271">
        <f t="shared" si="228"/>
        <v>7.146675104161811E-3</v>
      </c>
      <c r="P229" s="271">
        <f t="shared" si="228"/>
        <v>0</v>
      </c>
      <c r="Q229" s="271">
        <f t="shared" ref="Q229:S229" si="229">Q$78 * Q199</f>
        <v>0</v>
      </c>
      <c r="R229" s="271">
        <f t="shared" si="229"/>
        <v>0</v>
      </c>
      <c r="S229" s="271">
        <f t="shared" si="229"/>
        <v>0</v>
      </c>
      <c r="T229" s="271">
        <f t="shared" ref="T229:U229" si="230">T$78 * T199</f>
        <v>4.8357537616842104E-3</v>
      </c>
      <c r="U229" s="271">
        <f t="shared" si="230"/>
        <v>0</v>
      </c>
      <c r="V229" s="271">
        <f t="shared" ref="V229:W229" si="231">V$78 * V199</f>
        <v>4.7384192852367698E-3</v>
      </c>
      <c r="W229" s="271">
        <f t="shared" si="231"/>
        <v>0</v>
      </c>
      <c r="X229" s="271">
        <f t="shared" ref="X229:Y229" si="232">X$78 * X199</f>
        <v>3.4617728273349559E-3</v>
      </c>
      <c r="Y229" s="271">
        <f t="shared" si="232"/>
        <v>0</v>
      </c>
      <c r="Z229" s="256"/>
      <c r="AA229" s="256"/>
    </row>
    <row r="230" spans="5:27" customFormat="1" x14ac:dyDescent="0.2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2.0581106745377869E-2</v>
      </c>
      <c r="O230" s="271">
        <f t="shared" si="235"/>
        <v>0</v>
      </c>
      <c r="P230" s="271">
        <f t="shared" si="235"/>
        <v>0</v>
      </c>
      <c r="Q230" s="271">
        <f t="shared" ref="Q230:S230" si="236">Q$78 * Q200</f>
        <v>0</v>
      </c>
      <c r="R230" s="271">
        <f t="shared" si="236"/>
        <v>0</v>
      </c>
      <c r="S230" s="271">
        <f t="shared" si="236"/>
        <v>0</v>
      </c>
      <c r="T230" s="271">
        <f t="shared" ref="T230:U230" si="237">T$78 * T200</f>
        <v>1.772233934653163E-2</v>
      </c>
      <c r="U230" s="271">
        <f t="shared" si="237"/>
        <v>0</v>
      </c>
      <c r="V230" s="271">
        <f t="shared" ref="V230:W230" si="238">V$78 * V200</f>
        <v>1.7365622543582229E-2</v>
      </c>
      <c r="W230" s="271">
        <f t="shared" si="238"/>
        <v>0</v>
      </c>
      <c r="X230" s="271">
        <f t="shared" ref="X230:Y230" si="239">X$78 * X200</f>
        <v>1.3510255829718964E-2</v>
      </c>
      <c r="Y230" s="271">
        <f t="shared" si="239"/>
        <v>0</v>
      </c>
      <c r="Z230" s="256"/>
      <c r="AA230" s="256"/>
    </row>
    <row r="231" spans="5:27" customFormat="1" x14ac:dyDescent="0.2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5.0519877297537782E-3</v>
      </c>
      <c r="U231" s="271">
        <f t="shared" si="244"/>
        <v>0</v>
      </c>
      <c r="V231" s="271">
        <f t="shared" ref="V231:W231" si="245">V$78 * V201</f>
        <v>4.950300877004845E-3</v>
      </c>
      <c r="W231" s="271">
        <f t="shared" si="245"/>
        <v>0</v>
      </c>
      <c r="X231" s="271">
        <f t="shared" ref="X231:Y231" si="246">X$78 * X201</f>
        <v>0</v>
      </c>
      <c r="Y231" s="271">
        <f t="shared" si="246"/>
        <v>0</v>
      </c>
      <c r="Z231" s="256"/>
      <c r="AA231" s="256"/>
    </row>
    <row r="232" spans="5:27" customFormat="1" x14ac:dyDescent="0.2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3.3732289738235993E-3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7.02484225079419E-3</v>
      </c>
      <c r="O237" s="270">
        <f t="shared" si="256"/>
        <v>7.1518557594135307E-3</v>
      </c>
      <c r="P237" s="270">
        <f t="shared" si="256"/>
        <v>5.3841375033633412E-3</v>
      </c>
      <c r="Q237" s="270">
        <f t="shared" ref="Q237:S237" si="257">Q$78 * Q207</f>
        <v>0</v>
      </c>
      <c r="R237" s="270">
        <f t="shared" si="257"/>
        <v>0</v>
      </c>
      <c r="S237" s="270">
        <f t="shared" si="257"/>
        <v>0</v>
      </c>
      <c r="T237" s="270">
        <f t="shared" ref="T237:U237" si="258">T$78 * T207</f>
        <v>4.8392592202025223E-3</v>
      </c>
      <c r="U237" s="270">
        <f t="shared" si="258"/>
        <v>0</v>
      </c>
      <c r="V237" s="270">
        <f t="shared" ref="V237:W237" si="259">V$78 * V207</f>
        <v>4.7418541855781347E-3</v>
      </c>
      <c r="W237" s="270">
        <f t="shared" si="259"/>
        <v>0</v>
      </c>
      <c r="X237" s="270">
        <f t="shared" ref="X237:Y237" si="260">X$78 * X207</f>
        <v>4.6665866588229271E-3</v>
      </c>
      <c r="Y237" s="270">
        <f t="shared" si="260"/>
        <v>0</v>
      </c>
      <c r="Z237" s="256"/>
      <c r="AA237" s="256"/>
    </row>
    <row r="238" spans="5:27" customFormat="1" x14ac:dyDescent="0.2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1.1040853278156165E-2</v>
      </c>
      <c r="O239" s="271">
        <f t="shared" si="270"/>
        <v>1.1240478759120015E-2</v>
      </c>
      <c r="P239" s="271">
        <f t="shared" si="270"/>
        <v>7.2900560901026697E-3</v>
      </c>
      <c r="Q239" s="271">
        <f t="shared" ref="Q239:S239" si="271">Q$78 * Q209</f>
        <v>0</v>
      </c>
      <c r="R239" s="271">
        <f t="shared" si="271"/>
        <v>0</v>
      </c>
      <c r="S239" s="271">
        <f t="shared" si="271"/>
        <v>0</v>
      </c>
      <c r="T239" s="271">
        <f t="shared" ref="T239:U239" si="272">T$78 * T209</f>
        <v>7.6058008304997907E-3</v>
      </c>
      <c r="U239" s="271">
        <f t="shared" si="272"/>
        <v>0</v>
      </c>
      <c r="V239" s="271">
        <f t="shared" ref="V239:W239" si="273">V$78 * V209</f>
        <v>7.4527106033534076E-3</v>
      </c>
      <c r="W239" s="271">
        <f t="shared" si="273"/>
        <v>0</v>
      </c>
      <c r="X239" s="271">
        <f t="shared" ref="X239:Y239" si="274">X$78 * X209</f>
        <v>7.334413609649388E-3</v>
      </c>
      <c r="Y239" s="271">
        <f t="shared" si="274"/>
        <v>0</v>
      </c>
      <c r="Z239" s="256"/>
      <c r="AA239" s="256"/>
    </row>
    <row r="240" spans="5:27" customFormat="1" x14ac:dyDescent="0.2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2.6138911575839421E-3</v>
      </c>
      <c r="O240" s="271">
        <f t="shared" si="277"/>
        <v>2.6611519323061464E-3</v>
      </c>
      <c r="P240" s="271">
        <f t="shared" si="277"/>
        <v>2.0033972164522893E-3</v>
      </c>
      <c r="Q240" s="271">
        <f t="shared" ref="Q240:S240" si="278">Q$78 * Q210</f>
        <v>0</v>
      </c>
      <c r="R240" s="271">
        <f t="shared" si="278"/>
        <v>0</v>
      </c>
      <c r="S240" s="271">
        <f t="shared" si="278"/>
        <v>0</v>
      </c>
      <c r="T240" s="271">
        <f t="shared" ref="T240:U240" si="279">T$78 * T210</f>
        <v>1.8006520905880662E-3</v>
      </c>
      <c r="U240" s="271">
        <f t="shared" si="279"/>
        <v>0</v>
      </c>
      <c r="V240" s="271">
        <f t="shared" ref="V240:W240" si="280">V$78 * V210</f>
        <v>1.7644084071544545E-3</v>
      </c>
      <c r="W240" s="271">
        <f t="shared" si="280"/>
        <v>0</v>
      </c>
      <c r="X240" s="271">
        <f t="shared" ref="X240:Y240" si="281">X$78 * X210</f>
        <v>1.7364019245012098E-3</v>
      </c>
      <c r="Y240" s="271">
        <f t="shared" si="281"/>
        <v>0</v>
      </c>
      <c r="Z240" s="256"/>
      <c r="AA240" s="256"/>
    </row>
    <row r="241" spans="2:27" x14ac:dyDescent="0.2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2.6568466456378058E-3</v>
      </c>
      <c r="O241" s="271">
        <f t="shared" si="284"/>
        <v>2.704884082248974E-3</v>
      </c>
      <c r="P241" s="271">
        <f t="shared" si="284"/>
        <v>1.6290561017334021E-3</v>
      </c>
      <c r="Q241" s="271">
        <f t="shared" ref="Q241:S241" si="285">Q$78 * Q211</f>
        <v>0</v>
      </c>
      <c r="R241" s="271">
        <f t="shared" si="285"/>
        <v>0</v>
      </c>
      <c r="S241" s="271">
        <f t="shared" si="285"/>
        <v>0</v>
      </c>
      <c r="T241" s="271">
        <f t="shared" ref="T241:U241" si="286">T$78 * T211</f>
        <v>1.8302431809217258E-3</v>
      </c>
      <c r="U241" s="271">
        <f t="shared" si="286"/>
        <v>0</v>
      </c>
      <c r="V241" s="271">
        <f t="shared" ref="V241:W241" si="287">V$78 * V211</f>
        <v>1.7934038854228436E-3</v>
      </c>
      <c r="W241" s="271">
        <f t="shared" si="287"/>
        <v>0</v>
      </c>
      <c r="X241" s="271">
        <f t="shared" ref="X241:Y241" si="288">X$78 * X211</f>
        <v>1.7649371570827987E-3</v>
      </c>
      <c r="Y241" s="271">
        <f t="shared" si="288"/>
        <v>0</v>
      </c>
      <c r="Z241" s="256"/>
      <c r="AA241" s="256"/>
    </row>
    <row r="242" spans="2:27" x14ac:dyDescent="0.2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5.1215717720100454E-3</v>
      </c>
      <c r="O242" s="271">
        <f t="shared" si="291"/>
        <v>5.2141729689031474E-3</v>
      </c>
      <c r="P242" s="271">
        <f t="shared" si="291"/>
        <v>0</v>
      </c>
      <c r="Q242" s="271">
        <f t="shared" ref="Q242:S242" si="292">Q$78 * Q212</f>
        <v>0</v>
      </c>
      <c r="R242" s="271">
        <f t="shared" si="292"/>
        <v>0</v>
      </c>
      <c r="S242" s="271">
        <f t="shared" si="292"/>
        <v>0</v>
      </c>
      <c r="T242" s="271">
        <f t="shared" ref="T242:U242" si="293">T$78 * T212</f>
        <v>3.5281380755313855E-3</v>
      </c>
      <c r="U242" s="271">
        <f t="shared" si="293"/>
        <v>0</v>
      </c>
      <c r="V242" s="271">
        <f t="shared" ref="V242:W242" si="294">V$78 * V212</f>
        <v>3.4571234024648807E-3</v>
      </c>
      <c r="W242" s="271">
        <f t="shared" si="294"/>
        <v>0</v>
      </c>
      <c r="X242" s="271">
        <f t="shared" ref="X242:Y242" si="295">X$78 * X212</f>
        <v>3.4022484278225813E-3</v>
      </c>
      <c r="Y242" s="271">
        <f t="shared" si="295"/>
        <v>0</v>
      </c>
      <c r="Z242" s="256"/>
      <c r="AA242" s="256"/>
    </row>
    <row r="243" spans="2:27" x14ac:dyDescent="0.2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5.4678910507023597E-3</v>
      </c>
      <c r="O243" s="271">
        <f t="shared" si="298"/>
        <v>5.5667539151345799E-3</v>
      </c>
      <c r="P243" s="271">
        <f t="shared" si="298"/>
        <v>0</v>
      </c>
      <c r="Q243" s="271">
        <f t="shared" ref="Q243:S243" si="299">Q$78 * Q213</f>
        <v>0</v>
      </c>
      <c r="R243" s="271">
        <f t="shared" si="299"/>
        <v>0</v>
      </c>
      <c r="S243" s="271">
        <f t="shared" si="299"/>
        <v>0</v>
      </c>
      <c r="T243" s="271">
        <f t="shared" ref="T243:U243" si="300">T$78 * T213</f>
        <v>3.7667098046483207E-3</v>
      </c>
      <c r="U243" s="271">
        <f t="shared" si="300"/>
        <v>0</v>
      </c>
      <c r="V243" s="271">
        <f t="shared" ref="V243:W243" si="301">V$78 * V213</f>
        <v>3.6908931388639995E-3</v>
      </c>
      <c r="W243" s="271">
        <f t="shared" si="301"/>
        <v>0</v>
      </c>
      <c r="X243" s="271">
        <f t="shared" ref="X243:Y243" si="302">X$78 * X213</f>
        <v>3.6323075334852061E-3</v>
      </c>
      <c r="Y243" s="271">
        <f t="shared" si="302"/>
        <v>0</v>
      </c>
      <c r="Z243" s="256"/>
      <c r="AA243" s="256"/>
    </row>
    <row r="244" spans="2:27" x14ac:dyDescent="0.2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2.6145669201727156E-2</v>
      </c>
      <c r="O244" s="271">
        <f t="shared" si="305"/>
        <v>0</v>
      </c>
      <c r="P244" s="271">
        <f t="shared" si="305"/>
        <v>0</v>
      </c>
      <c r="Q244" s="271">
        <f t="shared" ref="Q244:S244" si="306">Q$78 * Q214</f>
        <v>0</v>
      </c>
      <c r="R244" s="271">
        <f t="shared" si="306"/>
        <v>0</v>
      </c>
      <c r="S244" s="271">
        <f t="shared" si="306"/>
        <v>0</v>
      </c>
      <c r="T244" s="271">
        <f t="shared" ref="T244:U244" si="307">T$78 * T214</f>
        <v>2.2513970107036735E-2</v>
      </c>
      <c r="U244" s="271">
        <f t="shared" si="307"/>
        <v>0</v>
      </c>
      <c r="V244" s="271">
        <f t="shared" ref="V244:W244" si="308">V$78 * V214</f>
        <v>2.2060806939283022E-2</v>
      </c>
      <c r="W244" s="271">
        <f t="shared" si="308"/>
        <v>0</v>
      </c>
      <c r="X244" s="271">
        <f t="shared" ref="X244:Y244" si="309">X$78 * X214</f>
        <v>2.1710635400564247E-2</v>
      </c>
      <c r="Y244" s="271">
        <f t="shared" si="309"/>
        <v>0</v>
      </c>
      <c r="Z244" s="256"/>
      <c r="AA244" s="256"/>
    </row>
    <row r="245" spans="2:27" x14ac:dyDescent="0.2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1.0968980134801959E-2</v>
      </c>
      <c r="U245" s="271">
        <f t="shared" si="314"/>
        <v>0</v>
      </c>
      <c r="V245" s="271">
        <f t="shared" ref="V245:W245" si="315">V$78 * V215</f>
        <v>1.0748195539224974E-2</v>
      </c>
      <c r="W245" s="271">
        <f t="shared" si="315"/>
        <v>0</v>
      </c>
      <c r="X245" s="271">
        <f t="shared" ref="X245:Y245" si="316">X$78 * X215</f>
        <v>0</v>
      </c>
      <c r="Y245" s="271">
        <f t="shared" si="316"/>
        <v>0</v>
      </c>
      <c r="Z245" s="256"/>
      <c r="AA245" s="256"/>
    </row>
    <row r="246" spans="2:27" x14ac:dyDescent="0.2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2.5178977815009766E-2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0.11518861443804111</v>
      </c>
      <c r="O250" s="261">
        <f t="shared" si="326"/>
        <v>6.9699671029066212E-2</v>
      </c>
      <c r="P250" s="261">
        <f t="shared" si="326"/>
        <v>3.0329114448965223E-2</v>
      </c>
      <c r="Q250" s="261">
        <f t="shared" ref="Q250:S250" si="327">SUM(Q223:Q234,Q237:Q248)</f>
        <v>0</v>
      </c>
      <c r="R250" s="261">
        <f t="shared" si="327"/>
        <v>0</v>
      </c>
      <c r="S250" s="261">
        <f t="shared" si="327"/>
        <v>0</v>
      </c>
      <c r="T250" s="261">
        <f t="shared" ref="T250:U250" si="328">SUM(T223:T234,T237:T248)</f>
        <v>0.13197133789973453</v>
      </c>
      <c r="U250" s="261">
        <f t="shared" si="328"/>
        <v>0</v>
      </c>
      <c r="V250" s="261">
        <f t="shared" ref="V250:W250" si="329">SUM(V223:V234,V237:V248)</f>
        <v>0.10133750175642738</v>
      </c>
      <c r="W250" s="261">
        <f t="shared" si="329"/>
        <v>0</v>
      </c>
      <c r="X250" s="261">
        <f t="shared" ref="X250:Y250" si="330">SUM(X223:X234,X237:X248)</f>
        <v>7.8373162303441601E-2</v>
      </c>
      <c r="Y250" s="261">
        <f t="shared" si="330"/>
        <v>0</v>
      </c>
      <c r="Z250" s="256"/>
      <c r="AA250" s="256" t="s">
        <v>682</v>
      </c>
    </row>
    <row r="251" spans="2:27" x14ac:dyDescent="0.25">
      <c r="C251" s="78"/>
    </row>
    <row r="252" spans="2:27" x14ac:dyDescent="0.2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232</v>
      </c>
      <c r="G254" s="6" t="s">
        <v>55</v>
      </c>
      <c r="H254" s="93">
        <f t="array" ref="H254">SUM(IF(ISERROR(H21:Y250), 1))</f>
        <v>0</v>
      </c>
    </row>
    <row r="256" spans="2:27" x14ac:dyDescent="0.2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control'!$H$36:$H$59,MATCH($A$1,'Version control'!$F$36:$F$59,0),1)&amp;"-A: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154</v>
      </c>
      <c r="AA17" t="s">
        <v>720</v>
      </c>
    </row>
    <row r="18" spans="3:27" x14ac:dyDescent="0.25">
      <c r="C18" s="78"/>
      <c r="E18" t="s">
        <v>548</v>
      </c>
      <c r="G18" t="s">
        <v>212</v>
      </c>
      <c r="J18" s="110">
        <f>'Volume adjustments'!J275</f>
        <v>2389874.3672400983</v>
      </c>
      <c r="K18" s="110">
        <f>'Volume adjustments'!K275</f>
        <v>0</v>
      </c>
      <c r="L18" s="110">
        <f>'Volume adjustments'!L275</f>
        <v>182119.39252602615</v>
      </c>
      <c r="M18" s="110">
        <f>'Volume adjustments'!M275</f>
        <v>0</v>
      </c>
      <c r="N18" s="110">
        <f>'Volume adjustments'!N275</f>
        <v>15164.046539113073</v>
      </c>
      <c r="O18" s="110">
        <f>'Volume adjustments'!O275</f>
        <v>341.39097829602707</v>
      </c>
      <c r="P18" s="110">
        <f>'Volume adjustments'!P275</f>
        <v>4152.6803191912959</v>
      </c>
      <c r="Q18" s="110">
        <f>'Volume adjustments'!Q275</f>
        <v>2294</v>
      </c>
      <c r="R18" s="110">
        <f>'Volume adjustments'!R275</f>
        <v>0</v>
      </c>
      <c r="S18" s="110">
        <f>'Volume adjustments'!S275</f>
        <v>0</v>
      </c>
      <c r="T18" s="110">
        <f>'Volume adjustments'!T275</f>
        <v>633.94808743169403</v>
      </c>
      <c r="U18" s="110">
        <f>'Volume adjustments'!U275</f>
        <v>0</v>
      </c>
      <c r="V18" s="110">
        <f>'Volume adjustments'!V275</f>
        <v>35.618169398907106</v>
      </c>
      <c r="W18" s="110">
        <f>'Volume adjustments'!W275</f>
        <v>0</v>
      </c>
      <c r="X18" s="110">
        <f>'Volume adjustments'!X275</f>
        <v>338.62978142076497</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172</v>
      </c>
      <c r="H20" s="53"/>
      <c r="J20" s="110">
        <f>'System peak demand'!J200</f>
        <v>2220.3885371315978</v>
      </c>
      <c r="K20" s="110">
        <f>'System peak demand'!K200</f>
        <v>8.8310420000802416</v>
      </c>
      <c r="L20" s="110">
        <f>'System peak demand'!L200</f>
        <v>751.72923934301343</v>
      </c>
      <c r="M20" s="110">
        <f>'System peak demand'!M200</f>
        <v>1.7376012684441982</v>
      </c>
      <c r="N20" s="110">
        <f>'System peak demand'!N200</f>
        <v>646.8514965964647</v>
      </c>
      <c r="O20" s="110">
        <f>'System peak demand'!O200</f>
        <v>42.956575094852184</v>
      </c>
      <c r="P20" s="110">
        <f>'System peak demand'!P200</f>
        <v>1221.2246184147441</v>
      </c>
      <c r="Q20" s="110">
        <f>'System peak demand'!Q200</f>
        <v>52.070192769600695</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control'!$H$36:$H$59,MATCH($A$1,'Version control'!$F$36:$F$59,0),1)&amp;"-B: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154</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25">
      <c r="C26" s="78"/>
      <c r="E26" s="24"/>
      <c r="F26" t="s">
        <v>191</v>
      </c>
      <c r="G26" t="s">
        <v>271</v>
      </c>
      <c r="J26" s="69"/>
      <c r="K26" s="69"/>
      <c r="L26" s="69"/>
      <c r="M26" s="69"/>
      <c r="N26" s="69"/>
      <c r="O26" s="69"/>
      <c r="P26" s="69"/>
      <c r="Q26" s="69"/>
      <c r="R26" s="69"/>
      <c r="S26" s="69"/>
      <c r="T26" s="69"/>
      <c r="U26" s="69"/>
      <c r="V26" s="69"/>
      <c r="W26" s="69"/>
      <c r="X26" s="69"/>
      <c r="Y26" s="69"/>
    </row>
    <row r="27" spans="3:27" x14ac:dyDescent="0.2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199</v>
      </c>
      <c r="G34" t="s">
        <v>271</v>
      </c>
      <c r="J34" s="110">
        <f>'Capacity charges'!J271</f>
        <v>0.30634907469343192</v>
      </c>
      <c r="K34" s="110">
        <f>'Capacity charges'!K271</f>
        <v>0</v>
      </c>
      <c r="L34" s="110">
        <f>'Capacity charges'!L271</f>
        <v>0.30634907469343192</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271</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199</v>
      </c>
      <c r="G48" t="s">
        <v>271</v>
      </c>
      <c r="J48" s="110">
        <f>'Capacity charges'!J285</f>
        <v>2.2866981800560291</v>
      </c>
      <c r="K48" s="110">
        <f>'Capacity charges'!K285</f>
        <v>0</v>
      </c>
      <c r="L48" s="110">
        <f>'Capacity charges'!L285</f>
        <v>2.2866981800560291</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271</v>
      </c>
      <c r="J49" s="69"/>
      <c r="K49" s="69"/>
      <c r="L49" s="69"/>
      <c r="M49" s="69"/>
      <c r="N49" s="69"/>
      <c r="O49" s="69"/>
      <c r="P49" s="69"/>
      <c r="Q49" s="69"/>
      <c r="R49" s="69"/>
      <c r="S49" s="69"/>
      <c r="T49" s="69"/>
      <c r="U49" s="69"/>
      <c r="V49" s="69"/>
      <c r="W49" s="69"/>
      <c r="X49" s="69"/>
      <c r="Y49" s="69"/>
    </row>
    <row r="50" spans="3:27" x14ac:dyDescent="0.2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control'!$H$36:$H$59,MATCH($A$1,'Version control'!$F$36:$F$59,0),1)&amp;"-C: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270</v>
      </c>
      <c r="H55" s="19"/>
      <c r="I55" s="19"/>
      <c r="J55" s="114">
        <f>'Service model charges'!J42</f>
        <v>2.4219266534331312</v>
      </c>
      <c r="K55" s="114">
        <f>'Service model charges'!K42</f>
        <v>0</v>
      </c>
      <c r="L55" s="114">
        <f>'Service model charges'!L42</f>
        <v>7.1014190063261857</v>
      </c>
      <c r="M55" s="114">
        <f>'Service model charges'!M42</f>
        <v>0</v>
      </c>
      <c r="N55" s="114">
        <f>'Service model charges'!N42</f>
        <v>14.16830857064785</v>
      </c>
      <c r="O55" s="114">
        <f>'Service model charges'!O42</f>
        <v>11.059887419149176</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102.10306294246037</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63.900454893200845</v>
      </c>
      <c r="Y56" s="115">
        <f>'Service model charges'!Y43</f>
        <v>63.900454893200845</v>
      </c>
    </row>
    <row r="57" spans="3:27" x14ac:dyDescent="0.25">
      <c r="C57" s="78"/>
      <c r="D57"/>
      <c r="F57" s="2"/>
    </row>
    <row r="58" spans="3:27" x14ac:dyDescent="0.25">
      <c r="C58" s="26" t="str">
        <f ca="1">INDEX('Version control'!$H$36:$H$59,MATCH($A$1,'Version control'!$F$36:$F$59,0),1)&amp;"-D: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control'!$H$36:$H$59,MATCH($A$1,'Version control'!$F$36:$F$59,0),1)&amp;"-E: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154</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191</v>
      </c>
      <c r="G71" t="s">
        <v>727</v>
      </c>
      <c r="J71" s="69"/>
      <c r="K71" s="69"/>
      <c r="L71" s="69"/>
      <c r="M71" s="69"/>
      <c r="N71" s="69"/>
      <c r="O71" s="69"/>
      <c r="P71" s="69"/>
      <c r="Q71" s="69"/>
      <c r="R71" s="69"/>
      <c r="S71" s="69"/>
      <c r="T71" s="69"/>
      <c r="U71" s="69"/>
      <c r="V71" s="69"/>
      <c r="W71" s="69"/>
      <c r="X71" s="69"/>
      <c r="Y71" s="69"/>
    </row>
    <row r="72" spans="2:27" x14ac:dyDescent="0.2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199</v>
      </c>
      <c r="G79" t="s">
        <v>727</v>
      </c>
      <c r="J79" s="88">
        <f t="shared" ref="J79:K79" si="49">J$20 * J34 * thousand / PowerFactor</f>
        <v>716014.70927386091</v>
      </c>
      <c r="K79" s="88">
        <f t="shared" si="49"/>
        <v>0</v>
      </c>
      <c r="L79" s="88">
        <f t="shared" ref="L79:M79" si="50">L$20 * L34 * thousand / PowerFactor</f>
        <v>242412.16515024166</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199</v>
      </c>
      <c r="G93" t="s">
        <v>727</v>
      </c>
      <c r="J93" s="88">
        <f t="shared" ref="J93:K93" si="119">J$20 * J48 * thousand / PowerFactor</f>
        <v>5344587.8177643092</v>
      </c>
      <c r="K93" s="88">
        <f t="shared" si="119"/>
        <v>0</v>
      </c>
      <c r="L93" s="88">
        <f t="shared" ref="L93:M93" si="120">L$20 * L48 * thousand / PowerFactor</f>
        <v>1809450.4036848128</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control'!$H$36:$H$59,MATCH($A$1,'Version control'!$F$36:$F$59,0),1)&amp;"-F: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154</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199</v>
      </c>
      <c r="G109" t="s">
        <v>727</v>
      </c>
      <c r="J109" s="88">
        <f t="shared" ref="J109:Y109" si="133">SUMIFS($J79:$Y79,$J$63:$Y$63,J$63)</f>
        <v>958426.8744241026</v>
      </c>
      <c r="K109" s="88">
        <f t="shared" si="133"/>
        <v>0</v>
      </c>
      <c r="L109" s="88">
        <f t="shared" si="133"/>
        <v>958426.8744241026</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199</v>
      </c>
      <c r="G123" t="s">
        <v>727</v>
      </c>
      <c r="J123" s="88">
        <f t="shared" ref="J123:Y123" si="143">SUMIFS($J93:$Y93,$J$63:$Y$63,J$63)</f>
        <v>7154038.2214491218</v>
      </c>
      <c r="K123" s="88">
        <f t="shared" si="143"/>
        <v>0</v>
      </c>
      <c r="L123" s="88">
        <f t="shared" si="143"/>
        <v>7154038.2214491218</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control'!$H$36:$H$59,MATCH($A$1,'Version control'!$F$36:$F$59,0),1)&amp;"-G: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212</v>
      </c>
      <c r="J129" s="79">
        <f t="shared" ref="J129:Y129" si="144">SUMIFS($J$18:$Y$18,$J$63:$Y$63,J63)</f>
        <v>2571993.7597661247</v>
      </c>
      <c r="K129" s="79">
        <f t="shared" si="144"/>
        <v>22960.313874851759</v>
      </c>
      <c r="L129" s="79">
        <f t="shared" si="144"/>
        <v>2571993.7597661247</v>
      </c>
      <c r="M129" s="79">
        <f t="shared" si="144"/>
        <v>22960.313874851759</v>
      </c>
      <c r="N129" s="79">
        <f t="shared" si="144"/>
        <v>22960.313874851759</v>
      </c>
      <c r="O129" s="79">
        <f t="shared" si="144"/>
        <v>22960.313874851759</v>
      </c>
      <c r="P129" s="79">
        <f t="shared" si="144"/>
        <v>22960.313874851759</v>
      </c>
      <c r="Q129" s="79">
        <f t="shared" si="144"/>
        <v>22960.313874851759</v>
      </c>
      <c r="R129" s="79">
        <f t="shared" si="144"/>
        <v>22960.313874851759</v>
      </c>
      <c r="S129" s="79">
        <f t="shared" si="144"/>
        <v>22960.313874851759</v>
      </c>
      <c r="T129" s="79">
        <f t="shared" si="144"/>
        <v>22960.313874851759</v>
      </c>
      <c r="U129" s="79">
        <f t="shared" si="144"/>
        <v>22960.313874851759</v>
      </c>
      <c r="V129" s="79">
        <f t="shared" si="144"/>
        <v>22960.313874851759</v>
      </c>
      <c r="W129" s="79">
        <f t="shared" si="144"/>
        <v>22960.313874851759</v>
      </c>
      <c r="X129" s="79">
        <f t="shared" si="144"/>
        <v>22960.313874851759</v>
      </c>
      <c r="Y129" s="79">
        <f t="shared" si="144"/>
        <v>22960.313874851759</v>
      </c>
    </row>
    <row r="130" spans="3:27" x14ac:dyDescent="0.25">
      <c r="D130"/>
      <c r="E130"/>
    </row>
    <row r="131" spans="3:27" x14ac:dyDescent="0.2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199</v>
      </c>
      <c r="G141" t="s">
        <v>270</v>
      </c>
      <c r="J141" s="88">
        <f t="shared" ref="J141:K141" si="208">IF(J$129 = 0, 0, J109 / J$129)</f>
        <v>0.37263965776933061</v>
      </c>
      <c r="K141" s="88">
        <f t="shared" si="208"/>
        <v>0</v>
      </c>
      <c r="L141" s="88">
        <f t="shared" ref="L141:M141" si="209">IF(L$129 = 0, 0, L109 / L$129)</f>
        <v>0.37263965776933061</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199</v>
      </c>
      <c r="G155" t="s">
        <v>270</v>
      </c>
      <c r="J155" s="88">
        <f t="shared" ref="J155:K155" si="278">IF(J$129 = 0, 0, J123 / J$129)</f>
        <v>2.7815146107118274</v>
      </c>
      <c r="K155" s="88">
        <f t="shared" si="278"/>
        <v>0</v>
      </c>
      <c r="L155" s="88">
        <f t="shared" ref="L155:M155" si="279">IF(L$129 = 0, 0, L123 / L$129)</f>
        <v>2.7815146107118274</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270</v>
      </c>
      <c r="H156" s="19"/>
      <c r="I156" s="19"/>
      <c r="J156" s="116">
        <f t="shared" ref="J156:K156" si="285">J55</f>
        <v>2.4219266534331312</v>
      </c>
      <c r="K156" s="116">
        <f t="shared" si="285"/>
        <v>0</v>
      </c>
      <c r="L156" s="116">
        <f t="shared" ref="L156:M156" si="286">L55</f>
        <v>7.1014190063261857</v>
      </c>
      <c r="M156" s="116">
        <f t="shared" si="286"/>
        <v>0</v>
      </c>
      <c r="N156" s="116">
        <f t="shared" ref="N156:P156" si="287">N55</f>
        <v>14.16830857064785</v>
      </c>
      <c r="O156" s="116">
        <f t="shared" si="287"/>
        <v>11.059887419149176</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102.10306294246037</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63.900454893200845</v>
      </c>
      <c r="Y157" s="90">
        <f t="shared" si="298"/>
        <v>63.900454893200845</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control'!$H$36:$H$59,MATCH($A$1,'Version control'!$F$36:$F$59,0),1)&amp;"-H: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159</v>
      </c>
      <c r="G161" t="s">
        <v>270</v>
      </c>
      <c r="J161" s="111">
        <f t="shared" ref="J161:K161" si="299">SUM(J132:J143,J146:J157)</f>
        <v>5.5760809219142891</v>
      </c>
      <c r="K161" s="111">
        <f t="shared" si="299"/>
        <v>0</v>
      </c>
      <c r="L161" s="111">
        <f t="shared" ref="L161:M161" si="300">SUM(L132:L143,L146:L157)</f>
        <v>10.255573274807343</v>
      </c>
      <c r="M161" s="111">
        <f t="shared" si="300"/>
        <v>0</v>
      </c>
      <c r="N161" s="111">
        <f t="shared" ref="N161:P161" si="301">SUM(N132:N143,N146:N157)</f>
        <v>14.16830857064785</v>
      </c>
      <c r="O161" s="111">
        <f t="shared" si="301"/>
        <v>11.059887419149176</v>
      </c>
      <c r="P161" s="111">
        <f t="shared" si="301"/>
        <v>102.10306294246037</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63.900454893200845</v>
      </c>
      <c r="Y161" s="111">
        <f>SUM(Y132:Y143,Y146:Y157)</f>
        <v>63.900454893200845</v>
      </c>
    </row>
    <row r="163" spans="2:27" x14ac:dyDescent="0.2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232</v>
      </c>
      <c r="G165" s="6" t="s">
        <v>55</v>
      </c>
      <c r="H165" s="93">
        <f t="array" ref="H165">SUM(IF(ISERROR(H18:Y161), 1))</f>
        <v>0</v>
      </c>
    </row>
    <row r="167" spans="2:27" x14ac:dyDescent="0.2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27" activePane="bottomRight" state="frozen"/>
      <selection pane="topRight"/>
      <selection pane="bottomLeft"/>
      <selection pane="bottomRight" activeCell="P49" sqref="P4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control'!$H$36:$H$60,MATCH($A$1,'Version control'!$F$36:$F$60,0),1)&amp;"-A: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212</v>
      </c>
      <c r="F18" s="27"/>
    </row>
    <row r="19" spans="1:27" x14ac:dyDescent="0.25">
      <c r="E19" s="24" t="s">
        <v>868</v>
      </c>
      <c r="F19" s="2"/>
    </row>
    <row r="20" spans="1:27" x14ac:dyDescent="0.25">
      <c r="C20" s="78"/>
      <c r="F20" s="19" t="s">
        <v>446</v>
      </c>
      <c r="G20" s="19" t="s">
        <v>212</v>
      </c>
      <c r="H20" s="267"/>
      <c r="I20" s="255"/>
      <c r="J20" s="267">
        <f>'Volume adjustments'!J202</f>
        <v>2324955.1193078361</v>
      </c>
      <c r="K20" s="267">
        <f>'Volume adjustments'!K202</f>
        <v>0</v>
      </c>
      <c r="L20" s="267">
        <f>'Volume adjustments'!L202</f>
        <v>180740.62112932582</v>
      </c>
      <c r="M20" s="267">
        <f>'Volume adjustments'!M202</f>
        <v>0</v>
      </c>
      <c r="N20" s="267">
        <f>'Volume adjustments'!N202</f>
        <v>14736.591721462168</v>
      </c>
      <c r="O20" s="267">
        <f>'Volume adjustments'!O202</f>
        <v>316.91368142500551</v>
      </c>
      <c r="P20" s="267">
        <f>'Volume adjustments'!P202</f>
        <v>4103.9680533192168</v>
      </c>
      <c r="Q20" s="267">
        <f>'Volume adjustments'!Q202</f>
        <v>2294</v>
      </c>
      <c r="R20" s="267">
        <f>'Volume adjustments'!R202</f>
        <v>0</v>
      </c>
      <c r="S20" s="267">
        <f>'Volume adjustments'!S202</f>
        <v>0</v>
      </c>
      <c r="T20" s="267">
        <f>'Volume adjustments'!T202</f>
        <v>633.94808743169403</v>
      </c>
      <c r="U20" s="267">
        <f>'Volume adjustments'!U202</f>
        <v>0</v>
      </c>
      <c r="V20" s="267">
        <f>'Volume adjustments'!V202</f>
        <v>35.618169398907106</v>
      </c>
      <c r="W20" s="267">
        <f>'Volume adjustments'!W202</f>
        <v>0</v>
      </c>
      <c r="X20" s="267">
        <f>'Volume adjustments'!X202</f>
        <v>338.62978142076497</v>
      </c>
      <c r="Y20" s="267">
        <f>'Volume adjustments'!Y202</f>
        <v>0</v>
      </c>
      <c r="Z20" s="256"/>
      <c r="AA20" s="256"/>
    </row>
    <row r="21" spans="1:27" x14ac:dyDescent="0.25">
      <c r="C21" s="78"/>
      <c r="F21" t="s">
        <v>447</v>
      </c>
      <c r="G21" t="s">
        <v>212</v>
      </c>
      <c r="H21" s="268"/>
      <c r="I21" s="256"/>
      <c r="J21" s="268">
        <f>'Volume adjustments'!J211</f>
        <v>37574.316939890712</v>
      </c>
      <c r="K21" s="268">
        <f>'Volume adjustments'!K211</f>
        <v>0</v>
      </c>
      <c r="L21" s="268">
        <f>'Volume adjustments'!L211</f>
        <v>439.5323315118398</v>
      </c>
      <c r="M21" s="268">
        <f>'Volume adjustments'!M211</f>
        <v>0</v>
      </c>
      <c r="N21" s="268">
        <f>'Volume adjustments'!N211</f>
        <v>121.28916211293262</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212</v>
      </c>
      <c r="H22" s="268"/>
      <c r="I22" s="256"/>
      <c r="J22" s="268">
        <f>'Volume adjustments'!J220</f>
        <v>77790.633879781424</v>
      </c>
      <c r="K22" s="268">
        <f>'Volume adjustments'!K220</f>
        <v>0</v>
      </c>
      <c r="L22" s="268">
        <f>'Volume adjustments'!L220</f>
        <v>2113.302367941712</v>
      </c>
      <c r="M22" s="268">
        <f>'Volume adjustments'!M220</f>
        <v>0</v>
      </c>
      <c r="N22" s="268">
        <f>'Volume adjustments'!N220</f>
        <v>674.44581056466291</v>
      </c>
      <c r="O22" s="268">
        <f>'Volume adjustments'!O220</f>
        <v>30.624316939890711</v>
      </c>
      <c r="P22" s="268">
        <f>'Volume adjustments'!P220</f>
        <v>53.040528233151186</v>
      </c>
      <c r="Q22" s="268">
        <f>'Volume adjustments'!Q220</f>
        <v>0</v>
      </c>
      <c r="R22" s="268">
        <f>'Volume adjustments'!R220</f>
        <v>0</v>
      </c>
      <c r="S22" s="268">
        <f>'Volume adjustments'!S220</f>
        <v>0</v>
      </c>
      <c r="T22" s="268">
        <f>'Volume adjustments'!T220</f>
        <v>3</v>
      </c>
      <c r="U22" s="268">
        <f>'Volume adjustments'!U220</f>
        <v>0</v>
      </c>
      <c r="V22" s="268">
        <f>'Volume adjustments'!V220</f>
        <v>0</v>
      </c>
      <c r="W22" s="268">
        <f>'Volume adjustments'!W220</f>
        <v>0</v>
      </c>
      <c r="X22" s="268">
        <f>'Volume adjustments'!X220</f>
        <v>2</v>
      </c>
      <c r="Y22" s="268">
        <f>'Volume adjustments'!Y220</f>
        <v>0</v>
      </c>
      <c r="Z22" s="256"/>
      <c r="AA22" s="256"/>
    </row>
    <row r="23" spans="1:27" x14ac:dyDescent="0.25">
      <c r="C23" s="78"/>
      <c r="F23" s="28" t="s">
        <v>869</v>
      </c>
      <c r="G23" s="28" t="s">
        <v>212</v>
      </c>
      <c r="H23" s="201"/>
      <c r="I23" s="28"/>
      <c r="J23" s="115">
        <f>'Inputs by customer type'!J161</f>
        <v>3424.3592896174864</v>
      </c>
      <c r="K23" s="115">
        <f>'Inputs by customer type'!K161</f>
        <v>0</v>
      </c>
      <c r="L23" s="115">
        <f>'Inputs by customer type'!L161</f>
        <v>47</v>
      </c>
      <c r="M23" s="115">
        <f>'Inputs by customer type'!M161</f>
        <v>0</v>
      </c>
      <c r="N23" s="115">
        <f>'Inputs by customer type'!N161</f>
        <v>10</v>
      </c>
      <c r="O23" s="115">
        <f>'Inputs by customer type'!O161</f>
        <v>0</v>
      </c>
      <c r="P23" s="115">
        <f>'Inputs by customer type'!P161</f>
        <v>5.0000000000000009</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25" customFormat="1" x14ac:dyDescent="0.25">
      <c r="C27" s="427"/>
      <c r="D27" s="428"/>
      <c r="F27" s="300" t="s">
        <v>872</v>
      </c>
      <c r="G27" s="429" t="s">
        <v>176</v>
      </c>
      <c r="H27" s="429"/>
      <c r="I27" s="429"/>
      <c r="J27" s="430">
        <f>'Fixed inputs'!J159</f>
        <v>1</v>
      </c>
      <c r="K27" s="430">
        <f>'Fixed inputs'!K159</f>
        <v>0</v>
      </c>
      <c r="L27" s="430">
        <f>'Fixed inputs'!L159</f>
        <v>1</v>
      </c>
      <c r="M27" s="430">
        <f>'Fixed inputs'!M159</f>
        <v>0</v>
      </c>
      <c r="N27" s="430">
        <f>'Fixed inputs'!N159</f>
        <v>1</v>
      </c>
      <c r="O27" s="430">
        <f>'Fixed inputs'!O159</f>
        <v>1</v>
      </c>
      <c r="P27" s="430">
        <f>'Fixed inputs'!P159</f>
        <v>1</v>
      </c>
      <c r="Q27" s="430">
        <f>'Fixed inputs'!Q159</f>
        <v>0</v>
      </c>
      <c r="R27" s="430">
        <f>'Fixed inputs'!R159</f>
        <v>0</v>
      </c>
      <c r="S27" s="430">
        <f>'Fixed inputs'!S159</f>
        <v>0</v>
      </c>
      <c r="T27" s="430">
        <f>'Fixed inputs'!T159</f>
        <v>0</v>
      </c>
      <c r="U27" s="430">
        <f>'Fixed inputs'!U159</f>
        <v>0</v>
      </c>
      <c r="V27" s="430">
        <f>'Fixed inputs'!V159</f>
        <v>0</v>
      </c>
      <c r="W27" s="430">
        <f>'Fixed inputs'!W159</f>
        <v>0</v>
      </c>
      <c r="X27" s="430">
        <f>'Fixed inputs'!X159</f>
        <v>0</v>
      </c>
      <c r="Y27" s="430">
        <f>'Fixed inputs'!Y159</f>
        <v>0</v>
      </c>
    </row>
    <row r="28" spans="1:27" x14ac:dyDescent="0.25">
      <c r="A28" s="425"/>
      <c r="C28" s="78"/>
      <c r="E28"/>
      <c r="F28" s="360" t="s">
        <v>1151</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25"/>
      <c r="C29" s="78"/>
      <c r="E29"/>
      <c r="J29" s="79"/>
      <c r="K29" s="79"/>
      <c r="L29" s="79"/>
      <c r="M29" s="79"/>
      <c r="N29" s="79"/>
      <c r="O29" s="79"/>
      <c r="P29" s="79"/>
      <c r="Q29" s="79"/>
      <c r="R29" s="79"/>
      <c r="S29" s="79"/>
      <c r="T29" s="79"/>
      <c r="U29" s="79"/>
      <c r="V29" s="79"/>
      <c r="W29" s="79"/>
      <c r="X29" s="79"/>
      <c r="Y29" s="79"/>
    </row>
    <row r="30" spans="1:27" x14ac:dyDescent="0.25">
      <c r="A30" s="425"/>
      <c r="C30" s="78"/>
      <c r="E30" s="27" t="s">
        <v>873</v>
      </c>
      <c r="J30" s="79"/>
      <c r="K30" s="79"/>
      <c r="L30" s="79"/>
      <c r="M30" s="79"/>
      <c r="N30" s="79"/>
      <c r="O30" s="79"/>
      <c r="P30" s="79"/>
      <c r="Q30" s="79"/>
      <c r="R30" s="79"/>
      <c r="S30" s="79"/>
      <c r="T30" s="79"/>
      <c r="U30" s="79"/>
      <c r="V30" s="79"/>
      <c r="W30" s="79"/>
      <c r="X30" s="79"/>
      <c r="Y30" s="79"/>
    </row>
    <row r="31" spans="1:27" x14ac:dyDescent="0.25">
      <c r="A31" s="425"/>
      <c r="C31" s="78"/>
      <c r="E31"/>
      <c r="F31" s="19" t="s">
        <v>871</v>
      </c>
      <c r="G31" s="19" t="s">
        <v>277</v>
      </c>
      <c r="H31" s="114">
        <f>'General inputs'!H53</f>
        <v>896834.97929005558</v>
      </c>
      <c r="J31" s="110"/>
      <c r="K31" s="110"/>
      <c r="L31" s="110"/>
      <c r="M31" s="110"/>
      <c r="N31" s="110"/>
      <c r="O31" s="110"/>
      <c r="P31" s="110"/>
      <c r="Q31" s="110"/>
      <c r="R31" s="110"/>
      <c r="S31" s="110"/>
      <c r="T31" s="110"/>
      <c r="U31" s="110"/>
      <c r="V31" s="110"/>
      <c r="W31" s="110"/>
      <c r="X31" s="110"/>
      <c r="Y31" s="110"/>
    </row>
    <row r="32" spans="1:27" s="425" customFormat="1" x14ac:dyDescent="0.25">
      <c r="C32" s="427"/>
      <c r="D32" s="428"/>
      <c r="F32" s="300" t="s">
        <v>872</v>
      </c>
      <c r="G32" s="429" t="s">
        <v>277</v>
      </c>
      <c r="H32" s="321">
        <f>'General inputs'!H54</f>
        <v>1508723.5032712726</v>
      </c>
      <c r="J32" s="431"/>
      <c r="K32" s="431"/>
      <c r="L32" s="431"/>
      <c r="M32" s="431"/>
      <c r="N32" s="431"/>
      <c r="O32" s="431"/>
      <c r="P32" s="431"/>
      <c r="Q32" s="431"/>
      <c r="R32" s="431"/>
      <c r="S32" s="431"/>
      <c r="T32" s="431"/>
      <c r="U32" s="431"/>
      <c r="V32" s="431"/>
      <c r="W32" s="431"/>
      <c r="X32" s="431"/>
      <c r="Y32" s="431"/>
    </row>
    <row r="33" spans="1:27" x14ac:dyDescent="0.25">
      <c r="A33" s="425"/>
      <c r="C33" s="78"/>
      <c r="E33"/>
      <c r="F33" s="360" t="s">
        <v>1151</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25"/>
    </row>
    <row r="35" spans="1:27" x14ac:dyDescent="0.25">
      <c r="A35" s="425"/>
      <c r="C35" s="26" t="str">
        <f ca="1">INDEX('Version control'!$H$36:$H$60,MATCH($A$1,'Version control'!$F$36:$F$60,0),1)&amp;"-B: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25"/>
      <c r="C36" s="78"/>
      <c r="E36"/>
      <c r="J36" s="79"/>
      <c r="K36" s="79"/>
      <c r="L36" s="79"/>
      <c r="M36" s="79"/>
      <c r="N36" s="79"/>
      <c r="O36" s="79"/>
      <c r="P36" s="79"/>
      <c r="Q36" s="79"/>
      <c r="R36" s="79"/>
      <c r="S36" s="79"/>
      <c r="T36" s="79"/>
      <c r="U36" s="79"/>
      <c r="V36" s="79"/>
      <c r="W36" s="79"/>
      <c r="X36" s="79"/>
      <c r="Y36" s="79"/>
    </row>
    <row r="37" spans="1:27" x14ac:dyDescent="0.25">
      <c r="A37" s="425"/>
      <c r="C37" s="78"/>
      <c r="E37" s="27" t="s">
        <v>874</v>
      </c>
      <c r="J37" s="79"/>
      <c r="K37" s="79"/>
      <c r="L37" s="79"/>
      <c r="M37" s="79"/>
      <c r="N37" s="79"/>
      <c r="O37" s="79"/>
      <c r="P37" s="79"/>
      <c r="Q37" s="79"/>
      <c r="R37" s="79"/>
      <c r="S37" s="79"/>
      <c r="T37" s="79"/>
      <c r="U37" s="79"/>
      <c r="V37" s="79"/>
      <c r="W37" s="79"/>
      <c r="X37" s="79"/>
      <c r="Y37" s="79"/>
    </row>
    <row r="38" spans="1:27" x14ac:dyDescent="0.25">
      <c r="A38" s="425"/>
      <c r="F38" s="19" t="s">
        <v>871</v>
      </c>
      <c r="G38" s="19" t="s">
        <v>212</v>
      </c>
      <c r="H38" s="19"/>
      <c r="I38" s="19"/>
      <c r="J38" s="148">
        <f t="shared" ref="J38:Y38" si="0">SUM( J$20:J$23 ) * J26</f>
        <v>2443744.4294171254</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25" customFormat="1" x14ac:dyDescent="0.25">
      <c r="D39" s="428"/>
      <c r="E39" s="428"/>
      <c r="F39" s="300" t="s">
        <v>872</v>
      </c>
      <c r="G39" s="429" t="s">
        <v>212</v>
      </c>
      <c r="H39" s="429"/>
      <c r="I39" s="429"/>
      <c r="J39" s="433">
        <f>SUM( J$20:J$23 ) * J27</f>
        <v>2443744.4294171254</v>
      </c>
      <c r="K39" s="433">
        <f t="shared" ref="K39:Y39" si="1">SUM( K$20:K$23 ) * K27</f>
        <v>0</v>
      </c>
      <c r="L39" s="433">
        <f t="shared" si="1"/>
        <v>183340.45582877938</v>
      </c>
      <c r="M39" s="433">
        <f t="shared" si="1"/>
        <v>0</v>
      </c>
      <c r="N39" s="433">
        <f t="shared" si="1"/>
        <v>15542.326694139763</v>
      </c>
      <c r="O39" s="433">
        <f t="shared" si="1"/>
        <v>347.53799836489623</v>
      </c>
      <c r="P39" s="433">
        <f t="shared" si="1"/>
        <v>4162.008581552368</v>
      </c>
      <c r="Q39" s="433">
        <f t="shared" si="1"/>
        <v>0</v>
      </c>
      <c r="R39" s="433">
        <f t="shared" si="1"/>
        <v>0</v>
      </c>
      <c r="S39" s="433">
        <f t="shared" si="1"/>
        <v>0</v>
      </c>
      <c r="T39" s="433">
        <f t="shared" si="1"/>
        <v>0</v>
      </c>
      <c r="U39" s="433">
        <f t="shared" si="1"/>
        <v>0</v>
      </c>
      <c r="V39" s="433">
        <f t="shared" si="1"/>
        <v>0</v>
      </c>
      <c r="W39" s="433">
        <f t="shared" si="1"/>
        <v>0</v>
      </c>
      <c r="X39" s="433">
        <f t="shared" si="1"/>
        <v>0</v>
      </c>
      <c r="Y39" s="433">
        <f t="shared" si="1"/>
        <v>0</v>
      </c>
    </row>
    <row r="40" spans="1:27" x14ac:dyDescent="0.25">
      <c r="A40" s="425"/>
      <c r="F40" s="360" t="s">
        <v>1151</v>
      </c>
      <c r="G40" s="28" t="s">
        <v>212</v>
      </c>
      <c r="H40" s="28"/>
      <c r="I40" s="28"/>
      <c r="J40" s="72">
        <f>SUM( J$20:J$23 ) * J28</f>
        <v>2443744.4294171254</v>
      </c>
      <c r="K40" s="72">
        <f t="shared" ref="K40:Y40" si="2">SUM( K$20:K$23 ) * K28</f>
        <v>0</v>
      </c>
      <c r="L40" s="72">
        <f t="shared" si="2"/>
        <v>183340.45582877938</v>
      </c>
      <c r="M40" s="72">
        <f t="shared" si="2"/>
        <v>0</v>
      </c>
      <c r="N40" s="72">
        <f t="shared" si="2"/>
        <v>15542.326694139763</v>
      </c>
      <c r="O40" s="72">
        <f t="shared" si="2"/>
        <v>347.53799836489623</v>
      </c>
      <c r="P40" s="72">
        <f t="shared" si="2"/>
        <v>4162.008581552368</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25"/>
      <c r="C41" s="78"/>
      <c r="E41"/>
      <c r="J41" s="79"/>
      <c r="K41" s="79"/>
      <c r="L41" s="79"/>
      <c r="M41" s="79"/>
      <c r="N41" s="79"/>
      <c r="O41" s="79"/>
      <c r="P41" s="79"/>
      <c r="Q41" s="79"/>
      <c r="R41" s="79"/>
      <c r="S41" s="79"/>
      <c r="T41" s="79"/>
      <c r="U41" s="79"/>
      <c r="V41" s="79"/>
      <c r="W41" s="79"/>
      <c r="X41" s="79"/>
      <c r="Y41" s="79"/>
    </row>
    <row r="42" spans="1:27" x14ac:dyDescent="0.25">
      <c r="A42" s="425"/>
      <c r="C42" s="78"/>
      <c r="E42" s="27" t="s">
        <v>875</v>
      </c>
      <c r="I42" t="s">
        <v>154</v>
      </c>
      <c r="J42" s="79"/>
      <c r="K42" s="79"/>
      <c r="L42" s="79"/>
      <c r="M42" s="79"/>
      <c r="N42" s="79"/>
      <c r="O42" s="79"/>
      <c r="P42" s="79"/>
      <c r="Q42" s="79"/>
      <c r="R42" s="79"/>
      <c r="S42" s="79"/>
      <c r="T42" s="79"/>
      <c r="U42" s="79"/>
      <c r="V42" s="79"/>
      <c r="W42" s="79"/>
      <c r="X42" s="79"/>
      <c r="Y42" s="79"/>
      <c r="AA42" t="s">
        <v>1161</v>
      </c>
    </row>
    <row r="43" spans="1:27" x14ac:dyDescent="0.25">
      <c r="A43" s="425"/>
      <c r="C43" s="78"/>
      <c r="E43"/>
      <c r="F43" s="19" t="s">
        <v>871</v>
      </c>
      <c r="G43" s="19" t="s">
        <v>270</v>
      </c>
      <c r="H43" s="311">
        <f>H31 / SUM( J38:Y38 ) * hundred / days_in_year</f>
        <v>0.10027107443714658</v>
      </c>
      <c r="I43" s="13"/>
      <c r="J43" s="184"/>
      <c r="K43" s="184"/>
      <c r="L43" s="184"/>
      <c r="M43" s="184"/>
      <c r="N43" s="184"/>
      <c r="O43" s="184"/>
      <c r="P43" s="184"/>
      <c r="Q43" s="184"/>
      <c r="R43" s="184"/>
      <c r="S43" s="184"/>
      <c r="T43" s="184"/>
      <c r="U43" s="184"/>
      <c r="V43" s="184"/>
      <c r="W43" s="184"/>
      <c r="X43" s="184"/>
      <c r="Y43" s="184"/>
    </row>
    <row r="44" spans="1:27" s="425" customFormat="1" x14ac:dyDescent="0.25">
      <c r="C44" s="427"/>
      <c r="D44" s="428"/>
      <c r="F44" s="300" t="s">
        <v>872</v>
      </c>
      <c r="G44" s="429" t="s">
        <v>270</v>
      </c>
      <c r="H44" s="436">
        <f>H32 / SUM( J39:Y39 ) * hundred / days_in_year</f>
        <v>0.15572279561536206</v>
      </c>
      <c r="I44" s="434"/>
      <c r="J44" s="435"/>
      <c r="K44" s="435"/>
      <c r="L44" s="435"/>
      <c r="M44" s="435"/>
      <c r="N44" s="435"/>
      <c r="O44" s="435"/>
      <c r="P44" s="435"/>
      <c r="Q44" s="435"/>
      <c r="R44" s="435"/>
      <c r="S44" s="435"/>
      <c r="T44" s="435"/>
      <c r="U44" s="435"/>
      <c r="V44" s="435"/>
      <c r="W44" s="435"/>
      <c r="X44" s="435"/>
      <c r="Y44" s="435"/>
    </row>
    <row r="45" spans="1:27" ht="15" customHeight="1" x14ac:dyDescent="0.25">
      <c r="A45" s="425"/>
      <c r="C45" s="78"/>
      <c r="E45"/>
      <c r="F45" s="360" t="s">
        <v>1151</v>
      </c>
      <c r="G45" s="28" t="s">
        <v>270</v>
      </c>
      <c r="H45" s="312">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25"/>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25"/>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25"/>
      <c r="C48" s="78"/>
      <c r="E48"/>
      <c r="F48" s="19" t="s">
        <v>871</v>
      </c>
      <c r="G48" s="19" t="s">
        <v>270</v>
      </c>
      <c r="H48" s="311"/>
      <c r="I48" s="311"/>
      <c r="J48" s="311">
        <f t="shared" ref="J48:Y48" si="3">IF( J26 = 1, $H43, 0)</f>
        <v>0.10027107443714658</v>
      </c>
      <c r="K48" s="311">
        <f t="shared" si="3"/>
        <v>0</v>
      </c>
      <c r="L48" s="311">
        <f t="shared" si="3"/>
        <v>0</v>
      </c>
      <c r="M48" s="311">
        <f t="shared" si="3"/>
        <v>0</v>
      </c>
      <c r="N48" s="311">
        <f t="shared" si="3"/>
        <v>0</v>
      </c>
      <c r="O48" s="311">
        <f t="shared" si="3"/>
        <v>0</v>
      </c>
      <c r="P48" s="311">
        <f t="shared" si="3"/>
        <v>0</v>
      </c>
      <c r="Q48" s="311">
        <f t="shared" si="3"/>
        <v>0</v>
      </c>
      <c r="R48" s="311">
        <f t="shared" si="3"/>
        <v>0</v>
      </c>
      <c r="S48" s="311">
        <f t="shared" si="3"/>
        <v>0</v>
      </c>
      <c r="T48" s="311">
        <f t="shared" si="3"/>
        <v>0</v>
      </c>
      <c r="U48" s="311">
        <f t="shared" si="3"/>
        <v>0</v>
      </c>
      <c r="V48" s="311">
        <f t="shared" si="3"/>
        <v>0</v>
      </c>
      <c r="W48" s="311">
        <f t="shared" si="3"/>
        <v>0</v>
      </c>
      <c r="X48" s="311">
        <f t="shared" si="3"/>
        <v>0</v>
      </c>
      <c r="Y48" s="311">
        <f t="shared" si="3"/>
        <v>0</v>
      </c>
    </row>
    <row r="49" spans="1:27" s="425" customFormat="1" x14ac:dyDescent="0.25">
      <c r="C49" s="427"/>
      <c r="D49" s="428"/>
      <c r="F49" s="300" t="s">
        <v>872</v>
      </c>
      <c r="G49" s="429" t="s">
        <v>270</v>
      </c>
      <c r="H49" s="436"/>
      <c r="I49" s="436"/>
      <c r="J49" s="436">
        <f>IF( J27 = 1, $H44, 0)</f>
        <v>0.15572279561536206</v>
      </c>
      <c r="K49" s="436">
        <f t="shared" ref="K49:Y49" si="4">IF( K27 = 1, $H44, 0)</f>
        <v>0</v>
      </c>
      <c r="L49" s="436">
        <f t="shared" si="4"/>
        <v>0.15572279561536206</v>
      </c>
      <c r="M49" s="436">
        <f t="shared" si="4"/>
        <v>0</v>
      </c>
      <c r="N49" s="436">
        <f t="shared" si="4"/>
        <v>0.15572279561536206</v>
      </c>
      <c r="O49" s="436">
        <f t="shared" si="4"/>
        <v>0.15572279561536206</v>
      </c>
      <c r="P49" s="436">
        <f t="shared" si="4"/>
        <v>0.15572279561536206</v>
      </c>
      <c r="Q49" s="436">
        <f t="shared" si="4"/>
        <v>0</v>
      </c>
      <c r="R49" s="436">
        <f t="shared" si="4"/>
        <v>0</v>
      </c>
      <c r="S49" s="436">
        <f t="shared" si="4"/>
        <v>0</v>
      </c>
      <c r="T49" s="436">
        <f t="shared" si="4"/>
        <v>0</v>
      </c>
      <c r="U49" s="436">
        <f t="shared" si="4"/>
        <v>0</v>
      </c>
      <c r="V49" s="436">
        <f t="shared" si="4"/>
        <v>0</v>
      </c>
      <c r="W49" s="436">
        <f t="shared" si="4"/>
        <v>0</v>
      </c>
      <c r="X49" s="436">
        <f t="shared" si="4"/>
        <v>0</v>
      </c>
      <c r="Y49" s="436">
        <f t="shared" si="4"/>
        <v>0</v>
      </c>
    </row>
    <row r="50" spans="1:27" x14ac:dyDescent="0.25">
      <c r="A50" s="425"/>
      <c r="C50" s="78"/>
      <c r="E50"/>
      <c r="F50" s="360" t="s">
        <v>1151</v>
      </c>
      <c r="G50" s="28" t="s">
        <v>270</v>
      </c>
      <c r="H50" s="312"/>
      <c r="I50" s="312"/>
      <c r="J50" s="312">
        <f>IF( J28 = 1, $H45, 0)</f>
        <v>0</v>
      </c>
      <c r="K50" s="312">
        <f t="shared" ref="K50:Y50" si="5">IF( K28 = 1, $H45, 0)</f>
        <v>0</v>
      </c>
      <c r="L50" s="312">
        <f t="shared" si="5"/>
        <v>0</v>
      </c>
      <c r="M50" s="312">
        <f t="shared" si="5"/>
        <v>0</v>
      </c>
      <c r="N50" s="312">
        <f t="shared" si="5"/>
        <v>0</v>
      </c>
      <c r="O50" s="312">
        <f t="shared" si="5"/>
        <v>0</v>
      </c>
      <c r="P50" s="312">
        <f t="shared" si="5"/>
        <v>0</v>
      </c>
      <c r="Q50" s="312">
        <f t="shared" si="5"/>
        <v>0</v>
      </c>
      <c r="R50" s="312">
        <f t="shared" si="5"/>
        <v>0</v>
      </c>
      <c r="S50" s="312">
        <f t="shared" si="5"/>
        <v>0</v>
      </c>
      <c r="T50" s="312">
        <f t="shared" si="5"/>
        <v>0</v>
      </c>
      <c r="U50" s="312">
        <f t="shared" si="5"/>
        <v>0</v>
      </c>
      <c r="V50" s="312">
        <f t="shared" si="5"/>
        <v>0</v>
      </c>
      <c r="W50" s="312">
        <f t="shared" si="5"/>
        <v>0</v>
      </c>
      <c r="X50" s="312">
        <f t="shared" si="5"/>
        <v>0</v>
      </c>
      <c r="Y50" s="312">
        <f t="shared" si="5"/>
        <v>0</v>
      </c>
    </row>
    <row r="51" spans="1:27" s="425" customFormat="1" x14ac:dyDescent="0.25">
      <c r="C51" s="427"/>
      <c r="D51" s="428"/>
      <c r="F51" s="442" t="s">
        <v>544</v>
      </c>
      <c r="G51" s="437" t="s">
        <v>270</v>
      </c>
      <c r="H51" s="438"/>
      <c r="I51" s="438"/>
      <c r="J51" s="469">
        <f xml:space="preserve"> J48 + J50 + J49</f>
        <v>0.25599387005250862</v>
      </c>
      <c r="K51" s="469">
        <f t="shared" ref="K51:Y51" si="6" xml:space="preserve"> K48 + K50 + K49</f>
        <v>0</v>
      </c>
      <c r="L51" s="469">
        <f t="shared" si="6"/>
        <v>0.15572279561536206</v>
      </c>
      <c r="M51" s="469">
        <f t="shared" si="6"/>
        <v>0</v>
      </c>
      <c r="N51" s="469">
        <f t="shared" si="6"/>
        <v>0.15572279561536206</v>
      </c>
      <c r="O51" s="469">
        <f t="shared" si="6"/>
        <v>0.15572279561536206</v>
      </c>
      <c r="P51" s="469">
        <f t="shared" si="6"/>
        <v>0.15572279561536206</v>
      </c>
      <c r="Q51" s="469">
        <f t="shared" si="6"/>
        <v>0</v>
      </c>
      <c r="R51" s="469">
        <f t="shared" si="6"/>
        <v>0</v>
      </c>
      <c r="S51" s="469">
        <f t="shared" si="6"/>
        <v>0</v>
      </c>
      <c r="T51" s="469">
        <f t="shared" si="6"/>
        <v>0</v>
      </c>
      <c r="U51" s="469">
        <f t="shared" si="6"/>
        <v>0</v>
      </c>
      <c r="V51" s="469">
        <f t="shared" si="6"/>
        <v>0</v>
      </c>
      <c r="W51" s="469">
        <f t="shared" si="6"/>
        <v>0</v>
      </c>
      <c r="X51" s="469">
        <f t="shared" si="6"/>
        <v>0</v>
      </c>
      <c r="Y51" s="469">
        <f t="shared" si="6"/>
        <v>0</v>
      </c>
    </row>
    <row r="52" spans="1:27" x14ac:dyDescent="0.25">
      <c r="A52" s="425"/>
      <c r="C52" s="78"/>
      <c r="H52" s="13"/>
      <c r="I52" s="13"/>
      <c r="J52" s="13"/>
      <c r="K52" s="13"/>
      <c r="L52" s="13"/>
      <c r="M52" s="13"/>
      <c r="N52" s="13"/>
      <c r="O52" s="13"/>
      <c r="P52" s="13"/>
      <c r="Q52" s="13"/>
      <c r="R52" s="13"/>
      <c r="S52" s="13"/>
      <c r="T52" s="13"/>
      <c r="U52" s="13"/>
      <c r="V52" s="13"/>
      <c r="W52" s="13"/>
      <c r="X52" s="13"/>
      <c r="Y52" s="13"/>
    </row>
    <row r="53" spans="1:27" x14ac:dyDescent="0.25">
      <c r="A53" s="425"/>
      <c r="C53" s="26" t="str">
        <f ca="1">INDEX('Version control'!$H$36:$H$60,MATCH($A$1,'Version control'!$F$36:$F$60,0),1)&amp;"-C: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25"/>
      <c r="C54" s="78"/>
      <c r="E54"/>
      <c r="J54" s="79"/>
      <c r="K54" s="79"/>
      <c r="L54" s="79"/>
      <c r="M54" s="79"/>
      <c r="N54" s="79"/>
      <c r="O54" s="79"/>
      <c r="P54" s="79"/>
      <c r="Q54" s="79"/>
      <c r="R54" s="79"/>
      <c r="S54" s="79"/>
      <c r="T54" s="79"/>
      <c r="U54" s="79"/>
      <c r="V54" s="79"/>
      <c r="W54" s="79"/>
      <c r="X54" s="79"/>
      <c r="Y54" s="79"/>
    </row>
    <row r="55" spans="1:27" x14ac:dyDescent="0.25">
      <c r="A55" s="425"/>
      <c r="E55" t="s">
        <v>877</v>
      </c>
      <c r="G55" s="6" t="s">
        <v>277</v>
      </c>
      <c r="H55" s="205"/>
      <c r="I55" s="13"/>
      <c r="J55" s="205">
        <f t="shared" ref="J55:Y55" si="7">J51 / hundred * days_in_year * SUM( J20:J22 )</f>
        <v>2286427.5428426252</v>
      </c>
      <c r="K55" s="205">
        <f t="shared" si="7"/>
        <v>0</v>
      </c>
      <c r="L55" s="205">
        <f t="shared" si="7"/>
        <v>104467.26785634976</v>
      </c>
      <c r="M55" s="205">
        <f t="shared" si="7"/>
        <v>0</v>
      </c>
      <c r="N55" s="205">
        <f t="shared" si="7"/>
        <v>8852.5786469145642</v>
      </c>
      <c r="O55" s="205">
        <f t="shared" si="7"/>
        <v>198.0776945978925</v>
      </c>
      <c r="P55" s="205">
        <f t="shared" si="7"/>
        <v>2369.2680516419709</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25"/>
      <c r="H56" s="13"/>
      <c r="I56" s="13"/>
      <c r="J56" s="13"/>
      <c r="K56" s="13"/>
      <c r="L56" s="13"/>
      <c r="M56" s="13"/>
      <c r="N56" s="13"/>
      <c r="O56" s="13"/>
      <c r="P56" s="13"/>
      <c r="Q56" s="13"/>
      <c r="R56" s="13"/>
      <c r="S56" s="13"/>
      <c r="T56" s="13"/>
      <c r="U56" s="13"/>
      <c r="V56" s="13"/>
      <c r="W56" s="13"/>
      <c r="X56" s="13"/>
      <c r="Y56" s="13"/>
    </row>
    <row r="57" spans="1:27" x14ac:dyDescent="0.25">
      <c r="A57" s="425"/>
      <c r="E57" t="s">
        <v>878</v>
      </c>
      <c r="G57" s="6" t="s">
        <v>277</v>
      </c>
      <c r="H57" s="189">
        <f>SUM( J55:Y55 )</f>
        <v>2402314.7350921296</v>
      </c>
      <c r="I57" s="13"/>
      <c r="J57" s="13"/>
      <c r="K57" s="13"/>
      <c r="L57" s="13"/>
      <c r="M57" s="13"/>
      <c r="N57" s="13"/>
      <c r="O57" s="13"/>
      <c r="P57" s="13"/>
      <c r="Q57" s="13"/>
      <c r="R57" s="13"/>
      <c r="S57" s="13"/>
      <c r="T57" s="13"/>
      <c r="U57" s="13"/>
      <c r="V57" s="13"/>
      <c r="W57" s="13"/>
      <c r="X57" s="13"/>
      <c r="Y57" s="13"/>
    </row>
    <row r="58" spans="1:27" x14ac:dyDescent="0.25">
      <c r="A58" s="425"/>
      <c r="H58" s="13"/>
      <c r="I58" s="13"/>
      <c r="J58" s="13"/>
      <c r="K58" s="13"/>
      <c r="L58" s="13"/>
      <c r="M58" s="13"/>
      <c r="N58" s="13"/>
      <c r="O58" s="13"/>
      <c r="P58" s="13"/>
      <c r="Q58" s="13"/>
      <c r="R58" s="13"/>
      <c r="S58" s="13"/>
      <c r="T58" s="13"/>
      <c r="U58" s="13"/>
      <c r="V58" s="13"/>
      <c r="W58" s="13"/>
      <c r="X58" s="13"/>
      <c r="Y58" s="13"/>
    </row>
    <row r="59" spans="1:27" x14ac:dyDescent="0.25">
      <c r="A59" s="425"/>
      <c r="E59" t="s">
        <v>879</v>
      </c>
      <c r="G59" s="6" t="s">
        <v>277</v>
      </c>
      <c r="H59" s="205"/>
      <c r="I59" s="13"/>
      <c r="J59" s="205">
        <f t="shared" ref="J59:Y59" si="8">J51 / hundred * days_in_year * J23</f>
        <v>3208.4108524179487</v>
      </c>
      <c r="K59" s="205">
        <f t="shared" si="8"/>
        <v>0</v>
      </c>
      <c r="L59" s="205">
        <f t="shared" si="8"/>
        <v>26.787435301754581</v>
      </c>
      <c r="M59" s="205">
        <f t="shared" si="8"/>
        <v>0</v>
      </c>
      <c r="N59" s="205">
        <f t="shared" si="8"/>
        <v>5.6994543195222516</v>
      </c>
      <c r="O59" s="205">
        <f t="shared" si="8"/>
        <v>0</v>
      </c>
      <c r="P59" s="205">
        <f t="shared" si="8"/>
        <v>2.8497271597611262</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25"/>
      <c r="H60" s="13"/>
      <c r="I60" s="13"/>
      <c r="J60" s="13"/>
      <c r="K60" s="13"/>
      <c r="L60" s="13"/>
      <c r="M60" s="13"/>
      <c r="N60" s="13"/>
      <c r="O60" s="13"/>
      <c r="P60" s="13"/>
      <c r="Q60" s="13"/>
      <c r="R60" s="13"/>
      <c r="S60" s="13"/>
      <c r="T60" s="13"/>
      <c r="U60" s="13"/>
      <c r="V60" s="13"/>
      <c r="W60" s="13"/>
      <c r="X60" s="13"/>
      <c r="Y60" s="13"/>
    </row>
    <row r="61" spans="1:27" x14ac:dyDescent="0.25">
      <c r="A61" s="425"/>
      <c r="E61" t="s">
        <v>880</v>
      </c>
      <c r="G61" s="6" t="s">
        <v>277</v>
      </c>
      <c r="H61" s="189">
        <f>SUM( J59:Y59 )</f>
        <v>3243.7474691989869</v>
      </c>
      <c r="I61" s="13"/>
      <c r="J61" s="13"/>
      <c r="K61" s="13"/>
      <c r="L61" s="13"/>
      <c r="M61" s="13"/>
      <c r="N61" s="13"/>
      <c r="O61" s="13"/>
      <c r="P61" s="13"/>
      <c r="Q61" s="13"/>
      <c r="R61" s="13"/>
      <c r="S61" s="13"/>
      <c r="T61" s="13"/>
      <c r="U61" s="13"/>
      <c r="V61" s="13"/>
      <c r="W61" s="13"/>
      <c r="X61" s="13"/>
      <c r="Y61" s="13"/>
    </row>
    <row r="62" spans="1:27" x14ac:dyDescent="0.25">
      <c r="A62" s="425"/>
      <c r="H62" s="13"/>
      <c r="I62" s="13"/>
      <c r="J62" s="13"/>
      <c r="K62" s="13"/>
      <c r="L62" s="13"/>
      <c r="M62" s="13"/>
      <c r="N62" s="13"/>
      <c r="O62" s="13"/>
      <c r="P62" s="13"/>
      <c r="Q62" s="13"/>
      <c r="R62" s="13"/>
      <c r="S62" s="13"/>
      <c r="T62" s="13"/>
      <c r="U62" s="13"/>
      <c r="V62" s="13"/>
      <c r="W62" s="13"/>
      <c r="X62" s="13"/>
      <c r="Y62" s="13"/>
    </row>
    <row r="63" spans="1:27" x14ac:dyDescent="0.25">
      <c r="A63" s="425"/>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25"/>
      <c r="H64" s="13"/>
      <c r="I64" s="13"/>
      <c r="J64" s="13"/>
      <c r="K64" s="13"/>
      <c r="L64" s="13"/>
      <c r="M64" s="13"/>
      <c r="N64" s="13"/>
      <c r="O64" s="13"/>
      <c r="P64" s="13"/>
      <c r="Q64" s="13"/>
      <c r="R64" s="13"/>
      <c r="S64" s="13"/>
      <c r="T64" s="13"/>
      <c r="U64" s="13"/>
      <c r="V64" s="13"/>
      <c r="W64" s="13"/>
      <c r="X64" s="13"/>
      <c r="Y64" s="13"/>
    </row>
    <row r="65" spans="1:27" x14ac:dyDescent="0.25">
      <c r="A65" s="425"/>
      <c r="E65" t="s">
        <v>881</v>
      </c>
      <c r="G65" s="6" t="s">
        <v>277</v>
      </c>
      <c r="H65" s="205"/>
      <c r="I65" s="13"/>
      <c r="J65" s="424">
        <f xml:space="preserve"> J55 + J59</f>
        <v>2289635.953695043</v>
      </c>
      <c r="K65" s="205">
        <f t="shared" ref="K65:Y65" si="9" xml:space="preserve"> K55 + K59</f>
        <v>0</v>
      </c>
      <c r="L65" s="205">
        <f t="shared" si="9"/>
        <v>104494.05529165152</v>
      </c>
      <c r="M65" s="205">
        <f t="shared" si="9"/>
        <v>0</v>
      </c>
      <c r="N65" s="205">
        <f t="shared" si="9"/>
        <v>8858.2781012340856</v>
      </c>
      <c r="O65" s="205">
        <f t="shared" si="9"/>
        <v>198.0776945978925</v>
      </c>
      <c r="P65" s="205">
        <f t="shared" si="9"/>
        <v>2372.1177788017321</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25"/>
      <c r="H66" s="13"/>
      <c r="I66" s="13"/>
      <c r="J66" s="13"/>
      <c r="K66" s="13"/>
      <c r="L66" s="13"/>
      <c r="M66" s="13"/>
      <c r="N66" s="13"/>
      <c r="O66" s="13"/>
      <c r="P66" s="13"/>
      <c r="Q66" s="13"/>
      <c r="R66" s="13"/>
      <c r="S66" s="13"/>
      <c r="T66" s="13"/>
      <c r="U66" s="13"/>
      <c r="V66" s="13"/>
      <c r="W66" s="13"/>
      <c r="X66" s="13"/>
      <c r="Y66" s="13"/>
    </row>
    <row r="67" spans="1:27" x14ac:dyDescent="0.25">
      <c r="A67" s="425"/>
      <c r="E67" t="s">
        <v>882</v>
      </c>
      <c r="G67" s="6" t="s">
        <v>277</v>
      </c>
      <c r="H67" s="79">
        <f>SUM( J65:Y65 )</f>
        <v>2405558.4825613289</v>
      </c>
      <c r="I67" s="13"/>
      <c r="J67" s="13"/>
      <c r="K67" s="13"/>
      <c r="L67" s="13"/>
      <c r="M67" s="13"/>
      <c r="N67" s="13"/>
      <c r="O67" s="13"/>
      <c r="P67" s="13"/>
      <c r="Q67" s="13"/>
      <c r="R67" s="13"/>
      <c r="S67" s="13"/>
      <c r="T67" s="13"/>
      <c r="U67" s="13"/>
      <c r="V67" s="13"/>
      <c r="W67" s="13"/>
      <c r="X67" s="13"/>
      <c r="Y67" s="13"/>
    </row>
    <row r="68" spans="1:27" x14ac:dyDescent="0.25">
      <c r="A68" s="425"/>
      <c r="H68" s="13"/>
      <c r="I68" s="13"/>
      <c r="J68" s="13"/>
      <c r="K68" s="13"/>
      <c r="L68" s="13"/>
      <c r="M68" s="13"/>
      <c r="N68" s="13"/>
      <c r="O68" s="13"/>
      <c r="P68" s="13"/>
      <c r="Q68" s="13"/>
      <c r="R68" s="13"/>
      <c r="S68" s="13"/>
      <c r="T68" s="13"/>
      <c r="U68" s="13"/>
      <c r="V68" s="13"/>
      <c r="W68" s="13"/>
      <c r="X68" s="13"/>
      <c r="Y68" s="13"/>
    </row>
    <row r="69" spans="1:27" x14ac:dyDescent="0.25">
      <c r="A69" s="425"/>
      <c r="E69" s="425" t="s">
        <v>883</v>
      </c>
      <c r="G69" s="6" t="s">
        <v>55</v>
      </c>
      <c r="H69" s="44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25"/>
      <c r="H70" s="13"/>
      <c r="I70" s="13"/>
      <c r="J70" s="13"/>
      <c r="K70" s="13"/>
      <c r="L70" s="13"/>
      <c r="M70" s="13"/>
      <c r="N70" s="13"/>
      <c r="O70" s="13"/>
      <c r="P70" s="13"/>
      <c r="Q70" s="13"/>
      <c r="R70" s="13"/>
      <c r="S70" s="13"/>
      <c r="T70" s="13"/>
      <c r="U70" s="13"/>
      <c r="V70" s="13"/>
      <c r="W70" s="13"/>
      <c r="X70" s="13"/>
      <c r="Y70" s="13"/>
    </row>
    <row r="71" spans="1:27" x14ac:dyDescent="0.25">
      <c r="A71" s="425"/>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15" activePane="bottomRight" state="frozen"/>
      <selection pane="topRight"/>
      <selection pane="bottomLeft"/>
      <selection pane="bottomRight" activeCell="J29" sqref="J2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0" t="s">
        <v>143</v>
      </c>
      <c r="H5" s="104"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6" spans="1:43" x14ac:dyDescent="0.25">
      <c r="C6" s="78"/>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control'!$H$36:$H$59,MATCH($A$1,'Version control'!$F$36:$F$59,0),1)&amp;"-A: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1:43" x14ac:dyDescent="0.25">
      <c r="D17" s="24" t="s">
        <v>1028</v>
      </c>
      <c r="F17" s="2"/>
    </row>
    <row r="18" spans="1:43" x14ac:dyDescent="0.25">
      <c r="D18" s="78"/>
      <c r="F18" s="2"/>
    </row>
    <row r="19" spans="1: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1:43" x14ac:dyDescent="0.25">
      <c r="D20"/>
      <c r="E20" s="78"/>
      <c r="F20" s="19" t="s">
        <v>156</v>
      </c>
      <c r="G20" s="19" t="s">
        <v>269</v>
      </c>
      <c r="H20" s="255"/>
      <c r="I20" s="255"/>
      <c r="J20" s="267">
        <f>'Unit rate charges'!J217</f>
        <v>6.5552317947693215</v>
      </c>
      <c r="K20" s="267">
        <f>'Unit rate charges'!K217</f>
        <v>6.5552317947693215</v>
      </c>
      <c r="L20" s="267">
        <f>'Unit rate charges'!L217</f>
        <v>6.0773952794030546</v>
      </c>
      <c r="M20" s="267">
        <f>'Unit rate charges'!M217</f>
        <v>6.0773952794030546</v>
      </c>
      <c r="N20" s="267">
        <f>'Unit rate charges'!N217</f>
        <v>4.7453787408342878</v>
      </c>
      <c r="O20" s="267">
        <f>'Unit rate charges'!O217</f>
        <v>2.4344363610974544</v>
      </c>
      <c r="P20" s="267">
        <f>'Unit rate charges'!P217</f>
        <v>1.1830943449306988</v>
      </c>
      <c r="Q20" s="267">
        <f>'Unit rate charges'!Q217</f>
        <v>19.592534522310324</v>
      </c>
      <c r="R20" s="267">
        <f>'Unit rate charges'!R217</f>
        <v>-4.186786864327857</v>
      </c>
      <c r="S20" s="267">
        <f>'Unit rate charges'!S217</f>
        <v>-3.4675761632447348</v>
      </c>
      <c r="T20" s="267">
        <f>'Unit rate charges'!T217</f>
        <v>-4.186786864327857</v>
      </c>
      <c r="U20" s="267">
        <f>'Unit rate charges'!U217</f>
        <v>-4.186786864327857</v>
      </c>
      <c r="V20" s="267">
        <f>'Unit rate charges'!V217</f>
        <v>-3.4675761632447348</v>
      </c>
      <c r="W20" s="267">
        <f>'Unit rate charges'!W217</f>
        <v>-3.4675761632447348</v>
      </c>
      <c r="X20" s="267">
        <f>'Unit rate charges'!X217</f>
        <v>-1.7521841974333925</v>
      </c>
      <c r="Y20" s="267">
        <f>'Unit rate charges'!Y217</f>
        <v>-1.7521841974333925</v>
      </c>
      <c r="Z20" s="153"/>
      <c r="AA20" s="153"/>
      <c r="AB20" s="153"/>
      <c r="AC20" s="153"/>
      <c r="AD20" s="153"/>
      <c r="AE20" s="153"/>
      <c r="AF20" s="153"/>
      <c r="AG20" s="153"/>
      <c r="AH20" s="153"/>
      <c r="AI20" s="153"/>
      <c r="AJ20" s="153"/>
      <c r="AK20" s="153"/>
      <c r="AL20" s="153"/>
      <c r="AM20" s="153"/>
      <c r="AN20" s="153"/>
      <c r="AO20" s="153"/>
      <c r="AP20" s="256"/>
      <c r="AQ20" s="256"/>
    </row>
    <row r="21" spans="1:43" x14ac:dyDescent="0.25">
      <c r="D21"/>
      <c r="E21" s="78"/>
      <c r="F21" t="s">
        <v>157</v>
      </c>
      <c r="G21" t="s">
        <v>269</v>
      </c>
      <c r="H21" s="256"/>
      <c r="I21" s="256"/>
      <c r="J21" s="330">
        <f>'Unit rate charges'!J218</f>
        <v>1.1641252254335506</v>
      </c>
      <c r="K21" s="330">
        <f>'Unit rate charges'!K218</f>
        <v>1.1641252254335506</v>
      </c>
      <c r="L21" s="330">
        <f>'Unit rate charges'!L218</f>
        <v>1.079267579115841</v>
      </c>
      <c r="M21" s="330">
        <f>'Unit rate charges'!M218</f>
        <v>1.079267579115841</v>
      </c>
      <c r="N21" s="330">
        <f>'Unit rate charges'!N218</f>
        <v>0.85090351287663679</v>
      </c>
      <c r="O21" s="330">
        <f>'Unit rate charges'!O218</f>
        <v>0.44882463508356385</v>
      </c>
      <c r="P21" s="330">
        <f>'Unit rate charges'!P218</f>
        <v>0.20845279839728717</v>
      </c>
      <c r="Q21" s="330">
        <f>'Unit rate charges'!Q218</f>
        <v>2.0079047507262224</v>
      </c>
      <c r="R21" s="330">
        <f>'Unit rate charges'!R218</f>
        <v>-0.74351973429330243</v>
      </c>
      <c r="S21" s="330">
        <f>'Unit rate charges'!S218</f>
        <v>-0.61941219953210536</v>
      </c>
      <c r="T21" s="330">
        <f>'Unit rate charges'!T218</f>
        <v>-0.74351973429330243</v>
      </c>
      <c r="U21" s="330">
        <f>'Unit rate charges'!U218</f>
        <v>-0.74351973429330243</v>
      </c>
      <c r="V21" s="330">
        <f>'Unit rate charges'!V218</f>
        <v>-0.61941219953210536</v>
      </c>
      <c r="W21" s="330">
        <f>'Unit rate charges'!W218</f>
        <v>-0.61941219953210536</v>
      </c>
      <c r="X21" s="330">
        <f>'Unit rate charges'!X218</f>
        <v>-0.32210732776295514</v>
      </c>
      <c r="Y21" s="330">
        <f>'Unit rate charges'!Y218</f>
        <v>-0.32210732776295514</v>
      </c>
      <c r="Z21" s="153"/>
      <c r="AA21" s="153"/>
      <c r="AB21" s="153"/>
      <c r="AC21" s="153"/>
      <c r="AD21" s="153"/>
      <c r="AE21" s="153"/>
      <c r="AF21" s="153"/>
      <c r="AG21" s="153"/>
      <c r="AH21" s="153"/>
      <c r="AI21" s="153"/>
      <c r="AJ21" s="153"/>
      <c r="AK21" s="153"/>
      <c r="AL21" s="153"/>
      <c r="AM21" s="153"/>
      <c r="AN21" s="153"/>
      <c r="AO21" s="153"/>
      <c r="AP21" s="256"/>
      <c r="AQ21" s="256"/>
    </row>
    <row r="22" spans="1:43" x14ac:dyDescent="0.25">
      <c r="D22"/>
      <c r="E22" s="78"/>
      <c r="F22" t="s">
        <v>158</v>
      </c>
      <c r="G22" t="s">
        <v>269</v>
      </c>
      <c r="H22" s="256"/>
      <c r="I22" s="256"/>
      <c r="J22" s="330">
        <f>'Unit rate charges'!J219</f>
        <v>0.13699708495012364</v>
      </c>
      <c r="K22" s="330">
        <f>'Unit rate charges'!K219</f>
        <v>0.13699708495012364</v>
      </c>
      <c r="L22" s="330">
        <f>'Unit rate charges'!L219</f>
        <v>0.12701083095676546</v>
      </c>
      <c r="M22" s="330">
        <f>'Unit rate charges'!M219</f>
        <v>0.12701083095676546</v>
      </c>
      <c r="N22" s="330">
        <f>'Unit rate charges'!N219</f>
        <v>9.4585565578456307E-2</v>
      </c>
      <c r="O22" s="330">
        <f>'Unit rate charges'!O219</f>
        <v>4.1629036785237376E-2</v>
      </c>
      <c r="P22" s="330">
        <f>'Unit rate charges'!P219</f>
        <v>1.712365946581141E-2</v>
      </c>
      <c r="Q22" s="330">
        <f>'Unit rate charges'!Q219</f>
        <v>1.1410175384799575</v>
      </c>
      <c r="R22" s="330">
        <f>'Unit rate charges'!R219</f>
        <v>-8.749920882707235E-2</v>
      </c>
      <c r="S22" s="330">
        <f>'Unit rate charges'!S219</f>
        <v>-7.0442298160749872E-2</v>
      </c>
      <c r="T22" s="330">
        <f>'Unit rate charges'!T219</f>
        <v>-8.749920882707235E-2</v>
      </c>
      <c r="U22" s="330">
        <f>'Unit rate charges'!U219</f>
        <v>-8.749920882707235E-2</v>
      </c>
      <c r="V22" s="330">
        <f>'Unit rate charges'!V219</f>
        <v>-7.0442298160749872E-2</v>
      </c>
      <c r="W22" s="330">
        <f>'Unit rate charges'!W219</f>
        <v>-7.0442298160749872E-2</v>
      </c>
      <c r="X22" s="330">
        <f>'Unit rate charges'!X219</f>
        <v>-2.9593486029886762E-2</v>
      </c>
      <c r="Y22" s="330">
        <f>'Unit rate charges'!Y219</f>
        <v>-2.9593486029886762E-2</v>
      </c>
      <c r="Z22" s="153"/>
      <c r="AA22" s="153"/>
      <c r="AB22" s="153"/>
      <c r="AC22" s="153"/>
      <c r="AD22" s="153"/>
      <c r="AE22" s="153"/>
      <c r="AF22" s="153"/>
      <c r="AG22" s="153"/>
      <c r="AH22" s="153"/>
      <c r="AI22" s="153"/>
      <c r="AJ22" s="153"/>
      <c r="AK22" s="153"/>
      <c r="AL22" s="153"/>
      <c r="AM22" s="153"/>
      <c r="AN22" s="153"/>
      <c r="AO22" s="153"/>
      <c r="AP22" s="256"/>
      <c r="AQ22" s="256"/>
    </row>
    <row r="23" spans="1:43" x14ac:dyDescent="0.25">
      <c r="D23"/>
      <c r="E23" s="78"/>
      <c r="F23" t="s">
        <v>159</v>
      </c>
      <c r="G23" t="s">
        <v>270</v>
      </c>
      <c r="J23" s="114">
        <f>'Fixed charges'!J161</f>
        <v>5.5760809219142891</v>
      </c>
      <c r="K23" s="114">
        <f>'Fixed charges'!K161</f>
        <v>0</v>
      </c>
      <c r="L23" s="114">
        <f>'Fixed charges'!L161</f>
        <v>10.255573274807343</v>
      </c>
      <c r="M23" s="114">
        <f>'Fixed charges'!M161</f>
        <v>0</v>
      </c>
      <c r="N23" s="114">
        <f>'Fixed charges'!N161</f>
        <v>14.16830857064785</v>
      </c>
      <c r="O23" s="114">
        <f>'Fixed charges'!O161</f>
        <v>11.059887419149176</v>
      </c>
      <c r="P23" s="114">
        <f>'Fixed charges'!P161</f>
        <v>102.10306294246037</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63.900454893200845</v>
      </c>
      <c r="Y23" s="114">
        <f>'Fixed charges'!Y161</f>
        <v>63.900454893200845</v>
      </c>
      <c r="Z23" s="153"/>
      <c r="AA23" s="153"/>
      <c r="AB23" s="153"/>
      <c r="AC23" s="153"/>
      <c r="AD23" s="153"/>
      <c r="AE23" s="153"/>
      <c r="AF23" s="153"/>
      <c r="AG23" s="153"/>
      <c r="AH23" s="153"/>
      <c r="AI23" s="153"/>
      <c r="AJ23" s="153"/>
      <c r="AK23" s="153"/>
      <c r="AL23" s="153"/>
      <c r="AM23" s="153"/>
      <c r="AN23" s="153"/>
      <c r="AO23" s="153"/>
    </row>
    <row r="24" spans="1:43" x14ac:dyDescent="0.25">
      <c r="D24"/>
      <c r="E24" s="78"/>
      <c r="F24" t="s">
        <v>160</v>
      </c>
      <c r="G24" t="s">
        <v>271</v>
      </c>
      <c r="J24" s="114">
        <f>'Capacity charges'!J256</f>
        <v>0</v>
      </c>
      <c r="K24" s="114">
        <f>'Capacity charges'!K256</f>
        <v>0</v>
      </c>
      <c r="L24" s="114">
        <f>'Capacity charges'!L256</f>
        <v>0</v>
      </c>
      <c r="M24" s="114">
        <f>'Capacity charges'!M256</f>
        <v>0</v>
      </c>
      <c r="N24" s="114">
        <f>'Capacity charges'!N256</f>
        <v>4.9261307270603929</v>
      </c>
      <c r="O24" s="114">
        <f>'Capacity charges'!O256</f>
        <v>5.34360253476415</v>
      </c>
      <c r="P24" s="114">
        <f>'Capacity charges'!P256</f>
        <v>5.6374389608038982</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1:43" x14ac:dyDescent="0.25">
      <c r="D25"/>
      <c r="E25" s="78"/>
      <c r="F25" t="s">
        <v>161</v>
      </c>
      <c r="G25" t="s">
        <v>271</v>
      </c>
      <c r="J25" s="115">
        <f>'Capacity charges'!J257</f>
        <v>0</v>
      </c>
      <c r="K25" s="115">
        <f>'Capacity charges'!K257</f>
        <v>0</v>
      </c>
      <c r="L25" s="115">
        <f>'Capacity charges'!L257</f>
        <v>0</v>
      </c>
      <c r="M25" s="115">
        <f>'Capacity charges'!M257</f>
        <v>0</v>
      </c>
      <c r="N25" s="115">
        <f>'Capacity charges'!N257</f>
        <v>8.6476005057225613</v>
      </c>
      <c r="O25" s="115">
        <f>'Capacity charges'!O257</f>
        <v>7.263397869064387</v>
      </c>
      <c r="P25" s="115">
        <f>'Capacity charges'!P257</f>
        <v>7.3360433216250591</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1:43" x14ac:dyDescent="0.2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0.11518861443804111</v>
      </c>
      <c r="O26" s="272">
        <f>'Reactive power charges'!O250</f>
        <v>6.9699671029066212E-2</v>
      </c>
      <c r="P26" s="272">
        <f>'Reactive power charges'!P250</f>
        <v>3.0329114448965223E-2</v>
      </c>
      <c r="Q26" s="272">
        <f>'Reactive power charges'!Q250</f>
        <v>0</v>
      </c>
      <c r="R26" s="272">
        <f>'Reactive power charges'!R250</f>
        <v>0</v>
      </c>
      <c r="S26" s="272">
        <f>'Reactive power charges'!S250</f>
        <v>0</v>
      </c>
      <c r="T26" s="272">
        <f>'Reactive power charges'!T250</f>
        <v>0.13197133789973453</v>
      </c>
      <c r="U26" s="272">
        <f>'Reactive power charges'!U250</f>
        <v>0</v>
      </c>
      <c r="V26" s="272">
        <f>'Reactive power charges'!V250</f>
        <v>0.10133750175642738</v>
      </c>
      <c r="W26" s="272">
        <f>'Reactive power charges'!W250</f>
        <v>0</v>
      </c>
      <c r="X26" s="272">
        <f>'Reactive power charges'!X250</f>
        <v>7.8373162303441601E-2</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1: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1: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1:43" x14ac:dyDescent="0.25">
      <c r="D29"/>
      <c r="E29" s="23" t="s">
        <v>875</v>
      </c>
      <c r="F29" s="321"/>
      <c r="G29" t="s">
        <v>270</v>
      </c>
      <c r="J29" s="327">
        <f>'SoLR &amp; bad debt adders'!J51</f>
        <v>0.25599387005250862</v>
      </c>
      <c r="K29" s="327">
        <f>'SoLR &amp; bad debt adders'!K51</f>
        <v>0</v>
      </c>
      <c r="L29" s="327">
        <f>'SoLR &amp; bad debt adders'!L51</f>
        <v>0.15572279561536206</v>
      </c>
      <c r="M29" s="327">
        <f>'SoLR &amp; bad debt adders'!M51</f>
        <v>0</v>
      </c>
      <c r="N29" s="327">
        <f>'SoLR &amp; bad debt adders'!N51</f>
        <v>0.15572279561536206</v>
      </c>
      <c r="O29" s="327">
        <f>'SoLR &amp; bad debt adders'!O51</f>
        <v>0.15572279561536206</v>
      </c>
      <c r="P29" s="327">
        <f>'SoLR &amp; bad debt adders'!P51</f>
        <v>0.15572279561536206</v>
      </c>
      <c r="Q29" s="327">
        <f>'SoLR &amp; bad debt adders'!Q51</f>
        <v>0</v>
      </c>
      <c r="R29" s="327">
        <f>'SoLR &amp; bad debt adders'!R51</f>
        <v>0</v>
      </c>
      <c r="S29" s="327">
        <f>'SoLR &amp; bad debt adders'!S51</f>
        <v>0</v>
      </c>
      <c r="T29" s="327">
        <f>'SoLR &amp; bad debt adders'!T51</f>
        <v>0</v>
      </c>
      <c r="U29" s="327">
        <f>'SoLR &amp; bad debt adders'!U51</f>
        <v>0</v>
      </c>
      <c r="V29" s="327">
        <f>'SoLR &amp; bad debt adders'!V51</f>
        <v>0</v>
      </c>
      <c r="W29" s="327">
        <f>'SoLR &amp; bad debt adders'!W51</f>
        <v>0</v>
      </c>
      <c r="X29" s="327">
        <f>'SoLR &amp; bad debt adders'!X51</f>
        <v>0</v>
      </c>
      <c r="Y29" s="327">
        <f>'SoLR &amp; bad debt adders'!Y51</f>
        <v>0</v>
      </c>
      <c r="Z29" s="153"/>
      <c r="AA29" s="153"/>
      <c r="AB29" s="153"/>
      <c r="AC29" s="153"/>
      <c r="AD29" s="153"/>
      <c r="AE29" s="153"/>
      <c r="AF29" s="153"/>
      <c r="AG29" s="153"/>
      <c r="AH29" s="153"/>
      <c r="AI29" s="153"/>
      <c r="AJ29" s="153"/>
      <c r="AK29" s="153"/>
      <c r="AL29" s="153"/>
      <c r="AM29" s="153"/>
      <c r="AN29" s="153"/>
      <c r="AO29" s="153"/>
    </row>
    <row r="30" spans="1: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1:43" x14ac:dyDescent="0.25">
      <c r="A31" s="309"/>
      <c r="D31"/>
      <c r="E31" s="366" t="str">
        <f>'Fixed inputs'!E164</f>
        <v>Flags for calculation of revenue matching</v>
      </c>
    </row>
    <row r="32" spans="1:43" x14ac:dyDescent="0.25">
      <c r="A32" s="309"/>
      <c r="C32" s="24"/>
      <c r="F32" s="418"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1:43" x14ac:dyDescent="0.25">
      <c r="B33" s="309"/>
      <c r="C33" s="24"/>
      <c r="D33"/>
      <c r="F33" s="300" t="s">
        <v>942</v>
      </c>
      <c r="G33" s="300" t="s">
        <v>907</v>
      </c>
      <c r="H33" s="300"/>
      <c r="I33" s="300"/>
      <c r="J33" s="303" t="b">
        <f>'Fixed inputs'!J166</f>
        <v>1</v>
      </c>
      <c r="K33" s="358"/>
      <c r="L33" s="358"/>
      <c r="M33" s="303" t="b">
        <f>'Fixed inputs'!M166</f>
        <v>1</v>
      </c>
      <c r="N33" s="303" t="b">
        <f>'Fixed inputs'!N166</f>
        <v>1</v>
      </c>
      <c r="O33" s="303" t="b">
        <f>'Fixed inputs'!O166</f>
        <v>1</v>
      </c>
      <c r="P33" s="303" t="b">
        <f>'Fixed inputs'!P166</f>
        <v>1</v>
      </c>
      <c r="Q33" s="358"/>
      <c r="R33" s="358"/>
      <c r="S33" s="303" t="b">
        <f>'Fixed inputs'!S166</f>
        <v>1</v>
      </c>
      <c r="T33" s="303" t="b">
        <f>'Fixed inputs'!T166</f>
        <v>1</v>
      </c>
      <c r="U33" s="303" t="b">
        <f>'Fixed inputs'!U166</f>
        <v>1</v>
      </c>
      <c r="V33" s="303" t="b">
        <f>'Fixed inputs'!V166</f>
        <v>1</v>
      </c>
      <c r="W33" s="358"/>
      <c r="X33" s="303" t="b">
        <f>'Fixed inputs'!X166</f>
        <v>1</v>
      </c>
      <c r="Y33" s="303" t="b">
        <f>'Fixed inputs'!Y166</f>
        <v>1</v>
      </c>
      <c r="Z33" s="303" t="b">
        <f>'Fixed inputs'!Z166</f>
        <v>1</v>
      </c>
      <c r="AA33" s="303" t="b">
        <f>'Fixed inputs'!AA166</f>
        <v>1</v>
      </c>
      <c r="AB33" s="358"/>
      <c r="AC33" s="303" t="b">
        <f>'Fixed inputs'!AC166</f>
        <v>1</v>
      </c>
      <c r="AD33" s="303" t="b">
        <f>'Fixed inputs'!AD166</f>
        <v>1</v>
      </c>
      <c r="AE33" s="303" t="b">
        <f>'Fixed inputs'!AE166</f>
        <v>1</v>
      </c>
      <c r="AF33" s="303" t="b">
        <f>'Fixed inputs'!AF166</f>
        <v>1</v>
      </c>
      <c r="AG33" s="303" t="b">
        <f>'Fixed inputs'!AG166</f>
        <v>0</v>
      </c>
      <c r="AH33" s="358"/>
      <c r="AI33" s="358"/>
      <c r="AJ33" s="358"/>
      <c r="AK33" s="358"/>
      <c r="AL33" s="358"/>
      <c r="AM33" s="358"/>
      <c r="AN33" s="358"/>
      <c r="AO33" s="358"/>
    </row>
    <row r="34" spans="1:43" x14ac:dyDescent="0.25">
      <c r="B34" s="309"/>
      <c r="C34" s="24"/>
      <c r="D34"/>
      <c r="F34" s="300" t="s">
        <v>943</v>
      </c>
      <c r="G34" s="300" t="s">
        <v>907</v>
      </c>
      <c r="H34" s="300"/>
      <c r="I34" s="300"/>
      <c r="J34" s="303" t="b">
        <f>'Fixed inputs'!J167</f>
        <v>0</v>
      </c>
      <c r="K34" s="358"/>
      <c r="L34" s="358"/>
      <c r="M34" s="303" t="b">
        <f>'Fixed inputs'!M167</f>
        <v>0</v>
      </c>
      <c r="N34" s="303" t="b">
        <f>'Fixed inputs'!N167</f>
        <v>0</v>
      </c>
      <c r="O34" s="303" t="b">
        <f>'Fixed inputs'!O167</f>
        <v>0</v>
      </c>
      <c r="P34" s="303" t="b">
        <f>'Fixed inputs'!P167</f>
        <v>0</v>
      </c>
      <c r="Q34" s="358"/>
      <c r="R34" s="358"/>
      <c r="S34" s="303" t="b">
        <f>'Fixed inputs'!S167</f>
        <v>0</v>
      </c>
      <c r="T34" s="303" t="b">
        <f>'Fixed inputs'!T167</f>
        <v>0</v>
      </c>
      <c r="U34" s="303" t="b">
        <f>'Fixed inputs'!U167</f>
        <v>0</v>
      </c>
      <c r="V34" s="303" t="b">
        <f>'Fixed inputs'!V167</f>
        <v>0</v>
      </c>
      <c r="W34" s="358"/>
      <c r="X34" s="303" t="b">
        <f>'Fixed inputs'!X167</f>
        <v>0</v>
      </c>
      <c r="Y34" s="303" t="b">
        <f>'Fixed inputs'!Y167</f>
        <v>0</v>
      </c>
      <c r="Z34" s="303" t="b">
        <f>'Fixed inputs'!Z167</f>
        <v>0</v>
      </c>
      <c r="AA34" s="303" t="b">
        <f>'Fixed inputs'!AA167</f>
        <v>0</v>
      </c>
      <c r="AB34" s="358"/>
      <c r="AC34" s="303" t="b">
        <f>'Fixed inputs'!AC167</f>
        <v>0</v>
      </c>
      <c r="AD34" s="303" t="b">
        <f>'Fixed inputs'!AD167</f>
        <v>0</v>
      </c>
      <c r="AE34" s="303" t="b">
        <f>'Fixed inputs'!AE167</f>
        <v>0</v>
      </c>
      <c r="AF34" s="303" t="b">
        <f>'Fixed inputs'!AF167</f>
        <v>0</v>
      </c>
      <c r="AG34" s="303" t="b">
        <f>'Fixed inputs'!AG167</f>
        <v>1</v>
      </c>
      <c r="AH34" s="358"/>
      <c r="AI34" s="358"/>
      <c r="AJ34" s="358"/>
      <c r="AK34" s="358"/>
      <c r="AL34" s="358"/>
      <c r="AM34" s="358"/>
      <c r="AN34" s="358"/>
      <c r="AO34" s="358"/>
    </row>
    <row r="35" spans="1:43" x14ac:dyDescent="0.25">
      <c r="A35" s="309"/>
      <c r="F35" s="419" t="s">
        <v>940</v>
      </c>
      <c r="G35" s="300" t="s">
        <v>149</v>
      </c>
      <c r="H35" s="300"/>
      <c r="I35" s="300"/>
      <c r="J35" s="303">
        <f>'Fixed inputs'!J168</f>
        <v>1</v>
      </c>
      <c r="K35" s="358"/>
      <c r="L35" s="358"/>
      <c r="M35" s="303">
        <f>'Fixed inputs'!M168</f>
        <v>2</v>
      </c>
      <c r="N35" s="303">
        <f>'Fixed inputs'!N168</f>
        <v>2</v>
      </c>
      <c r="O35" s="303">
        <f>'Fixed inputs'!O168</f>
        <v>2</v>
      </c>
      <c r="P35" s="303">
        <f>'Fixed inputs'!P168</f>
        <v>2</v>
      </c>
      <c r="Q35" s="358"/>
      <c r="R35" s="358"/>
      <c r="S35" s="303">
        <f>'Fixed inputs'!S168</f>
        <v>3</v>
      </c>
      <c r="T35" s="303">
        <f>'Fixed inputs'!T168</f>
        <v>3</v>
      </c>
      <c r="U35" s="303">
        <f>'Fixed inputs'!U168</f>
        <v>3</v>
      </c>
      <c r="V35" s="303">
        <f>'Fixed inputs'!V168</f>
        <v>3</v>
      </c>
      <c r="W35" s="358"/>
      <c r="X35" s="303">
        <f>'Fixed inputs'!X168</f>
        <v>3</v>
      </c>
      <c r="Y35" s="303">
        <f>'Fixed inputs'!Y168</f>
        <v>3</v>
      </c>
      <c r="Z35" s="303">
        <f>'Fixed inputs'!Z168</f>
        <v>3</v>
      </c>
      <c r="AA35" s="303">
        <f>'Fixed inputs'!AA168</f>
        <v>3</v>
      </c>
      <c r="AB35" s="358"/>
      <c r="AC35" s="303">
        <f>'Fixed inputs'!AC168</f>
        <v>4</v>
      </c>
      <c r="AD35" s="303">
        <f>'Fixed inputs'!AD168</f>
        <v>4</v>
      </c>
      <c r="AE35" s="303">
        <f>'Fixed inputs'!AE168</f>
        <v>4</v>
      </c>
      <c r="AF35" s="303">
        <f>'Fixed inputs'!AF168</f>
        <v>4</v>
      </c>
      <c r="AG35" s="303">
        <f>'Fixed inputs'!AG168</f>
        <v>5</v>
      </c>
      <c r="AH35" s="358"/>
      <c r="AI35" s="358"/>
      <c r="AJ35" s="358"/>
      <c r="AK35" s="358"/>
      <c r="AL35" s="358"/>
      <c r="AM35" s="358"/>
      <c r="AN35" s="358"/>
      <c r="AO35" s="358"/>
    </row>
    <row r="36" spans="1:43" x14ac:dyDescent="0.25">
      <c r="A36" s="309"/>
      <c r="B36" s="309"/>
      <c r="C36" s="24"/>
      <c r="F36" s="419" t="s">
        <v>939</v>
      </c>
      <c r="G36" s="300" t="s">
        <v>149</v>
      </c>
      <c r="H36" s="300"/>
      <c r="I36" s="300"/>
      <c r="J36" s="303">
        <f>'Fixed inputs'!J169</f>
        <v>1</v>
      </c>
      <c r="K36" s="358"/>
      <c r="L36" s="358"/>
      <c r="M36" s="303">
        <f>'Fixed inputs'!M169</f>
        <v>1</v>
      </c>
      <c r="N36" s="303">
        <f>'Fixed inputs'!N169</f>
        <v>2</v>
      </c>
      <c r="O36" s="303">
        <f>'Fixed inputs'!O169</f>
        <v>3</v>
      </c>
      <c r="P36" s="303">
        <f>'Fixed inputs'!P169</f>
        <v>4</v>
      </c>
      <c r="Q36" s="358"/>
      <c r="R36" s="358"/>
      <c r="S36" s="303">
        <f>'Fixed inputs'!S169</f>
        <v>1</v>
      </c>
      <c r="T36" s="303">
        <f>'Fixed inputs'!T169</f>
        <v>2</v>
      </c>
      <c r="U36" s="303">
        <f>'Fixed inputs'!U169</f>
        <v>3</v>
      </c>
      <c r="V36" s="303">
        <f>'Fixed inputs'!V169</f>
        <v>4</v>
      </c>
      <c r="W36" s="358"/>
      <c r="X36" s="303">
        <f>'Fixed inputs'!X169</f>
        <v>1</v>
      </c>
      <c r="Y36" s="303">
        <f>'Fixed inputs'!Y169</f>
        <v>2</v>
      </c>
      <c r="Z36" s="303">
        <f>'Fixed inputs'!Z169</f>
        <v>3</v>
      </c>
      <c r="AA36" s="303">
        <f>'Fixed inputs'!AA169</f>
        <v>4</v>
      </c>
      <c r="AB36" s="358"/>
      <c r="AC36" s="303">
        <f>'Fixed inputs'!AC169</f>
        <v>1</v>
      </c>
      <c r="AD36" s="303">
        <f>'Fixed inputs'!AD169</f>
        <v>2</v>
      </c>
      <c r="AE36" s="303">
        <f>'Fixed inputs'!AE169</f>
        <v>3</v>
      </c>
      <c r="AF36" s="303">
        <f>'Fixed inputs'!AF169</f>
        <v>4</v>
      </c>
      <c r="AG36" s="303">
        <f>'Fixed inputs'!AG169</f>
        <v>1</v>
      </c>
      <c r="AH36" s="358"/>
      <c r="AI36" s="358"/>
      <c r="AJ36" s="358"/>
      <c r="AK36" s="358"/>
      <c r="AL36" s="358"/>
      <c r="AM36" s="358"/>
      <c r="AN36" s="358"/>
      <c r="AO36" s="358"/>
    </row>
    <row r="37" spans="1:43" x14ac:dyDescent="0.25">
      <c r="D37" s="78"/>
      <c r="F37" s="57" t="s">
        <v>941</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1:43" x14ac:dyDescent="0.25">
      <c r="A38" s="309"/>
      <c r="B38" s="309"/>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1: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3" x14ac:dyDescent="0.25">
      <c r="D40"/>
      <c r="E40" s="78"/>
      <c r="F40" s="19" t="s">
        <v>156</v>
      </c>
      <c r="G40" s="19" t="s">
        <v>269</v>
      </c>
      <c r="H40" s="255"/>
      <c r="I40" s="255"/>
      <c r="J40" s="263">
        <f t="shared" ref="J40:AO40" si="0">INDEX($J20:$Y20,J$37)</f>
        <v>6.5552317947693215</v>
      </c>
      <c r="K40" s="263">
        <f t="shared" si="0"/>
        <v>6.5552317947693215</v>
      </c>
      <c r="L40" s="263">
        <f t="shared" si="0"/>
        <v>6.0773952794030546</v>
      </c>
      <c r="M40" s="263">
        <f t="shared" si="0"/>
        <v>6.0773952794030546</v>
      </c>
      <c r="N40" s="263">
        <f t="shared" si="0"/>
        <v>6.0773952794030546</v>
      </c>
      <c r="O40" s="263">
        <f t="shared" si="0"/>
        <v>6.0773952794030546</v>
      </c>
      <c r="P40" s="263">
        <f t="shared" si="0"/>
        <v>6.0773952794030546</v>
      </c>
      <c r="Q40" s="263">
        <f t="shared" si="0"/>
        <v>6.0773952794030546</v>
      </c>
      <c r="R40" s="263">
        <f t="shared" si="0"/>
        <v>4.7453787408342878</v>
      </c>
      <c r="S40" s="263">
        <f t="shared" si="0"/>
        <v>4.7453787408342878</v>
      </c>
      <c r="T40" s="263">
        <f t="shared" si="0"/>
        <v>4.7453787408342878</v>
      </c>
      <c r="U40" s="263">
        <f t="shared" si="0"/>
        <v>4.7453787408342878</v>
      </c>
      <c r="V40" s="263">
        <f t="shared" si="0"/>
        <v>4.7453787408342878</v>
      </c>
      <c r="W40" s="263">
        <f t="shared" si="0"/>
        <v>2.4344363610974544</v>
      </c>
      <c r="X40" s="263">
        <f t="shared" si="0"/>
        <v>2.4344363610974544</v>
      </c>
      <c r="Y40" s="263">
        <f t="shared" si="0"/>
        <v>2.4344363610974544</v>
      </c>
      <c r="Z40" s="263">
        <f t="shared" si="0"/>
        <v>2.4344363610974544</v>
      </c>
      <c r="AA40" s="263">
        <f t="shared" si="0"/>
        <v>2.4344363610974544</v>
      </c>
      <c r="AB40" s="263">
        <f t="shared" si="0"/>
        <v>1.1830943449306988</v>
      </c>
      <c r="AC40" s="263">
        <f t="shared" si="0"/>
        <v>1.1830943449306988</v>
      </c>
      <c r="AD40" s="263">
        <f t="shared" si="0"/>
        <v>1.1830943449306988</v>
      </c>
      <c r="AE40" s="263">
        <f t="shared" si="0"/>
        <v>1.1830943449306988</v>
      </c>
      <c r="AF40" s="263">
        <f t="shared" si="0"/>
        <v>1.1830943449306988</v>
      </c>
      <c r="AG40" s="263">
        <f t="shared" si="0"/>
        <v>19.592534522310324</v>
      </c>
      <c r="AH40" s="263">
        <f t="shared" si="0"/>
        <v>-4.186786864327857</v>
      </c>
      <c r="AI40" s="263">
        <f t="shared" si="0"/>
        <v>-3.4675761632447348</v>
      </c>
      <c r="AJ40" s="263">
        <f t="shared" si="0"/>
        <v>-4.186786864327857</v>
      </c>
      <c r="AK40" s="263">
        <f t="shared" si="0"/>
        <v>-4.186786864327857</v>
      </c>
      <c r="AL40" s="263">
        <f t="shared" si="0"/>
        <v>-3.4675761632447348</v>
      </c>
      <c r="AM40" s="263">
        <f t="shared" si="0"/>
        <v>-3.4675761632447348</v>
      </c>
      <c r="AN40" s="263">
        <f t="shared" si="0"/>
        <v>-1.7521841974333925</v>
      </c>
      <c r="AO40" s="263">
        <f t="shared" si="0"/>
        <v>-1.7521841974333925</v>
      </c>
      <c r="AP40" s="256"/>
      <c r="AQ40" s="256"/>
    </row>
    <row r="41" spans="1:43" x14ac:dyDescent="0.25">
      <c r="D41"/>
      <c r="E41" s="78"/>
      <c r="F41" t="s">
        <v>157</v>
      </c>
      <c r="G41" t="s">
        <v>269</v>
      </c>
      <c r="H41" s="256"/>
      <c r="I41" s="256"/>
      <c r="J41" s="264">
        <f t="shared" ref="J41:AO41" si="1">INDEX($J21:$Y21,J$37)</f>
        <v>1.1641252254335506</v>
      </c>
      <c r="K41" s="264">
        <f t="shared" si="1"/>
        <v>1.1641252254335506</v>
      </c>
      <c r="L41" s="264">
        <f t="shared" si="1"/>
        <v>1.079267579115841</v>
      </c>
      <c r="M41" s="264">
        <f t="shared" si="1"/>
        <v>1.079267579115841</v>
      </c>
      <c r="N41" s="264">
        <f t="shared" si="1"/>
        <v>1.079267579115841</v>
      </c>
      <c r="O41" s="264">
        <f t="shared" si="1"/>
        <v>1.079267579115841</v>
      </c>
      <c r="P41" s="264">
        <f t="shared" si="1"/>
        <v>1.079267579115841</v>
      </c>
      <c r="Q41" s="264">
        <f t="shared" si="1"/>
        <v>1.079267579115841</v>
      </c>
      <c r="R41" s="264">
        <f t="shared" si="1"/>
        <v>0.85090351287663679</v>
      </c>
      <c r="S41" s="264">
        <f t="shared" si="1"/>
        <v>0.85090351287663679</v>
      </c>
      <c r="T41" s="264">
        <f t="shared" si="1"/>
        <v>0.85090351287663679</v>
      </c>
      <c r="U41" s="264">
        <f t="shared" si="1"/>
        <v>0.85090351287663679</v>
      </c>
      <c r="V41" s="264">
        <f t="shared" si="1"/>
        <v>0.85090351287663679</v>
      </c>
      <c r="W41" s="264">
        <f t="shared" si="1"/>
        <v>0.44882463508356385</v>
      </c>
      <c r="X41" s="264">
        <f t="shared" si="1"/>
        <v>0.44882463508356385</v>
      </c>
      <c r="Y41" s="264">
        <f t="shared" si="1"/>
        <v>0.44882463508356385</v>
      </c>
      <c r="Z41" s="264">
        <f t="shared" si="1"/>
        <v>0.44882463508356385</v>
      </c>
      <c r="AA41" s="264">
        <f t="shared" si="1"/>
        <v>0.44882463508356385</v>
      </c>
      <c r="AB41" s="264">
        <f t="shared" si="1"/>
        <v>0.20845279839728717</v>
      </c>
      <c r="AC41" s="264">
        <f t="shared" si="1"/>
        <v>0.20845279839728717</v>
      </c>
      <c r="AD41" s="264">
        <f t="shared" si="1"/>
        <v>0.20845279839728717</v>
      </c>
      <c r="AE41" s="264">
        <f t="shared" si="1"/>
        <v>0.20845279839728717</v>
      </c>
      <c r="AF41" s="264">
        <f t="shared" si="1"/>
        <v>0.20845279839728717</v>
      </c>
      <c r="AG41" s="264">
        <f t="shared" si="1"/>
        <v>2.0079047507262224</v>
      </c>
      <c r="AH41" s="264">
        <f t="shared" si="1"/>
        <v>-0.74351973429330243</v>
      </c>
      <c r="AI41" s="264">
        <f t="shared" si="1"/>
        <v>-0.61941219953210536</v>
      </c>
      <c r="AJ41" s="264">
        <f t="shared" si="1"/>
        <v>-0.74351973429330243</v>
      </c>
      <c r="AK41" s="264">
        <f t="shared" si="1"/>
        <v>-0.74351973429330243</v>
      </c>
      <c r="AL41" s="264">
        <f t="shared" si="1"/>
        <v>-0.61941219953210536</v>
      </c>
      <c r="AM41" s="264">
        <f t="shared" si="1"/>
        <v>-0.61941219953210536</v>
      </c>
      <c r="AN41" s="264">
        <f t="shared" si="1"/>
        <v>-0.32210732776295514</v>
      </c>
      <c r="AO41" s="264">
        <f t="shared" si="1"/>
        <v>-0.32210732776295514</v>
      </c>
      <c r="AP41" s="256"/>
      <c r="AQ41" s="256"/>
    </row>
    <row r="42" spans="1:43" x14ac:dyDescent="0.25">
      <c r="D42"/>
      <c r="E42" s="78"/>
      <c r="F42" t="s">
        <v>158</v>
      </c>
      <c r="G42" t="s">
        <v>269</v>
      </c>
      <c r="H42" s="256"/>
      <c r="I42" s="256"/>
      <c r="J42" s="264">
        <f t="shared" ref="J42:AO42" si="2">INDEX($J22:$Y22,J$37)</f>
        <v>0.13699708495012364</v>
      </c>
      <c r="K42" s="264">
        <f t="shared" si="2"/>
        <v>0.13699708495012364</v>
      </c>
      <c r="L42" s="264">
        <f t="shared" si="2"/>
        <v>0.12701083095676546</v>
      </c>
      <c r="M42" s="264">
        <f t="shared" si="2"/>
        <v>0.12701083095676546</v>
      </c>
      <c r="N42" s="264">
        <f t="shared" si="2"/>
        <v>0.12701083095676546</v>
      </c>
      <c r="O42" s="264">
        <f t="shared" si="2"/>
        <v>0.12701083095676546</v>
      </c>
      <c r="P42" s="264">
        <f t="shared" si="2"/>
        <v>0.12701083095676546</v>
      </c>
      <c r="Q42" s="264">
        <f t="shared" si="2"/>
        <v>0.12701083095676546</v>
      </c>
      <c r="R42" s="264">
        <f t="shared" si="2"/>
        <v>9.4585565578456307E-2</v>
      </c>
      <c r="S42" s="264">
        <f t="shared" si="2"/>
        <v>9.4585565578456307E-2</v>
      </c>
      <c r="T42" s="264">
        <f t="shared" si="2"/>
        <v>9.4585565578456307E-2</v>
      </c>
      <c r="U42" s="264">
        <f t="shared" si="2"/>
        <v>9.4585565578456307E-2</v>
      </c>
      <c r="V42" s="264">
        <f t="shared" si="2"/>
        <v>9.4585565578456307E-2</v>
      </c>
      <c r="W42" s="264">
        <f t="shared" si="2"/>
        <v>4.1629036785237376E-2</v>
      </c>
      <c r="X42" s="264">
        <f t="shared" si="2"/>
        <v>4.1629036785237376E-2</v>
      </c>
      <c r="Y42" s="264">
        <f t="shared" si="2"/>
        <v>4.1629036785237376E-2</v>
      </c>
      <c r="Z42" s="264">
        <f t="shared" si="2"/>
        <v>4.1629036785237376E-2</v>
      </c>
      <c r="AA42" s="264">
        <f t="shared" si="2"/>
        <v>4.1629036785237376E-2</v>
      </c>
      <c r="AB42" s="264">
        <f t="shared" si="2"/>
        <v>1.712365946581141E-2</v>
      </c>
      <c r="AC42" s="264">
        <f t="shared" si="2"/>
        <v>1.712365946581141E-2</v>
      </c>
      <c r="AD42" s="264">
        <f t="shared" si="2"/>
        <v>1.712365946581141E-2</v>
      </c>
      <c r="AE42" s="264">
        <f t="shared" si="2"/>
        <v>1.712365946581141E-2</v>
      </c>
      <c r="AF42" s="264">
        <f t="shared" si="2"/>
        <v>1.712365946581141E-2</v>
      </c>
      <c r="AG42" s="264">
        <f t="shared" si="2"/>
        <v>1.1410175384799575</v>
      </c>
      <c r="AH42" s="264">
        <f t="shared" si="2"/>
        <v>-8.749920882707235E-2</v>
      </c>
      <c r="AI42" s="264">
        <f t="shared" si="2"/>
        <v>-7.0442298160749872E-2</v>
      </c>
      <c r="AJ42" s="264">
        <f t="shared" si="2"/>
        <v>-8.749920882707235E-2</v>
      </c>
      <c r="AK42" s="264">
        <f t="shared" si="2"/>
        <v>-8.749920882707235E-2</v>
      </c>
      <c r="AL42" s="264">
        <f t="shared" si="2"/>
        <v>-7.0442298160749872E-2</v>
      </c>
      <c r="AM42" s="264">
        <f t="shared" si="2"/>
        <v>-7.0442298160749872E-2</v>
      </c>
      <c r="AN42" s="264">
        <f t="shared" si="2"/>
        <v>-2.9593486029886762E-2</v>
      </c>
      <c r="AO42" s="264">
        <f t="shared" si="2"/>
        <v>-2.9593486029886762E-2</v>
      </c>
      <c r="AP42" s="256"/>
      <c r="AQ42" s="256"/>
    </row>
    <row r="43" spans="1:43" x14ac:dyDescent="0.25">
      <c r="D43"/>
      <c r="E43" s="78"/>
      <c r="F43" t="s">
        <v>159</v>
      </c>
      <c r="G43" t="s">
        <v>270</v>
      </c>
      <c r="J43" s="189">
        <f t="shared" ref="J43:AO43" si="3">INDEX($J23:$Y23,J$37)</f>
        <v>5.5760809219142891</v>
      </c>
      <c r="K43" s="189">
        <f t="shared" si="3"/>
        <v>0</v>
      </c>
      <c r="L43" s="189">
        <f t="shared" si="3"/>
        <v>10.255573274807343</v>
      </c>
      <c r="M43" s="189">
        <f t="shared" si="3"/>
        <v>10.255573274807343</v>
      </c>
      <c r="N43" s="189">
        <f t="shared" si="3"/>
        <v>10.255573274807343</v>
      </c>
      <c r="O43" s="189">
        <f t="shared" si="3"/>
        <v>10.255573274807343</v>
      </c>
      <c r="P43" s="189">
        <f t="shared" si="3"/>
        <v>10.255573274807343</v>
      </c>
      <c r="Q43" s="189">
        <f t="shared" si="3"/>
        <v>0</v>
      </c>
      <c r="R43" s="189">
        <f t="shared" si="3"/>
        <v>14.16830857064785</v>
      </c>
      <c r="S43" s="189">
        <f t="shared" si="3"/>
        <v>14.16830857064785</v>
      </c>
      <c r="T43" s="189">
        <f t="shared" si="3"/>
        <v>14.16830857064785</v>
      </c>
      <c r="U43" s="189">
        <f t="shared" si="3"/>
        <v>14.16830857064785</v>
      </c>
      <c r="V43" s="189">
        <f t="shared" si="3"/>
        <v>14.16830857064785</v>
      </c>
      <c r="W43" s="189">
        <f t="shared" si="3"/>
        <v>11.059887419149176</v>
      </c>
      <c r="X43" s="189">
        <f t="shared" si="3"/>
        <v>11.059887419149176</v>
      </c>
      <c r="Y43" s="189">
        <f t="shared" si="3"/>
        <v>11.059887419149176</v>
      </c>
      <c r="Z43" s="189">
        <f t="shared" si="3"/>
        <v>11.059887419149176</v>
      </c>
      <c r="AA43" s="189">
        <f t="shared" si="3"/>
        <v>11.059887419149176</v>
      </c>
      <c r="AB43" s="189">
        <f t="shared" si="3"/>
        <v>102.10306294246037</v>
      </c>
      <c r="AC43" s="189">
        <f t="shared" si="3"/>
        <v>102.10306294246037</v>
      </c>
      <c r="AD43" s="189">
        <f t="shared" si="3"/>
        <v>102.10306294246037</v>
      </c>
      <c r="AE43" s="189">
        <f t="shared" si="3"/>
        <v>102.10306294246037</v>
      </c>
      <c r="AF43" s="189">
        <f t="shared" si="3"/>
        <v>102.10306294246037</v>
      </c>
      <c r="AG43" s="189">
        <f t="shared" si="3"/>
        <v>0</v>
      </c>
      <c r="AH43" s="189">
        <f t="shared" si="3"/>
        <v>0</v>
      </c>
      <c r="AI43" s="189">
        <f t="shared" si="3"/>
        <v>0</v>
      </c>
      <c r="AJ43" s="189">
        <f t="shared" si="3"/>
        <v>0</v>
      </c>
      <c r="AK43" s="189">
        <f t="shared" si="3"/>
        <v>0</v>
      </c>
      <c r="AL43" s="189">
        <f t="shared" si="3"/>
        <v>0</v>
      </c>
      <c r="AM43" s="189">
        <f t="shared" si="3"/>
        <v>0</v>
      </c>
      <c r="AN43" s="189">
        <f t="shared" si="3"/>
        <v>63.900454893200845</v>
      </c>
      <c r="AO43" s="189">
        <f t="shared" si="3"/>
        <v>63.900454893200845</v>
      </c>
    </row>
    <row r="44" spans="1:43" x14ac:dyDescent="0.2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4.9261307270603929</v>
      </c>
      <c r="S44" s="189">
        <f t="shared" si="4"/>
        <v>4.9261307270603929</v>
      </c>
      <c r="T44" s="189">
        <f t="shared" si="4"/>
        <v>4.9261307270603929</v>
      </c>
      <c r="U44" s="189">
        <f t="shared" si="4"/>
        <v>4.9261307270603929</v>
      </c>
      <c r="V44" s="189">
        <f t="shared" si="4"/>
        <v>4.9261307270603929</v>
      </c>
      <c r="W44" s="189">
        <f t="shared" si="4"/>
        <v>5.34360253476415</v>
      </c>
      <c r="X44" s="189">
        <f t="shared" si="4"/>
        <v>5.34360253476415</v>
      </c>
      <c r="Y44" s="189">
        <f t="shared" si="4"/>
        <v>5.34360253476415</v>
      </c>
      <c r="Z44" s="189">
        <f t="shared" si="4"/>
        <v>5.34360253476415</v>
      </c>
      <c r="AA44" s="189">
        <f t="shared" si="4"/>
        <v>5.34360253476415</v>
      </c>
      <c r="AB44" s="189">
        <f t="shared" si="4"/>
        <v>5.6374389608038982</v>
      </c>
      <c r="AC44" s="189">
        <f t="shared" si="4"/>
        <v>5.6374389608038982</v>
      </c>
      <c r="AD44" s="189">
        <f t="shared" si="4"/>
        <v>5.6374389608038982</v>
      </c>
      <c r="AE44" s="189">
        <f t="shared" si="4"/>
        <v>5.6374389608038982</v>
      </c>
      <c r="AF44" s="189">
        <f t="shared" si="4"/>
        <v>5.6374389608038982</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1:43" x14ac:dyDescent="0.2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8.6476005057225613</v>
      </c>
      <c r="S45" s="189">
        <f t="shared" si="5"/>
        <v>8.6476005057225613</v>
      </c>
      <c r="T45" s="189">
        <f t="shared" si="5"/>
        <v>8.6476005057225613</v>
      </c>
      <c r="U45" s="189">
        <f t="shared" si="5"/>
        <v>8.6476005057225613</v>
      </c>
      <c r="V45" s="189">
        <f t="shared" si="5"/>
        <v>8.6476005057225613</v>
      </c>
      <c r="W45" s="189">
        <f t="shared" si="5"/>
        <v>7.263397869064387</v>
      </c>
      <c r="X45" s="189">
        <f t="shared" si="5"/>
        <v>7.263397869064387</v>
      </c>
      <c r="Y45" s="189">
        <f t="shared" si="5"/>
        <v>7.263397869064387</v>
      </c>
      <c r="Z45" s="189">
        <f t="shared" si="5"/>
        <v>7.263397869064387</v>
      </c>
      <c r="AA45" s="189">
        <f t="shared" si="5"/>
        <v>7.263397869064387</v>
      </c>
      <c r="AB45" s="189">
        <f t="shared" si="5"/>
        <v>7.3360433216250591</v>
      </c>
      <c r="AC45" s="189">
        <f t="shared" si="5"/>
        <v>7.3360433216250591</v>
      </c>
      <c r="AD45" s="189">
        <f t="shared" si="5"/>
        <v>7.3360433216250591</v>
      </c>
      <c r="AE45" s="189">
        <f t="shared" si="5"/>
        <v>7.3360433216250591</v>
      </c>
      <c r="AF45" s="189">
        <f t="shared" si="5"/>
        <v>7.3360433216250591</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1:43" x14ac:dyDescent="0.2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0.11518861443804111</v>
      </c>
      <c r="S46" s="265">
        <f t="shared" si="6"/>
        <v>0.11518861443804111</v>
      </c>
      <c r="T46" s="265">
        <f t="shared" si="6"/>
        <v>0.11518861443804111</v>
      </c>
      <c r="U46" s="265">
        <f t="shared" si="6"/>
        <v>0.11518861443804111</v>
      </c>
      <c r="V46" s="265">
        <f t="shared" si="6"/>
        <v>0.11518861443804111</v>
      </c>
      <c r="W46" s="265">
        <f t="shared" si="6"/>
        <v>6.9699671029066212E-2</v>
      </c>
      <c r="X46" s="265">
        <f t="shared" si="6"/>
        <v>6.9699671029066212E-2</v>
      </c>
      <c r="Y46" s="265">
        <f t="shared" si="6"/>
        <v>6.9699671029066212E-2</v>
      </c>
      <c r="Z46" s="265">
        <f t="shared" si="6"/>
        <v>6.9699671029066212E-2</v>
      </c>
      <c r="AA46" s="265">
        <f t="shared" si="6"/>
        <v>6.9699671029066212E-2</v>
      </c>
      <c r="AB46" s="265">
        <f t="shared" si="6"/>
        <v>3.0329114448965223E-2</v>
      </c>
      <c r="AC46" s="265">
        <f t="shared" si="6"/>
        <v>3.0329114448965223E-2</v>
      </c>
      <c r="AD46" s="265">
        <f t="shared" si="6"/>
        <v>3.0329114448965223E-2</v>
      </c>
      <c r="AE46" s="265">
        <f t="shared" si="6"/>
        <v>3.0329114448965223E-2</v>
      </c>
      <c r="AF46" s="265">
        <f t="shared" si="6"/>
        <v>3.0329114448965223E-2</v>
      </c>
      <c r="AG46" s="265">
        <f t="shared" si="6"/>
        <v>0</v>
      </c>
      <c r="AH46" s="265">
        <f t="shared" si="6"/>
        <v>0</v>
      </c>
      <c r="AI46" s="265">
        <f t="shared" si="6"/>
        <v>0</v>
      </c>
      <c r="AJ46" s="265">
        <f t="shared" si="6"/>
        <v>0.13197133789973453</v>
      </c>
      <c r="AK46" s="265">
        <f t="shared" si="6"/>
        <v>0</v>
      </c>
      <c r="AL46" s="265">
        <f t="shared" si="6"/>
        <v>0.10133750175642738</v>
      </c>
      <c r="AM46" s="265">
        <f t="shared" si="6"/>
        <v>0</v>
      </c>
      <c r="AN46" s="265">
        <f t="shared" si="6"/>
        <v>7.8373162303441601E-2</v>
      </c>
      <c r="AO46" s="265">
        <f t="shared" si="6"/>
        <v>0</v>
      </c>
      <c r="AP46" s="256"/>
      <c r="AQ46" s="256"/>
    </row>
    <row r="47" spans="1: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1:43" x14ac:dyDescent="0.25">
      <c r="D48"/>
      <c r="E48" s="23" t="s">
        <v>875</v>
      </c>
      <c r="F48" s="321"/>
      <c r="G48" t="s">
        <v>270</v>
      </c>
      <c r="J48" s="189">
        <f>INDEX($J29:$Y29,J$37)</f>
        <v>0.25599387005250862</v>
      </c>
      <c r="K48" s="189">
        <f t="shared" ref="K48:AO48" si="7">INDEX($J29:$Y29,K$37)</f>
        <v>0</v>
      </c>
      <c r="L48" s="189">
        <f t="shared" si="7"/>
        <v>0.15572279561536206</v>
      </c>
      <c r="M48" s="189">
        <f t="shared" si="7"/>
        <v>0.15572279561536206</v>
      </c>
      <c r="N48" s="189">
        <f t="shared" si="7"/>
        <v>0.15572279561536206</v>
      </c>
      <c r="O48" s="189">
        <f t="shared" si="7"/>
        <v>0.15572279561536206</v>
      </c>
      <c r="P48" s="189">
        <f t="shared" si="7"/>
        <v>0.15572279561536206</v>
      </c>
      <c r="Q48" s="189">
        <f t="shared" si="7"/>
        <v>0</v>
      </c>
      <c r="R48" s="189">
        <f t="shared" si="7"/>
        <v>0.15572279561536206</v>
      </c>
      <c r="S48" s="189">
        <f t="shared" si="7"/>
        <v>0.15572279561536206</v>
      </c>
      <c r="T48" s="189">
        <f t="shared" si="7"/>
        <v>0.15572279561536206</v>
      </c>
      <c r="U48" s="189">
        <f t="shared" si="7"/>
        <v>0.15572279561536206</v>
      </c>
      <c r="V48" s="189">
        <f t="shared" si="7"/>
        <v>0.15572279561536206</v>
      </c>
      <c r="W48" s="189">
        <f t="shared" si="7"/>
        <v>0.15572279561536206</v>
      </c>
      <c r="X48" s="189">
        <f t="shared" si="7"/>
        <v>0.15572279561536206</v>
      </c>
      <c r="Y48" s="189">
        <f t="shared" si="7"/>
        <v>0.15572279561536206</v>
      </c>
      <c r="Z48" s="189">
        <f t="shared" si="7"/>
        <v>0.15572279561536206</v>
      </c>
      <c r="AA48" s="189">
        <f t="shared" si="7"/>
        <v>0.15572279561536206</v>
      </c>
      <c r="AB48" s="189">
        <f t="shared" si="7"/>
        <v>0.15572279561536206</v>
      </c>
      <c r="AC48" s="189">
        <f t="shared" si="7"/>
        <v>0.15572279561536206</v>
      </c>
      <c r="AD48" s="189">
        <f t="shared" si="7"/>
        <v>0.15572279561536206</v>
      </c>
      <c r="AE48" s="189">
        <f t="shared" si="7"/>
        <v>0.15572279561536206</v>
      </c>
      <c r="AF48" s="189">
        <f t="shared" si="7"/>
        <v>0.15572279561536206</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156</v>
      </c>
      <c r="G53" s="19" t="s">
        <v>207</v>
      </c>
      <c r="H53" s="313">
        <v>0</v>
      </c>
      <c r="I53" s="19"/>
      <c r="J53" s="183">
        <f>INDEX('Volume adjustments'!$J$481:$Y$521, J$36 + 1 + $H53*$H$59, J$37)</f>
        <v>982339.25157892017</v>
      </c>
      <c r="K53" s="183">
        <f>INDEX('Volume adjustments'!$J$481:$Y$521, K$36 + 1 + $H53*$H$59, K$37)</f>
        <v>97.101998282967941</v>
      </c>
      <c r="L53" s="183">
        <f>INDEX('Volume adjustments'!$J$481:$Y$521, L$36 + 1 + $H53*$H$59, L$37)</f>
        <v>0.84541270469587915</v>
      </c>
      <c r="M53" s="183">
        <f>INDEX('Volume adjustments'!$J$481:$Y$521, M$36 + 1 + $H53*$H$59, M$37)</f>
        <v>11902.49229375277</v>
      </c>
      <c r="N53" s="183">
        <f>INDEX('Volume adjustments'!$J$481:$Y$521, N$36 + 1 + $H53*$H$59, N$37)</f>
        <v>44625.446877617796</v>
      </c>
      <c r="O53" s="183">
        <f>INDEX('Volume adjustments'!$J$481:$Y$521, O$36 + 1 + $H53*$H$59, O$37)</f>
        <v>55625.376389088327</v>
      </c>
      <c r="P53" s="183">
        <f>INDEX('Volume adjustments'!$J$481:$Y$521, P$36 + 1 + $H53*$H$59, P$37)</f>
        <v>185684.62468371307</v>
      </c>
      <c r="Q53" s="183">
        <f>INDEX('Volume adjustments'!$J$481:$Y$521, Q$36 + 1 + $H53*$H$59, Q$37)</f>
        <v>113.60366930781993</v>
      </c>
      <c r="R53" s="183">
        <f>INDEX('Volume adjustments'!$J$481:$Y$521, R$36 + 1 + $H53*$H$59, R$37)</f>
        <v>113.67037138779294</v>
      </c>
      <c r="S53" s="183">
        <f>INDEX('Volume adjustments'!$J$481:$Y$521, S$36 + 1 + $H53*$H$59, S$37)</f>
        <v>61190.855424937356</v>
      </c>
      <c r="T53" s="183">
        <f>INDEX('Volume adjustments'!$J$481:$Y$521, T$36 + 1 + $H53*$H$59, T$37)</f>
        <v>92385.394201231844</v>
      </c>
      <c r="U53" s="183">
        <f>INDEX('Volume adjustments'!$J$481:$Y$521, U$36 + 1 + $H53*$H$59, U$37)</f>
        <v>50745.099153529394</v>
      </c>
      <c r="V53" s="183">
        <f>INDEX('Volume adjustments'!$J$481:$Y$521, V$36 + 1 + $H53*$H$59, V$37)</f>
        <v>50067.76550026481</v>
      </c>
      <c r="W53" s="183">
        <f>INDEX('Volume adjustments'!$J$481:$Y$521, W$36 + 1 + $H53*$H$59, W$37)</f>
        <v>0.92942754552445628</v>
      </c>
      <c r="X53" s="183">
        <f>INDEX('Volume adjustments'!$J$481:$Y$521, X$36 + 1 + $H53*$H$59, X$37)</f>
        <v>582.00865082499445</v>
      </c>
      <c r="Y53" s="183">
        <f>INDEX('Volume adjustments'!$J$481:$Y$521, Y$36 + 1 + $H53*$H$59, Y$37)</f>
        <v>880.32483158977493</v>
      </c>
      <c r="Z53" s="183">
        <f>INDEX('Volume adjustments'!$J$481:$Y$521, Z$36 + 1 + $H53*$H$59, Z$37)</f>
        <v>1586.6923800778125</v>
      </c>
      <c r="AA53" s="183">
        <f>INDEX('Volume adjustments'!$J$481:$Y$521, AA$36 + 1 + $H53*$H$59, AA$37)</f>
        <v>18086.50632699026</v>
      </c>
      <c r="AB53" s="183">
        <f>INDEX('Volume adjustments'!$J$481:$Y$521, AB$36 + 1 + $H53*$H$59, AB$37)</f>
        <v>514.89001982790273</v>
      </c>
      <c r="AC53" s="183">
        <f>INDEX('Volume adjustments'!$J$481:$Y$521, AC$36 + 1 + $H53*$H$59, AC$37)</f>
        <v>100333.82881532091</v>
      </c>
      <c r="AD53" s="183">
        <f>INDEX('Volume adjustments'!$J$481:$Y$521, AD$36 + 1 + $H53*$H$59, AD$37)</f>
        <v>173591.48498803456</v>
      </c>
      <c r="AE53" s="183">
        <f>INDEX('Volume adjustments'!$J$481:$Y$521, AE$36 + 1 + $H53*$H$59, AE$37)</f>
        <v>94867.737055684222</v>
      </c>
      <c r="AF53" s="183">
        <f>INDEX('Volume adjustments'!$J$481:$Y$521, AF$36 + 1 + $H53*$H$59, AF$37)</f>
        <v>297508.25407821994</v>
      </c>
      <c r="AG53" s="183">
        <f>INDEX('Volume adjustments'!$J$481:$Y$521, AG$36 + 1 + $H53*$H$59, AG$37)</f>
        <v>10819.160910698545</v>
      </c>
      <c r="AH53" s="183">
        <f>INDEX('Volume adjustments'!$J$481:$Y$521, AH$36 + 1 + $H53*$H$59, AH$37)</f>
        <v>407.10202278917717</v>
      </c>
      <c r="AI53" s="183">
        <f>INDEX('Volume adjustments'!$J$481:$Y$521, AI$36 + 1 + $H53*$H$59, AI$37)</f>
        <v>0</v>
      </c>
      <c r="AJ53" s="183">
        <f>INDEX('Volume adjustments'!$J$481:$Y$521, AJ$36 + 1 + $H53*$H$59, AJ$37)</f>
        <v>4588.4979110785662</v>
      </c>
      <c r="AK53" s="183">
        <f>INDEX('Volume adjustments'!$J$481:$Y$521, AK$36 + 1 + $H53*$H$59, AK$37)</f>
        <v>0</v>
      </c>
      <c r="AL53" s="183">
        <f>INDEX('Volume adjustments'!$J$481:$Y$521, AL$36 + 1 + $H53*$H$59, AL$37)</f>
        <v>1000.7714870643234</v>
      </c>
      <c r="AM53" s="183">
        <f>INDEX('Volume adjustments'!$J$481:$Y$521, AM$36 + 1 + $H53*$H$59, AM$37)</f>
        <v>0</v>
      </c>
      <c r="AN53" s="183">
        <f>INDEX('Volume adjustments'!$J$481:$Y$521, AN$36 + 1 + $H53*$H$59, AN$37)</f>
        <v>112520.57829750761</v>
      </c>
      <c r="AO53" s="183">
        <f>INDEX('Volume adjustments'!$J$481:$Y$521, AO$36 + 1 + $H53*$H$59, AO$37)</f>
        <v>0</v>
      </c>
    </row>
    <row r="54" spans="4:41" x14ac:dyDescent="0.25">
      <c r="D54" s="78"/>
      <c r="F54" t="s">
        <v>157</v>
      </c>
      <c r="G54" t="s">
        <v>207</v>
      </c>
      <c r="H54" s="363">
        <v>1</v>
      </c>
      <c r="J54" s="327">
        <f>INDEX('Volume adjustments'!$J$481:$Y$521, J$36 + 1 + $H54*$H$59, J$37)</f>
        <v>2791486.3824818004</v>
      </c>
      <c r="K54" s="327">
        <f>INDEX('Volume adjustments'!$J$481:$Y$521, K$36 + 1 + $H54*$H$59, K$37)</f>
        <v>2610.0714903095482</v>
      </c>
      <c r="L54" s="327">
        <f>INDEX('Volume adjustments'!$J$481:$Y$521, L$36 + 1 + $H54*$H$59, L$37)</f>
        <v>3.4947301543468345</v>
      </c>
      <c r="M54" s="327">
        <f>INDEX('Volume adjustments'!$J$481:$Y$521, M$36 + 1 + $H54*$H$59, M$37)</f>
        <v>49043.060232103402</v>
      </c>
      <c r="N54" s="327">
        <f>INDEX('Volume adjustments'!$J$481:$Y$521, N$36 + 1 + $H54*$H$59, N$37)</f>
        <v>183874.84980880862</v>
      </c>
      <c r="O54" s="327">
        <f>INDEX('Volume adjustments'!$J$481:$Y$521, O$36 + 1 + $H54*$H$59, O$37)</f>
        <v>229198.99843584633</v>
      </c>
      <c r="P54" s="327">
        <f>INDEX('Volume adjustments'!$J$481:$Y$521, P$36 + 1 + $H54*$H$59, P$37)</f>
        <v>765095.58703483292</v>
      </c>
      <c r="Q54" s="327">
        <f>INDEX('Volume adjustments'!$J$481:$Y$521, Q$36 + 1 + $H54*$H$59, Q$37)</f>
        <v>928.08494967695549</v>
      </c>
      <c r="R54" s="327">
        <f>INDEX('Volume adjustments'!$J$481:$Y$521, R$36 + 1 + $H54*$H$59, R$37)</f>
        <v>490.41477022151486</v>
      </c>
      <c r="S54" s="327">
        <f>INDEX('Volume adjustments'!$J$481:$Y$521, S$36 + 1 + $H54*$H$59, S$37)</f>
        <v>263499.72576921323</v>
      </c>
      <c r="T54" s="327">
        <f>INDEX('Volume adjustments'!$J$481:$Y$521, T$36 + 1 + $H54*$H$59, T$37)</f>
        <v>397829.65711671149</v>
      </c>
      <c r="U54" s="327">
        <f>INDEX('Volume adjustments'!$J$481:$Y$521, U$36 + 1 + $H54*$H$59, U$37)</f>
        <v>218518.39623550809</v>
      </c>
      <c r="V54" s="327">
        <f>INDEX('Volume adjustments'!$J$481:$Y$521, V$36 + 1 + $H54*$H$59, V$37)</f>
        <v>215601.6402970627</v>
      </c>
      <c r="W54" s="327">
        <f>INDEX('Volume adjustments'!$J$481:$Y$521, W$36 + 1 + $H54*$H$59, W$37)</f>
        <v>3.5167763112993287</v>
      </c>
      <c r="X54" s="327">
        <f>INDEX('Volume adjustments'!$J$481:$Y$521, X$36 + 1 + $H54*$H$59, X$37)</f>
        <v>2269.1777238814707</v>
      </c>
      <c r="Y54" s="327">
        <f>INDEX('Volume adjustments'!$J$481:$Y$521, Y$36 + 1 + $H54*$H$59, Y$37)</f>
        <v>3432.2745800970774</v>
      </c>
      <c r="Z54" s="327">
        <f>INDEX('Volume adjustments'!$J$481:$Y$521, Z$36 + 1 + $H54*$H$59, Z$37)</f>
        <v>6186.4187765376955</v>
      </c>
      <c r="AA54" s="327">
        <f>INDEX('Volume adjustments'!$J$481:$Y$521, AA$36 + 1 + $H54*$H$59, AA$37)</f>
        <v>70516.98836756371</v>
      </c>
      <c r="AB54" s="327">
        <f>INDEX('Volume adjustments'!$J$481:$Y$521, AB$36 + 1 + $H54*$H$59, AB$37)</f>
        <v>2048.4044602273625</v>
      </c>
      <c r="AC54" s="327">
        <f>INDEX('Volume adjustments'!$J$481:$Y$521, AC$36 + 1 + $H54*$H$59, AC$37)</f>
        <v>399707.77556287317</v>
      </c>
      <c r="AD54" s="327">
        <f>INDEX('Volume adjustments'!$J$481:$Y$521, AD$36 + 1 + $H54*$H$59, AD$37)</f>
        <v>691545.73201570509</v>
      </c>
      <c r="AE54" s="327">
        <f>INDEX('Volume adjustments'!$J$481:$Y$521, AE$36 + 1 + $H54*$H$59, AE$37)</f>
        <v>377929.77199306735</v>
      </c>
      <c r="AF54" s="327">
        <f>INDEX('Volume adjustments'!$J$481:$Y$521, AF$36 + 1 + $H54*$H$59, AF$37)</f>
        <v>1185199.4533863759</v>
      </c>
      <c r="AG54" s="327">
        <f>INDEX('Volume adjustments'!$J$481:$Y$521, AG$36 + 1 + $H54*$H$59, AG$37)</f>
        <v>47234.121959902513</v>
      </c>
      <c r="AH54" s="327">
        <f>INDEX('Volume adjustments'!$J$481:$Y$521, AH$36 + 1 + $H54*$H$59, AH$37)</f>
        <v>1833.5949051998</v>
      </c>
      <c r="AI54" s="327">
        <f>INDEX('Volume adjustments'!$J$481:$Y$521, AI$36 + 1 + $H54*$H$59, AI$37)</f>
        <v>0</v>
      </c>
      <c r="AJ54" s="327">
        <f>INDEX('Volume adjustments'!$J$481:$Y$521, AJ$36 + 1 + $H54*$H$59, AJ$37)</f>
        <v>20525.605245333853</v>
      </c>
      <c r="AK54" s="327">
        <f>INDEX('Volume adjustments'!$J$481:$Y$521, AK$36 + 1 + $H54*$H$59, AK$37)</f>
        <v>0</v>
      </c>
      <c r="AL54" s="327">
        <f>INDEX('Volume adjustments'!$J$481:$Y$521, AL$36 + 1 + $H54*$H$59, AL$37)</f>
        <v>3996.1654558994287</v>
      </c>
      <c r="AM54" s="327">
        <f>INDEX('Volume adjustments'!$J$481:$Y$521, AM$36 + 1 + $H54*$H$59, AM$37)</f>
        <v>0</v>
      </c>
      <c r="AN54" s="327">
        <f>INDEX('Volume adjustments'!$J$481:$Y$521, AN$36 + 1 + $H54*$H$59, AN$37)</f>
        <v>328225.11344676261</v>
      </c>
      <c r="AO54" s="327">
        <f>INDEX('Volume adjustments'!$J$481:$Y$521, AO$36 + 1 + $H54*$H$59, AO$37)</f>
        <v>0</v>
      </c>
    </row>
    <row r="55" spans="4:41" x14ac:dyDescent="0.25">
      <c r="D55" s="78"/>
      <c r="F55" t="s">
        <v>158</v>
      </c>
      <c r="G55" t="s">
        <v>207</v>
      </c>
      <c r="H55" s="363">
        <v>2</v>
      </c>
      <c r="J55" s="327">
        <f>INDEX('Volume adjustments'!$J$481:$Y$521, J$36 + 1 + $H55*$H$59, J$37)</f>
        <v>4975114.6920176791</v>
      </c>
      <c r="K55" s="327">
        <f>INDEX('Volume adjustments'!$J$481:$Y$521, K$36 + 1 + $H55*$H$59, K$37)</f>
        <v>10855.114741116735</v>
      </c>
      <c r="L55" s="327">
        <f>INDEX('Volume adjustments'!$J$481:$Y$521, L$36 + 1 + $H55*$H$59, L$37)</f>
        <v>3.8443571409572863</v>
      </c>
      <c r="M55" s="327">
        <f>INDEX('Volume adjustments'!$J$481:$Y$521, M$36 + 1 + $H55*$H$59, M$37)</f>
        <v>53899.344729637291</v>
      </c>
      <c r="N55" s="327">
        <f>INDEX('Volume adjustments'!$J$481:$Y$521, N$36 + 1 + $H55*$H$59, N$37)</f>
        <v>202082.30333759842</v>
      </c>
      <c r="O55" s="327">
        <f>INDEX('Volume adjustments'!$J$481:$Y$521, O$36 + 1 + $H55*$H$59, O$37)</f>
        <v>251894.49005530932</v>
      </c>
      <c r="P55" s="327">
        <f>INDEX('Volume adjustments'!$J$481:$Y$521, P$36 + 1 + $H55*$H$59, P$37)</f>
        <v>840856.04236901051</v>
      </c>
      <c r="Q55" s="327">
        <f>INDEX('Volume adjustments'!$J$481:$Y$521, Q$36 + 1 + $H55*$H$59, Q$37)</f>
        <v>2405.8570016096082</v>
      </c>
      <c r="R55" s="327">
        <f>INDEX('Volume adjustments'!$J$481:$Y$521, R$36 + 1 + $H55*$H$59, R$37)</f>
        <v>704.50795839069224</v>
      </c>
      <c r="S55" s="327">
        <f>INDEX('Volume adjustments'!$J$481:$Y$521, S$36 + 1 + $H55*$H$59, S$37)</f>
        <v>376346.68533835711</v>
      </c>
      <c r="T55" s="327">
        <f>INDEX('Volume adjustments'!$J$481:$Y$521, T$36 + 1 + $H55*$H$59, T$37)</f>
        <v>568205.82961896865</v>
      </c>
      <c r="U55" s="327">
        <f>INDEX('Volume adjustments'!$J$481:$Y$521, U$36 + 1 + $H55*$H$59, U$37)</f>
        <v>312102.1192341678</v>
      </c>
      <c r="V55" s="327">
        <f>INDEX('Volume adjustments'!$J$481:$Y$521, V$36 + 1 + $H55*$H$59, V$37)</f>
        <v>307936.11546266731</v>
      </c>
      <c r="W55" s="327">
        <f>INDEX('Volume adjustments'!$J$481:$Y$521, W$36 + 1 + $H55*$H$59, W$37)</f>
        <v>4.3330961431762152</v>
      </c>
      <c r="X55" s="327">
        <f>INDEX('Volume adjustments'!$J$481:$Y$521, X$36 + 1 + $H55*$H$59, X$37)</f>
        <v>2797.2833941157369</v>
      </c>
      <c r="Y55" s="327">
        <f>INDEX('Volume adjustments'!$J$481:$Y$521, Y$36 + 1 + $H55*$H$59, Y$37)</f>
        <v>4231.0677501841301</v>
      </c>
      <c r="Z55" s="327">
        <f>INDEX('Volume adjustments'!$J$481:$Y$521, Z$36 + 1 + $H55*$H$59, Z$37)</f>
        <v>7626.1859903096347</v>
      </c>
      <c r="AA55" s="327">
        <f>INDEX('Volume adjustments'!$J$481:$Y$521, AA$36 + 1 + $H55*$H$59, AA$37)</f>
        <v>86928.405160891707</v>
      </c>
      <c r="AB55" s="327">
        <f>INDEX('Volume adjustments'!$J$481:$Y$521, AB$36 + 1 + $H55*$H$59, AB$37)</f>
        <v>2865.4108199447342</v>
      </c>
      <c r="AC55" s="327">
        <f>INDEX('Volume adjustments'!$J$481:$Y$521, AC$36 + 1 + $H55*$H$59, AC$37)</f>
        <v>558859.48162268032</v>
      </c>
      <c r="AD55" s="327">
        <f>INDEX('Volume adjustments'!$J$481:$Y$521, AD$36 + 1 + $H55*$H$59, AD$37)</f>
        <v>966900.756924171</v>
      </c>
      <c r="AE55" s="327">
        <f>INDEX('Volume adjustments'!$J$481:$Y$521, AE$36 + 1 + $H55*$H$59, AE$37)</f>
        <v>528411.27141664817</v>
      </c>
      <c r="AF55" s="327">
        <f>INDEX('Volume adjustments'!$J$481:$Y$521, AF$36 + 1 + $H55*$H$59, AF$37)</f>
        <v>1657114.2808907279</v>
      </c>
      <c r="AG55" s="327">
        <f>INDEX('Volume adjustments'!$J$481:$Y$521, AG$36 + 1 + $H55*$H$59, AG$37)</f>
        <v>180790.04896787592</v>
      </c>
      <c r="AH55" s="327">
        <f>INDEX('Volume adjustments'!$J$481:$Y$521, AH$36 + 1 + $H55*$H$59, AH$37)</f>
        <v>1022.9660720110227</v>
      </c>
      <c r="AI55" s="327">
        <f>INDEX('Volume adjustments'!$J$481:$Y$521, AI$36 + 1 + $H55*$H$59, AI$37)</f>
        <v>0</v>
      </c>
      <c r="AJ55" s="327">
        <f>INDEX('Volume adjustments'!$J$481:$Y$521, AJ$36 + 1 + $H55*$H$59, AJ$37)</f>
        <v>19225.931376920918</v>
      </c>
      <c r="AK55" s="327">
        <f>INDEX('Volume adjustments'!$J$481:$Y$521, AK$36 + 1 + $H55*$H$59, AK$37)</f>
        <v>0</v>
      </c>
      <c r="AL55" s="327">
        <f>INDEX('Volume adjustments'!$J$481:$Y$521, AL$36 + 1 + $H55*$H$59, AL$37)</f>
        <v>6019.197723702915</v>
      </c>
      <c r="AM55" s="327">
        <f>INDEX('Volume adjustments'!$J$481:$Y$521, AM$36 + 1 + $H55*$H$59, AM$37)</f>
        <v>0</v>
      </c>
      <c r="AN55" s="327">
        <f>INDEX('Volume adjustments'!$J$481:$Y$521, AN$36 + 1 + $H55*$H$59, AN$37)</f>
        <v>370994.99308906303</v>
      </c>
      <c r="AO55" s="327">
        <f>INDEX('Volume adjustments'!$J$481:$Y$521, AO$36 + 1 + $H55*$H$59, AO$37)</f>
        <v>0</v>
      </c>
    </row>
    <row r="56" spans="4:41" x14ac:dyDescent="0.25">
      <c r="D56" s="78"/>
      <c r="F56" t="s">
        <v>212</v>
      </c>
      <c r="G56" t="s">
        <v>212</v>
      </c>
      <c r="H56" s="363">
        <v>3</v>
      </c>
      <c r="J56" s="327">
        <f>INDEX('Volume adjustments'!$J$481:$Y$521, J$36 + 1 + $H56*$H$59, J$37)</f>
        <v>2389874.3672400983</v>
      </c>
      <c r="K56" s="327">
        <f>INDEX('Volume adjustments'!$J$481:$Y$521, K$36 + 1 + $H56*$H$59, K$37)</f>
        <v>0</v>
      </c>
      <c r="L56" s="327">
        <f>INDEX('Volume adjustments'!$J$481:$Y$521, L$36 + 1 + $H56*$H$59, L$37)</f>
        <v>8.1844999999999999</v>
      </c>
      <c r="M56" s="327">
        <f>INDEX('Volume adjustments'!$J$481:$Y$521, M$36 + 1 + $H56*$H$59, M$37)</f>
        <v>71659.638905771921</v>
      </c>
      <c r="N56" s="327">
        <f>INDEX('Volume adjustments'!$J$481:$Y$521, N$36 + 1 + $H56*$H$59, N$37)</f>
        <v>53949.53605863652</v>
      </c>
      <c r="O56" s="327">
        <f>INDEX('Volume adjustments'!$J$481:$Y$521, O$36 + 1 + $H56*$H$59, O$37)</f>
        <v>28137.346684155214</v>
      </c>
      <c r="P56" s="327">
        <f>INDEX('Volume adjustments'!$J$481:$Y$521, P$36 + 1 + $H56*$H$59, P$37)</f>
        <v>28364.686377462484</v>
      </c>
      <c r="Q56" s="327">
        <f>INDEX('Volume adjustments'!$J$481:$Y$521, Q$36 + 1 + $H56*$H$59, Q$37)</f>
        <v>0</v>
      </c>
      <c r="R56" s="327">
        <f>INDEX('Volume adjustments'!$J$481:$Y$521, R$36 + 1 + $H56*$H$59, R$37)</f>
        <v>29</v>
      </c>
      <c r="S56" s="327">
        <f>INDEX('Volume adjustments'!$J$481:$Y$521, S$36 + 1 + $H56*$H$59, S$37)</f>
        <v>6728.8121035464419</v>
      </c>
      <c r="T56" s="327">
        <f>INDEX('Volume adjustments'!$J$481:$Y$521, T$36 + 1 + $H56*$H$59, T$37)</f>
        <v>5401.954662028309</v>
      </c>
      <c r="U56" s="327">
        <f>INDEX('Volume adjustments'!$J$481:$Y$521, U$36 + 1 + $H56*$H$59, U$37)</f>
        <v>1876.7790625959519</v>
      </c>
      <c r="V56" s="327">
        <f>INDEX('Volume adjustments'!$J$481:$Y$521, V$36 + 1 + $H56*$H$59, V$37)</f>
        <v>1127.5007109423705</v>
      </c>
      <c r="W56" s="327">
        <f>INDEX('Volume adjustments'!$J$481:$Y$521, W$36 + 1 + $H56*$H$59, W$37)</f>
        <v>1</v>
      </c>
      <c r="X56" s="327">
        <f>INDEX('Volume adjustments'!$J$481:$Y$521, X$36 + 1 + $H56*$H$59, X$37)</f>
        <v>24.806956900403353</v>
      </c>
      <c r="Y56" s="327">
        <f>INDEX('Volume adjustments'!$J$481:$Y$521, Y$36 + 1 + $H56*$H$59, Y$37)</f>
        <v>28.350807886175257</v>
      </c>
      <c r="Z56" s="327">
        <f>INDEX('Volume adjustments'!$J$481:$Y$521, Z$36 + 1 + $H56*$H$59, Z$37)</f>
        <v>33.257226195795106</v>
      </c>
      <c r="AA56" s="327">
        <f>INDEX('Volume adjustments'!$J$481:$Y$521, AA$36 + 1 + $H56*$H$59, AA$37)</f>
        <v>253.97598731365335</v>
      </c>
      <c r="AB56" s="327">
        <f>INDEX('Volume adjustments'!$J$481:$Y$521, AB$36 + 1 + $H56*$H$59, AB$37)</f>
        <v>76</v>
      </c>
      <c r="AC56" s="327">
        <f>INDEX('Volume adjustments'!$J$481:$Y$521, AC$36 + 1 + $H56*$H$59, AC$37)</f>
        <v>2236.9847532876661</v>
      </c>
      <c r="AD56" s="327">
        <f>INDEX('Volume adjustments'!$J$481:$Y$521, AD$36 + 1 + $H56*$H$59, AD$37)</f>
        <v>1233.6626525615436</v>
      </c>
      <c r="AE56" s="327">
        <f>INDEX('Volume adjustments'!$J$481:$Y$521, AE$36 + 1 + $H56*$H$59, AE$37)</f>
        <v>302.00289244655761</v>
      </c>
      <c r="AF56" s="327">
        <f>INDEX('Volume adjustments'!$J$481:$Y$521, AF$36 + 1 + $H56*$H$59, AF$37)</f>
        <v>304.03002089552893</v>
      </c>
      <c r="AG56" s="327">
        <f>INDEX('Volume adjustments'!$J$481:$Y$521, AG$36 + 1 + $H56*$H$59, AG$37)</f>
        <v>2294</v>
      </c>
      <c r="AH56" s="327">
        <f>INDEX('Volume adjustments'!$J$481:$Y$521, AH$36 + 1 + $H56*$H$59, AH$37)</f>
        <v>0</v>
      </c>
      <c r="AI56" s="327">
        <f>INDEX('Volume adjustments'!$J$481:$Y$521, AI$36 + 1 + $H56*$H$59, AI$37)</f>
        <v>0</v>
      </c>
      <c r="AJ56" s="327">
        <f>INDEX('Volume adjustments'!$J$481:$Y$521, AJ$36 + 1 + $H56*$H$59, AJ$37)</f>
        <v>633.94808743169403</v>
      </c>
      <c r="AK56" s="327">
        <f>INDEX('Volume adjustments'!$J$481:$Y$521, AK$36 + 1 + $H56*$H$59, AK$37)</f>
        <v>0</v>
      </c>
      <c r="AL56" s="327">
        <f>INDEX('Volume adjustments'!$J$481:$Y$521, AL$36 + 1 + $H56*$H$59, AL$37)</f>
        <v>35.618169398907106</v>
      </c>
      <c r="AM56" s="327">
        <f>INDEX('Volume adjustments'!$J$481:$Y$521, AM$36 + 1 + $H56*$H$59, AM$37)</f>
        <v>0</v>
      </c>
      <c r="AN56" s="327">
        <f>INDEX('Volume adjustments'!$J$481:$Y$521, AN$36 + 1 + $H56*$H$59, AN$37)</f>
        <v>338.62978142076497</v>
      </c>
      <c r="AO56" s="327">
        <f>INDEX('Volume adjustments'!$J$481:$Y$521, AO$36 + 1 + $H56*$H$59, AO$37)</f>
        <v>0</v>
      </c>
    </row>
    <row r="57" spans="4:41" x14ac:dyDescent="0.25">
      <c r="D57" s="78"/>
      <c r="F57" t="s">
        <v>735</v>
      </c>
      <c r="G57" t="s">
        <v>251</v>
      </c>
      <c r="H57" s="363">
        <v>4</v>
      </c>
      <c r="J57" s="327">
        <f>INDEX('Volume adjustments'!$J$481:$Y$521, J$36 + 1 + $H57*$H$59, J$37)</f>
        <v>0</v>
      </c>
      <c r="K57" s="327">
        <f>INDEX('Volume adjustments'!$J$481:$Y$521, K$36 + 1 + $H57*$H$59, K$37)</f>
        <v>0</v>
      </c>
      <c r="L57" s="327">
        <f>INDEX('Volume adjustments'!$J$481:$Y$521, L$36 + 1 + $H57*$H$59, L$37)</f>
        <v>0</v>
      </c>
      <c r="M57" s="327">
        <f>INDEX('Volume adjustments'!$J$481:$Y$521, M$36 + 1 + $H57*$H$59, M$37)</f>
        <v>0</v>
      </c>
      <c r="N57" s="327">
        <f>INDEX('Volume adjustments'!$J$481:$Y$521, N$36 + 1 + $H57*$H$59, N$37)</f>
        <v>0</v>
      </c>
      <c r="O57" s="327">
        <f>INDEX('Volume adjustments'!$J$481:$Y$521, O$36 + 1 + $H57*$H$59, O$37)</f>
        <v>0</v>
      </c>
      <c r="P57" s="327">
        <f>INDEX('Volume adjustments'!$J$481:$Y$521, P$36 + 1 + $H57*$H$59, P$37)</f>
        <v>0</v>
      </c>
      <c r="Q57" s="327">
        <f>INDEX('Volume adjustments'!$J$481:$Y$521, Q$36 + 1 + $H57*$H$59, Q$37)</f>
        <v>0</v>
      </c>
      <c r="R57" s="327">
        <f>INDEX('Volume adjustments'!$J$481:$Y$521, R$36 + 1 + $H57*$H$59, R$37)</f>
        <v>1856</v>
      </c>
      <c r="S57" s="327">
        <f>INDEX('Volume adjustments'!$J$481:$Y$521, S$36 + 1 + $H57*$H$59, S$37)</f>
        <v>329624.20448627538</v>
      </c>
      <c r="T57" s="327">
        <f>INDEX('Volume adjustments'!$J$481:$Y$521, T$36 + 1 + $H57*$H$59, T$37)</f>
        <v>640743.85195919499</v>
      </c>
      <c r="U57" s="327">
        <f>INDEX('Volume adjustments'!$J$481:$Y$521, U$36 + 1 + $H57*$H$59, U$37)</f>
        <v>355678.79253955325</v>
      </c>
      <c r="V57" s="327">
        <f>INDEX('Volume adjustments'!$J$481:$Y$521, V$36 + 1 + $H57*$H$59, V$37)</f>
        <v>360348.36027057155</v>
      </c>
      <c r="W57" s="327">
        <f>INDEX('Volume adjustments'!$J$481:$Y$521, W$36 + 1 + $H57*$H$59, W$37)</f>
        <v>220</v>
      </c>
      <c r="X57" s="327">
        <f>INDEX('Volume adjustments'!$J$481:$Y$521, X$36 + 1 + $H57*$H$59, X$37)</f>
        <v>5978.0764052419072</v>
      </c>
      <c r="Y57" s="327">
        <f>INDEX('Volume adjustments'!$J$481:$Y$521, Y$36 + 1 + $H57*$H$59, Y$37)</f>
        <v>3407.8764039861358</v>
      </c>
      <c r="Z57" s="327">
        <f>INDEX('Volume adjustments'!$J$481:$Y$521, Z$36 + 1 + $H57*$H$59, Z$37)</f>
        <v>6219.1712797418541</v>
      </c>
      <c r="AA57" s="327">
        <f>INDEX('Volume adjustments'!$J$481:$Y$521, AA$36 + 1 + $H57*$H$59, AA$37)</f>
        <v>124608.71485778771</v>
      </c>
      <c r="AB57" s="327">
        <f>INDEX('Volume adjustments'!$J$481:$Y$521, AB$36 + 1 + $H57*$H$59, AB$37)</f>
        <v>16548</v>
      </c>
      <c r="AC57" s="327">
        <f>INDEX('Volume adjustments'!$J$481:$Y$521, AC$36 + 1 + $H57*$H$59, AC$37)</f>
        <v>493971.72502145596</v>
      </c>
      <c r="AD57" s="327">
        <f>INDEX('Volume adjustments'!$J$481:$Y$521, AD$36 + 1 + $H57*$H$59, AD$37)</f>
        <v>793231.8981153944</v>
      </c>
      <c r="AE57" s="327">
        <f>INDEX('Volume adjustments'!$J$481:$Y$521, AE$36 + 1 + $H57*$H$59, AE$37)</f>
        <v>415210.31775695417</v>
      </c>
      <c r="AF57" s="327">
        <f>INDEX('Volume adjustments'!$J$481:$Y$521, AF$36 + 1 + $H57*$H$59, AF$37)</f>
        <v>1226813.3476782795</v>
      </c>
      <c r="AG57" s="327">
        <f>INDEX('Volume adjustments'!$J$481:$Y$521, AG$36 + 1 + $H57*$H$59, AG$37)</f>
        <v>0</v>
      </c>
      <c r="AH57" s="327">
        <f>INDEX('Volume adjustments'!$J$481:$Y$521, AH$36 + 1 + $H57*$H$59, AH$37)</f>
        <v>0</v>
      </c>
      <c r="AI57" s="327">
        <f>INDEX('Volume adjustments'!$J$481:$Y$521, AI$36 + 1 + $H57*$H$59, AI$37)</f>
        <v>0</v>
      </c>
      <c r="AJ57" s="327">
        <f>INDEX('Volume adjustments'!$J$481:$Y$521, AJ$36 + 1 + $H57*$H$59, AJ$37)</f>
        <v>0</v>
      </c>
      <c r="AK57" s="327">
        <f>INDEX('Volume adjustments'!$J$481:$Y$521, AK$36 + 1 + $H57*$H$59, AK$37)</f>
        <v>0</v>
      </c>
      <c r="AL57" s="327">
        <f>INDEX('Volume adjustments'!$J$481:$Y$521, AL$36 + 1 + $H57*$H$59, AL$37)</f>
        <v>0</v>
      </c>
      <c r="AM57" s="327">
        <f>INDEX('Volume adjustments'!$J$481:$Y$521, AM$36 + 1 + $H57*$H$59, AM$37)</f>
        <v>0</v>
      </c>
      <c r="AN57" s="327">
        <f>INDEX('Volume adjustments'!$J$481:$Y$521, AN$36 + 1 + $H57*$H$59, AN$37)</f>
        <v>0</v>
      </c>
      <c r="AO57" s="327">
        <f>INDEX('Volume adjustments'!$J$481:$Y$521, AO$36 + 1 + $H57*$H$59, AO$37)</f>
        <v>0</v>
      </c>
    </row>
    <row r="58" spans="4:41" x14ac:dyDescent="0.25">
      <c r="D58" s="78"/>
      <c r="F58" t="s">
        <v>252</v>
      </c>
      <c r="G58" t="s">
        <v>251</v>
      </c>
      <c r="H58" s="363">
        <v>5</v>
      </c>
      <c r="J58" s="327">
        <f>INDEX('Volume adjustments'!$J$481:$Y$521, J$36 + 1 + $H58*$H$59, J$37)</f>
        <v>0</v>
      </c>
      <c r="K58" s="327">
        <f>INDEX('Volume adjustments'!$J$481:$Y$521, K$36 + 1 + $H58*$H$59, K$37)</f>
        <v>0</v>
      </c>
      <c r="L58" s="327">
        <f>INDEX('Volume adjustments'!$J$481:$Y$521, L$36 + 1 + $H58*$H$59, L$37)</f>
        <v>0</v>
      </c>
      <c r="M58" s="327">
        <f>INDEX('Volume adjustments'!$J$481:$Y$521, M$36 + 1 + $H58*$H$59, M$37)</f>
        <v>0</v>
      </c>
      <c r="N58" s="327">
        <f>INDEX('Volume adjustments'!$J$481:$Y$521, N$36 + 1 + $H58*$H$59, N$37)</f>
        <v>0</v>
      </c>
      <c r="O58" s="327">
        <f>INDEX('Volume adjustments'!$J$481:$Y$521, O$36 + 1 + $H58*$H$59, O$37)</f>
        <v>0</v>
      </c>
      <c r="P58" s="327">
        <f>INDEX('Volume adjustments'!$J$481:$Y$521, P$36 + 1 + $H58*$H$59, P$37)</f>
        <v>0</v>
      </c>
      <c r="Q58" s="327">
        <f>INDEX('Volume adjustments'!$J$481:$Y$521, Q$36 + 1 + $H58*$H$59, Q$37)</f>
        <v>0</v>
      </c>
      <c r="R58" s="327">
        <f>INDEX('Volume adjustments'!$J$481:$Y$521, R$36 + 1 + $H58*$H$59, R$37)</f>
        <v>0</v>
      </c>
      <c r="S58" s="327">
        <f>INDEX('Volume adjustments'!$J$481:$Y$521, S$36 + 1 + $H58*$H$59, S$37)</f>
        <v>5300.1161257494086</v>
      </c>
      <c r="T58" s="327">
        <f>INDEX('Volume adjustments'!$J$481:$Y$521, T$36 + 1 + $H58*$H$59, T$37)</f>
        <v>10294.854587395865</v>
      </c>
      <c r="U58" s="327">
        <f>INDEX('Volume adjustments'!$J$481:$Y$521, U$36 + 1 + $H58*$H$59, U$37)</f>
        <v>5718.5783502173908</v>
      </c>
      <c r="V58" s="327">
        <f>INDEX('Volume adjustments'!$J$481:$Y$521, V$36 + 1 + $H58*$H$59, V$37)</f>
        <v>5797.2581316184978</v>
      </c>
      <c r="W58" s="327">
        <f>INDEX('Volume adjustments'!$J$481:$Y$521, W$36 + 1 + $H58*$H$59, W$37)</f>
        <v>0</v>
      </c>
      <c r="X58" s="327">
        <f>INDEX('Volume adjustments'!$J$481:$Y$521, X$36 + 1 + $H58*$H$59, X$37)</f>
        <v>28.692885670945969</v>
      </c>
      <c r="Y58" s="327">
        <f>INDEX('Volume adjustments'!$J$481:$Y$521, Y$36 + 1 + $H58*$H$59, Y$37)</f>
        <v>16.356734409508078</v>
      </c>
      <c r="Z58" s="327">
        <f>INDEX('Volume adjustments'!$J$481:$Y$521, Z$36 + 1 + $H58*$H$59, Z$37)</f>
        <v>30.905995979453436</v>
      </c>
      <c r="AA58" s="327">
        <f>INDEX('Volume adjustments'!$J$481:$Y$521, AA$36 + 1 + $H58*$H$59, AA$37)</f>
        <v>598.08262167457656</v>
      </c>
      <c r="AB58" s="327">
        <f>INDEX('Volume adjustments'!$J$481:$Y$521, AB$36 + 1 + $H58*$H$59, AB$37)</f>
        <v>0</v>
      </c>
      <c r="AC58" s="327">
        <f>INDEX('Volume adjustments'!$J$481:$Y$521, AC$36 + 1 + $H58*$H$59, AC$37)</f>
        <v>7473.9066419944438</v>
      </c>
      <c r="AD58" s="327">
        <f>INDEX('Volume adjustments'!$J$481:$Y$521, AD$36 + 1 + $H58*$H$59, AD$37)</f>
        <v>11705.379482510896</v>
      </c>
      <c r="AE58" s="327">
        <f>INDEX('Volume adjustments'!$J$481:$Y$521, AE$36 + 1 + $H58*$H$59, AE$37)</f>
        <v>6137.2213121475079</v>
      </c>
      <c r="AF58" s="327">
        <f>INDEX('Volume adjustments'!$J$481:$Y$521, AF$36 + 1 + $H58*$H$59, AF$37)</f>
        <v>18068.247179302096</v>
      </c>
      <c r="AG58" s="327">
        <f>INDEX('Volume adjustments'!$J$481:$Y$521, AG$36 + 1 + $H58*$H$59, AG$37)</f>
        <v>0</v>
      </c>
      <c r="AH58" s="327">
        <f>INDEX('Volume adjustments'!$J$481:$Y$521, AH$36 + 1 + $H58*$H$59, AH$37)</f>
        <v>0</v>
      </c>
      <c r="AI58" s="327">
        <f>INDEX('Volume adjustments'!$J$481:$Y$521, AI$36 + 1 + $H58*$H$59, AI$37)</f>
        <v>0</v>
      </c>
      <c r="AJ58" s="327">
        <f>INDEX('Volume adjustments'!$J$481:$Y$521, AJ$36 + 1 + $H58*$H$59, AJ$37)</f>
        <v>0</v>
      </c>
      <c r="AK58" s="327">
        <f>INDEX('Volume adjustments'!$J$481:$Y$521, AK$36 + 1 + $H58*$H$59, AK$37)</f>
        <v>0</v>
      </c>
      <c r="AL58" s="327">
        <f>INDEX('Volume adjustments'!$J$481:$Y$521, AL$36 + 1 + $H58*$H$59, AL$37)</f>
        <v>0</v>
      </c>
      <c r="AM58" s="327">
        <f>INDEX('Volume adjustments'!$J$481:$Y$521, AM$36 + 1 + $H58*$H$59, AM$37)</f>
        <v>0</v>
      </c>
      <c r="AN58" s="327">
        <f>INDEX('Volume adjustments'!$J$481:$Y$521, AN$36 + 1 + $H58*$H$59, AN$37)</f>
        <v>0</v>
      </c>
      <c r="AO58" s="327">
        <f>INDEX('Volume adjustments'!$J$481:$Y$521, AO$36 + 1 + $H58*$H$59, AO$37)</f>
        <v>0</v>
      </c>
    </row>
    <row r="59" spans="4:41" x14ac:dyDescent="0.25">
      <c r="D59" s="78"/>
      <c r="F59" s="28" t="s">
        <v>215</v>
      </c>
      <c r="G59" s="57" t="s">
        <v>254</v>
      </c>
      <c r="H59" s="314">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288.15313798253834</v>
      </c>
      <c r="S59" s="185">
        <f>INDEX('Volume adjustments'!$J$481:$Y$521, S$36 + 1 + $H59*$H$59, S$37)</f>
        <v>57920.887072735801</v>
      </c>
      <c r="T59" s="185">
        <f>INDEX('Volume adjustments'!$J$481:$Y$521, T$36 + 1 + $H59*$H$59, T$37)</f>
        <v>87791.084070454672</v>
      </c>
      <c r="U59" s="185">
        <f>INDEX('Volume adjustments'!$J$481:$Y$521, U$36 + 1 + $H59*$H$59, U$37)</f>
        <v>48207.18099917475</v>
      </c>
      <c r="V59" s="185">
        <f>INDEX('Volume adjustments'!$J$481:$Y$521, V$36 + 1 + $H59*$H$59, V$37)</f>
        <v>47586.149899531207</v>
      </c>
      <c r="W59" s="185">
        <f>INDEX('Volume adjustments'!$J$481:$Y$521, W$36 + 1 + $H59*$H$59, W$37)</f>
        <v>192.90741538233189</v>
      </c>
      <c r="X59" s="185">
        <f>INDEX('Volume adjustments'!$J$481:$Y$521, X$36 + 1 + $H59*$H$59, X$37)</f>
        <v>149.12200784056378</v>
      </c>
      <c r="Y59" s="185">
        <f>INDEX('Volume adjustments'!$J$481:$Y$521, Y$36 + 1 + $H59*$H$59, Y$37)</f>
        <v>469.42751040175432</v>
      </c>
      <c r="Z59" s="185">
        <f>INDEX('Volume adjustments'!$J$481:$Y$521, Z$36 + 1 + $H59*$H$59, Z$37)</f>
        <v>853.15730944147117</v>
      </c>
      <c r="AA59" s="185">
        <f>INDEX('Volume adjustments'!$J$481:$Y$521, AA$36 + 1 + $H59*$H$59, AA$37)</f>
        <v>9871.3106180770756</v>
      </c>
      <c r="AB59" s="185">
        <f>INDEX('Volume adjustments'!$J$481:$Y$521, AB$36 + 1 + $H59*$H$59, AB$37)</f>
        <v>374.50654211740863</v>
      </c>
      <c r="AC59" s="185">
        <f>INDEX('Volume adjustments'!$J$481:$Y$521, AC$36 + 1 + $H59*$H$59, AC$37)</f>
        <v>113797.87626098795</v>
      </c>
      <c r="AD59" s="185">
        <f>INDEX('Volume adjustments'!$J$481:$Y$521, AD$36 + 1 + $H59*$H$59, AD$37)</f>
        <v>196524.5969580824</v>
      </c>
      <c r="AE59" s="185">
        <f>INDEX('Volume adjustments'!$J$481:$Y$521, AE$36 + 1 + $H59*$H$59, AE$37)</f>
        <v>107400.54526446066</v>
      </c>
      <c r="AF59" s="185">
        <f>INDEX('Volume adjustments'!$J$481:$Y$521, AF$36 + 1 + $H59*$H$59, AF$37)</f>
        <v>336812.32092868647</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3766.8398500000003</v>
      </c>
      <c r="AK59" s="185">
        <f>INDEX('Volume adjustments'!$J$481:$Y$521, AK$36 + 1 + $H59*$H$59, AK$37)</f>
        <v>0</v>
      </c>
      <c r="AL59" s="185">
        <f>INDEX('Volume adjustments'!$J$481:$Y$521, AL$36 + 1 + $H59*$H$59, AL$37)</f>
        <v>310.738</v>
      </c>
      <c r="AM59" s="185">
        <f>INDEX('Volume adjustments'!$J$481:$Y$521, AM$36 + 1 + $H59*$H$59, AM$37)</f>
        <v>0</v>
      </c>
      <c r="AN59" s="185">
        <f>INDEX('Volume adjustments'!$J$481:$Y$521, AN$36 + 1 + $H59*$H$59, AN$37)</f>
        <v>36887.486000000004</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277</v>
      </c>
      <c r="H61" s="110">
        <f>'General inputs'!$H$88</f>
        <v>529115080.97237021</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277</v>
      </c>
      <c r="H64" s="114">
        <f>'General inputs'!H53</f>
        <v>896834.97929005558</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25" customFormat="1" x14ac:dyDescent="0.25">
      <c r="D65" s="427"/>
      <c r="E65" s="428"/>
      <c r="F65" s="300" t="s">
        <v>872</v>
      </c>
      <c r="G65" s="429" t="s">
        <v>277</v>
      </c>
      <c r="H65" s="432">
        <f>'General inputs'!H54</f>
        <v>1508723.5032712726</v>
      </c>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row>
    <row r="66" spans="1:43" x14ac:dyDescent="0.25">
      <c r="A66" s="425"/>
      <c r="C66" s="78"/>
      <c r="F66" s="28" t="s">
        <v>1151</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25"/>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25" customFormat="1" x14ac:dyDescent="0.25">
      <c r="C68" s="427"/>
      <c r="D68" s="428"/>
      <c r="E68" s="425" t="s">
        <v>886</v>
      </c>
      <c r="F68" s="309"/>
      <c r="G68" s="425" t="s">
        <v>277</v>
      </c>
      <c r="H68" s="440">
        <f>H61 - H64  - H65 - H66</f>
        <v>526709522.48980886</v>
      </c>
      <c r="I68" s="425" t="s">
        <v>154</v>
      </c>
      <c r="J68" s="439"/>
      <c r="K68" s="439"/>
      <c r="L68" s="439"/>
      <c r="M68" s="439"/>
      <c r="N68" s="439"/>
      <c r="O68" s="439"/>
      <c r="P68" s="4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Q68" s="425" t="s">
        <v>1160</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control'!$H$36:$H$59,MATCH($A$1,'Version control'!$F$36:$F$59,0),1)&amp;"-B: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156</v>
      </c>
      <c r="G76" s="19" t="s">
        <v>277</v>
      </c>
      <c r="H76" s="148">
        <f t="shared" ref="H76:H83" si="8">SUM(J76:AO76)</f>
        <v>102893786.50449727</v>
      </c>
      <c r="I76" s="119"/>
      <c r="J76" s="311">
        <f t="shared" ref="J76:AO76" si="9">J53 * thousand * J40 / hundred</f>
        <v>64394614.952000372</v>
      </c>
      <c r="K76" s="311">
        <f t="shared" si="9"/>
        <v>6365.2610648014743</v>
      </c>
      <c r="L76" s="311">
        <f t="shared" si="9"/>
        <v>51.379071806661038</v>
      </c>
      <c r="M76" s="311">
        <f t="shared" si="9"/>
        <v>723361.50479184312</v>
      </c>
      <c r="N76" s="311">
        <f t="shared" si="9"/>
        <v>2712064.8019528622</v>
      </c>
      <c r="O76" s="311">
        <f t="shared" si="9"/>
        <v>3380573.998820635</v>
      </c>
      <c r="P76" s="311">
        <f t="shared" si="9"/>
        <v>11284788.615105256</v>
      </c>
      <c r="Q76" s="311">
        <f t="shared" si="9"/>
        <v>6904.1440357421052</v>
      </c>
      <c r="R76" s="311">
        <f t="shared" si="9"/>
        <v>5394.0896384637072</v>
      </c>
      <c r="S76" s="311">
        <f t="shared" si="9"/>
        <v>2903737.8446696214</v>
      </c>
      <c r="T76" s="311">
        <f t="shared" si="9"/>
        <v>4384036.8560612081</v>
      </c>
      <c r="U76" s="311">
        <f t="shared" si="9"/>
        <v>2408047.1472468637</v>
      </c>
      <c r="V76" s="311">
        <f t="shared" si="9"/>
        <v>2375905.1000603302</v>
      </c>
      <c r="W76" s="311">
        <f t="shared" si="9"/>
        <v>22.626322118302959</v>
      </c>
      <c r="X76" s="311">
        <f t="shared" si="9"/>
        <v>14168.630220416384</v>
      </c>
      <c r="Y76" s="311">
        <f t="shared" si="9"/>
        <v>21430.947795991407</v>
      </c>
      <c r="Z76" s="311">
        <f t="shared" si="9"/>
        <v>38627.016239376884</v>
      </c>
      <c r="AA76" s="311">
        <f t="shared" si="9"/>
        <v>440304.4864764426</v>
      </c>
      <c r="AB76" s="311">
        <f t="shared" si="9"/>
        <v>6091.6347071964701</v>
      </c>
      <c r="AC76" s="311">
        <f t="shared" si="9"/>
        <v>1187043.8547665095</v>
      </c>
      <c r="AD76" s="311">
        <f t="shared" si="9"/>
        <v>2053751.0421746597</v>
      </c>
      <c r="AE76" s="311">
        <f t="shared" si="9"/>
        <v>1122374.8322695252</v>
      </c>
      <c r="AF76" s="311">
        <f t="shared" si="9"/>
        <v>3519803.3297014749</v>
      </c>
      <c r="AG76" s="311">
        <f t="shared" si="9"/>
        <v>2119747.8364529167</v>
      </c>
      <c r="AH76" s="311">
        <f t="shared" si="9"/>
        <v>-17044.49401455027</v>
      </c>
      <c r="AI76" s="311">
        <f t="shared" si="9"/>
        <v>0</v>
      </c>
      <c r="AJ76" s="311">
        <f t="shared" si="9"/>
        <v>-192110.6278109955</v>
      </c>
      <c r="AK76" s="311">
        <f t="shared" si="9"/>
        <v>0</v>
      </c>
      <c r="AL76" s="311">
        <f t="shared" si="9"/>
        <v>-34702.513533992344</v>
      </c>
      <c r="AM76" s="311">
        <f t="shared" si="9"/>
        <v>0</v>
      </c>
      <c r="AN76" s="311">
        <f t="shared" si="9"/>
        <v>-1971567.7917895957</v>
      </c>
      <c r="AO76" s="311">
        <f t="shared" si="9"/>
        <v>0</v>
      </c>
    </row>
    <row r="77" spans="1:43" x14ac:dyDescent="0.25">
      <c r="D77" s="78"/>
      <c r="F77" t="s">
        <v>157</v>
      </c>
      <c r="G77" t="s">
        <v>277</v>
      </c>
      <c r="H77" s="79">
        <f t="shared" si="8"/>
        <v>60714588.392375328</v>
      </c>
      <c r="I77" s="53"/>
      <c r="J77" s="205">
        <f t="shared" ref="J77" si="10">J54 * thousand * J41 / hundred</f>
        <v>32496397.143013123</v>
      </c>
      <c r="K77" s="205">
        <f t="shared" ref="K77:AO77" si="11">K54 * thousand * K41 / hundred</f>
        <v>30384.500620542858</v>
      </c>
      <c r="L77" s="205">
        <f t="shared" si="11"/>
        <v>37.717489533450383</v>
      </c>
      <c r="M77" s="205">
        <f t="shared" si="11"/>
        <v>529305.84889134613</v>
      </c>
      <c r="N77" s="205">
        <f t="shared" si="11"/>
        <v>1984501.6401344175</v>
      </c>
      <c r="O77" s="205">
        <f t="shared" si="11"/>
        <v>2473670.4817763129</v>
      </c>
      <c r="P77" s="205">
        <f t="shared" si="11"/>
        <v>8257428.6201129742</v>
      </c>
      <c r="Q77" s="205">
        <f t="shared" si="11"/>
        <v>10016.519968516948</v>
      </c>
      <c r="R77" s="205">
        <f t="shared" si="11"/>
        <v>4172.956507480756</v>
      </c>
      <c r="S77" s="205">
        <f t="shared" si="11"/>
        <v>2242128.42299054</v>
      </c>
      <c r="T77" s="205">
        <f t="shared" si="11"/>
        <v>3385146.5276711774</v>
      </c>
      <c r="U77" s="205">
        <f t="shared" si="11"/>
        <v>1859380.7098496268</v>
      </c>
      <c r="V77" s="205">
        <f t="shared" si="11"/>
        <v>1834561.9311073571</v>
      </c>
      <c r="W77" s="205">
        <f t="shared" si="11"/>
        <v>15.784158445894429</v>
      </c>
      <c r="X77" s="205">
        <f t="shared" si="11"/>
        <v>10184.62863860853</v>
      </c>
      <c r="Y77" s="205">
        <f t="shared" si="11"/>
        <v>15404.893859186632</v>
      </c>
      <c r="Z77" s="205">
        <f t="shared" si="11"/>
        <v>27766.171498536387</v>
      </c>
      <c r="AA77" s="205">
        <f t="shared" si="11"/>
        <v>316497.61571263697</v>
      </c>
      <c r="AB77" s="205">
        <f t="shared" si="11"/>
        <v>4269.9564198387825</v>
      </c>
      <c r="AC77" s="205">
        <f t="shared" si="11"/>
        <v>833202.04357235716</v>
      </c>
      <c r="AD77" s="205">
        <f t="shared" si="11"/>
        <v>1441546.4305837417</v>
      </c>
      <c r="AE77" s="205">
        <f t="shared" si="11"/>
        <v>787805.18569603574</v>
      </c>
      <c r="AF77" s="205">
        <f t="shared" si="11"/>
        <v>2470581.4271732518</v>
      </c>
      <c r="AG77" s="205">
        <f t="shared" si="11"/>
        <v>948416.17879670043</v>
      </c>
      <c r="AH77" s="205">
        <f t="shared" si="11"/>
        <v>-13633.139967157082</v>
      </c>
      <c r="AI77" s="205">
        <f t="shared" si="11"/>
        <v>0</v>
      </c>
      <c r="AJ77" s="205">
        <f t="shared" si="11"/>
        <v>-152611.92558219843</v>
      </c>
      <c r="AK77" s="205">
        <f t="shared" si="11"/>
        <v>0</v>
      </c>
      <c r="AL77" s="205">
        <f t="shared" si="11"/>
        <v>-24752.736347328835</v>
      </c>
      <c r="AM77" s="205">
        <f t="shared" si="11"/>
        <v>0</v>
      </c>
      <c r="AN77" s="205">
        <f t="shared" si="11"/>
        <v>-1057237.141970295</v>
      </c>
      <c r="AO77" s="205">
        <f t="shared" si="11"/>
        <v>0</v>
      </c>
    </row>
    <row r="78" spans="1:43" x14ac:dyDescent="0.25">
      <c r="D78" s="78"/>
      <c r="F78" t="s">
        <v>158</v>
      </c>
      <c r="G78" t="s">
        <v>277</v>
      </c>
      <c r="H78" s="79">
        <f t="shared" si="8"/>
        <v>12636659.732570479</v>
      </c>
      <c r="I78" s="53"/>
      <c r="J78" s="205">
        <f t="shared" ref="J78" si="12">J55 * thousand * J42 / hundred</f>
        <v>6815762.100989542</v>
      </c>
      <c r="K78" s="205">
        <f t="shared" ref="K78:AO78" si="13">K55 * thousand * K42 / hundred</f>
        <v>14871.190763321087</v>
      </c>
      <c r="L78" s="205">
        <f t="shared" si="13"/>
        <v>4.8827499496756008</v>
      </c>
      <c r="M78" s="205">
        <f t="shared" si="13"/>
        <v>68458.005621363889</v>
      </c>
      <c r="N78" s="205">
        <f t="shared" si="13"/>
        <v>256666.41268565514</v>
      </c>
      <c r="O78" s="205">
        <f t="shared" si="13"/>
        <v>319933.28495355533</v>
      </c>
      <c r="P78" s="205">
        <f t="shared" si="13"/>
        <v>1067978.2465630523</v>
      </c>
      <c r="Q78" s="205">
        <f t="shared" si="13"/>
        <v>3055.6989693758851</v>
      </c>
      <c r="R78" s="205">
        <f t="shared" si="13"/>
        <v>666.36283698907198</v>
      </c>
      <c r="S78" s="205">
        <f t="shared" si="13"/>
        <v>355969.64086305833</v>
      </c>
      <c r="T78" s="205">
        <f t="shared" si="13"/>
        <v>537440.69759486127</v>
      </c>
      <c r="U78" s="205">
        <f t="shared" si="13"/>
        <v>295203.5546599857</v>
      </c>
      <c r="V78" s="205">
        <f t="shared" si="13"/>
        <v>291263.11643069214</v>
      </c>
      <c r="W78" s="205">
        <f t="shared" si="13"/>
        <v>1.8038261873825285</v>
      </c>
      <c r="X78" s="205">
        <f t="shared" si="13"/>
        <v>1164.4821331237765</v>
      </c>
      <c r="Y78" s="205">
        <f t="shared" si="13"/>
        <v>1761.352750132467</v>
      </c>
      <c r="Z78" s="205">
        <f t="shared" si="13"/>
        <v>3174.7077712166169</v>
      </c>
      <c r="AA78" s="205">
        <f t="shared" si="13"/>
        <v>36187.457761247795</v>
      </c>
      <c r="AB78" s="205">
        <f t="shared" si="13"/>
        <v>490.66319110385086</v>
      </c>
      <c r="AC78" s="205">
        <f t="shared" si="13"/>
        <v>95697.194525466679</v>
      </c>
      <c r="AD78" s="205">
        <f t="shared" si="13"/>
        <v>165568.79298804796</v>
      </c>
      <c r="AE78" s="205">
        <f t="shared" si="13"/>
        <v>90483.346696351276</v>
      </c>
      <c r="AF78" s="205">
        <f t="shared" si="13"/>
        <v>283758.60641905782</v>
      </c>
      <c r="AG78" s="205">
        <f t="shared" si="13"/>
        <v>2062846.1665499676</v>
      </c>
      <c r="AH78" s="205">
        <f t="shared" si="13"/>
        <v>-895.08721957902412</v>
      </c>
      <c r="AI78" s="205">
        <f t="shared" si="13"/>
        <v>0</v>
      </c>
      <c r="AJ78" s="205">
        <f t="shared" si="13"/>
        <v>-16822.53784444166</v>
      </c>
      <c r="AK78" s="205">
        <f t="shared" si="13"/>
        <v>0</v>
      </c>
      <c r="AL78" s="205">
        <f t="shared" si="13"/>
        <v>-4240.0612074158762</v>
      </c>
      <c r="AM78" s="205">
        <f t="shared" si="13"/>
        <v>0</v>
      </c>
      <c r="AN78" s="205">
        <f t="shared" si="13"/>
        <v>-109790.35145139122</v>
      </c>
      <c r="AO78" s="205">
        <f t="shared" si="13"/>
        <v>0</v>
      </c>
    </row>
    <row r="79" spans="1:43" x14ac:dyDescent="0.25">
      <c r="D79" s="78"/>
      <c r="F79" t="s">
        <v>159</v>
      </c>
      <c r="G79" t="s">
        <v>277</v>
      </c>
      <c r="H79" s="79">
        <f t="shared" si="8"/>
        <v>58040778.686597519</v>
      </c>
      <c r="I79" s="53"/>
      <c r="J79" s="311">
        <f t="shared" ref="J79" si="14">J56 * J43 * days_in_year / hundred</f>
        <v>48773646.285678558</v>
      </c>
      <c r="K79" s="311">
        <f t="shared" ref="K79:AO79" si="15">K56 * K43 * days_in_year / hundred</f>
        <v>0</v>
      </c>
      <c r="L79" s="311">
        <f t="shared" si="15"/>
        <v>307.20846645163817</v>
      </c>
      <c r="M79" s="311">
        <f t="shared" si="15"/>
        <v>2689773.0801784275</v>
      </c>
      <c r="N79" s="311">
        <f t="shared" si="15"/>
        <v>2025017.3178998204</v>
      </c>
      <c r="O79" s="311">
        <f t="shared" si="15"/>
        <v>1056146.5116815211</v>
      </c>
      <c r="P79" s="311">
        <f t="shared" si="15"/>
        <v>1064679.7975932457</v>
      </c>
      <c r="Q79" s="311">
        <f t="shared" si="15"/>
        <v>0</v>
      </c>
      <c r="R79" s="311">
        <f t="shared" si="15"/>
        <v>1503.8242716885629</v>
      </c>
      <c r="S79" s="311">
        <f t="shared" si="15"/>
        <v>348929.34348085913</v>
      </c>
      <c r="T79" s="311">
        <f t="shared" si="15"/>
        <v>280123.81156273646</v>
      </c>
      <c r="U79" s="311">
        <f t="shared" si="15"/>
        <v>97322.272652713844</v>
      </c>
      <c r="V79" s="311">
        <f t="shared" si="15"/>
        <v>58467.687429698177</v>
      </c>
      <c r="W79" s="311">
        <f t="shared" si="15"/>
        <v>40.47918795408598</v>
      </c>
      <c r="X79" s="311">
        <f t="shared" si="15"/>
        <v>1004.1654709403377</v>
      </c>
      <c r="Y79" s="311">
        <f t="shared" si="15"/>
        <v>1147.6176810746715</v>
      </c>
      <c r="Z79" s="311">
        <f t="shared" si="15"/>
        <v>1346.2255100111422</v>
      </c>
      <c r="AA79" s="311">
        <f t="shared" si="15"/>
        <v>10280.741726293931</v>
      </c>
      <c r="AB79" s="311">
        <f t="shared" si="15"/>
        <v>28400.987988074776</v>
      </c>
      <c r="AC79" s="311">
        <f t="shared" si="15"/>
        <v>835954.9619424924</v>
      </c>
      <c r="AD79" s="311">
        <f t="shared" si="15"/>
        <v>461016.29179916927</v>
      </c>
      <c r="AE79" s="311">
        <f t="shared" si="15"/>
        <v>112857.63843077002</v>
      </c>
      <c r="AF79" s="311">
        <f t="shared" si="15"/>
        <v>113615.17067721106</v>
      </c>
      <c r="AG79" s="311">
        <f t="shared" si="15"/>
        <v>0</v>
      </c>
      <c r="AH79" s="311">
        <f t="shared" si="15"/>
        <v>0</v>
      </c>
      <c r="AI79" s="311">
        <f t="shared" si="15"/>
        <v>0</v>
      </c>
      <c r="AJ79" s="311">
        <f t="shared" si="15"/>
        <v>0</v>
      </c>
      <c r="AK79" s="311">
        <f t="shared" si="15"/>
        <v>0</v>
      </c>
      <c r="AL79" s="311">
        <f t="shared" si="15"/>
        <v>0</v>
      </c>
      <c r="AM79" s="311">
        <f t="shared" si="15"/>
        <v>0</v>
      </c>
      <c r="AN79" s="311">
        <f t="shared" si="15"/>
        <v>79197.265287809714</v>
      </c>
      <c r="AO79" s="311">
        <f t="shared" si="15"/>
        <v>0</v>
      </c>
    </row>
    <row r="80" spans="1:43" x14ac:dyDescent="0.25">
      <c r="D80" s="78"/>
      <c r="F80" t="s">
        <v>735</v>
      </c>
      <c r="G80" t="s">
        <v>277</v>
      </c>
      <c r="H80" s="79">
        <f t="shared" si="8"/>
        <v>93965365.591849446</v>
      </c>
      <c r="I80" s="53"/>
      <c r="J80" s="388">
        <f t="shared" ref="J80" si="16">J57 * J44 * days_in_year / hundred</f>
        <v>0</v>
      </c>
      <c r="K80" s="388">
        <f t="shared" ref="K80:AO80" si="17">K57 * K44 * days_in_year / hundred</f>
        <v>0</v>
      </c>
      <c r="L80" s="388">
        <f t="shared" si="17"/>
        <v>0</v>
      </c>
      <c r="M80" s="388">
        <f t="shared" si="17"/>
        <v>0</v>
      </c>
      <c r="N80" s="388">
        <f t="shared" si="17"/>
        <v>0</v>
      </c>
      <c r="O80" s="388">
        <f t="shared" si="17"/>
        <v>0</v>
      </c>
      <c r="P80" s="388">
        <f t="shared" si="17"/>
        <v>0</v>
      </c>
      <c r="Q80" s="388">
        <f t="shared" si="17"/>
        <v>0</v>
      </c>
      <c r="R80" s="388">
        <f t="shared" si="17"/>
        <v>33463.008983692169</v>
      </c>
      <c r="S80" s="388">
        <f t="shared" si="17"/>
        <v>5943005.2348958068</v>
      </c>
      <c r="T80" s="388">
        <f t="shared" si="17"/>
        <v>11552379.996959088</v>
      </c>
      <c r="U80" s="388">
        <f t="shared" si="17"/>
        <v>6412760.0377477659</v>
      </c>
      <c r="V80" s="388">
        <f t="shared" si="17"/>
        <v>6496950.6557073686</v>
      </c>
      <c r="W80" s="388">
        <f t="shared" si="17"/>
        <v>4302.6687609920928</v>
      </c>
      <c r="X80" s="388">
        <f t="shared" si="17"/>
        <v>116916.73908935575</v>
      </c>
      <c r="Y80" s="388">
        <f t="shared" si="17"/>
        <v>66649.833385241902</v>
      </c>
      <c r="Z80" s="388">
        <f t="shared" si="17"/>
        <v>121631.97265729315</v>
      </c>
      <c r="AA80" s="388">
        <f t="shared" si="17"/>
        <v>2437045.5671180659</v>
      </c>
      <c r="AB80" s="388">
        <f t="shared" si="17"/>
        <v>341435.32411958143</v>
      </c>
      <c r="AC80" s="388">
        <f t="shared" si="17"/>
        <v>10192131.740307564</v>
      </c>
      <c r="AD80" s="388">
        <f t="shared" si="17"/>
        <v>16366774.851040637</v>
      </c>
      <c r="AE80" s="388">
        <f t="shared" si="17"/>
        <v>8567045.529438002</v>
      </c>
      <c r="AF80" s="388">
        <f t="shared" si="17"/>
        <v>25312872.431638993</v>
      </c>
      <c r="AG80" s="388">
        <f t="shared" si="17"/>
        <v>0</v>
      </c>
      <c r="AH80" s="388">
        <f t="shared" si="17"/>
        <v>0</v>
      </c>
      <c r="AI80" s="388">
        <f t="shared" si="17"/>
        <v>0</v>
      </c>
      <c r="AJ80" s="388">
        <f t="shared" si="17"/>
        <v>0</v>
      </c>
      <c r="AK80" s="388">
        <f t="shared" si="17"/>
        <v>0</v>
      </c>
      <c r="AL80" s="388">
        <f t="shared" si="17"/>
        <v>0</v>
      </c>
      <c r="AM80" s="388">
        <f t="shared" si="17"/>
        <v>0</v>
      </c>
      <c r="AN80" s="388">
        <f t="shared" si="17"/>
        <v>0</v>
      </c>
      <c r="AO80" s="388">
        <f t="shared" si="17"/>
        <v>0</v>
      </c>
    </row>
    <row r="81" spans="1:43" x14ac:dyDescent="0.25">
      <c r="D81" s="78"/>
      <c r="F81" t="s">
        <v>252</v>
      </c>
      <c r="G81" t="s">
        <v>277</v>
      </c>
      <c r="H81" s="79">
        <f t="shared" si="8"/>
        <v>2040858.7388089788</v>
      </c>
      <c r="I81" s="53"/>
      <c r="J81" s="312">
        <f t="shared" ref="J81" si="18">J58 * J45 * days_in_year / hundred</f>
        <v>0</v>
      </c>
      <c r="K81" s="312">
        <f t="shared" ref="K81:AO81" si="19">K58 * K45 * days_in_year / hundred</f>
        <v>0</v>
      </c>
      <c r="L81" s="312">
        <f t="shared" si="19"/>
        <v>0</v>
      </c>
      <c r="M81" s="312">
        <f t="shared" si="19"/>
        <v>0</v>
      </c>
      <c r="N81" s="312">
        <f t="shared" si="19"/>
        <v>0</v>
      </c>
      <c r="O81" s="312">
        <f t="shared" si="19"/>
        <v>0</v>
      </c>
      <c r="P81" s="312">
        <f t="shared" si="19"/>
        <v>0</v>
      </c>
      <c r="Q81" s="312">
        <f t="shared" si="19"/>
        <v>0</v>
      </c>
      <c r="R81" s="312">
        <f t="shared" si="19"/>
        <v>0</v>
      </c>
      <c r="S81" s="312">
        <f t="shared" si="19"/>
        <v>167749.83001527312</v>
      </c>
      <c r="T81" s="312">
        <f t="shared" si="19"/>
        <v>325834.39043487521</v>
      </c>
      <c r="U81" s="312">
        <f t="shared" si="19"/>
        <v>180994.25058207565</v>
      </c>
      <c r="V81" s="312">
        <f t="shared" si="19"/>
        <v>183484.48280388539</v>
      </c>
      <c r="W81" s="312">
        <f t="shared" si="19"/>
        <v>0</v>
      </c>
      <c r="X81" s="312">
        <f t="shared" si="19"/>
        <v>762.77271138114475</v>
      </c>
      <c r="Y81" s="312">
        <f t="shared" si="19"/>
        <v>434.82801966883557</v>
      </c>
      <c r="Z81" s="312">
        <f t="shared" si="19"/>
        <v>821.60611593881708</v>
      </c>
      <c r="AA81" s="312">
        <f t="shared" si="19"/>
        <v>15899.450065651752</v>
      </c>
      <c r="AB81" s="312">
        <f t="shared" si="19"/>
        <v>0</v>
      </c>
      <c r="AC81" s="312">
        <f t="shared" si="19"/>
        <v>200673.7846412762</v>
      </c>
      <c r="AD81" s="312">
        <f t="shared" si="19"/>
        <v>314288.48578592547</v>
      </c>
      <c r="AE81" s="312">
        <f t="shared" si="19"/>
        <v>164783.89239835183</v>
      </c>
      <c r="AF81" s="312">
        <f t="shared" si="19"/>
        <v>485130.96523467521</v>
      </c>
      <c r="AG81" s="312">
        <f t="shared" si="19"/>
        <v>0</v>
      </c>
      <c r="AH81" s="312">
        <f t="shared" si="19"/>
        <v>0</v>
      </c>
      <c r="AI81" s="312">
        <f t="shared" si="19"/>
        <v>0</v>
      </c>
      <c r="AJ81" s="312">
        <f t="shared" si="19"/>
        <v>0</v>
      </c>
      <c r="AK81" s="312">
        <f t="shared" si="19"/>
        <v>0</v>
      </c>
      <c r="AL81" s="312">
        <f t="shared" si="19"/>
        <v>0</v>
      </c>
      <c r="AM81" s="312">
        <f t="shared" si="19"/>
        <v>0</v>
      </c>
      <c r="AN81" s="312">
        <f t="shared" si="19"/>
        <v>0</v>
      </c>
      <c r="AO81" s="312">
        <f t="shared" si="19"/>
        <v>0</v>
      </c>
    </row>
    <row r="82" spans="1:43" x14ac:dyDescent="0.25">
      <c r="D82" s="78"/>
      <c r="F82" s="28" t="s">
        <v>215</v>
      </c>
      <c r="G82" s="57" t="s">
        <v>277</v>
      </c>
      <c r="H82" s="72">
        <f t="shared" si="8"/>
        <v>549712.43601317564</v>
      </c>
      <c r="I82" s="120"/>
      <c r="J82" s="312">
        <f t="shared" ref="J82" si="20">J59 * thousand * J46 / hundred</f>
        <v>0</v>
      </c>
      <c r="K82" s="312">
        <f t="shared" ref="K82:AO82" si="21">K59 * thousand * K46 / hundred</f>
        <v>0</v>
      </c>
      <c r="L82" s="312">
        <f t="shared" si="21"/>
        <v>0</v>
      </c>
      <c r="M82" s="312">
        <f t="shared" si="21"/>
        <v>0</v>
      </c>
      <c r="N82" s="312">
        <f t="shared" si="21"/>
        <v>0</v>
      </c>
      <c r="O82" s="312">
        <f t="shared" si="21"/>
        <v>0</v>
      </c>
      <c r="P82" s="312">
        <f t="shared" si="21"/>
        <v>0</v>
      </c>
      <c r="Q82" s="312">
        <f t="shared" si="21"/>
        <v>0</v>
      </c>
      <c r="R82" s="312">
        <f t="shared" si="21"/>
        <v>331.91960710182269</v>
      </c>
      <c r="S82" s="312">
        <f t="shared" si="21"/>
        <v>66718.267289306837</v>
      </c>
      <c r="T82" s="312">
        <f t="shared" si="21"/>
        <v>101125.33334089257</v>
      </c>
      <c r="U82" s="312">
        <f t="shared" si="21"/>
        <v>55529.183852588023</v>
      </c>
      <c r="V82" s="312">
        <f t="shared" si="21"/>
        <v>54813.826733679285</v>
      </c>
      <c r="W82" s="312">
        <f t="shared" si="21"/>
        <v>134.45583391215959</v>
      </c>
      <c r="X82" s="312">
        <f t="shared" si="21"/>
        <v>103.93754889681128</v>
      </c>
      <c r="Y82" s="312">
        <f t="shared" si="21"/>
        <v>327.18943046995832</v>
      </c>
      <c r="Z82" s="312">
        <f t="shared" si="21"/>
        <v>594.64783804113779</v>
      </c>
      <c r="AA82" s="312">
        <f t="shared" si="21"/>
        <v>6880.2710270570042</v>
      </c>
      <c r="AB82" s="312">
        <f t="shared" si="21"/>
        <v>113.58451777765102</v>
      </c>
      <c r="AC82" s="312">
        <f t="shared" si="21"/>
        <v>34513.888131686865</v>
      </c>
      <c r="AD82" s="312">
        <f t="shared" si="21"/>
        <v>59604.16993178444</v>
      </c>
      <c r="AE82" s="312">
        <f t="shared" si="21"/>
        <v>32573.634292070972</v>
      </c>
      <c r="AF82" s="312">
        <f t="shared" si="21"/>
        <v>102152.19429267738</v>
      </c>
      <c r="AG82" s="312">
        <f t="shared" si="21"/>
        <v>0</v>
      </c>
      <c r="AH82" s="312">
        <f t="shared" si="21"/>
        <v>0</v>
      </c>
      <c r="AI82" s="312">
        <f t="shared" si="21"/>
        <v>0</v>
      </c>
      <c r="AJ82" s="312">
        <f t="shared" si="21"/>
        <v>4971.1489465853538</v>
      </c>
      <c r="AK82" s="312">
        <f t="shared" si="21"/>
        <v>0</v>
      </c>
      <c r="AL82" s="312">
        <f t="shared" si="21"/>
        <v>314.89412620788733</v>
      </c>
      <c r="AM82" s="312">
        <f t="shared" si="21"/>
        <v>0</v>
      </c>
      <c r="AN82" s="312">
        <f t="shared" si="21"/>
        <v>28909.889272439304</v>
      </c>
      <c r="AO82" s="312">
        <f t="shared" si="21"/>
        <v>0</v>
      </c>
    </row>
    <row r="83" spans="1:43" x14ac:dyDescent="0.25">
      <c r="D83"/>
      <c r="E83" s="24"/>
      <c r="F83" s="98" t="s">
        <v>100</v>
      </c>
      <c r="G83" s="142" t="s">
        <v>277</v>
      </c>
      <c r="H83" s="157">
        <f t="shared" si="8"/>
        <v>330841750.08271217</v>
      </c>
      <c r="I83" s="158"/>
      <c r="J83" s="206">
        <f t="shared" ref="J83" si="22">SUM(J76:J82)</f>
        <v>152480420.48168159</v>
      </c>
      <c r="K83" s="206">
        <f t="shared" ref="K83:AO83" si="23">SUM(K76:K82)</f>
        <v>51620.952448665419</v>
      </c>
      <c r="L83" s="206">
        <f t="shared" si="23"/>
        <v>401.18777774142518</v>
      </c>
      <c r="M83" s="206">
        <f t="shared" si="23"/>
        <v>4010898.4394829804</v>
      </c>
      <c r="N83" s="206">
        <f t="shared" si="23"/>
        <v>6978250.1726727551</v>
      </c>
      <c r="O83" s="206">
        <f t="shared" si="23"/>
        <v>7230324.2772320248</v>
      </c>
      <c r="P83" s="206">
        <f t="shared" si="23"/>
        <v>21674875.279374529</v>
      </c>
      <c r="Q83" s="206">
        <f t="shared" si="23"/>
        <v>19976.362973634936</v>
      </c>
      <c r="R83" s="206">
        <f t="shared" si="23"/>
        <v>45532.161845416093</v>
      </c>
      <c r="S83" s="206">
        <f t="shared" si="23"/>
        <v>12028238.584204467</v>
      </c>
      <c r="T83" s="206">
        <f t="shared" si="23"/>
        <v>20566087.613624841</v>
      </c>
      <c r="U83" s="206">
        <f t="shared" si="23"/>
        <v>11309237.15659162</v>
      </c>
      <c r="V83" s="206">
        <f t="shared" si="23"/>
        <v>11295446.800273011</v>
      </c>
      <c r="W83" s="206">
        <f t="shared" si="23"/>
        <v>4517.8180896099184</v>
      </c>
      <c r="X83" s="206">
        <f t="shared" si="23"/>
        <v>144305.35581272273</v>
      </c>
      <c r="Y83" s="206">
        <f t="shared" si="23"/>
        <v>107156.66292176585</v>
      </c>
      <c r="Z83" s="206">
        <f t="shared" si="23"/>
        <v>193962.34763041412</v>
      </c>
      <c r="AA83" s="206">
        <f t="shared" si="23"/>
        <v>3263095.589887396</v>
      </c>
      <c r="AB83" s="206">
        <f t="shared" si="23"/>
        <v>380802.15094357298</v>
      </c>
      <c r="AC83" s="206">
        <f t="shared" si="23"/>
        <v>13379217.467887355</v>
      </c>
      <c r="AD83" s="206">
        <f t="shared" si="23"/>
        <v>20862550.064303964</v>
      </c>
      <c r="AE83" s="206">
        <f t="shared" si="23"/>
        <v>10877924.059221108</v>
      </c>
      <c r="AF83" s="206">
        <f t="shared" si="23"/>
        <v>32287914.12513734</v>
      </c>
      <c r="AG83" s="206">
        <f t="shared" si="23"/>
        <v>5131010.181799585</v>
      </c>
      <c r="AH83" s="206">
        <f t="shared" si="23"/>
        <v>-31572.721201286378</v>
      </c>
      <c r="AI83" s="206">
        <f t="shared" si="23"/>
        <v>0</v>
      </c>
      <c r="AJ83" s="206">
        <f t="shared" si="23"/>
        <v>-356573.94229105022</v>
      </c>
      <c r="AK83" s="206">
        <f t="shared" si="23"/>
        <v>0</v>
      </c>
      <c r="AL83" s="206">
        <f t="shared" si="23"/>
        <v>-63380.416962529169</v>
      </c>
      <c r="AM83" s="206">
        <f t="shared" si="23"/>
        <v>0</v>
      </c>
      <c r="AN83" s="206">
        <f t="shared" si="23"/>
        <v>-3030488.130651033</v>
      </c>
      <c r="AO83" s="206">
        <f t="shared" si="23"/>
        <v>0</v>
      </c>
      <c r="AP83" s="200"/>
      <c r="AQ83" s="200"/>
    </row>
    <row r="84" spans="1: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3" x14ac:dyDescent="0.25">
      <c r="D85" s="78"/>
      <c r="E85" t="s">
        <v>740</v>
      </c>
      <c r="G85" t="s">
        <v>277</v>
      </c>
      <c r="H85" s="88">
        <f>H68 - H83</f>
        <v>195867772.40709668</v>
      </c>
      <c r="I85" s="200" t="s">
        <v>154</v>
      </c>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200"/>
      <c r="AQ85" s="200" t="s">
        <v>1146</v>
      </c>
    </row>
    <row r="86" spans="1:43" x14ac:dyDescent="0.25">
      <c r="C86" s="78"/>
      <c r="I86" s="200"/>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200"/>
      <c r="AQ86" s="200"/>
    </row>
    <row r="87" spans="1: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1: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3" x14ac:dyDescent="0.25">
      <c r="C89" s="26" t="str">
        <f ca="1">INDEX('Version control'!$H$36:$H$59,MATCH($A$1,'Version control'!$F$36:$F$59,0),1)&amp;"-C: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1:43" x14ac:dyDescent="0.25">
      <c r="A90" s="309"/>
      <c r="B90" s="309"/>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1:43" x14ac:dyDescent="0.25">
      <c r="A91" s="309"/>
      <c r="B91" s="309"/>
      <c r="C91" s="24"/>
      <c r="D91" s="24" t="s">
        <v>1142</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1:43" x14ac:dyDescent="0.25">
      <c r="A92" s="309"/>
      <c r="B92" s="309"/>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1:43" x14ac:dyDescent="0.25">
      <c r="A93" s="309"/>
      <c r="B93" s="309"/>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1:43" x14ac:dyDescent="0.25">
      <c r="A94" s="309"/>
      <c r="B94" s="309"/>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1:43" x14ac:dyDescent="0.25">
      <c r="A95" s="309"/>
      <c r="B95" s="309"/>
      <c r="C95" s="24"/>
      <c r="D95"/>
      <c r="E95"/>
      <c r="F95" s="19" t="s">
        <v>993</v>
      </c>
      <c r="G95" s="19" t="s">
        <v>149</v>
      </c>
      <c r="H95" s="19"/>
      <c r="I95" s="19"/>
      <c r="J95" s="347">
        <f>'Fixed inputs'!J177</f>
        <v>1</v>
      </c>
      <c r="K95" s="348"/>
      <c r="L95" s="348"/>
      <c r="M95" s="347">
        <f>'Fixed inputs'!M177</f>
        <v>1</v>
      </c>
      <c r="N95" s="347">
        <f>'Fixed inputs'!N177</f>
        <v>2</v>
      </c>
      <c r="O95" s="347">
        <f>'Fixed inputs'!O177</f>
        <v>3</v>
      </c>
      <c r="P95" s="347">
        <f>'Fixed inputs'!P177</f>
        <v>4</v>
      </c>
      <c r="Q95" s="348"/>
      <c r="R95" s="348"/>
      <c r="S95" s="347">
        <f>'Fixed inputs'!S177</f>
        <v>1</v>
      </c>
      <c r="T95" s="347">
        <f>'Fixed inputs'!T177</f>
        <v>2</v>
      </c>
      <c r="U95" s="347">
        <f>'Fixed inputs'!U177</f>
        <v>3</v>
      </c>
      <c r="V95" s="347">
        <f>'Fixed inputs'!V177</f>
        <v>4</v>
      </c>
      <c r="W95" s="348"/>
      <c r="X95" s="347">
        <f>'Fixed inputs'!X177</f>
        <v>1</v>
      </c>
      <c r="Y95" s="347">
        <f>'Fixed inputs'!Y177</f>
        <v>2</v>
      </c>
      <c r="Z95" s="347">
        <f>'Fixed inputs'!Z177</f>
        <v>3</v>
      </c>
      <c r="AA95" s="347">
        <f>'Fixed inputs'!AA177</f>
        <v>4</v>
      </c>
      <c r="AB95" s="348"/>
      <c r="AC95" s="347">
        <f>'Fixed inputs'!AC177</f>
        <v>1</v>
      </c>
      <c r="AD95" s="347">
        <f>'Fixed inputs'!AD177</f>
        <v>2</v>
      </c>
      <c r="AE95" s="347">
        <f>'Fixed inputs'!AE177</f>
        <v>3</v>
      </c>
      <c r="AF95" s="347">
        <f>'Fixed inputs'!AF177</f>
        <v>4</v>
      </c>
      <c r="AG95" s="347">
        <f>'Fixed inputs'!AG177</f>
        <v>1</v>
      </c>
      <c r="AH95" s="348"/>
      <c r="AI95" s="348"/>
      <c r="AJ95" s="348"/>
      <c r="AK95" s="348"/>
      <c r="AL95" s="348"/>
      <c r="AM95" s="348"/>
      <c r="AN95" s="348"/>
      <c r="AO95" s="348"/>
    </row>
    <row r="96" spans="1:43" x14ac:dyDescent="0.25">
      <c r="A96" s="309"/>
      <c r="B96" s="309"/>
      <c r="C96" s="24"/>
      <c r="D96"/>
      <c r="E96"/>
      <c r="F96" s="300" t="s">
        <v>994</v>
      </c>
      <c r="G96" s="300" t="s">
        <v>149</v>
      </c>
      <c r="H96" s="300"/>
      <c r="I96" s="300"/>
      <c r="J96" s="343">
        <f>'Fixed inputs'!J178</f>
        <v>1</v>
      </c>
      <c r="K96" s="344"/>
      <c r="L96" s="344"/>
      <c r="M96" s="343">
        <f>'Fixed inputs'!M178</f>
        <v>1</v>
      </c>
      <c r="N96" s="343">
        <f>'Fixed inputs'!N178</f>
        <v>1</v>
      </c>
      <c r="O96" s="343">
        <f>'Fixed inputs'!O178</f>
        <v>2</v>
      </c>
      <c r="P96" s="343">
        <f>'Fixed inputs'!P178</f>
        <v>3</v>
      </c>
      <c r="Q96" s="344"/>
      <c r="R96" s="344"/>
      <c r="S96" s="343">
        <f>'Fixed inputs'!S178</f>
        <v>1</v>
      </c>
      <c r="T96" s="343">
        <f>'Fixed inputs'!T178</f>
        <v>1</v>
      </c>
      <c r="U96" s="343">
        <f>'Fixed inputs'!U178</f>
        <v>2</v>
      </c>
      <c r="V96" s="343">
        <f>'Fixed inputs'!V178</f>
        <v>3</v>
      </c>
      <c r="W96" s="344"/>
      <c r="X96" s="343">
        <f>'Fixed inputs'!X178</f>
        <v>1</v>
      </c>
      <c r="Y96" s="343">
        <f>'Fixed inputs'!Y178</f>
        <v>1</v>
      </c>
      <c r="Z96" s="343">
        <f>'Fixed inputs'!Z178</f>
        <v>2</v>
      </c>
      <c r="AA96" s="343">
        <f>'Fixed inputs'!AA178</f>
        <v>3</v>
      </c>
      <c r="AB96" s="344"/>
      <c r="AC96" s="343">
        <f>'Fixed inputs'!AC178</f>
        <v>1</v>
      </c>
      <c r="AD96" s="343">
        <f>'Fixed inputs'!AD178</f>
        <v>1</v>
      </c>
      <c r="AE96" s="343">
        <f>'Fixed inputs'!AE178</f>
        <v>2</v>
      </c>
      <c r="AF96" s="343">
        <f>'Fixed inputs'!AF178</f>
        <v>3</v>
      </c>
      <c r="AG96" s="343">
        <f>'Fixed inputs'!AG178</f>
        <v>1</v>
      </c>
      <c r="AH96" s="344"/>
      <c r="AI96" s="344"/>
      <c r="AJ96" s="344"/>
      <c r="AK96" s="344"/>
      <c r="AL96" s="344"/>
      <c r="AM96" s="344"/>
      <c r="AN96" s="344"/>
      <c r="AO96" s="344"/>
    </row>
    <row r="97" spans="1:41" x14ac:dyDescent="0.25">
      <c r="A97" s="309"/>
      <c r="B97" s="309"/>
      <c r="C97" s="24"/>
      <c r="D97"/>
      <c r="E97"/>
      <c r="F97" s="300" t="s">
        <v>995</v>
      </c>
      <c r="G97" s="300" t="s">
        <v>149</v>
      </c>
      <c r="H97" s="300"/>
      <c r="I97" s="300"/>
      <c r="J97" s="343">
        <f>'Fixed inputs'!J179</f>
        <v>1</v>
      </c>
      <c r="K97" s="344"/>
      <c r="L97" s="344"/>
      <c r="M97" s="343">
        <f>'Fixed inputs'!M179</f>
        <v>1</v>
      </c>
      <c r="N97" s="343">
        <f>'Fixed inputs'!N179</f>
        <v>2</v>
      </c>
      <c r="O97" s="343">
        <f>'Fixed inputs'!O179</f>
        <v>2</v>
      </c>
      <c r="P97" s="343">
        <f>'Fixed inputs'!P179</f>
        <v>3</v>
      </c>
      <c r="Q97" s="344"/>
      <c r="R97" s="344"/>
      <c r="S97" s="343">
        <f>'Fixed inputs'!S179</f>
        <v>1</v>
      </c>
      <c r="T97" s="343">
        <f>'Fixed inputs'!T179</f>
        <v>2</v>
      </c>
      <c r="U97" s="343">
        <f>'Fixed inputs'!U179</f>
        <v>2</v>
      </c>
      <c r="V97" s="343">
        <f>'Fixed inputs'!V179</f>
        <v>3</v>
      </c>
      <c r="W97" s="344"/>
      <c r="X97" s="343">
        <f>'Fixed inputs'!X179</f>
        <v>1</v>
      </c>
      <c r="Y97" s="343">
        <f>'Fixed inputs'!Y179</f>
        <v>2</v>
      </c>
      <c r="Z97" s="343">
        <f>'Fixed inputs'!Z179</f>
        <v>2</v>
      </c>
      <c r="AA97" s="343">
        <f>'Fixed inputs'!AA179</f>
        <v>3</v>
      </c>
      <c r="AB97" s="344"/>
      <c r="AC97" s="343">
        <f>'Fixed inputs'!AC179</f>
        <v>1</v>
      </c>
      <c r="AD97" s="343">
        <f>'Fixed inputs'!AD179</f>
        <v>2</v>
      </c>
      <c r="AE97" s="343">
        <f>'Fixed inputs'!AE179</f>
        <v>2</v>
      </c>
      <c r="AF97" s="343">
        <f>'Fixed inputs'!AF179</f>
        <v>3</v>
      </c>
      <c r="AG97" s="343">
        <f>'Fixed inputs'!AG179</f>
        <v>1</v>
      </c>
      <c r="AH97" s="344"/>
      <c r="AI97" s="344"/>
      <c r="AJ97" s="344"/>
      <c r="AK97" s="344"/>
      <c r="AL97" s="344"/>
      <c r="AM97" s="344"/>
      <c r="AN97" s="344"/>
      <c r="AO97" s="344"/>
    </row>
    <row r="98" spans="1:41" x14ac:dyDescent="0.25">
      <c r="A98" s="309"/>
      <c r="B98" s="309"/>
      <c r="C98" s="24"/>
      <c r="D98"/>
      <c r="E98"/>
      <c r="F98" s="300" t="s">
        <v>996</v>
      </c>
      <c r="G98" s="300" t="s">
        <v>149</v>
      </c>
      <c r="H98" s="300"/>
      <c r="I98" s="300"/>
      <c r="J98" s="343">
        <f>'Fixed inputs'!J180</f>
        <v>1</v>
      </c>
      <c r="K98" s="344"/>
      <c r="L98" s="344"/>
      <c r="M98" s="343">
        <f>'Fixed inputs'!M180</f>
        <v>1</v>
      </c>
      <c r="N98" s="343">
        <f>'Fixed inputs'!N180</f>
        <v>2</v>
      </c>
      <c r="O98" s="343">
        <f>'Fixed inputs'!O180</f>
        <v>3</v>
      </c>
      <c r="P98" s="343">
        <f>'Fixed inputs'!P180</f>
        <v>3</v>
      </c>
      <c r="Q98" s="344"/>
      <c r="R98" s="344"/>
      <c r="S98" s="343">
        <f>'Fixed inputs'!S180</f>
        <v>1</v>
      </c>
      <c r="T98" s="343">
        <f>'Fixed inputs'!T180</f>
        <v>2</v>
      </c>
      <c r="U98" s="343">
        <f>'Fixed inputs'!U180</f>
        <v>3</v>
      </c>
      <c r="V98" s="343">
        <f>'Fixed inputs'!V180</f>
        <v>3</v>
      </c>
      <c r="W98" s="344"/>
      <c r="X98" s="343">
        <f>'Fixed inputs'!X180</f>
        <v>1</v>
      </c>
      <c r="Y98" s="343">
        <f>'Fixed inputs'!Y180</f>
        <v>2</v>
      </c>
      <c r="Z98" s="343">
        <f>'Fixed inputs'!Z180</f>
        <v>3</v>
      </c>
      <c r="AA98" s="343">
        <f>'Fixed inputs'!AA180</f>
        <v>3</v>
      </c>
      <c r="AB98" s="344"/>
      <c r="AC98" s="343">
        <f>'Fixed inputs'!AC180</f>
        <v>1</v>
      </c>
      <c r="AD98" s="343">
        <f>'Fixed inputs'!AD180</f>
        <v>2</v>
      </c>
      <c r="AE98" s="343">
        <f>'Fixed inputs'!AE180</f>
        <v>3</v>
      </c>
      <c r="AF98" s="343">
        <f>'Fixed inputs'!AF180</f>
        <v>3</v>
      </c>
      <c r="AG98" s="343">
        <f>'Fixed inputs'!AG180</f>
        <v>1</v>
      </c>
      <c r="AH98" s="344"/>
      <c r="AI98" s="344"/>
      <c r="AJ98" s="344"/>
      <c r="AK98" s="344"/>
      <c r="AL98" s="344"/>
      <c r="AM98" s="344"/>
      <c r="AN98" s="344"/>
      <c r="AO98" s="344"/>
    </row>
    <row r="99" spans="1:41" x14ac:dyDescent="0.25">
      <c r="A99" s="309"/>
      <c r="B99" s="309"/>
      <c r="C99" s="24"/>
      <c r="D99"/>
      <c r="E99"/>
      <c r="F99" s="300" t="s">
        <v>997</v>
      </c>
      <c r="G99" s="300" t="s">
        <v>149</v>
      </c>
      <c r="H99" s="300"/>
      <c r="I99" s="300"/>
      <c r="J99" s="343">
        <f>'Fixed inputs'!J181</f>
        <v>1</v>
      </c>
      <c r="K99" s="344"/>
      <c r="L99" s="344"/>
      <c r="M99" s="343">
        <f>'Fixed inputs'!M181</f>
        <v>1</v>
      </c>
      <c r="N99" s="343">
        <f>'Fixed inputs'!N181</f>
        <v>1</v>
      </c>
      <c r="O99" s="343">
        <f>'Fixed inputs'!O181</f>
        <v>2</v>
      </c>
      <c r="P99" s="343">
        <f>'Fixed inputs'!P181</f>
        <v>2</v>
      </c>
      <c r="Q99" s="344"/>
      <c r="R99" s="344"/>
      <c r="S99" s="343">
        <f>'Fixed inputs'!S181</f>
        <v>1</v>
      </c>
      <c r="T99" s="343">
        <f>'Fixed inputs'!T181</f>
        <v>1</v>
      </c>
      <c r="U99" s="343">
        <f>'Fixed inputs'!U181</f>
        <v>2</v>
      </c>
      <c r="V99" s="343">
        <f>'Fixed inputs'!V181</f>
        <v>2</v>
      </c>
      <c r="W99" s="344"/>
      <c r="X99" s="343">
        <f>'Fixed inputs'!X181</f>
        <v>1</v>
      </c>
      <c r="Y99" s="343">
        <f>'Fixed inputs'!Y181</f>
        <v>1</v>
      </c>
      <c r="Z99" s="343">
        <f>'Fixed inputs'!Z181</f>
        <v>2</v>
      </c>
      <c r="AA99" s="343">
        <f>'Fixed inputs'!AA181</f>
        <v>2</v>
      </c>
      <c r="AB99" s="344"/>
      <c r="AC99" s="343">
        <f>'Fixed inputs'!AC181</f>
        <v>1</v>
      </c>
      <c r="AD99" s="343">
        <f>'Fixed inputs'!AD181</f>
        <v>1</v>
      </c>
      <c r="AE99" s="343">
        <f>'Fixed inputs'!AE181</f>
        <v>2</v>
      </c>
      <c r="AF99" s="343">
        <f>'Fixed inputs'!AF181</f>
        <v>2</v>
      </c>
      <c r="AG99" s="343">
        <f>'Fixed inputs'!AG181</f>
        <v>1</v>
      </c>
      <c r="AH99" s="344"/>
      <c r="AI99" s="344"/>
      <c r="AJ99" s="344"/>
      <c r="AK99" s="344"/>
      <c r="AL99" s="344"/>
      <c r="AM99" s="344"/>
      <c r="AN99" s="344"/>
      <c r="AO99" s="344"/>
    </row>
    <row r="100" spans="1:41" x14ac:dyDescent="0.25">
      <c r="A100" s="309"/>
      <c r="B100" s="309"/>
      <c r="C100" s="24"/>
      <c r="D100"/>
      <c r="E100"/>
      <c r="F100" s="300" t="s">
        <v>998</v>
      </c>
      <c r="G100" s="300" t="s">
        <v>149</v>
      </c>
      <c r="H100" s="300"/>
      <c r="I100" s="300"/>
      <c r="J100" s="343">
        <f>'Fixed inputs'!J182</f>
        <v>1</v>
      </c>
      <c r="K100" s="344"/>
      <c r="L100" s="344"/>
      <c r="M100" s="343">
        <f>'Fixed inputs'!M182</f>
        <v>1</v>
      </c>
      <c r="N100" s="343">
        <f>'Fixed inputs'!N182</f>
        <v>1</v>
      </c>
      <c r="O100" s="343">
        <f>'Fixed inputs'!O182</f>
        <v>1</v>
      </c>
      <c r="P100" s="343">
        <f>'Fixed inputs'!P182</f>
        <v>2</v>
      </c>
      <c r="Q100" s="344"/>
      <c r="R100" s="344"/>
      <c r="S100" s="343">
        <f>'Fixed inputs'!S182</f>
        <v>1</v>
      </c>
      <c r="T100" s="343">
        <f>'Fixed inputs'!T182</f>
        <v>1</v>
      </c>
      <c r="U100" s="343">
        <f>'Fixed inputs'!U182</f>
        <v>1</v>
      </c>
      <c r="V100" s="343">
        <f>'Fixed inputs'!V182</f>
        <v>2</v>
      </c>
      <c r="W100" s="344"/>
      <c r="X100" s="343">
        <f>'Fixed inputs'!X182</f>
        <v>1</v>
      </c>
      <c r="Y100" s="343">
        <f>'Fixed inputs'!Y182</f>
        <v>1</v>
      </c>
      <c r="Z100" s="343">
        <f>'Fixed inputs'!Z182</f>
        <v>1</v>
      </c>
      <c r="AA100" s="343">
        <f>'Fixed inputs'!AA182</f>
        <v>2</v>
      </c>
      <c r="AB100" s="344"/>
      <c r="AC100" s="343">
        <f>'Fixed inputs'!AC182</f>
        <v>1</v>
      </c>
      <c r="AD100" s="343">
        <f>'Fixed inputs'!AD182</f>
        <v>1</v>
      </c>
      <c r="AE100" s="343">
        <f>'Fixed inputs'!AE182</f>
        <v>1</v>
      </c>
      <c r="AF100" s="343">
        <f>'Fixed inputs'!AF182</f>
        <v>2</v>
      </c>
      <c r="AG100" s="343">
        <f>'Fixed inputs'!AG182</f>
        <v>1</v>
      </c>
      <c r="AH100" s="344"/>
      <c r="AI100" s="344"/>
      <c r="AJ100" s="344"/>
      <c r="AK100" s="344"/>
      <c r="AL100" s="344"/>
      <c r="AM100" s="344"/>
      <c r="AN100" s="344"/>
      <c r="AO100" s="344"/>
    </row>
    <row r="101" spans="1:41" x14ac:dyDescent="0.25">
      <c r="A101" s="309"/>
      <c r="B101" s="309"/>
      <c r="C101" s="24"/>
      <c r="D101"/>
      <c r="E101"/>
      <c r="F101" s="300" t="s">
        <v>999</v>
      </c>
      <c r="G101" s="300" t="s">
        <v>149</v>
      </c>
      <c r="H101" s="300"/>
      <c r="I101" s="300"/>
      <c r="J101" s="343">
        <f>'Fixed inputs'!J183</f>
        <v>1</v>
      </c>
      <c r="K101" s="344"/>
      <c r="L101" s="344"/>
      <c r="M101" s="343">
        <f>'Fixed inputs'!M183</f>
        <v>1</v>
      </c>
      <c r="N101" s="343">
        <f>'Fixed inputs'!N183</f>
        <v>2</v>
      </c>
      <c r="O101" s="343">
        <f>'Fixed inputs'!O183</f>
        <v>2</v>
      </c>
      <c r="P101" s="343">
        <f>'Fixed inputs'!P183</f>
        <v>2</v>
      </c>
      <c r="Q101" s="344"/>
      <c r="R101" s="344"/>
      <c r="S101" s="343">
        <f>'Fixed inputs'!S183</f>
        <v>1</v>
      </c>
      <c r="T101" s="343">
        <f>'Fixed inputs'!T183</f>
        <v>2</v>
      </c>
      <c r="U101" s="343">
        <f>'Fixed inputs'!U183</f>
        <v>2</v>
      </c>
      <c r="V101" s="343">
        <f>'Fixed inputs'!V183</f>
        <v>2</v>
      </c>
      <c r="W101" s="344"/>
      <c r="X101" s="343">
        <f>'Fixed inputs'!X183</f>
        <v>1</v>
      </c>
      <c r="Y101" s="343">
        <f>'Fixed inputs'!Y183</f>
        <v>2</v>
      </c>
      <c r="Z101" s="343">
        <f>'Fixed inputs'!Z183</f>
        <v>2</v>
      </c>
      <c r="AA101" s="343">
        <f>'Fixed inputs'!AA183</f>
        <v>2</v>
      </c>
      <c r="AB101" s="344"/>
      <c r="AC101" s="343">
        <f>'Fixed inputs'!AC183</f>
        <v>1</v>
      </c>
      <c r="AD101" s="343">
        <f>'Fixed inputs'!AD183</f>
        <v>2</v>
      </c>
      <c r="AE101" s="343">
        <f>'Fixed inputs'!AE183</f>
        <v>2</v>
      </c>
      <c r="AF101" s="343">
        <f>'Fixed inputs'!AF183</f>
        <v>2</v>
      </c>
      <c r="AG101" s="343">
        <f>'Fixed inputs'!AG183</f>
        <v>1</v>
      </c>
      <c r="AH101" s="344"/>
      <c r="AI101" s="344"/>
      <c r="AJ101" s="344"/>
      <c r="AK101" s="344"/>
      <c r="AL101" s="344"/>
      <c r="AM101" s="344"/>
      <c r="AN101" s="344"/>
      <c r="AO101" s="344"/>
    </row>
    <row r="102" spans="1:41" x14ac:dyDescent="0.25">
      <c r="A102" s="309"/>
      <c r="B102" s="309"/>
      <c r="C102" s="24"/>
      <c r="D102"/>
      <c r="E102"/>
      <c r="F102" s="28" t="s">
        <v>1000</v>
      </c>
      <c r="G102" s="28" t="s">
        <v>149</v>
      </c>
      <c r="H102" s="28"/>
      <c r="I102" s="28"/>
      <c r="J102" s="345">
        <f>'Fixed inputs'!J184</f>
        <v>1</v>
      </c>
      <c r="K102" s="346"/>
      <c r="L102" s="346"/>
      <c r="M102" s="345">
        <f>'Fixed inputs'!M184</f>
        <v>1</v>
      </c>
      <c r="N102" s="345">
        <f>'Fixed inputs'!N184</f>
        <v>1</v>
      </c>
      <c r="O102" s="345">
        <f>'Fixed inputs'!O184</f>
        <v>1</v>
      </c>
      <c r="P102" s="345">
        <f>'Fixed inputs'!P184</f>
        <v>1</v>
      </c>
      <c r="Q102" s="346"/>
      <c r="R102" s="346"/>
      <c r="S102" s="345">
        <f>'Fixed inputs'!S184</f>
        <v>1</v>
      </c>
      <c r="T102" s="345">
        <f>'Fixed inputs'!T184</f>
        <v>1</v>
      </c>
      <c r="U102" s="345">
        <f>'Fixed inputs'!U184</f>
        <v>1</v>
      </c>
      <c r="V102" s="345">
        <f>'Fixed inputs'!V184</f>
        <v>1</v>
      </c>
      <c r="W102" s="346"/>
      <c r="X102" s="345">
        <f>'Fixed inputs'!X184</f>
        <v>1</v>
      </c>
      <c r="Y102" s="345">
        <f>'Fixed inputs'!Y184</f>
        <v>1</v>
      </c>
      <c r="Z102" s="345">
        <f>'Fixed inputs'!Z184</f>
        <v>1</v>
      </c>
      <c r="AA102" s="345">
        <f>'Fixed inputs'!AA184</f>
        <v>1</v>
      </c>
      <c r="AB102" s="346"/>
      <c r="AC102" s="345">
        <f>'Fixed inputs'!AC184</f>
        <v>1</v>
      </c>
      <c r="AD102" s="345">
        <f>'Fixed inputs'!AD184</f>
        <v>1</v>
      </c>
      <c r="AE102" s="345">
        <f>'Fixed inputs'!AE184</f>
        <v>1</v>
      </c>
      <c r="AF102" s="345">
        <f>'Fixed inputs'!AF184</f>
        <v>1</v>
      </c>
      <c r="AG102" s="345">
        <f>'Fixed inputs'!AG184</f>
        <v>1</v>
      </c>
      <c r="AH102" s="346"/>
      <c r="AI102" s="346"/>
      <c r="AJ102" s="346"/>
      <c r="AK102" s="346"/>
      <c r="AL102" s="346"/>
      <c r="AM102" s="346"/>
      <c r="AN102" s="346"/>
      <c r="AO102" s="346"/>
    </row>
    <row r="103" spans="1:41" x14ac:dyDescent="0.25">
      <c r="A103" s="309"/>
      <c r="B103" s="309"/>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1:41" x14ac:dyDescent="0.25">
      <c r="A104" s="309"/>
      <c r="B104" s="309"/>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1:41" x14ac:dyDescent="0.25">
      <c r="A105" s="309"/>
      <c r="B105" s="309"/>
      <c r="C105" s="24"/>
      <c r="D105"/>
      <c r="E105"/>
      <c r="F105" s="19" t="s">
        <v>993</v>
      </c>
      <c r="G105" s="19" t="s">
        <v>149</v>
      </c>
      <c r="H105" s="19"/>
      <c r="I105" s="19"/>
      <c r="J105" s="349">
        <f>MAX((J$35-1)*MAX($J$36:$AO$36)+J95,0)</f>
        <v>1</v>
      </c>
      <c r="K105" s="348"/>
      <c r="L105" s="348"/>
      <c r="M105" s="349">
        <f t="shared" ref="M105:P112" si="24">MAX((M$35-1)*MAX($J$36:$AO$36)+M95,0)</f>
        <v>5</v>
      </c>
      <c r="N105" s="349">
        <f t="shared" si="24"/>
        <v>6</v>
      </c>
      <c r="O105" s="349">
        <f t="shared" si="24"/>
        <v>7</v>
      </c>
      <c r="P105" s="349">
        <f t="shared" si="24"/>
        <v>8</v>
      </c>
      <c r="Q105" s="348"/>
      <c r="R105" s="348"/>
      <c r="S105" s="349">
        <f t="shared" ref="S105:V105" si="25">MAX((S$35-1)*MAX($J$36:$AO$36)+S95,0)</f>
        <v>9</v>
      </c>
      <c r="T105" s="349">
        <f t="shared" si="25"/>
        <v>10</v>
      </c>
      <c r="U105" s="349">
        <f t="shared" si="25"/>
        <v>11</v>
      </c>
      <c r="V105" s="349">
        <f t="shared" si="25"/>
        <v>12</v>
      </c>
      <c r="W105" s="348"/>
      <c r="X105" s="349">
        <f t="shared" ref="X105:AA105" si="26">MAX((X$35-1)*MAX($J$36:$AO$36)+X95,0)</f>
        <v>9</v>
      </c>
      <c r="Y105" s="349">
        <f t="shared" si="26"/>
        <v>10</v>
      </c>
      <c r="Z105" s="349">
        <f t="shared" si="26"/>
        <v>11</v>
      </c>
      <c r="AA105" s="349">
        <f t="shared" si="26"/>
        <v>12</v>
      </c>
      <c r="AB105" s="348"/>
      <c r="AC105" s="349">
        <f t="shared" ref="AC105:AG105" si="27">MAX((AC$35-1)*MAX($J$36:$AO$36)+AC95,0)</f>
        <v>13</v>
      </c>
      <c r="AD105" s="349">
        <f t="shared" si="27"/>
        <v>14</v>
      </c>
      <c r="AE105" s="349">
        <f t="shared" si="27"/>
        <v>15</v>
      </c>
      <c r="AF105" s="349">
        <f t="shared" si="27"/>
        <v>16</v>
      </c>
      <c r="AG105" s="349">
        <f t="shared" si="27"/>
        <v>17</v>
      </c>
      <c r="AH105" s="348"/>
      <c r="AI105" s="348"/>
      <c r="AJ105" s="348"/>
      <c r="AK105" s="348"/>
      <c r="AL105" s="348"/>
      <c r="AM105" s="348"/>
      <c r="AN105" s="348"/>
      <c r="AO105" s="348"/>
    </row>
    <row r="106" spans="1:41" x14ac:dyDescent="0.25">
      <c r="A106" s="309"/>
      <c r="B106" s="309"/>
      <c r="C106" s="24"/>
      <c r="D106"/>
      <c r="E106"/>
      <c r="F106" s="300" t="s">
        <v>994</v>
      </c>
      <c r="G106" s="300" t="s">
        <v>149</v>
      </c>
      <c r="H106" s="300"/>
      <c r="I106" s="300"/>
      <c r="J106" s="350">
        <f t="shared" ref="J106:J112" si="28">MAX((J$35-1)*MAX($J$36:$AO$36)+J96,0)</f>
        <v>1</v>
      </c>
      <c r="K106" s="344"/>
      <c r="L106" s="344"/>
      <c r="M106" s="350">
        <f t="shared" si="24"/>
        <v>5</v>
      </c>
      <c r="N106" s="350">
        <f t="shared" si="24"/>
        <v>5</v>
      </c>
      <c r="O106" s="350">
        <f t="shared" si="24"/>
        <v>6</v>
      </c>
      <c r="P106" s="350">
        <f t="shared" si="24"/>
        <v>7</v>
      </c>
      <c r="Q106" s="344"/>
      <c r="R106" s="344"/>
      <c r="S106" s="350">
        <f t="shared" ref="S106:V106" si="29">MAX((S$35-1)*MAX($J$36:$AO$36)+S96,0)</f>
        <v>9</v>
      </c>
      <c r="T106" s="350">
        <f t="shared" si="29"/>
        <v>9</v>
      </c>
      <c r="U106" s="350">
        <f t="shared" si="29"/>
        <v>10</v>
      </c>
      <c r="V106" s="350">
        <f t="shared" si="29"/>
        <v>11</v>
      </c>
      <c r="W106" s="344"/>
      <c r="X106" s="350">
        <f t="shared" ref="X106:AA106" si="30">MAX((X$35-1)*MAX($J$36:$AO$36)+X96,0)</f>
        <v>9</v>
      </c>
      <c r="Y106" s="350">
        <f t="shared" si="30"/>
        <v>9</v>
      </c>
      <c r="Z106" s="350">
        <f t="shared" si="30"/>
        <v>10</v>
      </c>
      <c r="AA106" s="350">
        <f t="shared" si="30"/>
        <v>11</v>
      </c>
      <c r="AB106" s="344"/>
      <c r="AC106" s="350">
        <f t="shared" ref="AC106:AG106" si="31">MAX((AC$35-1)*MAX($J$36:$AO$36)+AC96,0)</f>
        <v>13</v>
      </c>
      <c r="AD106" s="350">
        <f t="shared" si="31"/>
        <v>13</v>
      </c>
      <c r="AE106" s="350">
        <f t="shared" si="31"/>
        <v>14</v>
      </c>
      <c r="AF106" s="350">
        <f t="shared" si="31"/>
        <v>15</v>
      </c>
      <c r="AG106" s="350">
        <f t="shared" si="31"/>
        <v>17</v>
      </c>
      <c r="AH106" s="344"/>
      <c r="AI106" s="344"/>
      <c r="AJ106" s="344"/>
      <c r="AK106" s="344"/>
      <c r="AL106" s="344"/>
      <c r="AM106" s="344"/>
      <c r="AN106" s="344"/>
      <c r="AO106" s="344"/>
    </row>
    <row r="107" spans="1:41" x14ac:dyDescent="0.25">
      <c r="A107" s="309"/>
      <c r="B107" s="309"/>
      <c r="C107" s="24"/>
      <c r="D107"/>
      <c r="E107"/>
      <c r="F107" s="300" t="s">
        <v>995</v>
      </c>
      <c r="G107" s="300" t="s">
        <v>149</v>
      </c>
      <c r="H107" s="300"/>
      <c r="I107" s="300"/>
      <c r="J107" s="350">
        <f t="shared" si="28"/>
        <v>1</v>
      </c>
      <c r="K107" s="344"/>
      <c r="L107" s="344"/>
      <c r="M107" s="350">
        <f t="shared" si="24"/>
        <v>5</v>
      </c>
      <c r="N107" s="350">
        <f t="shared" si="24"/>
        <v>6</v>
      </c>
      <c r="O107" s="350">
        <f t="shared" si="24"/>
        <v>6</v>
      </c>
      <c r="P107" s="350">
        <f t="shared" si="24"/>
        <v>7</v>
      </c>
      <c r="Q107" s="344"/>
      <c r="R107" s="344"/>
      <c r="S107" s="350">
        <f t="shared" ref="S107:V107" si="32">MAX((S$35-1)*MAX($J$36:$AO$36)+S97,0)</f>
        <v>9</v>
      </c>
      <c r="T107" s="350">
        <f t="shared" si="32"/>
        <v>10</v>
      </c>
      <c r="U107" s="350">
        <f t="shared" si="32"/>
        <v>10</v>
      </c>
      <c r="V107" s="350">
        <f t="shared" si="32"/>
        <v>11</v>
      </c>
      <c r="W107" s="344"/>
      <c r="X107" s="350">
        <f t="shared" ref="X107:AA107" si="33">MAX((X$35-1)*MAX($J$36:$AO$36)+X97,0)</f>
        <v>9</v>
      </c>
      <c r="Y107" s="350">
        <f t="shared" si="33"/>
        <v>10</v>
      </c>
      <c r="Z107" s="350">
        <f t="shared" si="33"/>
        <v>10</v>
      </c>
      <c r="AA107" s="350">
        <f t="shared" si="33"/>
        <v>11</v>
      </c>
      <c r="AB107" s="344"/>
      <c r="AC107" s="350">
        <f t="shared" ref="AC107:AG107" si="34">MAX((AC$35-1)*MAX($J$36:$AO$36)+AC97,0)</f>
        <v>13</v>
      </c>
      <c r="AD107" s="350">
        <f t="shared" si="34"/>
        <v>14</v>
      </c>
      <c r="AE107" s="350">
        <f t="shared" si="34"/>
        <v>14</v>
      </c>
      <c r="AF107" s="350">
        <f t="shared" si="34"/>
        <v>15</v>
      </c>
      <c r="AG107" s="350">
        <f t="shared" si="34"/>
        <v>17</v>
      </c>
      <c r="AH107" s="344"/>
      <c r="AI107" s="344"/>
      <c r="AJ107" s="344"/>
      <c r="AK107" s="344"/>
      <c r="AL107" s="344"/>
      <c r="AM107" s="344"/>
      <c r="AN107" s="344"/>
      <c r="AO107" s="344"/>
    </row>
    <row r="108" spans="1:41" x14ac:dyDescent="0.25">
      <c r="A108" s="309"/>
      <c r="B108" s="309"/>
      <c r="C108" s="24"/>
      <c r="D108"/>
      <c r="E108"/>
      <c r="F108" s="300" t="s">
        <v>996</v>
      </c>
      <c r="G108" s="300" t="s">
        <v>149</v>
      </c>
      <c r="H108" s="300"/>
      <c r="I108" s="300"/>
      <c r="J108" s="350">
        <f t="shared" si="28"/>
        <v>1</v>
      </c>
      <c r="K108" s="344"/>
      <c r="L108" s="344"/>
      <c r="M108" s="350">
        <f t="shared" si="24"/>
        <v>5</v>
      </c>
      <c r="N108" s="350">
        <f t="shared" si="24"/>
        <v>6</v>
      </c>
      <c r="O108" s="350">
        <f t="shared" si="24"/>
        <v>7</v>
      </c>
      <c r="P108" s="350">
        <f t="shared" si="24"/>
        <v>7</v>
      </c>
      <c r="Q108" s="344"/>
      <c r="R108" s="344"/>
      <c r="S108" s="350">
        <f t="shared" ref="S108:V108" si="35">MAX((S$35-1)*MAX($J$36:$AO$36)+S98,0)</f>
        <v>9</v>
      </c>
      <c r="T108" s="350">
        <f t="shared" si="35"/>
        <v>10</v>
      </c>
      <c r="U108" s="350">
        <f t="shared" si="35"/>
        <v>11</v>
      </c>
      <c r="V108" s="350">
        <f t="shared" si="35"/>
        <v>11</v>
      </c>
      <c r="W108" s="344"/>
      <c r="X108" s="350">
        <f t="shared" ref="X108:AA108" si="36">MAX((X$35-1)*MAX($J$36:$AO$36)+X98,0)</f>
        <v>9</v>
      </c>
      <c r="Y108" s="350">
        <f t="shared" si="36"/>
        <v>10</v>
      </c>
      <c r="Z108" s="350">
        <f t="shared" si="36"/>
        <v>11</v>
      </c>
      <c r="AA108" s="350">
        <f t="shared" si="36"/>
        <v>11</v>
      </c>
      <c r="AB108" s="344"/>
      <c r="AC108" s="350">
        <f t="shared" ref="AC108:AG108" si="37">MAX((AC$35-1)*MAX($J$36:$AO$36)+AC98,0)</f>
        <v>13</v>
      </c>
      <c r="AD108" s="350">
        <f t="shared" si="37"/>
        <v>14</v>
      </c>
      <c r="AE108" s="350">
        <f t="shared" si="37"/>
        <v>15</v>
      </c>
      <c r="AF108" s="350">
        <f t="shared" si="37"/>
        <v>15</v>
      </c>
      <c r="AG108" s="350">
        <f t="shared" si="37"/>
        <v>17</v>
      </c>
      <c r="AH108" s="344"/>
      <c r="AI108" s="344"/>
      <c r="AJ108" s="344"/>
      <c r="AK108" s="344"/>
      <c r="AL108" s="344"/>
      <c r="AM108" s="344"/>
      <c r="AN108" s="344"/>
      <c r="AO108" s="344"/>
    </row>
    <row r="109" spans="1:41" x14ac:dyDescent="0.25">
      <c r="A109" s="309"/>
      <c r="B109" s="309"/>
      <c r="C109" s="24"/>
      <c r="D109"/>
      <c r="E109"/>
      <c r="F109" s="300" t="s">
        <v>997</v>
      </c>
      <c r="G109" s="300" t="s">
        <v>149</v>
      </c>
      <c r="H109" s="300"/>
      <c r="I109" s="300"/>
      <c r="J109" s="350">
        <f t="shared" si="28"/>
        <v>1</v>
      </c>
      <c r="K109" s="344"/>
      <c r="L109" s="344"/>
      <c r="M109" s="350">
        <f t="shared" si="24"/>
        <v>5</v>
      </c>
      <c r="N109" s="350">
        <f t="shared" si="24"/>
        <v>5</v>
      </c>
      <c r="O109" s="350">
        <f t="shared" si="24"/>
        <v>6</v>
      </c>
      <c r="P109" s="350">
        <f t="shared" si="24"/>
        <v>6</v>
      </c>
      <c r="Q109" s="344"/>
      <c r="R109" s="344"/>
      <c r="S109" s="350">
        <f t="shared" ref="S109:V109" si="38">MAX((S$35-1)*MAX($J$36:$AO$36)+S99,0)</f>
        <v>9</v>
      </c>
      <c r="T109" s="350">
        <f t="shared" si="38"/>
        <v>9</v>
      </c>
      <c r="U109" s="350">
        <f t="shared" si="38"/>
        <v>10</v>
      </c>
      <c r="V109" s="350">
        <f t="shared" si="38"/>
        <v>10</v>
      </c>
      <c r="W109" s="344"/>
      <c r="X109" s="350">
        <f t="shared" ref="X109:AA109" si="39">MAX((X$35-1)*MAX($J$36:$AO$36)+X99,0)</f>
        <v>9</v>
      </c>
      <c r="Y109" s="350">
        <f t="shared" si="39"/>
        <v>9</v>
      </c>
      <c r="Z109" s="350">
        <f t="shared" si="39"/>
        <v>10</v>
      </c>
      <c r="AA109" s="350">
        <f t="shared" si="39"/>
        <v>10</v>
      </c>
      <c r="AB109" s="344"/>
      <c r="AC109" s="350">
        <f t="shared" ref="AC109:AG109" si="40">MAX((AC$35-1)*MAX($J$36:$AO$36)+AC99,0)</f>
        <v>13</v>
      </c>
      <c r="AD109" s="350">
        <f t="shared" si="40"/>
        <v>13</v>
      </c>
      <c r="AE109" s="350">
        <f t="shared" si="40"/>
        <v>14</v>
      </c>
      <c r="AF109" s="350">
        <f t="shared" si="40"/>
        <v>14</v>
      </c>
      <c r="AG109" s="350">
        <f t="shared" si="40"/>
        <v>17</v>
      </c>
      <c r="AH109" s="344"/>
      <c r="AI109" s="344"/>
      <c r="AJ109" s="344"/>
      <c r="AK109" s="344"/>
      <c r="AL109" s="344"/>
      <c r="AM109" s="344"/>
      <c r="AN109" s="344"/>
      <c r="AO109" s="344"/>
    </row>
    <row r="110" spans="1:41" x14ac:dyDescent="0.25">
      <c r="A110" s="309"/>
      <c r="B110" s="309"/>
      <c r="C110" s="24"/>
      <c r="D110"/>
      <c r="E110"/>
      <c r="F110" s="300" t="s">
        <v>998</v>
      </c>
      <c r="G110" s="300" t="s">
        <v>149</v>
      </c>
      <c r="H110" s="300"/>
      <c r="I110" s="300"/>
      <c r="J110" s="350">
        <f t="shared" si="28"/>
        <v>1</v>
      </c>
      <c r="K110" s="344"/>
      <c r="L110" s="344"/>
      <c r="M110" s="350">
        <f t="shared" si="24"/>
        <v>5</v>
      </c>
      <c r="N110" s="350">
        <f t="shared" si="24"/>
        <v>5</v>
      </c>
      <c r="O110" s="350">
        <f t="shared" si="24"/>
        <v>5</v>
      </c>
      <c r="P110" s="350">
        <f t="shared" si="24"/>
        <v>6</v>
      </c>
      <c r="Q110" s="344"/>
      <c r="R110" s="344"/>
      <c r="S110" s="350">
        <f t="shared" ref="S110:V110" si="41">MAX((S$35-1)*MAX($J$36:$AO$36)+S100,0)</f>
        <v>9</v>
      </c>
      <c r="T110" s="350">
        <f t="shared" si="41"/>
        <v>9</v>
      </c>
      <c r="U110" s="350">
        <f t="shared" si="41"/>
        <v>9</v>
      </c>
      <c r="V110" s="350">
        <f t="shared" si="41"/>
        <v>10</v>
      </c>
      <c r="W110" s="344"/>
      <c r="X110" s="350">
        <f t="shared" ref="X110:AA110" si="42">MAX((X$35-1)*MAX($J$36:$AO$36)+X100,0)</f>
        <v>9</v>
      </c>
      <c r="Y110" s="350">
        <f t="shared" si="42"/>
        <v>9</v>
      </c>
      <c r="Z110" s="350">
        <f t="shared" si="42"/>
        <v>9</v>
      </c>
      <c r="AA110" s="350">
        <f t="shared" si="42"/>
        <v>10</v>
      </c>
      <c r="AB110" s="344"/>
      <c r="AC110" s="350">
        <f t="shared" ref="AC110:AG110" si="43">MAX((AC$35-1)*MAX($J$36:$AO$36)+AC100,0)</f>
        <v>13</v>
      </c>
      <c r="AD110" s="350">
        <f t="shared" si="43"/>
        <v>13</v>
      </c>
      <c r="AE110" s="350">
        <f t="shared" si="43"/>
        <v>13</v>
      </c>
      <c r="AF110" s="350">
        <f t="shared" si="43"/>
        <v>14</v>
      </c>
      <c r="AG110" s="350">
        <f t="shared" si="43"/>
        <v>17</v>
      </c>
      <c r="AH110" s="344"/>
      <c r="AI110" s="344"/>
      <c r="AJ110" s="344"/>
      <c r="AK110" s="344"/>
      <c r="AL110" s="344"/>
      <c r="AM110" s="344"/>
      <c r="AN110" s="344"/>
      <c r="AO110" s="344"/>
    </row>
    <row r="111" spans="1:41" x14ac:dyDescent="0.25">
      <c r="A111" s="309"/>
      <c r="B111" s="309"/>
      <c r="C111" s="24"/>
      <c r="D111"/>
      <c r="E111"/>
      <c r="F111" s="300" t="s">
        <v>999</v>
      </c>
      <c r="G111" s="300" t="s">
        <v>149</v>
      </c>
      <c r="H111" s="300"/>
      <c r="I111" s="300"/>
      <c r="J111" s="350">
        <f t="shared" si="28"/>
        <v>1</v>
      </c>
      <c r="K111" s="344"/>
      <c r="L111" s="344"/>
      <c r="M111" s="350">
        <f t="shared" si="24"/>
        <v>5</v>
      </c>
      <c r="N111" s="350">
        <f t="shared" si="24"/>
        <v>6</v>
      </c>
      <c r="O111" s="350">
        <f t="shared" si="24"/>
        <v>6</v>
      </c>
      <c r="P111" s="350">
        <f t="shared" si="24"/>
        <v>6</v>
      </c>
      <c r="Q111" s="344"/>
      <c r="R111" s="344"/>
      <c r="S111" s="350">
        <f t="shared" ref="S111:V111" si="44">MAX((S$35-1)*MAX($J$36:$AO$36)+S101,0)</f>
        <v>9</v>
      </c>
      <c r="T111" s="350">
        <f t="shared" si="44"/>
        <v>10</v>
      </c>
      <c r="U111" s="350">
        <f t="shared" si="44"/>
        <v>10</v>
      </c>
      <c r="V111" s="350">
        <f t="shared" si="44"/>
        <v>10</v>
      </c>
      <c r="W111" s="344"/>
      <c r="X111" s="350">
        <f t="shared" ref="X111:AA111" si="45">MAX((X$35-1)*MAX($J$36:$AO$36)+X101,0)</f>
        <v>9</v>
      </c>
      <c r="Y111" s="350">
        <f t="shared" si="45"/>
        <v>10</v>
      </c>
      <c r="Z111" s="350">
        <f t="shared" si="45"/>
        <v>10</v>
      </c>
      <c r="AA111" s="350">
        <f t="shared" si="45"/>
        <v>10</v>
      </c>
      <c r="AB111" s="344"/>
      <c r="AC111" s="350">
        <f t="shared" ref="AC111:AG111" si="46">MAX((AC$35-1)*MAX($J$36:$AO$36)+AC101,0)</f>
        <v>13</v>
      </c>
      <c r="AD111" s="350">
        <f t="shared" si="46"/>
        <v>14</v>
      </c>
      <c r="AE111" s="350">
        <f t="shared" si="46"/>
        <v>14</v>
      </c>
      <c r="AF111" s="350">
        <f t="shared" si="46"/>
        <v>14</v>
      </c>
      <c r="AG111" s="350">
        <f t="shared" si="46"/>
        <v>17</v>
      </c>
      <c r="AH111" s="344"/>
      <c r="AI111" s="344"/>
      <c r="AJ111" s="344"/>
      <c r="AK111" s="344"/>
      <c r="AL111" s="344"/>
      <c r="AM111" s="344"/>
      <c r="AN111" s="344"/>
      <c r="AO111" s="344"/>
    </row>
    <row r="112" spans="1:41" x14ac:dyDescent="0.25">
      <c r="A112" s="309"/>
      <c r="B112" s="309"/>
      <c r="C112" s="24"/>
      <c r="D112"/>
      <c r="E112"/>
      <c r="F112" s="28" t="s">
        <v>1000</v>
      </c>
      <c r="G112" s="28" t="s">
        <v>149</v>
      </c>
      <c r="H112" s="28"/>
      <c r="I112" s="28"/>
      <c r="J112" s="351">
        <f t="shared" si="28"/>
        <v>1</v>
      </c>
      <c r="K112" s="346"/>
      <c r="L112" s="346"/>
      <c r="M112" s="351">
        <f t="shared" si="24"/>
        <v>5</v>
      </c>
      <c r="N112" s="351">
        <f t="shared" si="24"/>
        <v>5</v>
      </c>
      <c r="O112" s="351">
        <f t="shared" si="24"/>
        <v>5</v>
      </c>
      <c r="P112" s="351">
        <f t="shared" si="24"/>
        <v>5</v>
      </c>
      <c r="Q112" s="346"/>
      <c r="R112" s="346"/>
      <c r="S112" s="351">
        <f t="shared" ref="S112:V112" si="47">MAX((S$35-1)*MAX($J$36:$AO$36)+S102,0)</f>
        <v>9</v>
      </c>
      <c r="T112" s="351">
        <f t="shared" si="47"/>
        <v>9</v>
      </c>
      <c r="U112" s="351">
        <f t="shared" si="47"/>
        <v>9</v>
      </c>
      <c r="V112" s="351">
        <f t="shared" si="47"/>
        <v>9</v>
      </c>
      <c r="W112" s="346"/>
      <c r="X112" s="351">
        <f t="shared" ref="X112:AA112" si="48">MAX((X$35-1)*MAX($J$36:$AO$36)+X102,0)</f>
        <v>9</v>
      </c>
      <c r="Y112" s="351">
        <f t="shared" si="48"/>
        <v>9</v>
      </c>
      <c r="Z112" s="351">
        <f t="shared" si="48"/>
        <v>9</v>
      </c>
      <c r="AA112" s="351">
        <f t="shared" si="48"/>
        <v>9</v>
      </c>
      <c r="AB112" s="346"/>
      <c r="AC112" s="351">
        <f t="shared" ref="AC112:AG112" si="49">MAX((AC$35-1)*MAX($J$36:$AO$36)+AC102,0)</f>
        <v>13</v>
      </c>
      <c r="AD112" s="351">
        <f t="shared" si="49"/>
        <v>13</v>
      </c>
      <c r="AE112" s="351">
        <f t="shared" si="49"/>
        <v>13</v>
      </c>
      <c r="AF112" s="351">
        <f t="shared" si="49"/>
        <v>13</v>
      </c>
      <c r="AG112" s="351">
        <f t="shared" si="49"/>
        <v>17</v>
      </c>
      <c r="AH112" s="346"/>
      <c r="AI112" s="346"/>
      <c r="AJ112" s="346"/>
      <c r="AK112" s="346"/>
      <c r="AL112" s="346"/>
      <c r="AM112" s="346"/>
      <c r="AN112" s="346"/>
      <c r="AO112" s="346"/>
    </row>
    <row r="113" spans="1:41" x14ac:dyDescent="0.25">
      <c r="A113" s="309"/>
      <c r="B113" s="309"/>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1:41" x14ac:dyDescent="0.25">
      <c r="A114" s="309"/>
      <c r="B114" s="309"/>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1:41" x14ac:dyDescent="0.25">
      <c r="A115" s="309"/>
      <c r="B115" s="309"/>
      <c r="C115" s="24"/>
      <c r="D115"/>
      <c r="E115"/>
      <c r="F115" s="19" t="s">
        <v>993</v>
      </c>
      <c r="G115" s="19" t="s">
        <v>212</v>
      </c>
      <c r="H115" s="19"/>
      <c r="I115" s="19"/>
      <c r="J115" s="349">
        <f t="shared" ref="J115:J122" si="50">SUMIF($J105:$AO105, J105, $J$56:$AO$56)</f>
        <v>2389874.3672400983</v>
      </c>
      <c r="K115" s="348"/>
      <c r="L115" s="348"/>
      <c r="M115" s="349">
        <f t="shared" ref="M115:P122" si="51">SUMIF($J105:$AO105, M105, $J$56:$AO$56)</f>
        <v>71659.638905771921</v>
      </c>
      <c r="N115" s="349">
        <f t="shared" si="51"/>
        <v>53949.53605863652</v>
      </c>
      <c r="O115" s="349">
        <f t="shared" si="51"/>
        <v>28137.346684155214</v>
      </c>
      <c r="P115" s="349">
        <f t="shared" si="51"/>
        <v>28364.686377462484</v>
      </c>
      <c r="Q115" s="348"/>
      <c r="R115" s="348"/>
      <c r="S115" s="349">
        <f t="shared" ref="S115:V122" si="52">SUMIF($J105:$AO105, S105, $J$56:$AO$56)</f>
        <v>6753.6190604468457</v>
      </c>
      <c r="T115" s="349">
        <f t="shared" si="52"/>
        <v>5430.3054699144841</v>
      </c>
      <c r="U115" s="349">
        <f t="shared" si="52"/>
        <v>1910.036288791747</v>
      </c>
      <c r="V115" s="349">
        <f t="shared" si="52"/>
        <v>1381.4766982560238</v>
      </c>
      <c r="W115" s="348"/>
      <c r="X115" s="349">
        <f t="shared" ref="X115:AA122" si="53">SUMIF($J105:$AO105, X105, $J$56:$AO$56)</f>
        <v>6753.6190604468457</v>
      </c>
      <c r="Y115" s="349">
        <f t="shared" si="53"/>
        <v>5430.3054699144841</v>
      </c>
      <c r="Z115" s="349">
        <f t="shared" si="53"/>
        <v>1910.036288791747</v>
      </c>
      <c r="AA115" s="349">
        <f t="shared" si="53"/>
        <v>1381.4766982560238</v>
      </c>
      <c r="AB115" s="348"/>
      <c r="AC115" s="349">
        <f t="shared" ref="AC115:AG122" si="54">SUMIF($J105:$AO105, AC105, $J$56:$AO$56)</f>
        <v>2236.9847532876661</v>
      </c>
      <c r="AD115" s="349">
        <f t="shared" si="54"/>
        <v>1233.6626525615436</v>
      </c>
      <c r="AE115" s="349">
        <f t="shared" si="54"/>
        <v>302.00289244655761</v>
      </c>
      <c r="AF115" s="349">
        <f t="shared" si="54"/>
        <v>304.03002089552893</v>
      </c>
      <c r="AG115" s="349">
        <f t="shared" si="54"/>
        <v>2294</v>
      </c>
      <c r="AH115" s="348"/>
      <c r="AI115" s="348"/>
      <c r="AJ115" s="348"/>
      <c r="AK115" s="348"/>
      <c r="AL115" s="348"/>
      <c r="AM115" s="348"/>
      <c r="AN115" s="348"/>
      <c r="AO115" s="348"/>
    </row>
    <row r="116" spans="1:41" x14ac:dyDescent="0.25">
      <c r="A116" s="309"/>
      <c r="B116" s="309"/>
      <c r="C116" s="24"/>
      <c r="D116"/>
      <c r="E116"/>
      <c r="F116" s="300" t="s">
        <v>994</v>
      </c>
      <c r="G116" s="300" t="s">
        <v>212</v>
      </c>
      <c r="H116" s="300"/>
      <c r="I116" s="300"/>
      <c r="J116" s="350">
        <f t="shared" si="50"/>
        <v>2389874.3672400983</v>
      </c>
      <c r="K116" s="344"/>
      <c r="L116" s="344"/>
      <c r="M116" s="350">
        <f t="shared" si="51"/>
        <v>125609.17496440845</v>
      </c>
      <c r="N116" s="350">
        <f t="shared" si="51"/>
        <v>125609.17496440845</v>
      </c>
      <c r="O116" s="350">
        <f t="shared" si="51"/>
        <v>28137.346684155214</v>
      </c>
      <c r="P116" s="350">
        <f t="shared" si="51"/>
        <v>28364.686377462484</v>
      </c>
      <c r="Q116" s="344"/>
      <c r="R116" s="344"/>
      <c r="S116" s="350">
        <f t="shared" si="52"/>
        <v>12183.92453036133</v>
      </c>
      <c r="T116" s="350">
        <f t="shared" si="52"/>
        <v>12183.92453036133</v>
      </c>
      <c r="U116" s="350">
        <f t="shared" si="52"/>
        <v>1910.036288791747</v>
      </c>
      <c r="V116" s="350">
        <f t="shared" si="52"/>
        <v>1381.4766982560238</v>
      </c>
      <c r="W116" s="344"/>
      <c r="X116" s="350">
        <f t="shared" si="53"/>
        <v>12183.92453036133</v>
      </c>
      <c r="Y116" s="350">
        <f t="shared" si="53"/>
        <v>12183.92453036133</v>
      </c>
      <c r="Z116" s="350">
        <f t="shared" si="53"/>
        <v>1910.036288791747</v>
      </c>
      <c r="AA116" s="350">
        <f t="shared" si="53"/>
        <v>1381.4766982560238</v>
      </c>
      <c r="AB116" s="344"/>
      <c r="AC116" s="350">
        <f t="shared" si="54"/>
        <v>3470.6474058492095</v>
      </c>
      <c r="AD116" s="350">
        <f t="shared" si="54"/>
        <v>3470.6474058492095</v>
      </c>
      <c r="AE116" s="350">
        <f t="shared" si="54"/>
        <v>302.00289244655761</v>
      </c>
      <c r="AF116" s="350">
        <f t="shared" si="54"/>
        <v>304.03002089552893</v>
      </c>
      <c r="AG116" s="350">
        <f t="shared" si="54"/>
        <v>2294</v>
      </c>
      <c r="AH116" s="344"/>
      <c r="AI116" s="344"/>
      <c r="AJ116" s="344"/>
      <c r="AK116" s="344"/>
      <c r="AL116" s="344"/>
      <c r="AM116" s="344"/>
      <c r="AN116" s="344"/>
      <c r="AO116" s="344"/>
    </row>
    <row r="117" spans="1:41" x14ac:dyDescent="0.25">
      <c r="A117" s="309"/>
      <c r="B117" s="309"/>
      <c r="C117" s="24"/>
      <c r="D117"/>
      <c r="E117"/>
      <c r="F117" s="300" t="s">
        <v>995</v>
      </c>
      <c r="G117" s="300" t="s">
        <v>212</v>
      </c>
      <c r="H117" s="300"/>
      <c r="I117" s="300"/>
      <c r="J117" s="350">
        <f t="shared" si="50"/>
        <v>2389874.3672400983</v>
      </c>
      <c r="K117" s="344"/>
      <c r="L117" s="344"/>
      <c r="M117" s="350">
        <f t="shared" si="51"/>
        <v>71659.638905771921</v>
      </c>
      <c r="N117" s="350">
        <f t="shared" si="51"/>
        <v>82086.882742791728</v>
      </c>
      <c r="O117" s="350">
        <f t="shared" si="51"/>
        <v>82086.882742791728</v>
      </c>
      <c r="P117" s="350">
        <f t="shared" si="51"/>
        <v>28364.686377462484</v>
      </c>
      <c r="Q117" s="344"/>
      <c r="R117" s="344"/>
      <c r="S117" s="350">
        <f t="shared" si="52"/>
        <v>6753.6190604468457</v>
      </c>
      <c r="T117" s="350">
        <f t="shared" si="52"/>
        <v>7340.3417587062304</v>
      </c>
      <c r="U117" s="350">
        <f t="shared" si="52"/>
        <v>7340.3417587062304</v>
      </c>
      <c r="V117" s="350">
        <f t="shared" si="52"/>
        <v>1381.4766982560238</v>
      </c>
      <c r="W117" s="344"/>
      <c r="X117" s="350">
        <f t="shared" si="53"/>
        <v>6753.6190604468457</v>
      </c>
      <c r="Y117" s="350">
        <f t="shared" si="53"/>
        <v>7340.3417587062304</v>
      </c>
      <c r="Z117" s="350">
        <f t="shared" si="53"/>
        <v>7340.3417587062304</v>
      </c>
      <c r="AA117" s="350">
        <f t="shared" si="53"/>
        <v>1381.4766982560238</v>
      </c>
      <c r="AB117" s="344"/>
      <c r="AC117" s="350">
        <f t="shared" si="54"/>
        <v>2236.9847532876661</v>
      </c>
      <c r="AD117" s="350">
        <f t="shared" si="54"/>
        <v>1535.6655450081012</v>
      </c>
      <c r="AE117" s="350">
        <f t="shared" si="54"/>
        <v>1535.6655450081012</v>
      </c>
      <c r="AF117" s="350">
        <f t="shared" si="54"/>
        <v>304.03002089552893</v>
      </c>
      <c r="AG117" s="350">
        <f t="shared" si="54"/>
        <v>2294</v>
      </c>
      <c r="AH117" s="344"/>
      <c r="AI117" s="344"/>
      <c r="AJ117" s="344"/>
      <c r="AK117" s="344"/>
      <c r="AL117" s="344"/>
      <c r="AM117" s="344"/>
      <c r="AN117" s="344"/>
      <c r="AO117" s="344"/>
    </row>
    <row r="118" spans="1:41" x14ac:dyDescent="0.25">
      <c r="A118" s="309"/>
      <c r="B118" s="309"/>
      <c r="C118" s="24"/>
      <c r="D118"/>
      <c r="E118"/>
      <c r="F118" s="300" t="s">
        <v>996</v>
      </c>
      <c r="G118" s="300" t="s">
        <v>212</v>
      </c>
      <c r="H118" s="300"/>
      <c r="I118" s="300"/>
      <c r="J118" s="350">
        <f t="shared" si="50"/>
        <v>2389874.3672400983</v>
      </c>
      <c r="K118" s="344"/>
      <c r="L118" s="344"/>
      <c r="M118" s="350">
        <f t="shared" si="51"/>
        <v>71659.638905771921</v>
      </c>
      <c r="N118" s="350">
        <f t="shared" si="51"/>
        <v>53949.53605863652</v>
      </c>
      <c r="O118" s="350">
        <f t="shared" si="51"/>
        <v>56502.033061617694</v>
      </c>
      <c r="P118" s="350">
        <f t="shared" si="51"/>
        <v>56502.033061617694</v>
      </c>
      <c r="Q118" s="344"/>
      <c r="R118" s="344"/>
      <c r="S118" s="350">
        <f t="shared" si="52"/>
        <v>6753.6190604468457</v>
      </c>
      <c r="T118" s="350">
        <f t="shared" si="52"/>
        <v>5430.3054699144841</v>
      </c>
      <c r="U118" s="350">
        <f t="shared" si="52"/>
        <v>3291.5129870477708</v>
      </c>
      <c r="V118" s="350">
        <f t="shared" si="52"/>
        <v>3291.5129870477708</v>
      </c>
      <c r="W118" s="344"/>
      <c r="X118" s="350">
        <f t="shared" si="53"/>
        <v>6753.6190604468457</v>
      </c>
      <c r="Y118" s="350">
        <f t="shared" si="53"/>
        <v>5430.3054699144841</v>
      </c>
      <c r="Z118" s="350">
        <f t="shared" si="53"/>
        <v>3291.5129870477708</v>
      </c>
      <c r="AA118" s="350">
        <f t="shared" si="53"/>
        <v>3291.5129870477708</v>
      </c>
      <c r="AB118" s="344"/>
      <c r="AC118" s="350">
        <f t="shared" si="54"/>
        <v>2236.9847532876661</v>
      </c>
      <c r="AD118" s="350">
        <f t="shared" si="54"/>
        <v>1233.6626525615436</v>
      </c>
      <c r="AE118" s="350">
        <f t="shared" si="54"/>
        <v>606.03291334208654</v>
      </c>
      <c r="AF118" s="350">
        <f t="shared" si="54"/>
        <v>606.03291334208654</v>
      </c>
      <c r="AG118" s="350">
        <f t="shared" si="54"/>
        <v>2294</v>
      </c>
      <c r="AH118" s="344"/>
      <c r="AI118" s="344"/>
      <c r="AJ118" s="344"/>
      <c r="AK118" s="344"/>
      <c r="AL118" s="344"/>
      <c r="AM118" s="344"/>
      <c r="AN118" s="344"/>
      <c r="AO118" s="344"/>
    </row>
    <row r="119" spans="1:41" x14ac:dyDescent="0.25">
      <c r="A119" s="309"/>
      <c r="B119" s="309"/>
      <c r="C119" s="24"/>
      <c r="D119"/>
      <c r="E119"/>
      <c r="F119" s="300" t="s">
        <v>997</v>
      </c>
      <c r="G119" s="300" t="s">
        <v>212</v>
      </c>
      <c r="H119" s="300"/>
      <c r="I119" s="300"/>
      <c r="J119" s="350">
        <f t="shared" si="50"/>
        <v>2389874.3672400983</v>
      </c>
      <c r="K119" s="344"/>
      <c r="L119" s="344"/>
      <c r="M119" s="350">
        <f t="shared" si="51"/>
        <v>125609.17496440845</v>
      </c>
      <c r="N119" s="350">
        <f t="shared" si="51"/>
        <v>125609.17496440845</v>
      </c>
      <c r="O119" s="350">
        <f t="shared" si="51"/>
        <v>56502.033061617694</v>
      </c>
      <c r="P119" s="350">
        <f t="shared" si="51"/>
        <v>56502.033061617694</v>
      </c>
      <c r="Q119" s="344"/>
      <c r="R119" s="344"/>
      <c r="S119" s="350">
        <f t="shared" si="52"/>
        <v>12183.92453036133</v>
      </c>
      <c r="T119" s="350">
        <f t="shared" si="52"/>
        <v>12183.92453036133</v>
      </c>
      <c r="U119" s="350">
        <f t="shared" si="52"/>
        <v>3291.5129870477708</v>
      </c>
      <c r="V119" s="350">
        <f t="shared" si="52"/>
        <v>3291.5129870477708</v>
      </c>
      <c r="W119" s="344"/>
      <c r="X119" s="350">
        <f t="shared" si="53"/>
        <v>12183.92453036133</v>
      </c>
      <c r="Y119" s="350">
        <f t="shared" si="53"/>
        <v>12183.92453036133</v>
      </c>
      <c r="Z119" s="350">
        <f t="shared" si="53"/>
        <v>3291.5129870477708</v>
      </c>
      <c r="AA119" s="350">
        <f t="shared" si="53"/>
        <v>3291.5129870477708</v>
      </c>
      <c r="AB119" s="344"/>
      <c r="AC119" s="350">
        <f t="shared" si="54"/>
        <v>3470.6474058492095</v>
      </c>
      <c r="AD119" s="350">
        <f t="shared" si="54"/>
        <v>3470.6474058492095</v>
      </c>
      <c r="AE119" s="350">
        <f t="shared" si="54"/>
        <v>606.03291334208654</v>
      </c>
      <c r="AF119" s="350">
        <f t="shared" si="54"/>
        <v>606.03291334208654</v>
      </c>
      <c r="AG119" s="350">
        <f t="shared" si="54"/>
        <v>2294</v>
      </c>
      <c r="AH119" s="344"/>
      <c r="AI119" s="344"/>
      <c r="AJ119" s="344"/>
      <c r="AK119" s="344"/>
      <c r="AL119" s="344"/>
      <c r="AM119" s="344"/>
      <c r="AN119" s="344"/>
      <c r="AO119" s="344"/>
    </row>
    <row r="120" spans="1:41" x14ac:dyDescent="0.25">
      <c r="A120" s="309"/>
      <c r="B120" s="309"/>
      <c r="C120" s="24"/>
      <c r="D120"/>
      <c r="E120"/>
      <c r="F120" s="300" t="s">
        <v>998</v>
      </c>
      <c r="G120" s="300" t="s">
        <v>212</v>
      </c>
      <c r="H120" s="300"/>
      <c r="I120" s="300"/>
      <c r="J120" s="350">
        <f t="shared" si="50"/>
        <v>2389874.3672400983</v>
      </c>
      <c r="K120" s="344"/>
      <c r="L120" s="344"/>
      <c r="M120" s="350">
        <f t="shared" si="51"/>
        <v>153746.52164856368</v>
      </c>
      <c r="N120" s="350">
        <f t="shared" si="51"/>
        <v>153746.52164856368</v>
      </c>
      <c r="O120" s="350">
        <f t="shared" si="51"/>
        <v>153746.52164856368</v>
      </c>
      <c r="P120" s="350">
        <f t="shared" si="51"/>
        <v>28364.686377462484</v>
      </c>
      <c r="Q120" s="344"/>
      <c r="R120" s="344"/>
      <c r="S120" s="350">
        <f t="shared" si="52"/>
        <v>14093.960819153077</v>
      </c>
      <c r="T120" s="350">
        <f t="shared" si="52"/>
        <v>14093.960819153077</v>
      </c>
      <c r="U120" s="350">
        <f t="shared" si="52"/>
        <v>14093.960819153077</v>
      </c>
      <c r="V120" s="350">
        <f t="shared" si="52"/>
        <v>1381.4766982560238</v>
      </c>
      <c r="W120" s="344"/>
      <c r="X120" s="350">
        <f t="shared" si="53"/>
        <v>14093.960819153077</v>
      </c>
      <c r="Y120" s="350">
        <f t="shared" si="53"/>
        <v>14093.960819153077</v>
      </c>
      <c r="Z120" s="350">
        <f t="shared" si="53"/>
        <v>14093.960819153077</v>
      </c>
      <c r="AA120" s="350">
        <f t="shared" si="53"/>
        <v>1381.4766982560238</v>
      </c>
      <c r="AB120" s="344"/>
      <c r="AC120" s="350">
        <f t="shared" si="54"/>
        <v>3772.6502982957672</v>
      </c>
      <c r="AD120" s="350">
        <f t="shared" si="54"/>
        <v>3772.6502982957672</v>
      </c>
      <c r="AE120" s="350">
        <f t="shared" si="54"/>
        <v>3772.6502982957672</v>
      </c>
      <c r="AF120" s="350">
        <f t="shared" si="54"/>
        <v>304.03002089552893</v>
      </c>
      <c r="AG120" s="350">
        <f t="shared" si="54"/>
        <v>2294</v>
      </c>
      <c r="AH120" s="344"/>
      <c r="AI120" s="344"/>
      <c r="AJ120" s="344"/>
      <c r="AK120" s="344"/>
      <c r="AL120" s="344"/>
      <c r="AM120" s="344"/>
      <c r="AN120" s="344"/>
      <c r="AO120" s="344"/>
    </row>
    <row r="121" spans="1:41" x14ac:dyDescent="0.25">
      <c r="A121" s="309"/>
      <c r="B121" s="309"/>
      <c r="C121" s="24"/>
      <c r="D121"/>
      <c r="E121"/>
      <c r="F121" s="300" t="s">
        <v>999</v>
      </c>
      <c r="G121" s="300" t="s">
        <v>212</v>
      </c>
      <c r="H121" s="300"/>
      <c r="I121" s="300"/>
      <c r="J121" s="350">
        <f t="shared" si="50"/>
        <v>2389874.3672400983</v>
      </c>
      <c r="K121" s="344"/>
      <c r="L121" s="344"/>
      <c r="M121" s="350">
        <f t="shared" si="51"/>
        <v>71659.638905771921</v>
      </c>
      <c r="N121" s="350">
        <f t="shared" si="51"/>
        <v>110451.56912025421</v>
      </c>
      <c r="O121" s="350">
        <f t="shared" si="51"/>
        <v>110451.56912025421</v>
      </c>
      <c r="P121" s="350">
        <f t="shared" si="51"/>
        <v>110451.56912025421</v>
      </c>
      <c r="Q121" s="344"/>
      <c r="R121" s="344"/>
      <c r="S121" s="350">
        <f t="shared" si="52"/>
        <v>6753.6190604468457</v>
      </c>
      <c r="T121" s="350">
        <f t="shared" si="52"/>
        <v>8721.8184569622572</v>
      </c>
      <c r="U121" s="350">
        <f t="shared" si="52"/>
        <v>8721.8184569622572</v>
      </c>
      <c r="V121" s="350">
        <f t="shared" si="52"/>
        <v>8721.8184569622572</v>
      </c>
      <c r="W121" s="344"/>
      <c r="X121" s="350">
        <f t="shared" si="53"/>
        <v>6753.6190604468457</v>
      </c>
      <c r="Y121" s="350">
        <f t="shared" si="53"/>
        <v>8721.8184569622572</v>
      </c>
      <c r="Z121" s="350">
        <f t="shared" si="53"/>
        <v>8721.8184569622572</v>
      </c>
      <c r="AA121" s="350">
        <f t="shared" si="53"/>
        <v>8721.8184569622572</v>
      </c>
      <c r="AB121" s="344"/>
      <c r="AC121" s="350">
        <f t="shared" si="54"/>
        <v>2236.9847532876661</v>
      </c>
      <c r="AD121" s="350">
        <f t="shared" si="54"/>
        <v>1839.69556590363</v>
      </c>
      <c r="AE121" s="350">
        <f t="shared" si="54"/>
        <v>1839.69556590363</v>
      </c>
      <c r="AF121" s="350">
        <f t="shared" si="54"/>
        <v>1839.69556590363</v>
      </c>
      <c r="AG121" s="350">
        <f t="shared" si="54"/>
        <v>2294</v>
      </c>
      <c r="AH121" s="344"/>
      <c r="AI121" s="344"/>
      <c r="AJ121" s="344"/>
      <c r="AK121" s="344"/>
      <c r="AL121" s="344"/>
      <c r="AM121" s="344"/>
      <c r="AN121" s="344"/>
      <c r="AO121" s="344"/>
    </row>
    <row r="122" spans="1:41" x14ac:dyDescent="0.25">
      <c r="A122" s="309"/>
      <c r="B122" s="309"/>
      <c r="C122" s="24"/>
      <c r="D122"/>
      <c r="E122"/>
      <c r="F122" s="28" t="s">
        <v>1000</v>
      </c>
      <c r="G122" s="28" t="s">
        <v>212</v>
      </c>
      <c r="H122" s="28"/>
      <c r="I122" s="28"/>
      <c r="J122" s="351">
        <f t="shared" si="50"/>
        <v>2389874.3672400983</v>
      </c>
      <c r="K122" s="346"/>
      <c r="L122" s="346"/>
      <c r="M122" s="351">
        <f t="shared" si="51"/>
        <v>182111.20802602617</v>
      </c>
      <c r="N122" s="351">
        <f t="shared" si="51"/>
        <v>182111.20802602617</v>
      </c>
      <c r="O122" s="351">
        <f t="shared" si="51"/>
        <v>182111.20802602617</v>
      </c>
      <c r="P122" s="351">
        <f t="shared" si="51"/>
        <v>182111.20802602617</v>
      </c>
      <c r="Q122" s="346"/>
      <c r="R122" s="346"/>
      <c r="S122" s="351">
        <f t="shared" si="52"/>
        <v>15475.4375174091</v>
      </c>
      <c r="T122" s="351">
        <f t="shared" si="52"/>
        <v>15475.4375174091</v>
      </c>
      <c r="U122" s="351">
        <f t="shared" si="52"/>
        <v>15475.4375174091</v>
      </c>
      <c r="V122" s="351">
        <f t="shared" si="52"/>
        <v>15475.4375174091</v>
      </c>
      <c r="W122" s="346"/>
      <c r="X122" s="351">
        <f t="shared" si="53"/>
        <v>15475.4375174091</v>
      </c>
      <c r="Y122" s="351">
        <f t="shared" si="53"/>
        <v>15475.4375174091</v>
      </c>
      <c r="Z122" s="351">
        <f t="shared" si="53"/>
        <v>15475.4375174091</v>
      </c>
      <c r="AA122" s="351">
        <f t="shared" si="53"/>
        <v>15475.4375174091</v>
      </c>
      <c r="AB122" s="346"/>
      <c r="AC122" s="351">
        <f t="shared" si="54"/>
        <v>4076.6803191912963</v>
      </c>
      <c r="AD122" s="351">
        <f t="shared" si="54"/>
        <v>4076.6803191912963</v>
      </c>
      <c r="AE122" s="351">
        <f t="shared" si="54"/>
        <v>4076.6803191912963</v>
      </c>
      <c r="AF122" s="351">
        <f t="shared" si="54"/>
        <v>4076.6803191912963</v>
      </c>
      <c r="AG122" s="351">
        <f t="shared" si="54"/>
        <v>2294</v>
      </c>
      <c r="AH122" s="346"/>
      <c r="AI122" s="346"/>
      <c r="AJ122" s="346"/>
      <c r="AK122" s="346"/>
      <c r="AL122" s="346"/>
      <c r="AM122" s="346"/>
      <c r="AN122" s="346"/>
      <c r="AO122" s="346"/>
    </row>
    <row r="123" spans="1:41" x14ac:dyDescent="0.25">
      <c r="A123" s="309"/>
      <c r="B123" s="309"/>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1:41" x14ac:dyDescent="0.25">
      <c r="A124" s="309"/>
      <c r="B124" s="309"/>
      <c r="C124" s="24"/>
      <c r="D124"/>
      <c r="E124" t="s">
        <v>1008</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1:41" x14ac:dyDescent="0.25">
      <c r="A125" s="309"/>
      <c r="B125" s="309"/>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1:41" x14ac:dyDescent="0.25">
      <c r="A126" s="309"/>
      <c r="B126" s="309"/>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1:41" x14ac:dyDescent="0.25">
      <c r="A127" s="309"/>
      <c r="B127" s="309"/>
      <c r="C127" s="24"/>
      <c r="D127"/>
      <c r="E127"/>
      <c r="F127" s="19" t="s">
        <v>993</v>
      </c>
      <c r="G127" s="19" t="s">
        <v>907</v>
      </c>
      <c r="H127" s="19"/>
      <c r="I127" s="19"/>
      <c r="J127" s="349" t="b">
        <f>J115&gt;=$H$124</f>
        <v>1</v>
      </c>
      <c r="K127" s="348"/>
      <c r="L127" s="348"/>
      <c r="M127" s="349" t="b">
        <f t="shared" ref="M127:P127" si="55">M115&gt;=$H$124</f>
        <v>1</v>
      </c>
      <c r="N127" s="349" t="b">
        <f t="shared" si="55"/>
        <v>1</v>
      </c>
      <c r="O127" s="349" t="b">
        <f t="shared" si="55"/>
        <v>1</v>
      </c>
      <c r="P127" s="349" t="b">
        <f t="shared" si="55"/>
        <v>1</v>
      </c>
      <c r="Q127" s="348"/>
      <c r="R127" s="348"/>
      <c r="S127" s="349" t="b">
        <f t="shared" ref="S127:V127" si="56">S115&gt;=$H$124</f>
        <v>1</v>
      </c>
      <c r="T127" s="349" t="b">
        <f t="shared" si="56"/>
        <v>1</v>
      </c>
      <c r="U127" s="349" t="b">
        <f t="shared" si="56"/>
        <v>1</v>
      </c>
      <c r="V127" s="349" t="b">
        <f t="shared" si="56"/>
        <v>1</v>
      </c>
      <c r="W127" s="348"/>
      <c r="X127" s="349" t="b">
        <f t="shared" ref="X127:AA127" si="57">X115&gt;=$H$124</f>
        <v>1</v>
      </c>
      <c r="Y127" s="349" t="b">
        <f t="shared" si="57"/>
        <v>1</v>
      </c>
      <c r="Z127" s="349" t="b">
        <f t="shared" si="57"/>
        <v>1</v>
      </c>
      <c r="AA127" s="349" t="b">
        <f t="shared" si="57"/>
        <v>1</v>
      </c>
      <c r="AB127" s="348"/>
      <c r="AC127" s="349" t="b">
        <f t="shared" ref="AC127:AG127" si="58">AC115&gt;=$H$124</f>
        <v>1</v>
      </c>
      <c r="AD127" s="349" t="b">
        <f t="shared" si="58"/>
        <v>1</v>
      </c>
      <c r="AE127" s="349" t="b">
        <f t="shared" si="58"/>
        <v>1</v>
      </c>
      <c r="AF127" s="349" t="b">
        <f t="shared" si="58"/>
        <v>1</v>
      </c>
      <c r="AG127" s="349" t="b">
        <f t="shared" si="58"/>
        <v>1</v>
      </c>
      <c r="AH127" s="348"/>
      <c r="AI127" s="348"/>
      <c r="AJ127" s="348"/>
      <c r="AK127" s="348"/>
      <c r="AL127" s="348"/>
      <c r="AM127" s="348"/>
      <c r="AN127" s="348"/>
      <c r="AO127" s="348"/>
    </row>
    <row r="128" spans="1:41" x14ac:dyDescent="0.25">
      <c r="A128" s="309"/>
      <c r="B128" s="309"/>
      <c r="C128" s="24"/>
      <c r="D128"/>
      <c r="E128"/>
      <c r="F128" s="300" t="s">
        <v>994</v>
      </c>
      <c r="G128" s="300" t="s">
        <v>907</v>
      </c>
      <c r="H128" s="300"/>
      <c r="I128" s="300"/>
      <c r="J128" s="350" t="b">
        <f t="shared" ref="J128:J134" si="59">J116&gt;=$H$124</f>
        <v>1</v>
      </c>
      <c r="K128" s="344"/>
      <c r="L128" s="344"/>
      <c r="M128" s="350" t="b">
        <f t="shared" ref="M128:P128" si="60">M116&gt;=$H$124</f>
        <v>1</v>
      </c>
      <c r="N128" s="350" t="b">
        <f t="shared" si="60"/>
        <v>1</v>
      </c>
      <c r="O128" s="350" t="b">
        <f t="shared" si="60"/>
        <v>1</v>
      </c>
      <c r="P128" s="350" t="b">
        <f t="shared" si="60"/>
        <v>1</v>
      </c>
      <c r="Q128" s="344"/>
      <c r="R128" s="344"/>
      <c r="S128" s="350" t="b">
        <f t="shared" ref="S128:V128" si="61">S116&gt;=$H$124</f>
        <v>1</v>
      </c>
      <c r="T128" s="350" t="b">
        <f t="shared" si="61"/>
        <v>1</v>
      </c>
      <c r="U128" s="350" t="b">
        <f t="shared" si="61"/>
        <v>1</v>
      </c>
      <c r="V128" s="350" t="b">
        <f t="shared" si="61"/>
        <v>1</v>
      </c>
      <c r="W128" s="344"/>
      <c r="X128" s="350" t="b">
        <f t="shared" ref="X128:AA128" si="62">X116&gt;=$H$124</f>
        <v>1</v>
      </c>
      <c r="Y128" s="350" t="b">
        <f t="shared" si="62"/>
        <v>1</v>
      </c>
      <c r="Z128" s="350" t="b">
        <f t="shared" si="62"/>
        <v>1</v>
      </c>
      <c r="AA128" s="350" t="b">
        <f t="shared" si="62"/>
        <v>1</v>
      </c>
      <c r="AB128" s="344"/>
      <c r="AC128" s="350" t="b">
        <f t="shared" ref="AC128:AG128" si="63">AC116&gt;=$H$124</f>
        <v>1</v>
      </c>
      <c r="AD128" s="350" t="b">
        <f t="shared" si="63"/>
        <v>1</v>
      </c>
      <c r="AE128" s="350" t="b">
        <f t="shared" si="63"/>
        <v>1</v>
      </c>
      <c r="AF128" s="350" t="b">
        <f t="shared" si="63"/>
        <v>1</v>
      </c>
      <c r="AG128" s="350" t="b">
        <f t="shared" si="63"/>
        <v>1</v>
      </c>
      <c r="AH128" s="344"/>
      <c r="AI128" s="344"/>
      <c r="AJ128" s="344"/>
      <c r="AK128" s="344"/>
      <c r="AL128" s="344"/>
      <c r="AM128" s="344"/>
      <c r="AN128" s="344"/>
      <c r="AO128" s="344"/>
    </row>
    <row r="129" spans="1:41" x14ac:dyDescent="0.25">
      <c r="A129" s="309"/>
      <c r="B129" s="309"/>
      <c r="C129" s="24"/>
      <c r="D129"/>
      <c r="E129"/>
      <c r="F129" s="300" t="s">
        <v>995</v>
      </c>
      <c r="G129" s="300" t="s">
        <v>907</v>
      </c>
      <c r="H129" s="300"/>
      <c r="I129" s="300"/>
      <c r="J129" s="350" t="b">
        <f t="shared" si="59"/>
        <v>1</v>
      </c>
      <c r="K129" s="344"/>
      <c r="L129" s="344"/>
      <c r="M129" s="350" t="b">
        <f t="shared" ref="M129:P129" si="64">M117&gt;=$H$124</f>
        <v>1</v>
      </c>
      <c r="N129" s="350" t="b">
        <f t="shared" si="64"/>
        <v>1</v>
      </c>
      <c r="O129" s="350" t="b">
        <f t="shared" si="64"/>
        <v>1</v>
      </c>
      <c r="P129" s="350" t="b">
        <f t="shared" si="64"/>
        <v>1</v>
      </c>
      <c r="Q129" s="344"/>
      <c r="R129" s="344"/>
      <c r="S129" s="350" t="b">
        <f t="shared" ref="S129:V129" si="65">S117&gt;=$H$124</f>
        <v>1</v>
      </c>
      <c r="T129" s="350" t="b">
        <f t="shared" si="65"/>
        <v>1</v>
      </c>
      <c r="U129" s="350" t="b">
        <f t="shared" si="65"/>
        <v>1</v>
      </c>
      <c r="V129" s="350" t="b">
        <f t="shared" si="65"/>
        <v>1</v>
      </c>
      <c r="W129" s="344"/>
      <c r="X129" s="350" t="b">
        <f t="shared" ref="X129:AA129" si="66">X117&gt;=$H$124</f>
        <v>1</v>
      </c>
      <c r="Y129" s="350" t="b">
        <f t="shared" si="66"/>
        <v>1</v>
      </c>
      <c r="Z129" s="350" t="b">
        <f t="shared" si="66"/>
        <v>1</v>
      </c>
      <c r="AA129" s="350" t="b">
        <f t="shared" si="66"/>
        <v>1</v>
      </c>
      <c r="AB129" s="344"/>
      <c r="AC129" s="350" t="b">
        <f t="shared" ref="AC129:AG129" si="67">AC117&gt;=$H$124</f>
        <v>1</v>
      </c>
      <c r="AD129" s="350" t="b">
        <f t="shared" si="67"/>
        <v>1</v>
      </c>
      <c r="AE129" s="350" t="b">
        <f t="shared" si="67"/>
        <v>1</v>
      </c>
      <c r="AF129" s="350" t="b">
        <f t="shared" si="67"/>
        <v>1</v>
      </c>
      <c r="AG129" s="350" t="b">
        <f t="shared" si="67"/>
        <v>1</v>
      </c>
      <c r="AH129" s="344"/>
      <c r="AI129" s="344"/>
      <c r="AJ129" s="344"/>
      <c r="AK129" s="344"/>
      <c r="AL129" s="344"/>
      <c r="AM129" s="344"/>
      <c r="AN129" s="344"/>
      <c r="AO129" s="344"/>
    </row>
    <row r="130" spans="1:41" x14ac:dyDescent="0.25">
      <c r="A130" s="309"/>
      <c r="B130" s="309"/>
      <c r="C130" s="24"/>
      <c r="D130"/>
      <c r="E130"/>
      <c r="F130" s="300" t="s">
        <v>996</v>
      </c>
      <c r="G130" s="300" t="s">
        <v>907</v>
      </c>
      <c r="H130" s="300"/>
      <c r="I130" s="300"/>
      <c r="J130" s="350" t="b">
        <f t="shared" si="59"/>
        <v>1</v>
      </c>
      <c r="K130" s="344"/>
      <c r="L130" s="344"/>
      <c r="M130" s="350" t="b">
        <f t="shared" ref="M130:P130" si="68">M118&gt;=$H$124</f>
        <v>1</v>
      </c>
      <c r="N130" s="350" t="b">
        <f t="shared" si="68"/>
        <v>1</v>
      </c>
      <c r="O130" s="350" t="b">
        <f t="shared" si="68"/>
        <v>1</v>
      </c>
      <c r="P130" s="350" t="b">
        <f t="shared" si="68"/>
        <v>1</v>
      </c>
      <c r="Q130" s="344"/>
      <c r="R130" s="344"/>
      <c r="S130" s="350" t="b">
        <f t="shared" ref="S130:V130" si="69">S118&gt;=$H$124</f>
        <v>1</v>
      </c>
      <c r="T130" s="350" t="b">
        <f t="shared" si="69"/>
        <v>1</v>
      </c>
      <c r="U130" s="350" t="b">
        <f t="shared" si="69"/>
        <v>1</v>
      </c>
      <c r="V130" s="350" t="b">
        <f t="shared" si="69"/>
        <v>1</v>
      </c>
      <c r="W130" s="344"/>
      <c r="X130" s="350" t="b">
        <f t="shared" ref="X130:AA130" si="70">X118&gt;=$H$124</f>
        <v>1</v>
      </c>
      <c r="Y130" s="350" t="b">
        <f t="shared" si="70"/>
        <v>1</v>
      </c>
      <c r="Z130" s="350" t="b">
        <f t="shared" si="70"/>
        <v>1</v>
      </c>
      <c r="AA130" s="350" t="b">
        <f t="shared" si="70"/>
        <v>1</v>
      </c>
      <c r="AB130" s="344"/>
      <c r="AC130" s="350" t="b">
        <f t="shared" ref="AC130:AG130" si="71">AC118&gt;=$H$124</f>
        <v>1</v>
      </c>
      <c r="AD130" s="350" t="b">
        <f t="shared" si="71"/>
        <v>1</v>
      </c>
      <c r="AE130" s="350" t="b">
        <f t="shared" si="71"/>
        <v>1</v>
      </c>
      <c r="AF130" s="350" t="b">
        <f t="shared" si="71"/>
        <v>1</v>
      </c>
      <c r="AG130" s="350" t="b">
        <f t="shared" si="71"/>
        <v>1</v>
      </c>
      <c r="AH130" s="344"/>
      <c r="AI130" s="344"/>
      <c r="AJ130" s="344"/>
      <c r="AK130" s="344"/>
      <c r="AL130" s="344"/>
      <c r="AM130" s="344"/>
      <c r="AN130" s="344"/>
      <c r="AO130" s="344"/>
    </row>
    <row r="131" spans="1:41" x14ac:dyDescent="0.25">
      <c r="A131" s="309"/>
      <c r="B131" s="309"/>
      <c r="C131" s="24"/>
      <c r="D131"/>
      <c r="E131"/>
      <c r="F131" s="300" t="s">
        <v>997</v>
      </c>
      <c r="G131" s="300" t="s">
        <v>907</v>
      </c>
      <c r="H131" s="300"/>
      <c r="I131" s="300"/>
      <c r="J131" s="350" t="b">
        <f t="shared" si="59"/>
        <v>1</v>
      </c>
      <c r="K131" s="344"/>
      <c r="L131" s="344"/>
      <c r="M131" s="350" t="b">
        <f t="shared" ref="M131:P131" si="72">M119&gt;=$H$124</f>
        <v>1</v>
      </c>
      <c r="N131" s="350" t="b">
        <f t="shared" si="72"/>
        <v>1</v>
      </c>
      <c r="O131" s="350" t="b">
        <f t="shared" si="72"/>
        <v>1</v>
      </c>
      <c r="P131" s="350" t="b">
        <f t="shared" si="72"/>
        <v>1</v>
      </c>
      <c r="Q131" s="344"/>
      <c r="R131" s="344"/>
      <c r="S131" s="350" t="b">
        <f t="shared" ref="S131:V131" si="73">S119&gt;=$H$124</f>
        <v>1</v>
      </c>
      <c r="T131" s="350" t="b">
        <f t="shared" si="73"/>
        <v>1</v>
      </c>
      <c r="U131" s="350" t="b">
        <f t="shared" si="73"/>
        <v>1</v>
      </c>
      <c r="V131" s="350" t="b">
        <f t="shared" si="73"/>
        <v>1</v>
      </c>
      <c r="W131" s="344"/>
      <c r="X131" s="350" t="b">
        <f t="shared" ref="X131:AA131" si="74">X119&gt;=$H$124</f>
        <v>1</v>
      </c>
      <c r="Y131" s="350" t="b">
        <f t="shared" si="74"/>
        <v>1</v>
      </c>
      <c r="Z131" s="350" t="b">
        <f t="shared" si="74"/>
        <v>1</v>
      </c>
      <c r="AA131" s="350" t="b">
        <f t="shared" si="74"/>
        <v>1</v>
      </c>
      <c r="AB131" s="344"/>
      <c r="AC131" s="350" t="b">
        <f t="shared" ref="AC131:AG131" si="75">AC119&gt;=$H$124</f>
        <v>1</v>
      </c>
      <c r="AD131" s="350" t="b">
        <f t="shared" si="75"/>
        <v>1</v>
      </c>
      <c r="AE131" s="350" t="b">
        <f t="shared" si="75"/>
        <v>1</v>
      </c>
      <c r="AF131" s="350" t="b">
        <f t="shared" si="75"/>
        <v>1</v>
      </c>
      <c r="AG131" s="350" t="b">
        <f t="shared" si="75"/>
        <v>1</v>
      </c>
      <c r="AH131" s="344"/>
      <c r="AI131" s="344"/>
      <c r="AJ131" s="344"/>
      <c r="AK131" s="344"/>
      <c r="AL131" s="344"/>
      <c r="AM131" s="344"/>
      <c r="AN131" s="344"/>
      <c r="AO131" s="344"/>
    </row>
    <row r="132" spans="1:41" x14ac:dyDescent="0.25">
      <c r="A132" s="309"/>
      <c r="B132" s="309"/>
      <c r="C132" s="24"/>
      <c r="D132"/>
      <c r="E132"/>
      <c r="F132" s="300" t="s">
        <v>998</v>
      </c>
      <c r="G132" s="300" t="s">
        <v>907</v>
      </c>
      <c r="H132" s="300"/>
      <c r="I132" s="300"/>
      <c r="J132" s="350" t="b">
        <f t="shared" si="59"/>
        <v>1</v>
      </c>
      <c r="K132" s="344"/>
      <c r="L132" s="344"/>
      <c r="M132" s="350" t="b">
        <f t="shared" ref="M132:P132" si="76">M120&gt;=$H$124</f>
        <v>1</v>
      </c>
      <c r="N132" s="350" t="b">
        <f t="shared" si="76"/>
        <v>1</v>
      </c>
      <c r="O132" s="350" t="b">
        <f t="shared" si="76"/>
        <v>1</v>
      </c>
      <c r="P132" s="350" t="b">
        <f t="shared" si="76"/>
        <v>1</v>
      </c>
      <c r="Q132" s="344"/>
      <c r="R132" s="344"/>
      <c r="S132" s="350" t="b">
        <f t="shared" ref="S132:V132" si="77">S120&gt;=$H$124</f>
        <v>1</v>
      </c>
      <c r="T132" s="350" t="b">
        <f t="shared" si="77"/>
        <v>1</v>
      </c>
      <c r="U132" s="350" t="b">
        <f t="shared" si="77"/>
        <v>1</v>
      </c>
      <c r="V132" s="350" t="b">
        <f t="shared" si="77"/>
        <v>1</v>
      </c>
      <c r="W132" s="344"/>
      <c r="X132" s="350" t="b">
        <f t="shared" ref="X132:AA132" si="78">X120&gt;=$H$124</f>
        <v>1</v>
      </c>
      <c r="Y132" s="350" t="b">
        <f t="shared" si="78"/>
        <v>1</v>
      </c>
      <c r="Z132" s="350" t="b">
        <f t="shared" si="78"/>
        <v>1</v>
      </c>
      <c r="AA132" s="350" t="b">
        <f t="shared" si="78"/>
        <v>1</v>
      </c>
      <c r="AB132" s="344"/>
      <c r="AC132" s="350" t="b">
        <f t="shared" ref="AC132:AG132" si="79">AC120&gt;=$H$124</f>
        <v>1</v>
      </c>
      <c r="AD132" s="350" t="b">
        <f t="shared" si="79"/>
        <v>1</v>
      </c>
      <c r="AE132" s="350" t="b">
        <f t="shared" si="79"/>
        <v>1</v>
      </c>
      <c r="AF132" s="350" t="b">
        <f t="shared" si="79"/>
        <v>1</v>
      </c>
      <c r="AG132" s="350" t="b">
        <f t="shared" si="79"/>
        <v>1</v>
      </c>
      <c r="AH132" s="344"/>
      <c r="AI132" s="344"/>
      <c r="AJ132" s="344"/>
      <c r="AK132" s="344"/>
      <c r="AL132" s="344"/>
      <c r="AM132" s="344"/>
      <c r="AN132" s="344"/>
      <c r="AO132" s="344"/>
    </row>
    <row r="133" spans="1:41" x14ac:dyDescent="0.25">
      <c r="A133" s="309"/>
      <c r="B133" s="309"/>
      <c r="C133" s="24"/>
      <c r="D133"/>
      <c r="E133"/>
      <c r="F133" s="300" t="s">
        <v>999</v>
      </c>
      <c r="G133" s="300" t="s">
        <v>907</v>
      </c>
      <c r="H133" s="300"/>
      <c r="I133" s="300"/>
      <c r="J133" s="350" t="b">
        <f t="shared" si="59"/>
        <v>1</v>
      </c>
      <c r="K133" s="344"/>
      <c r="L133" s="344"/>
      <c r="M133" s="350" t="b">
        <f t="shared" ref="M133:P133" si="80">M121&gt;=$H$124</f>
        <v>1</v>
      </c>
      <c r="N133" s="350" t="b">
        <f t="shared" si="80"/>
        <v>1</v>
      </c>
      <c r="O133" s="350" t="b">
        <f t="shared" si="80"/>
        <v>1</v>
      </c>
      <c r="P133" s="350" t="b">
        <f t="shared" si="80"/>
        <v>1</v>
      </c>
      <c r="Q133" s="344"/>
      <c r="R133" s="344"/>
      <c r="S133" s="350" t="b">
        <f t="shared" ref="S133:V133" si="81">S121&gt;=$H$124</f>
        <v>1</v>
      </c>
      <c r="T133" s="350" t="b">
        <f t="shared" si="81"/>
        <v>1</v>
      </c>
      <c r="U133" s="350" t="b">
        <f t="shared" si="81"/>
        <v>1</v>
      </c>
      <c r="V133" s="350" t="b">
        <f t="shared" si="81"/>
        <v>1</v>
      </c>
      <c r="W133" s="344"/>
      <c r="X133" s="350" t="b">
        <f t="shared" ref="X133:AA133" si="82">X121&gt;=$H$124</f>
        <v>1</v>
      </c>
      <c r="Y133" s="350" t="b">
        <f t="shared" si="82"/>
        <v>1</v>
      </c>
      <c r="Z133" s="350" t="b">
        <f t="shared" si="82"/>
        <v>1</v>
      </c>
      <c r="AA133" s="350" t="b">
        <f t="shared" si="82"/>
        <v>1</v>
      </c>
      <c r="AB133" s="344"/>
      <c r="AC133" s="350" t="b">
        <f t="shared" ref="AC133:AG133" si="83">AC121&gt;=$H$124</f>
        <v>1</v>
      </c>
      <c r="AD133" s="350" t="b">
        <f t="shared" si="83"/>
        <v>1</v>
      </c>
      <c r="AE133" s="350" t="b">
        <f t="shared" si="83"/>
        <v>1</v>
      </c>
      <c r="AF133" s="350" t="b">
        <f t="shared" si="83"/>
        <v>1</v>
      </c>
      <c r="AG133" s="350" t="b">
        <f t="shared" si="83"/>
        <v>1</v>
      </c>
      <c r="AH133" s="344"/>
      <c r="AI133" s="344"/>
      <c r="AJ133" s="344"/>
      <c r="AK133" s="344"/>
      <c r="AL133" s="344"/>
      <c r="AM133" s="344"/>
      <c r="AN133" s="344"/>
      <c r="AO133" s="344"/>
    </row>
    <row r="134" spans="1:41" x14ac:dyDescent="0.25">
      <c r="A134" s="309"/>
      <c r="B134" s="309"/>
      <c r="C134" s="24"/>
      <c r="D134"/>
      <c r="E134"/>
      <c r="F134" s="28" t="s">
        <v>1000</v>
      </c>
      <c r="G134" s="28" t="s">
        <v>907</v>
      </c>
      <c r="H134" s="28"/>
      <c r="I134" s="28"/>
      <c r="J134" s="351" t="b">
        <f t="shared" si="59"/>
        <v>1</v>
      </c>
      <c r="K134" s="346"/>
      <c r="L134" s="346"/>
      <c r="M134" s="351" t="b">
        <f t="shared" ref="M134:P134" si="84">M122&gt;=$H$124</f>
        <v>1</v>
      </c>
      <c r="N134" s="351" t="b">
        <f t="shared" si="84"/>
        <v>1</v>
      </c>
      <c r="O134" s="351" t="b">
        <f t="shared" si="84"/>
        <v>1</v>
      </c>
      <c r="P134" s="351" t="b">
        <f t="shared" si="84"/>
        <v>1</v>
      </c>
      <c r="Q134" s="346"/>
      <c r="R134" s="346"/>
      <c r="S134" s="351" t="b">
        <f t="shared" ref="S134:V134" si="85">S122&gt;=$H$124</f>
        <v>1</v>
      </c>
      <c r="T134" s="351" t="b">
        <f t="shared" si="85"/>
        <v>1</v>
      </c>
      <c r="U134" s="351" t="b">
        <f t="shared" si="85"/>
        <v>1</v>
      </c>
      <c r="V134" s="351" t="b">
        <f t="shared" si="85"/>
        <v>1</v>
      </c>
      <c r="W134" s="346"/>
      <c r="X134" s="351" t="b">
        <f t="shared" ref="X134:AA134" si="86">X122&gt;=$H$124</f>
        <v>1</v>
      </c>
      <c r="Y134" s="351" t="b">
        <f t="shared" si="86"/>
        <v>1</v>
      </c>
      <c r="Z134" s="351" t="b">
        <f t="shared" si="86"/>
        <v>1</v>
      </c>
      <c r="AA134" s="351" t="b">
        <f t="shared" si="86"/>
        <v>1</v>
      </c>
      <c r="AB134" s="346"/>
      <c r="AC134" s="351" t="b">
        <f t="shared" ref="AC134:AG134" si="87">AC122&gt;=$H$124</f>
        <v>1</v>
      </c>
      <c r="AD134" s="351" t="b">
        <f t="shared" si="87"/>
        <v>1</v>
      </c>
      <c r="AE134" s="351" t="b">
        <f t="shared" si="87"/>
        <v>1</v>
      </c>
      <c r="AF134" s="351" t="b">
        <f t="shared" si="87"/>
        <v>1</v>
      </c>
      <c r="AG134" s="351" t="b">
        <f t="shared" si="87"/>
        <v>1</v>
      </c>
      <c r="AH134" s="346"/>
      <c r="AI134" s="346"/>
      <c r="AJ134" s="346"/>
      <c r="AK134" s="346"/>
      <c r="AL134" s="346"/>
      <c r="AM134" s="346"/>
      <c r="AN134" s="346"/>
      <c r="AO134" s="346"/>
    </row>
    <row r="135" spans="1:41" x14ac:dyDescent="0.25">
      <c r="A135" s="309"/>
      <c r="B135" s="309"/>
      <c r="C135" s="24"/>
      <c r="D135"/>
      <c r="E135"/>
      <c r="J135" s="153"/>
      <c r="K135" s="153"/>
      <c r="L135" s="153"/>
      <c r="M135" s="322"/>
      <c r="N135" s="322"/>
      <c r="O135" s="322"/>
      <c r="P135" s="322"/>
      <c r="Q135" s="153"/>
      <c r="R135" s="153"/>
      <c r="S135" s="322"/>
      <c r="T135" s="322"/>
      <c r="U135" s="322"/>
      <c r="V135" s="322"/>
      <c r="W135" s="153"/>
      <c r="X135" s="322"/>
      <c r="Y135" s="322"/>
      <c r="Z135" s="322"/>
      <c r="AA135" s="322"/>
      <c r="AB135" s="153"/>
      <c r="AC135" s="322"/>
      <c r="AD135" s="322"/>
      <c r="AE135" s="322"/>
      <c r="AF135" s="322"/>
      <c r="AG135" s="153"/>
      <c r="AH135" s="153"/>
      <c r="AI135" s="153"/>
      <c r="AJ135" s="153"/>
      <c r="AK135" s="153"/>
      <c r="AL135" s="153"/>
      <c r="AM135" s="153"/>
      <c r="AN135" s="153"/>
      <c r="AO135" s="153"/>
    </row>
    <row r="136" spans="1:41" x14ac:dyDescent="0.25">
      <c r="A136" s="309"/>
      <c r="B136" s="309"/>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1:41" x14ac:dyDescent="0.25">
      <c r="A137" s="309"/>
      <c r="B137" s="309"/>
      <c r="C137" s="24"/>
      <c r="D137"/>
      <c r="E137"/>
      <c r="F137" s="19" t="s">
        <v>993</v>
      </c>
      <c r="G137" s="19" t="s">
        <v>149</v>
      </c>
      <c r="H137" s="19"/>
      <c r="I137" s="19"/>
      <c r="J137" s="349">
        <f t="shared" ref="J137:J144" si="88">COUNTIFS($J127:$AO127,TRUE,$J$35:$AO$35,J$35)</f>
        <v>1</v>
      </c>
      <c r="K137" s="348"/>
      <c r="L137" s="348"/>
      <c r="M137" s="349">
        <f t="shared" ref="M137:P144" si="89">COUNTIFS($J127:$AO127,TRUE,$J$35:$AO$35,M$35)</f>
        <v>4</v>
      </c>
      <c r="N137" s="349">
        <f t="shared" si="89"/>
        <v>4</v>
      </c>
      <c r="O137" s="349">
        <f t="shared" si="89"/>
        <v>4</v>
      </c>
      <c r="P137" s="349">
        <f t="shared" si="89"/>
        <v>4</v>
      </c>
      <c r="Q137" s="348"/>
      <c r="R137" s="348"/>
      <c r="S137" s="349">
        <f t="shared" ref="S137:V144" si="90">COUNTIFS($J127:$AO127,TRUE,$J$35:$AO$35,S$35)</f>
        <v>8</v>
      </c>
      <c r="T137" s="349">
        <f t="shared" si="90"/>
        <v>8</v>
      </c>
      <c r="U137" s="349">
        <f t="shared" si="90"/>
        <v>8</v>
      </c>
      <c r="V137" s="349">
        <f t="shared" si="90"/>
        <v>8</v>
      </c>
      <c r="W137" s="348"/>
      <c r="X137" s="349">
        <f t="shared" ref="X137:AA144" si="91">COUNTIFS($J127:$AO127,TRUE,$J$35:$AO$35,X$35)</f>
        <v>8</v>
      </c>
      <c r="Y137" s="349">
        <f t="shared" si="91"/>
        <v>8</v>
      </c>
      <c r="Z137" s="349">
        <f t="shared" si="91"/>
        <v>8</v>
      </c>
      <c r="AA137" s="349">
        <f t="shared" si="91"/>
        <v>8</v>
      </c>
      <c r="AB137" s="348"/>
      <c r="AC137" s="349">
        <f t="shared" ref="AC137:AG144" si="92">COUNTIFS($J127:$AO127,TRUE,$J$35:$AO$35,AC$35)</f>
        <v>4</v>
      </c>
      <c r="AD137" s="349">
        <f t="shared" si="92"/>
        <v>4</v>
      </c>
      <c r="AE137" s="349">
        <f t="shared" si="92"/>
        <v>4</v>
      </c>
      <c r="AF137" s="349">
        <f t="shared" si="92"/>
        <v>4</v>
      </c>
      <c r="AG137" s="349">
        <f t="shared" si="92"/>
        <v>1</v>
      </c>
      <c r="AH137" s="348"/>
      <c r="AI137" s="348"/>
      <c r="AJ137" s="348"/>
      <c r="AK137" s="348"/>
      <c r="AL137" s="348"/>
      <c r="AM137" s="348"/>
      <c r="AN137" s="348"/>
      <c r="AO137" s="348"/>
    </row>
    <row r="138" spans="1:41" x14ac:dyDescent="0.25">
      <c r="A138" s="309"/>
      <c r="B138" s="309"/>
      <c r="C138" s="24"/>
      <c r="D138"/>
      <c r="E138"/>
      <c r="F138" s="300" t="s">
        <v>994</v>
      </c>
      <c r="G138" s="300" t="s">
        <v>149</v>
      </c>
      <c r="H138" s="300"/>
      <c r="I138" s="300"/>
      <c r="J138" s="350">
        <f t="shared" si="88"/>
        <v>1</v>
      </c>
      <c r="K138" s="344"/>
      <c r="L138" s="344"/>
      <c r="M138" s="350">
        <f t="shared" si="89"/>
        <v>4</v>
      </c>
      <c r="N138" s="350">
        <f t="shared" si="89"/>
        <v>4</v>
      </c>
      <c r="O138" s="350">
        <f t="shared" si="89"/>
        <v>4</v>
      </c>
      <c r="P138" s="350">
        <f t="shared" si="89"/>
        <v>4</v>
      </c>
      <c r="Q138" s="344"/>
      <c r="R138" s="344"/>
      <c r="S138" s="350">
        <f t="shared" si="90"/>
        <v>8</v>
      </c>
      <c r="T138" s="350">
        <f t="shared" si="90"/>
        <v>8</v>
      </c>
      <c r="U138" s="350">
        <f t="shared" si="90"/>
        <v>8</v>
      </c>
      <c r="V138" s="350">
        <f t="shared" si="90"/>
        <v>8</v>
      </c>
      <c r="W138" s="344"/>
      <c r="X138" s="350">
        <f t="shared" si="91"/>
        <v>8</v>
      </c>
      <c r="Y138" s="350">
        <f t="shared" si="91"/>
        <v>8</v>
      </c>
      <c r="Z138" s="350">
        <f t="shared" si="91"/>
        <v>8</v>
      </c>
      <c r="AA138" s="350">
        <f t="shared" si="91"/>
        <v>8</v>
      </c>
      <c r="AB138" s="344"/>
      <c r="AC138" s="350">
        <f t="shared" si="92"/>
        <v>4</v>
      </c>
      <c r="AD138" s="350">
        <f t="shared" si="92"/>
        <v>4</v>
      </c>
      <c r="AE138" s="350">
        <f t="shared" si="92"/>
        <v>4</v>
      </c>
      <c r="AF138" s="350">
        <f t="shared" si="92"/>
        <v>4</v>
      </c>
      <c r="AG138" s="350">
        <f t="shared" si="92"/>
        <v>1</v>
      </c>
      <c r="AH138" s="344"/>
      <c r="AI138" s="344"/>
      <c r="AJ138" s="344"/>
      <c r="AK138" s="344"/>
      <c r="AL138" s="344"/>
      <c r="AM138" s="344"/>
      <c r="AN138" s="344"/>
      <c r="AO138" s="344"/>
    </row>
    <row r="139" spans="1:41" x14ac:dyDescent="0.25">
      <c r="A139" s="309"/>
      <c r="B139" s="309"/>
      <c r="C139" s="24"/>
      <c r="D139"/>
      <c r="E139"/>
      <c r="F139" s="300" t="s">
        <v>995</v>
      </c>
      <c r="G139" s="300" t="s">
        <v>149</v>
      </c>
      <c r="H139" s="300"/>
      <c r="I139" s="300"/>
      <c r="J139" s="350">
        <f t="shared" si="88"/>
        <v>1</v>
      </c>
      <c r="K139" s="344"/>
      <c r="L139" s="344"/>
      <c r="M139" s="350">
        <f t="shared" si="89"/>
        <v>4</v>
      </c>
      <c r="N139" s="350">
        <f t="shared" si="89"/>
        <v>4</v>
      </c>
      <c r="O139" s="350">
        <f t="shared" si="89"/>
        <v>4</v>
      </c>
      <c r="P139" s="350">
        <f t="shared" si="89"/>
        <v>4</v>
      </c>
      <c r="Q139" s="344"/>
      <c r="R139" s="344"/>
      <c r="S139" s="350">
        <f t="shared" si="90"/>
        <v>8</v>
      </c>
      <c r="T139" s="350">
        <f t="shared" si="90"/>
        <v>8</v>
      </c>
      <c r="U139" s="350">
        <f t="shared" si="90"/>
        <v>8</v>
      </c>
      <c r="V139" s="350">
        <f t="shared" si="90"/>
        <v>8</v>
      </c>
      <c r="W139" s="344"/>
      <c r="X139" s="350">
        <f t="shared" si="91"/>
        <v>8</v>
      </c>
      <c r="Y139" s="350">
        <f t="shared" si="91"/>
        <v>8</v>
      </c>
      <c r="Z139" s="350">
        <f t="shared" si="91"/>
        <v>8</v>
      </c>
      <c r="AA139" s="350">
        <f t="shared" si="91"/>
        <v>8</v>
      </c>
      <c r="AB139" s="344"/>
      <c r="AC139" s="350">
        <f t="shared" si="92"/>
        <v>4</v>
      </c>
      <c r="AD139" s="350">
        <f t="shared" si="92"/>
        <v>4</v>
      </c>
      <c r="AE139" s="350">
        <f t="shared" si="92"/>
        <v>4</v>
      </c>
      <c r="AF139" s="350">
        <f t="shared" si="92"/>
        <v>4</v>
      </c>
      <c r="AG139" s="350">
        <f t="shared" si="92"/>
        <v>1</v>
      </c>
      <c r="AH139" s="344"/>
      <c r="AI139" s="344"/>
      <c r="AJ139" s="344"/>
      <c r="AK139" s="344"/>
      <c r="AL139" s="344"/>
      <c r="AM139" s="344"/>
      <c r="AN139" s="344"/>
      <c r="AO139" s="344"/>
    </row>
    <row r="140" spans="1:41" x14ac:dyDescent="0.25">
      <c r="A140" s="309"/>
      <c r="B140" s="309"/>
      <c r="C140" s="24"/>
      <c r="D140"/>
      <c r="E140"/>
      <c r="F140" s="300" t="s">
        <v>996</v>
      </c>
      <c r="G140" s="300" t="s">
        <v>149</v>
      </c>
      <c r="H140" s="300"/>
      <c r="I140" s="300"/>
      <c r="J140" s="350">
        <f t="shared" si="88"/>
        <v>1</v>
      </c>
      <c r="K140" s="344"/>
      <c r="L140" s="344"/>
      <c r="M140" s="350">
        <f t="shared" si="89"/>
        <v>4</v>
      </c>
      <c r="N140" s="350">
        <f t="shared" si="89"/>
        <v>4</v>
      </c>
      <c r="O140" s="350">
        <f t="shared" si="89"/>
        <v>4</v>
      </c>
      <c r="P140" s="350">
        <f t="shared" si="89"/>
        <v>4</v>
      </c>
      <c r="Q140" s="344"/>
      <c r="R140" s="344"/>
      <c r="S140" s="350">
        <f t="shared" si="90"/>
        <v>8</v>
      </c>
      <c r="T140" s="350">
        <f t="shared" si="90"/>
        <v>8</v>
      </c>
      <c r="U140" s="350">
        <f t="shared" si="90"/>
        <v>8</v>
      </c>
      <c r="V140" s="350">
        <f t="shared" si="90"/>
        <v>8</v>
      </c>
      <c r="W140" s="344"/>
      <c r="X140" s="350">
        <f t="shared" si="91"/>
        <v>8</v>
      </c>
      <c r="Y140" s="350">
        <f t="shared" si="91"/>
        <v>8</v>
      </c>
      <c r="Z140" s="350">
        <f t="shared" si="91"/>
        <v>8</v>
      </c>
      <c r="AA140" s="350">
        <f t="shared" si="91"/>
        <v>8</v>
      </c>
      <c r="AB140" s="344"/>
      <c r="AC140" s="350">
        <f t="shared" si="92"/>
        <v>4</v>
      </c>
      <c r="AD140" s="350">
        <f t="shared" si="92"/>
        <v>4</v>
      </c>
      <c r="AE140" s="350">
        <f t="shared" si="92"/>
        <v>4</v>
      </c>
      <c r="AF140" s="350">
        <f t="shared" si="92"/>
        <v>4</v>
      </c>
      <c r="AG140" s="350">
        <f t="shared" si="92"/>
        <v>1</v>
      </c>
      <c r="AH140" s="344"/>
      <c r="AI140" s="344"/>
      <c r="AJ140" s="344"/>
      <c r="AK140" s="344"/>
      <c r="AL140" s="344"/>
      <c r="AM140" s="344"/>
      <c r="AN140" s="344"/>
      <c r="AO140" s="344"/>
    </row>
    <row r="141" spans="1:41" x14ac:dyDescent="0.25">
      <c r="A141" s="309"/>
      <c r="B141" s="309"/>
      <c r="C141" s="24"/>
      <c r="D141"/>
      <c r="E141"/>
      <c r="F141" s="300" t="s">
        <v>997</v>
      </c>
      <c r="G141" s="300" t="s">
        <v>149</v>
      </c>
      <c r="H141" s="300"/>
      <c r="I141" s="300"/>
      <c r="J141" s="350">
        <f t="shared" si="88"/>
        <v>1</v>
      </c>
      <c r="K141" s="344"/>
      <c r="L141" s="344"/>
      <c r="M141" s="350">
        <f t="shared" si="89"/>
        <v>4</v>
      </c>
      <c r="N141" s="350">
        <f t="shared" si="89"/>
        <v>4</v>
      </c>
      <c r="O141" s="350">
        <f t="shared" si="89"/>
        <v>4</v>
      </c>
      <c r="P141" s="350">
        <f t="shared" si="89"/>
        <v>4</v>
      </c>
      <c r="Q141" s="344"/>
      <c r="R141" s="344"/>
      <c r="S141" s="350">
        <f t="shared" si="90"/>
        <v>8</v>
      </c>
      <c r="T141" s="350">
        <f t="shared" si="90"/>
        <v>8</v>
      </c>
      <c r="U141" s="350">
        <f t="shared" si="90"/>
        <v>8</v>
      </c>
      <c r="V141" s="350">
        <f t="shared" si="90"/>
        <v>8</v>
      </c>
      <c r="W141" s="344"/>
      <c r="X141" s="350">
        <f t="shared" si="91"/>
        <v>8</v>
      </c>
      <c r="Y141" s="350">
        <f t="shared" si="91"/>
        <v>8</v>
      </c>
      <c r="Z141" s="350">
        <f t="shared" si="91"/>
        <v>8</v>
      </c>
      <c r="AA141" s="350">
        <f t="shared" si="91"/>
        <v>8</v>
      </c>
      <c r="AB141" s="344"/>
      <c r="AC141" s="350">
        <f t="shared" si="92"/>
        <v>4</v>
      </c>
      <c r="AD141" s="350">
        <f t="shared" si="92"/>
        <v>4</v>
      </c>
      <c r="AE141" s="350">
        <f t="shared" si="92"/>
        <v>4</v>
      </c>
      <c r="AF141" s="350">
        <f t="shared" si="92"/>
        <v>4</v>
      </c>
      <c r="AG141" s="350">
        <f t="shared" si="92"/>
        <v>1</v>
      </c>
      <c r="AH141" s="344"/>
      <c r="AI141" s="344"/>
      <c r="AJ141" s="344"/>
      <c r="AK141" s="344"/>
      <c r="AL141" s="344"/>
      <c r="AM141" s="344"/>
      <c r="AN141" s="344"/>
      <c r="AO141" s="344"/>
    </row>
    <row r="142" spans="1:41" x14ac:dyDescent="0.25">
      <c r="A142" s="309"/>
      <c r="B142" s="309"/>
      <c r="C142" s="24"/>
      <c r="D142"/>
      <c r="E142"/>
      <c r="F142" s="300" t="s">
        <v>998</v>
      </c>
      <c r="G142" s="300" t="s">
        <v>149</v>
      </c>
      <c r="H142" s="300"/>
      <c r="I142" s="300"/>
      <c r="J142" s="350">
        <f t="shared" si="88"/>
        <v>1</v>
      </c>
      <c r="K142" s="344"/>
      <c r="L142" s="344"/>
      <c r="M142" s="350">
        <f t="shared" si="89"/>
        <v>4</v>
      </c>
      <c r="N142" s="350">
        <f t="shared" si="89"/>
        <v>4</v>
      </c>
      <c r="O142" s="350">
        <f t="shared" si="89"/>
        <v>4</v>
      </c>
      <c r="P142" s="350">
        <f t="shared" si="89"/>
        <v>4</v>
      </c>
      <c r="Q142" s="344"/>
      <c r="R142" s="344"/>
      <c r="S142" s="350">
        <f t="shared" si="90"/>
        <v>8</v>
      </c>
      <c r="T142" s="350">
        <f t="shared" si="90"/>
        <v>8</v>
      </c>
      <c r="U142" s="350">
        <f t="shared" si="90"/>
        <v>8</v>
      </c>
      <c r="V142" s="350">
        <f t="shared" si="90"/>
        <v>8</v>
      </c>
      <c r="W142" s="344"/>
      <c r="X142" s="350">
        <f t="shared" si="91"/>
        <v>8</v>
      </c>
      <c r="Y142" s="350">
        <f t="shared" si="91"/>
        <v>8</v>
      </c>
      <c r="Z142" s="350">
        <f t="shared" si="91"/>
        <v>8</v>
      </c>
      <c r="AA142" s="350">
        <f t="shared" si="91"/>
        <v>8</v>
      </c>
      <c r="AB142" s="344"/>
      <c r="AC142" s="350">
        <f t="shared" si="92"/>
        <v>4</v>
      </c>
      <c r="AD142" s="350">
        <f t="shared" si="92"/>
        <v>4</v>
      </c>
      <c r="AE142" s="350">
        <f t="shared" si="92"/>
        <v>4</v>
      </c>
      <c r="AF142" s="350">
        <f t="shared" si="92"/>
        <v>4</v>
      </c>
      <c r="AG142" s="350">
        <f t="shared" si="92"/>
        <v>1</v>
      </c>
      <c r="AH142" s="344"/>
      <c r="AI142" s="344"/>
      <c r="AJ142" s="344"/>
      <c r="AK142" s="344"/>
      <c r="AL142" s="344"/>
      <c r="AM142" s="344"/>
      <c r="AN142" s="344"/>
      <c r="AO142" s="344"/>
    </row>
    <row r="143" spans="1:41" x14ac:dyDescent="0.25">
      <c r="A143" s="309"/>
      <c r="B143" s="309"/>
      <c r="C143" s="24"/>
      <c r="D143"/>
      <c r="E143"/>
      <c r="F143" s="300" t="s">
        <v>999</v>
      </c>
      <c r="G143" s="300" t="s">
        <v>149</v>
      </c>
      <c r="H143" s="300"/>
      <c r="I143" s="300"/>
      <c r="J143" s="350">
        <f t="shared" si="88"/>
        <v>1</v>
      </c>
      <c r="K143" s="344"/>
      <c r="L143" s="344"/>
      <c r="M143" s="350">
        <f t="shared" si="89"/>
        <v>4</v>
      </c>
      <c r="N143" s="350">
        <f t="shared" si="89"/>
        <v>4</v>
      </c>
      <c r="O143" s="350">
        <f t="shared" si="89"/>
        <v>4</v>
      </c>
      <c r="P143" s="350">
        <f t="shared" si="89"/>
        <v>4</v>
      </c>
      <c r="Q143" s="344"/>
      <c r="R143" s="344"/>
      <c r="S143" s="350">
        <f t="shared" si="90"/>
        <v>8</v>
      </c>
      <c r="T143" s="350">
        <f t="shared" si="90"/>
        <v>8</v>
      </c>
      <c r="U143" s="350">
        <f t="shared" si="90"/>
        <v>8</v>
      </c>
      <c r="V143" s="350">
        <f t="shared" si="90"/>
        <v>8</v>
      </c>
      <c r="W143" s="344"/>
      <c r="X143" s="350">
        <f t="shared" si="91"/>
        <v>8</v>
      </c>
      <c r="Y143" s="350">
        <f t="shared" si="91"/>
        <v>8</v>
      </c>
      <c r="Z143" s="350">
        <f t="shared" si="91"/>
        <v>8</v>
      </c>
      <c r="AA143" s="350">
        <f t="shared" si="91"/>
        <v>8</v>
      </c>
      <c r="AB143" s="344"/>
      <c r="AC143" s="350">
        <f t="shared" si="92"/>
        <v>4</v>
      </c>
      <c r="AD143" s="350">
        <f t="shared" si="92"/>
        <v>4</v>
      </c>
      <c r="AE143" s="350">
        <f t="shared" si="92"/>
        <v>4</v>
      </c>
      <c r="AF143" s="350">
        <f t="shared" si="92"/>
        <v>4</v>
      </c>
      <c r="AG143" s="350">
        <f t="shared" si="92"/>
        <v>1</v>
      </c>
      <c r="AH143" s="344"/>
      <c r="AI143" s="344"/>
      <c r="AJ143" s="344"/>
      <c r="AK143" s="344"/>
      <c r="AL143" s="344"/>
      <c r="AM143" s="344"/>
      <c r="AN143" s="344"/>
      <c r="AO143" s="344"/>
    </row>
    <row r="144" spans="1:41" x14ac:dyDescent="0.25">
      <c r="A144" s="309"/>
      <c r="B144" s="309"/>
      <c r="C144" s="24"/>
      <c r="D144"/>
      <c r="E144"/>
      <c r="F144" s="28" t="s">
        <v>1000</v>
      </c>
      <c r="G144" s="28" t="s">
        <v>149</v>
      </c>
      <c r="H144" s="28"/>
      <c r="I144" s="28"/>
      <c r="J144" s="351">
        <f t="shared" si="88"/>
        <v>1</v>
      </c>
      <c r="K144" s="346"/>
      <c r="L144" s="346"/>
      <c r="M144" s="351">
        <f t="shared" si="89"/>
        <v>4</v>
      </c>
      <c r="N144" s="351">
        <f t="shared" si="89"/>
        <v>4</v>
      </c>
      <c r="O144" s="351">
        <f t="shared" si="89"/>
        <v>4</v>
      </c>
      <c r="P144" s="351">
        <f t="shared" si="89"/>
        <v>4</v>
      </c>
      <c r="Q144" s="346"/>
      <c r="R144" s="346"/>
      <c r="S144" s="351">
        <f t="shared" si="90"/>
        <v>8</v>
      </c>
      <c r="T144" s="351">
        <f t="shared" si="90"/>
        <v>8</v>
      </c>
      <c r="U144" s="351">
        <f t="shared" si="90"/>
        <v>8</v>
      </c>
      <c r="V144" s="351">
        <f t="shared" si="90"/>
        <v>8</v>
      </c>
      <c r="W144" s="346"/>
      <c r="X144" s="351">
        <f t="shared" si="91"/>
        <v>8</v>
      </c>
      <c r="Y144" s="351">
        <f t="shared" si="91"/>
        <v>8</v>
      </c>
      <c r="Z144" s="351">
        <f t="shared" si="91"/>
        <v>8</v>
      </c>
      <c r="AA144" s="351">
        <f t="shared" si="91"/>
        <v>8</v>
      </c>
      <c r="AB144" s="346"/>
      <c r="AC144" s="351">
        <f t="shared" si="92"/>
        <v>4</v>
      </c>
      <c r="AD144" s="351">
        <f t="shared" si="92"/>
        <v>4</v>
      </c>
      <c r="AE144" s="351">
        <f t="shared" si="92"/>
        <v>4</v>
      </c>
      <c r="AF144" s="351">
        <f t="shared" si="92"/>
        <v>4</v>
      </c>
      <c r="AG144" s="351">
        <f t="shared" si="92"/>
        <v>1</v>
      </c>
      <c r="AH144" s="346"/>
      <c r="AI144" s="346"/>
      <c r="AJ144" s="346"/>
      <c r="AK144" s="346"/>
      <c r="AL144" s="346"/>
      <c r="AM144" s="346"/>
      <c r="AN144" s="346"/>
      <c r="AO144" s="346"/>
    </row>
    <row r="145" spans="1:41" x14ac:dyDescent="0.25">
      <c r="A145" s="309"/>
      <c r="B145" s="309"/>
      <c r="C145" s="24"/>
      <c r="D145"/>
      <c r="E145"/>
      <c r="J145" s="153"/>
      <c r="K145" s="153"/>
      <c r="L145" s="153"/>
      <c r="M145" s="322"/>
      <c r="N145" s="153"/>
      <c r="O145" s="153"/>
      <c r="P145" s="153"/>
      <c r="Q145" s="153"/>
      <c r="R145" s="153"/>
      <c r="S145" s="322"/>
      <c r="T145" s="153"/>
      <c r="U145" s="153"/>
      <c r="V145" s="153"/>
      <c r="W145" s="153"/>
      <c r="X145" s="322"/>
      <c r="Y145" s="153"/>
      <c r="Z145" s="153"/>
      <c r="AA145" s="153"/>
      <c r="AB145" s="153"/>
      <c r="AC145" s="322"/>
      <c r="AD145" s="153"/>
      <c r="AE145" s="153"/>
      <c r="AF145" s="153"/>
      <c r="AG145" s="153"/>
      <c r="AH145" s="153"/>
      <c r="AI145" s="153"/>
      <c r="AJ145" s="153"/>
      <c r="AK145" s="153"/>
      <c r="AL145" s="153"/>
      <c r="AM145" s="153"/>
      <c r="AN145" s="153"/>
      <c r="AO145" s="153"/>
    </row>
    <row r="146" spans="1:41" x14ac:dyDescent="0.25">
      <c r="A146" s="309"/>
      <c r="B146" s="309"/>
      <c r="C146" s="24"/>
      <c r="D146"/>
      <c r="E146" t="s">
        <v>1010</v>
      </c>
      <c r="J146" s="350">
        <f>MAX(J137:J144)</f>
        <v>1</v>
      </c>
      <c r="K146" s="344"/>
      <c r="L146" s="344"/>
      <c r="M146" s="350">
        <f t="shared" ref="M146:P146" si="93">MAX(M137:M144)</f>
        <v>4</v>
      </c>
      <c r="N146" s="350">
        <f t="shared" si="93"/>
        <v>4</v>
      </c>
      <c r="O146" s="350">
        <f t="shared" si="93"/>
        <v>4</v>
      </c>
      <c r="P146" s="350">
        <f t="shared" si="93"/>
        <v>4</v>
      </c>
      <c r="Q146" s="344"/>
      <c r="R146" s="344"/>
      <c r="S146" s="350">
        <f t="shared" ref="S146:V146" si="94">MAX(S137:S144)</f>
        <v>8</v>
      </c>
      <c r="T146" s="350">
        <f t="shared" si="94"/>
        <v>8</v>
      </c>
      <c r="U146" s="350">
        <f t="shared" si="94"/>
        <v>8</v>
      </c>
      <c r="V146" s="350">
        <f t="shared" si="94"/>
        <v>8</v>
      </c>
      <c r="W146" s="344"/>
      <c r="X146" s="350">
        <f t="shared" ref="X146:AA146" si="95">MAX(X137:X144)</f>
        <v>8</v>
      </c>
      <c r="Y146" s="350">
        <f t="shared" si="95"/>
        <v>8</v>
      </c>
      <c r="Z146" s="350">
        <f t="shared" si="95"/>
        <v>8</v>
      </c>
      <c r="AA146" s="350">
        <f t="shared" si="95"/>
        <v>8</v>
      </c>
      <c r="AB146" s="344"/>
      <c r="AC146" s="350">
        <f t="shared" ref="AC146:AG146" si="96">MAX(AC137:AC144)</f>
        <v>4</v>
      </c>
      <c r="AD146" s="350">
        <f t="shared" si="96"/>
        <v>4</v>
      </c>
      <c r="AE146" s="350">
        <f t="shared" si="96"/>
        <v>4</v>
      </c>
      <c r="AF146" s="350">
        <f t="shared" si="96"/>
        <v>4</v>
      </c>
      <c r="AG146" s="350">
        <f t="shared" si="96"/>
        <v>1</v>
      </c>
      <c r="AH146" s="344"/>
      <c r="AI146" s="344"/>
      <c r="AJ146" s="344"/>
      <c r="AK146" s="344"/>
      <c r="AL146" s="344"/>
      <c r="AM146" s="344"/>
      <c r="AN146" s="344"/>
      <c r="AO146" s="344"/>
    </row>
    <row r="147" spans="1:41" x14ac:dyDescent="0.25">
      <c r="A147" s="309"/>
      <c r="B147" s="309"/>
      <c r="C147" s="24"/>
      <c r="D147"/>
      <c r="E147"/>
      <c r="J147" s="153"/>
      <c r="K147" s="153"/>
      <c r="L147" s="153"/>
      <c r="M147" s="322"/>
      <c r="N147" s="153"/>
      <c r="O147" s="153"/>
      <c r="P147" s="153"/>
      <c r="Q147" s="153"/>
      <c r="R147" s="153"/>
      <c r="S147" s="322"/>
      <c r="T147" s="153"/>
      <c r="U147" s="153"/>
      <c r="V147" s="153"/>
      <c r="W147" s="153"/>
      <c r="X147" s="322"/>
      <c r="Y147" s="153"/>
      <c r="Z147" s="153"/>
      <c r="AA147" s="153"/>
      <c r="AB147" s="153"/>
      <c r="AC147" s="322"/>
      <c r="AD147" s="153"/>
      <c r="AE147" s="153"/>
      <c r="AF147" s="153"/>
      <c r="AG147" s="153"/>
      <c r="AH147" s="153"/>
      <c r="AI147" s="153"/>
      <c r="AJ147" s="153"/>
      <c r="AK147" s="153"/>
      <c r="AL147" s="153"/>
      <c r="AM147" s="153"/>
      <c r="AN147" s="153"/>
      <c r="AO147" s="153"/>
    </row>
    <row r="148" spans="1:41" x14ac:dyDescent="0.25">
      <c r="A148" s="309"/>
      <c r="B148" s="309"/>
      <c r="C148" s="24"/>
      <c r="D148"/>
      <c r="E148" t="s">
        <v>1009</v>
      </c>
      <c r="G148" t="s">
        <v>149</v>
      </c>
      <c r="J148" s="322">
        <f t="array" ref="J148">MATCH(TRUE, J137:J144=J146, 0)</f>
        <v>1</v>
      </c>
      <c r="K148" s="322">
        <f t="array" ref="K148">MATCH(TRUE, K137:K144=K146, 0)</f>
        <v>1</v>
      </c>
      <c r="L148" s="322">
        <f t="array" ref="L148">MATCH(TRUE, L137:L144=L146, 0)</f>
        <v>1</v>
      </c>
      <c r="M148" s="322">
        <f t="array" ref="M148">MATCH(TRUE, M137:M144=M146, 0)</f>
        <v>1</v>
      </c>
      <c r="N148" s="322">
        <f t="array" ref="N148">MATCH(TRUE, N137:N144=N146, 0)</f>
        <v>1</v>
      </c>
      <c r="O148" s="322">
        <f t="array" ref="O148">MATCH(TRUE, O137:O144=O146, 0)</f>
        <v>1</v>
      </c>
      <c r="P148" s="322">
        <f t="array" ref="P148">MATCH(TRUE, P137:P144=P146, 0)</f>
        <v>1</v>
      </c>
      <c r="Q148" s="322">
        <f t="array" ref="Q148">MATCH(TRUE, Q137:Q144=Q146, 0)</f>
        <v>1</v>
      </c>
      <c r="R148" s="322">
        <f t="array" ref="R148">MATCH(TRUE, R137:R144=R146, 0)</f>
        <v>1</v>
      </c>
      <c r="S148" s="322">
        <f t="array" ref="S148">MATCH(TRUE, S137:S144=S146, 0)</f>
        <v>1</v>
      </c>
      <c r="T148" s="322">
        <f t="array" ref="T148">MATCH(TRUE, T137:T144=T146, 0)</f>
        <v>1</v>
      </c>
      <c r="U148" s="322">
        <f t="array" ref="U148">MATCH(TRUE, U137:U144=U146, 0)</f>
        <v>1</v>
      </c>
      <c r="V148" s="322">
        <f t="array" ref="V148">MATCH(TRUE, V137:V144=V146, 0)</f>
        <v>1</v>
      </c>
      <c r="W148" s="322">
        <f t="array" ref="W148">MATCH(TRUE, W137:W144=W146, 0)</f>
        <v>1</v>
      </c>
      <c r="X148" s="322">
        <f t="array" ref="X148">MATCH(TRUE, X137:X144=X146, 0)</f>
        <v>1</v>
      </c>
      <c r="Y148" s="322">
        <f t="array" ref="Y148">MATCH(TRUE, Y137:Y144=Y146, 0)</f>
        <v>1</v>
      </c>
      <c r="Z148" s="322">
        <f t="array" ref="Z148">MATCH(TRUE, Z137:Z144=Z146, 0)</f>
        <v>1</v>
      </c>
      <c r="AA148" s="322">
        <f t="array" ref="AA148">MATCH(TRUE, AA137:AA144=AA146, 0)</f>
        <v>1</v>
      </c>
      <c r="AB148" s="322">
        <f t="array" ref="AB148">MATCH(TRUE, AB137:AB144=AB146, 0)</f>
        <v>1</v>
      </c>
      <c r="AC148" s="322">
        <f t="array" ref="AC148">MATCH(TRUE, AC137:AC144=AC146, 0)</f>
        <v>1</v>
      </c>
      <c r="AD148" s="322">
        <f t="array" ref="AD148">MATCH(TRUE, AD137:AD144=AD146, 0)</f>
        <v>1</v>
      </c>
      <c r="AE148" s="322">
        <f t="array" ref="AE148">MATCH(TRUE, AE137:AE144=AE146, 0)</f>
        <v>1</v>
      </c>
      <c r="AF148" s="322">
        <f t="array" ref="AF148">MATCH(TRUE, AF137:AF144=AF146, 0)</f>
        <v>1</v>
      </c>
      <c r="AG148" s="322">
        <f t="array" ref="AG148">MATCH(TRUE, AG137:AG144=AG146, 0)</f>
        <v>1</v>
      </c>
      <c r="AH148" s="322">
        <f t="array" ref="AH148">MATCH(TRUE, AH137:AH144=AH146, 0)</f>
        <v>1</v>
      </c>
      <c r="AI148" s="322">
        <f t="array" ref="AI148">MATCH(TRUE, AI137:AI144=AI146, 0)</f>
        <v>1</v>
      </c>
      <c r="AJ148" s="322">
        <f t="array" ref="AJ148">MATCH(TRUE, AJ137:AJ144=AJ146, 0)</f>
        <v>1</v>
      </c>
      <c r="AK148" s="322">
        <f t="array" ref="AK148">MATCH(TRUE, AK137:AK144=AK146, 0)</f>
        <v>1</v>
      </c>
      <c r="AL148" s="322">
        <f t="array" ref="AL148">MATCH(TRUE, AL137:AL144=AL146, 0)</f>
        <v>1</v>
      </c>
      <c r="AM148" s="322">
        <f t="array" ref="AM148">MATCH(TRUE, AM137:AM144=AM146, 0)</f>
        <v>1</v>
      </c>
      <c r="AN148" s="322">
        <f t="array" ref="AN148">MATCH(TRUE, AN137:AN144=AN146, 0)</f>
        <v>1</v>
      </c>
      <c r="AO148" s="322">
        <f t="array" ref="AO148">MATCH(TRUE, AO137:AO144=AO146, 0)</f>
        <v>1</v>
      </c>
    </row>
    <row r="149" spans="1:41" x14ac:dyDescent="0.25">
      <c r="A149" s="309"/>
      <c r="B149" s="309"/>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x14ac:dyDescent="0.25">
      <c r="C150" s="24"/>
      <c r="E150" s="324" t="s">
        <v>1018</v>
      </c>
      <c r="G150" t="s">
        <v>149</v>
      </c>
      <c r="J150" s="371">
        <f>INDEX(J105:J112,J$148)</f>
        <v>1</v>
      </c>
      <c r="K150" s="371">
        <f t="shared" ref="K150:AO150" si="97">INDEX(K105:K112,K$148)</f>
        <v>0</v>
      </c>
      <c r="L150" s="371">
        <f t="shared" si="97"/>
        <v>0</v>
      </c>
      <c r="M150" s="371">
        <f t="shared" si="97"/>
        <v>5</v>
      </c>
      <c r="N150" s="371">
        <f t="shared" si="97"/>
        <v>6</v>
      </c>
      <c r="O150" s="371">
        <f t="shared" si="97"/>
        <v>7</v>
      </c>
      <c r="P150" s="371">
        <f t="shared" si="97"/>
        <v>8</v>
      </c>
      <c r="Q150" s="371">
        <f t="shared" si="97"/>
        <v>0</v>
      </c>
      <c r="R150" s="371">
        <f t="shared" si="97"/>
        <v>0</v>
      </c>
      <c r="S150" s="371">
        <f t="shared" si="97"/>
        <v>9</v>
      </c>
      <c r="T150" s="371">
        <f t="shared" si="97"/>
        <v>10</v>
      </c>
      <c r="U150" s="371">
        <f t="shared" si="97"/>
        <v>11</v>
      </c>
      <c r="V150" s="371">
        <f t="shared" si="97"/>
        <v>12</v>
      </c>
      <c r="W150" s="371">
        <f t="shared" si="97"/>
        <v>0</v>
      </c>
      <c r="X150" s="371">
        <f t="shared" si="97"/>
        <v>9</v>
      </c>
      <c r="Y150" s="371">
        <f t="shared" si="97"/>
        <v>10</v>
      </c>
      <c r="Z150" s="371">
        <f t="shared" si="97"/>
        <v>11</v>
      </c>
      <c r="AA150" s="371">
        <f t="shared" si="97"/>
        <v>12</v>
      </c>
      <c r="AB150" s="371">
        <f t="shared" si="97"/>
        <v>0</v>
      </c>
      <c r="AC150" s="371">
        <f t="shared" si="97"/>
        <v>13</v>
      </c>
      <c r="AD150" s="371">
        <f t="shared" si="97"/>
        <v>14</v>
      </c>
      <c r="AE150" s="371">
        <f t="shared" si="97"/>
        <v>15</v>
      </c>
      <c r="AF150" s="371">
        <f t="shared" si="97"/>
        <v>16</v>
      </c>
      <c r="AG150" s="371">
        <f t="shared" si="97"/>
        <v>17</v>
      </c>
      <c r="AH150" s="371">
        <f t="shared" si="97"/>
        <v>0</v>
      </c>
      <c r="AI150" s="371">
        <f t="shared" si="97"/>
        <v>0</v>
      </c>
      <c r="AJ150" s="371">
        <f t="shared" si="97"/>
        <v>0</v>
      </c>
      <c r="AK150" s="371">
        <f t="shared" si="97"/>
        <v>0</v>
      </c>
      <c r="AL150" s="371">
        <f t="shared" si="97"/>
        <v>0</v>
      </c>
      <c r="AM150" s="371">
        <f t="shared" si="97"/>
        <v>0</v>
      </c>
      <c r="AN150" s="371">
        <f t="shared" si="97"/>
        <v>0</v>
      </c>
      <c r="AO150" s="371">
        <f t="shared" si="97"/>
        <v>0</v>
      </c>
    </row>
    <row r="151" spans="1: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x14ac:dyDescent="0.25">
      <c r="C152" s="26" t="str">
        <f ca="1">INDEX('Version control'!$H$36:$H$59,MATCH($A$1,'Version control'!$F$36:$F$59,0),1)&amp;"-D: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1: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1:41" x14ac:dyDescent="0.25">
      <c r="C154" s="24"/>
      <c r="D154"/>
      <c r="E154" t="s">
        <v>1027</v>
      </c>
      <c r="G154" t="s">
        <v>212</v>
      </c>
      <c r="J154" s="153">
        <f t="shared" ref="J154:AO154" si="98">IF(J32, J56, 0)</f>
        <v>2389874.3672400983</v>
      </c>
      <c r="K154" s="153">
        <f t="shared" si="98"/>
        <v>0</v>
      </c>
      <c r="L154" s="153">
        <f t="shared" si="98"/>
        <v>0</v>
      </c>
      <c r="M154" s="153">
        <f t="shared" si="98"/>
        <v>71659.638905771921</v>
      </c>
      <c r="N154" s="153">
        <f t="shared" si="98"/>
        <v>53949.53605863652</v>
      </c>
      <c r="O154" s="153">
        <f t="shared" si="98"/>
        <v>28137.346684155214</v>
      </c>
      <c r="P154" s="153">
        <f t="shared" si="98"/>
        <v>28364.686377462484</v>
      </c>
      <c r="Q154" s="153">
        <f t="shared" si="98"/>
        <v>0</v>
      </c>
      <c r="R154" s="153">
        <f t="shared" si="98"/>
        <v>0</v>
      </c>
      <c r="S154" s="153">
        <f t="shared" si="98"/>
        <v>6728.8121035464419</v>
      </c>
      <c r="T154" s="153">
        <f t="shared" si="98"/>
        <v>5401.954662028309</v>
      </c>
      <c r="U154" s="153">
        <f t="shared" si="98"/>
        <v>1876.7790625959519</v>
      </c>
      <c r="V154" s="153">
        <f t="shared" si="98"/>
        <v>1127.5007109423705</v>
      </c>
      <c r="W154" s="153">
        <f t="shared" si="98"/>
        <v>0</v>
      </c>
      <c r="X154" s="153">
        <f t="shared" si="98"/>
        <v>24.806956900403353</v>
      </c>
      <c r="Y154" s="153">
        <f t="shared" si="98"/>
        <v>28.350807886175257</v>
      </c>
      <c r="Z154" s="153">
        <f t="shared" si="98"/>
        <v>33.257226195795106</v>
      </c>
      <c r="AA154" s="153">
        <f t="shared" si="98"/>
        <v>253.97598731365335</v>
      </c>
      <c r="AB154" s="153">
        <f t="shared" si="98"/>
        <v>0</v>
      </c>
      <c r="AC154" s="153">
        <f t="shared" si="98"/>
        <v>2236.9847532876661</v>
      </c>
      <c r="AD154" s="153">
        <f t="shared" si="98"/>
        <v>1233.6626525615436</v>
      </c>
      <c r="AE154" s="153">
        <f t="shared" si="98"/>
        <v>302.00289244655761</v>
      </c>
      <c r="AF154" s="153">
        <f t="shared" si="98"/>
        <v>304.03002089552893</v>
      </c>
      <c r="AG154" s="153">
        <f t="shared" si="98"/>
        <v>2294</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1: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x14ac:dyDescent="0.25">
      <c r="C156" s="24"/>
      <c r="D156"/>
      <c r="E156" t="s">
        <v>1024</v>
      </c>
      <c r="G156" t="s">
        <v>212</v>
      </c>
      <c r="J156" s="153">
        <f t="shared" ref="J156:AO156" si="99">SUMIF($J$150:$AO$150,J150,$J$154:$AO$154)</f>
        <v>2389874.3672400983</v>
      </c>
      <c r="K156" s="153">
        <f t="shared" si="99"/>
        <v>0</v>
      </c>
      <c r="L156" s="153">
        <f t="shared" si="99"/>
        <v>0</v>
      </c>
      <c r="M156" s="153">
        <f t="shared" si="99"/>
        <v>71659.638905771921</v>
      </c>
      <c r="N156" s="153">
        <f t="shared" si="99"/>
        <v>53949.53605863652</v>
      </c>
      <c r="O156" s="153">
        <f t="shared" si="99"/>
        <v>28137.346684155214</v>
      </c>
      <c r="P156" s="153">
        <f t="shared" si="99"/>
        <v>28364.686377462484</v>
      </c>
      <c r="Q156" s="153">
        <f t="shared" si="99"/>
        <v>0</v>
      </c>
      <c r="R156" s="153">
        <f t="shared" si="99"/>
        <v>0</v>
      </c>
      <c r="S156" s="153">
        <f t="shared" si="99"/>
        <v>6753.6190604468457</v>
      </c>
      <c r="T156" s="153">
        <f t="shared" si="99"/>
        <v>5430.3054699144841</v>
      </c>
      <c r="U156" s="153">
        <f t="shared" si="99"/>
        <v>1910.036288791747</v>
      </c>
      <c r="V156" s="153">
        <f t="shared" si="99"/>
        <v>1381.4766982560238</v>
      </c>
      <c r="W156" s="153">
        <f t="shared" si="99"/>
        <v>0</v>
      </c>
      <c r="X156" s="153">
        <f t="shared" si="99"/>
        <v>6753.6190604468457</v>
      </c>
      <c r="Y156" s="153">
        <f t="shared" si="99"/>
        <v>5430.3054699144841</v>
      </c>
      <c r="Z156" s="153">
        <f t="shared" si="99"/>
        <v>1910.036288791747</v>
      </c>
      <c r="AA156" s="153">
        <f t="shared" si="99"/>
        <v>1381.4766982560238</v>
      </c>
      <c r="AB156" s="153">
        <f t="shared" si="99"/>
        <v>0</v>
      </c>
      <c r="AC156" s="153">
        <f t="shared" si="99"/>
        <v>2236.9847532876661</v>
      </c>
      <c r="AD156" s="153">
        <f t="shared" si="99"/>
        <v>1233.6626525615436</v>
      </c>
      <c r="AE156" s="153">
        <f t="shared" si="99"/>
        <v>302.00289244655761</v>
      </c>
      <c r="AF156" s="153">
        <f t="shared" si="99"/>
        <v>304.03002089552893</v>
      </c>
      <c r="AG156" s="153">
        <f t="shared" si="99"/>
        <v>2294</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1: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1:41" x14ac:dyDescent="0.25">
      <c r="A158" s="309"/>
      <c r="C158" s="24"/>
      <c r="D158"/>
      <c r="E158" t="s">
        <v>1133</v>
      </c>
      <c r="G158" t="s">
        <v>167</v>
      </c>
      <c r="J158" s="389">
        <f>IF(J156&lt;&gt;0,J154/J156,0)</f>
        <v>1</v>
      </c>
      <c r="K158" s="389">
        <f t="shared" ref="K158:AO158" si="100">IF(K156&lt;&gt;0,K154/K156,0)</f>
        <v>0</v>
      </c>
      <c r="L158" s="389">
        <f t="shared" si="100"/>
        <v>0</v>
      </c>
      <c r="M158" s="389">
        <f t="shared" si="100"/>
        <v>1</v>
      </c>
      <c r="N158" s="389">
        <f t="shared" si="100"/>
        <v>1</v>
      </c>
      <c r="O158" s="389">
        <f t="shared" si="100"/>
        <v>1</v>
      </c>
      <c r="P158" s="389">
        <f t="shared" si="100"/>
        <v>1</v>
      </c>
      <c r="Q158" s="389">
        <f t="shared" si="100"/>
        <v>0</v>
      </c>
      <c r="R158" s="389">
        <f t="shared" si="100"/>
        <v>0</v>
      </c>
      <c r="S158" s="389">
        <f t="shared" si="100"/>
        <v>0.99632686465162246</v>
      </c>
      <c r="T158" s="389">
        <f t="shared" si="100"/>
        <v>0.99477915044683085</v>
      </c>
      <c r="U158" s="389">
        <f t="shared" si="100"/>
        <v>0.98258817050181124</v>
      </c>
      <c r="V158" s="389">
        <f t="shared" si="100"/>
        <v>0.81615615548617459</v>
      </c>
      <c r="W158" s="389">
        <f t="shared" si="100"/>
        <v>0</v>
      </c>
      <c r="X158" s="389">
        <f t="shared" si="100"/>
        <v>3.6731353483775006E-3</v>
      </c>
      <c r="Y158" s="389">
        <f t="shared" si="100"/>
        <v>5.2208495531691924E-3</v>
      </c>
      <c r="Z158" s="389">
        <f t="shared" si="100"/>
        <v>1.7411829498188751E-2</v>
      </c>
      <c r="AA158" s="389">
        <f t="shared" si="100"/>
        <v>0.18384384451382541</v>
      </c>
      <c r="AB158" s="389">
        <f t="shared" si="100"/>
        <v>0</v>
      </c>
      <c r="AC158" s="389">
        <f t="shared" si="100"/>
        <v>1</v>
      </c>
      <c r="AD158" s="389">
        <f t="shared" si="100"/>
        <v>1</v>
      </c>
      <c r="AE158" s="389">
        <f t="shared" si="100"/>
        <v>1</v>
      </c>
      <c r="AF158" s="389">
        <f t="shared" si="100"/>
        <v>1</v>
      </c>
      <c r="AG158" s="389">
        <f t="shared" si="100"/>
        <v>1</v>
      </c>
      <c r="AH158" s="389">
        <f t="shared" si="100"/>
        <v>0</v>
      </c>
      <c r="AI158" s="389">
        <f t="shared" si="100"/>
        <v>0</v>
      </c>
      <c r="AJ158" s="389">
        <f t="shared" si="100"/>
        <v>0</v>
      </c>
      <c r="AK158" s="389">
        <f t="shared" si="100"/>
        <v>0</v>
      </c>
      <c r="AL158" s="389">
        <f t="shared" si="100"/>
        <v>0</v>
      </c>
      <c r="AM158" s="389">
        <f t="shared" si="100"/>
        <v>0</v>
      </c>
      <c r="AN158" s="389">
        <f t="shared" si="100"/>
        <v>0</v>
      </c>
      <c r="AO158" s="389">
        <f t="shared" si="100"/>
        <v>0</v>
      </c>
    </row>
    <row r="159" spans="1: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1:41" x14ac:dyDescent="0.25">
      <c r="C160" s="26" t="str">
        <f ca="1">INDEX('Version control'!$H$36:$H$59,MATCH($A$1,'Version control'!$F$36:$F$59,0),1)&amp;"-E: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207</v>
      </c>
      <c r="J165" s="153">
        <f t="shared" ref="J165:AO165" si="101">SUM(J53:J55)</f>
        <v>8748940.3260784</v>
      </c>
      <c r="K165" s="153">
        <f t="shared" si="101"/>
        <v>13562.288229709251</v>
      </c>
      <c r="L165" s="153">
        <f t="shared" si="101"/>
        <v>8.1844999999999999</v>
      </c>
      <c r="M165" s="153">
        <f t="shared" si="101"/>
        <v>114844.89725549346</v>
      </c>
      <c r="N165" s="153">
        <f t="shared" si="101"/>
        <v>430582.60002402484</v>
      </c>
      <c r="O165" s="153">
        <f t="shared" si="101"/>
        <v>536718.86488024401</v>
      </c>
      <c r="P165" s="153">
        <f t="shared" si="101"/>
        <v>1791636.2540875566</v>
      </c>
      <c r="Q165" s="153">
        <f t="shared" si="101"/>
        <v>3447.5456205943838</v>
      </c>
      <c r="R165" s="153">
        <f t="shared" si="101"/>
        <v>1308.5931</v>
      </c>
      <c r="S165" s="153">
        <f t="shared" si="101"/>
        <v>701037.26653250773</v>
      </c>
      <c r="T165" s="153">
        <f t="shared" si="101"/>
        <v>1058420.880936912</v>
      </c>
      <c r="U165" s="153">
        <f t="shared" si="101"/>
        <v>581365.61462320527</v>
      </c>
      <c r="V165" s="153">
        <f t="shared" si="101"/>
        <v>573605.52125999483</v>
      </c>
      <c r="W165" s="153">
        <f t="shared" si="101"/>
        <v>8.7792999999999992</v>
      </c>
      <c r="X165" s="153">
        <f t="shared" si="101"/>
        <v>5648.4697688222022</v>
      </c>
      <c r="Y165" s="153">
        <f t="shared" si="101"/>
        <v>8543.6671618709825</v>
      </c>
      <c r="Z165" s="153">
        <f t="shared" si="101"/>
        <v>15399.297146925142</v>
      </c>
      <c r="AA165" s="153">
        <f t="shared" si="101"/>
        <v>175531.89985544566</v>
      </c>
      <c r="AB165" s="153">
        <f t="shared" si="101"/>
        <v>5428.7052999999996</v>
      </c>
      <c r="AC165" s="153">
        <f t="shared" si="101"/>
        <v>1058901.0860008744</v>
      </c>
      <c r="AD165" s="153">
        <f t="shared" si="101"/>
        <v>1832037.9739279107</v>
      </c>
      <c r="AE165" s="153">
        <f t="shared" si="101"/>
        <v>1001208.7804653997</v>
      </c>
      <c r="AF165" s="153">
        <f t="shared" si="101"/>
        <v>3139821.9883553237</v>
      </c>
      <c r="AG165" s="153">
        <f t="shared" si="101"/>
        <v>238843.331838477</v>
      </c>
      <c r="AH165" s="153">
        <f t="shared" si="101"/>
        <v>3263.663</v>
      </c>
      <c r="AI165" s="153">
        <f t="shared" si="101"/>
        <v>0</v>
      </c>
      <c r="AJ165" s="153">
        <f t="shared" si="101"/>
        <v>44340.034533333339</v>
      </c>
      <c r="AK165" s="153">
        <f t="shared" si="101"/>
        <v>0</v>
      </c>
      <c r="AL165" s="153">
        <f t="shared" si="101"/>
        <v>11016.134666666667</v>
      </c>
      <c r="AM165" s="153">
        <f t="shared" si="101"/>
        <v>0</v>
      </c>
      <c r="AN165" s="153">
        <f t="shared" si="101"/>
        <v>811740.68483333325</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207</v>
      </c>
      <c r="J167" s="153">
        <f t="shared" ref="J167:AO167" si="102">IF(J32,J165, 0)</f>
        <v>8748940.3260784</v>
      </c>
      <c r="K167" s="153">
        <f t="shared" si="102"/>
        <v>0</v>
      </c>
      <c r="L167" s="153">
        <f t="shared" si="102"/>
        <v>0</v>
      </c>
      <c r="M167" s="153">
        <f t="shared" si="102"/>
        <v>114844.89725549346</v>
      </c>
      <c r="N167" s="153">
        <f t="shared" si="102"/>
        <v>430582.60002402484</v>
      </c>
      <c r="O167" s="153">
        <f t="shared" si="102"/>
        <v>536718.86488024401</v>
      </c>
      <c r="P167" s="153">
        <f t="shared" si="102"/>
        <v>1791636.2540875566</v>
      </c>
      <c r="Q167" s="153">
        <f t="shared" si="102"/>
        <v>0</v>
      </c>
      <c r="R167" s="153">
        <f t="shared" si="102"/>
        <v>0</v>
      </c>
      <c r="S167" s="153">
        <f t="shared" si="102"/>
        <v>701037.26653250773</v>
      </c>
      <c r="T167" s="153">
        <f t="shared" si="102"/>
        <v>1058420.880936912</v>
      </c>
      <c r="U167" s="153">
        <f t="shared" si="102"/>
        <v>581365.61462320527</v>
      </c>
      <c r="V167" s="153">
        <f t="shared" si="102"/>
        <v>573605.52125999483</v>
      </c>
      <c r="W167" s="153">
        <f t="shared" si="102"/>
        <v>0</v>
      </c>
      <c r="X167" s="153">
        <f t="shared" si="102"/>
        <v>5648.4697688222022</v>
      </c>
      <c r="Y167" s="153">
        <f t="shared" si="102"/>
        <v>8543.6671618709825</v>
      </c>
      <c r="Z167" s="153">
        <f t="shared" si="102"/>
        <v>15399.297146925142</v>
      </c>
      <c r="AA167" s="153">
        <f t="shared" si="102"/>
        <v>175531.89985544566</v>
      </c>
      <c r="AB167" s="153">
        <f t="shared" si="102"/>
        <v>0</v>
      </c>
      <c r="AC167" s="153">
        <f t="shared" si="102"/>
        <v>1058901.0860008744</v>
      </c>
      <c r="AD167" s="153">
        <f t="shared" si="102"/>
        <v>1832037.9739279107</v>
      </c>
      <c r="AE167" s="153">
        <f t="shared" si="102"/>
        <v>1001208.7804653997</v>
      </c>
      <c r="AF167" s="153">
        <f t="shared" si="102"/>
        <v>3139821.9883553237</v>
      </c>
      <c r="AG167" s="153">
        <f t="shared" si="102"/>
        <v>238843.331838477</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167</v>
      </c>
      <c r="J171" s="370">
        <v>1</v>
      </c>
      <c r="K171" s="56"/>
      <c r="L171" s="69"/>
      <c r="M171" s="413">
        <f>'Volume adjustments'!K689</f>
        <v>3.996570722045123E-2</v>
      </c>
      <c r="N171" s="413">
        <f>'Volume adjustments'!L689</f>
        <v>0.14983087840355441</v>
      </c>
      <c r="O171" s="413">
        <f>'Volume adjustments'!M689</f>
        <v>0.1867633735693886</v>
      </c>
      <c r="P171" s="413">
        <f>'Volume adjustments'!N689</f>
        <v>0.62344004080660564</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207</v>
      </c>
      <c r="J173" s="153">
        <f>J171*$K165</f>
        <v>13562.288229709251</v>
      </c>
      <c r="K173" s="69"/>
      <c r="L173" s="69"/>
      <c r="M173" s="153">
        <f>M171*$Q165</f>
        <v>137.78359890182398</v>
      </c>
      <c r="N173" s="153">
        <f>N171*$Q165</f>
        <v>516.54878866998365</v>
      </c>
      <c r="O173" s="153">
        <f>O171*$Q165</f>
        <v>643.87525063657858</v>
      </c>
      <c r="P173" s="153">
        <f>P171*$Q165</f>
        <v>2149.3379823859973</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207</v>
      </c>
      <c r="J175" s="153">
        <f t="shared" ref="J175:AO175" si="103">J167+J173</f>
        <v>8762502.6143081095</v>
      </c>
      <c r="K175" s="153">
        <f t="shared" si="103"/>
        <v>0</v>
      </c>
      <c r="L175" s="153">
        <f t="shared" si="103"/>
        <v>0</v>
      </c>
      <c r="M175" s="153">
        <f t="shared" si="103"/>
        <v>114982.68085439528</v>
      </c>
      <c r="N175" s="153">
        <f t="shared" si="103"/>
        <v>431099.14881269482</v>
      </c>
      <c r="O175" s="153">
        <f t="shared" si="103"/>
        <v>537362.74013088061</v>
      </c>
      <c r="P175" s="153">
        <f t="shared" si="103"/>
        <v>1793785.5920699425</v>
      </c>
      <c r="Q175" s="153">
        <f t="shared" si="103"/>
        <v>0</v>
      </c>
      <c r="R175" s="153">
        <f t="shared" si="103"/>
        <v>0</v>
      </c>
      <c r="S175" s="153">
        <f t="shared" si="103"/>
        <v>701037.26653250773</v>
      </c>
      <c r="T175" s="153">
        <f t="shared" si="103"/>
        <v>1058420.880936912</v>
      </c>
      <c r="U175" s="153">
        <f t="shared" si="103"/>
        <v>581365.61462320527</v>
      </c>
      <c r="V175" s="153">
        <f t="shared" si="103"/>
        <v>573605.52125999483</v>
      </c>
      <c r="W175" s="153">
        <f t="shared" si="103"/>
        <v>0</v>
      </c>
      <c r="X175" s="153">
        <f t="shared" si="103"/>
        <v>5648.4697688222022</v>
      </c>
      <c r="Y175" s="153">
        <f t="shared" si="103"/>
        <v>8543.6671618709825</v>
      </c>
      <c r="Z175" s="153">
        <f t="shared" si="103"/>
        <v>15399.297146925142</v>
      </c>
      <c r="AA175" s="153">
        <f t="shared" si="103"/>
        <v>175531.89985544566</v>
      </c>
      <c r="AB175" s="153">
        <f t="shared" si="103"/>
        <v>0</v>
      </c>
      <c r="AC175" s="153">
        <f t="shared" si="103"/>
        <v>1058901.0860008744</v>
      </c>
      <c r="AD175" s="153">
        <f t="shared" si="103"/>
        <v>1832037.9739279107</v>
      </c>
      <c r="AE175" s="153">
        <f t="shared" si="103"/>
        <v>1001208.7804653997</v>
      </c>
      <c r="AF175" s="153">
        <f t="shared" si="103"/>
        <v>3139821.9883553237</v>
      </c>
      <c r="AG175" s="153">
        <f t="shared" si="103"/>
        <v>238843.331838477</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control'!$H$36:$H$59,MATCH($A$1,'Version control'!$F$36:$F$59,0),1)&amp;"-F: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s="309"/>
      <c r="E183" s="309" t="s">
        <v>1023</v>
      </c>
      <c r="F183" s="309"/>
      <c r="G183" t="s">
        <v>207</v>
      </c>
      <c r="J183" s="153">
        <f t="shared" ref="J183:AO183" si="104">SUMIF($J$150:$AO$150,J150,$J$175:$AO$175)</f>
        <v>8762502.6143081095</v>
      </c>
      <c r="K183" s="153">
        <f t="shared" si="104"/>
        <v>0</v>
      </c>
      <c r="L183" s="153">
        <f t="shared" si="104"/>
        <v>0</v>
      </c>
      <c r="M183" s="153">
        <f t="shared" si="104"/>
        <v>114982.68085439528</v>
      </c>
      <c r="N183" s="153">
        <f t="shared" si="104"/>
        <v>431099.14881269482</v>
      </c>
      <c r="O183" s="153">
        <f t="shared" si="104"/>
        <v>537362.74013088061</v>
      </c>
      <c r="P183" s="153">
        <f t="shared" si="104"/>
        <v>1793785.5920699425</v>
      </c>
      <c r="Q183" s="153">
        <f t="shared" si="104"/>
        <v>0</v>
      </c>
      <c r="R183" s="153">
        <f t="shared" si="104"/>
        <v>0</v>
      </c>
      <c r="S183" s="153">
        <f t="shared" si="104"/>
        <v>706685.73630132992</v>
      </c>
      <c r="T183" s="153">
        <f t="shared" si="104"/>
        <v>1066964.548098783</v>
      </c>
      <c r="U183" s="153">
        <f t="shared" si="104"/>
        <v>596764.91177013039</v>
      </c>
      <c r="V183" s="153">
        <f t="shared" si="104"/>
        <v>749137.42111544055</v>
      </c>
      <c r="W183" s="153">
        <f t="shared" si="104"/>
        <v>0</v>
      </c>
      <c r="X183" s="153">
        <f t="shared" si="104"/>
        <v>706685.73630132992</v>
      </c>
      <c r="Y183" s="153">
        <f t="shared" si="104"/>
        <v>1066964.548098783</v>
      </c>
      <c r="Z183" s="153">
        <f t="shared" si="104"/>
        <v>596764.91177013039</v>
      </c>
      <c r="AA183" s="153">
        <f t="shared" si="104"/>
        <v>749137.42111544055</v>
      </c>
      <c r="AB183" s="153">
        <f t="shared" si="104"/>
        <v>0</v>
      </c>
      <c r="AC183" s="153">
        <f t="shared" si="104"/>
        <v>1058901.0860008744</v>
      </c>
      <c r="AD183" s="153">
        <f t="shared" si="104"/>
        <v>1832037.9739279107</v>
      </c>
      <c r="AE183" s="153">
        <f t="shared" si="104"/>
        <v>1001208.7804653997</v>
      </c>
      <c r="AF183" s="153">
        <f t="shared" si="104"/>
        <v>3139821.9883553237</v>
      </c>
      <c r="AG183" s="153">
        <f t="shared" si="104"/>
        <v>238843.331838477</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s="309"/>
      <c r="E184" s="309"/>
      <c r="F184" s="309"/>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s="309"/>
      <c r="E185" s="309" t="s">
        <v>1025</v>
      </c>
      <c r="F185" s="309"/>
      <c r="G185" t="s">
        <v>207</v>
      </c>
      <c r="J185" s="153">
        <f>J158*J183</f>
        <v>8762502.6143081095</v>
      </c>
      <c r="K185" s="153">
        <f t="shared" ref="K185:AO185" si="105">K158*K183</f>
        <v>0</v>
      </c>
      <c r="L185" s="153">
        <f t="shared" si="105"/>
        <v>0</v>
      </c>
      <c r="M185" s="153">
        <f t="shared" si="105"/>
        <v>114982.68085439528</v>
      </c>
      <c r="N185" s="153">
        <f t="shared" si="105"/>
        <v>431099.14881269482</v>
      </c>
      <c r="O185" s="153">
        <f t="shared" si="105"/>
        <v>537362.74013088061</v>
      </c>
      <c r="P185" s="153">
        <f t="shared" si="105"/>
        <v>1793785.5920699425</v>
      </c>
      <c r="Q185" s="153">
        <f t="shared" si="105"/>
        <v>0</v>
      </c>
      <c r="R185" s="153">
        <f t="shared" si="105"/>
        <v>0</v>
      </c>
      <c r="S185" s="153">
        <f t="shared" si="105"/>
        <v>704089.98394312733</v>
      </c>
      <c r="T185" s="153">
        <f t="shared" si="105"/>
        <v>1061394.0867145942</v>
      </c>
      <c r="U185" s="153">
        <f t="shared" si="105"/>
        <v>586374.14287588722</v>
      </c>
      <c r="V185" s="153">
        <f t="shared" si="105"/>
        <v>611413.11754840531</v>
      </c>
      <c r="W185" s="153">
        <f t="shared" si="105"/>
        <v>0</v>
      </c>
      <c r="X185" s="153">
        <f t="shared" si="105"/>
        <v>2595.752358202596</v>
      </c>
      <c r="Y185" s="153">
        <f t="shared" si="105"/>
        <v>5570.4613841889004</v>
      </c>
      <c r="Z185" s="153">
        <f t="shared" si="105"/>
        <v>10390.768894243163</v>
      </c>
      <c r="AA185" s="153">
        <f t="shared" si="105"/>
        <v>137724.30356703521</v>
      </c>
      <c r="AB185" s="153">
        <f t="shared" si="105"/>
        <v>0</v>
      </c>
      <c r="AC185" s="153">
        <f t="shared" si="105"/>
        <v>1058901.0860008744</v>
      </c>
      <c r="AD185" s="153">
        <f t="shared" si="105"/>
        <v>1832037.9739279107</v>
      </c>
      <c r="AE185" s="153">
        <f t="shared" si="105"/>
        <v>1001208.7804653997</v>
      </c>
      <c r="AF185" s="153">
        <f t="shared" si="105"/>
        <v>3139821.9883553237</v>
      </c>
      <c r="AG185" s="153">
        <f t="shared" si="105"/>
        <v>238843.331838477</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s="309"/>
      <c r="E186" s="309"/>
      <c r="F186" s="309"/>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207</v>
      </c>
      <c r="H187" s="153">
        <f>SUM($J$185:$AO$185)</f>
        <v>22030098.554049689</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167</v>
      </c>
      <c r="J189" s="323">
        <f>J185/$H187</f>
        <v>0.39775140328173159</v>
      </c>
      <c r="K189" s="323">
        <f t="shared" ref="K189:AO189" si="106">K185/$H187</f>
        <v>0</v>
      </c>
      <c r="L189" s="323">
        <f t="shared" si="106"/>
        <v>0</v>
      </c>
      <c r="M189" s="323">
        <f t="shared" si="106"/>
        <v>5.2193448237324641E-3</v>
      </c>
      <c r="N189" s="323">
        <f t="shared" si="106"/>
        <v>1.9568643678784085E-2</v>
      </c>
      <c r="O189" s="323">
        <f t="shared" si="106"/>
        <v>2.4392207724921854E-2</v>
      </c>
      <c r="P189" s="323">
        <f t="shared" si="106"/>
        <v>8.1424310820443394E-2</v>
      </c>
      <c r="Q189" s="323">
        <f t="shared" si="106"/>
        <v>0</v>
      </c>
      <c r="R189" s="323">
        <f t="shared" si="106"/>
        <v>0</v>
      </c>
      <c r="S189" s="323">
        <f t="shared" si="106"/>
        <v>3.1960364689957221E-2</v>
      </c>
      <c r="T189" s="323">
        <f t="shared" si="106"/>
        <v>4.817927092384628E-2</v>
      </c>
      <c r="U189" s="323">
        <f t="shared" si="106"/>
        <v>2.6616955046172355E-2</v>
      </c>
      <c r="V189" s="323">
        <f t="shared" si="106"/>
        <v>2.7753535284843839E-2</v>
      </c>
      <c r="W189" s="323">
        <f t="shared" si="106"/>
        <v>0</v>
      </c>
      <c r="X189" s="323">
        <f t="shared" si="106"/>
        <v>1.1782754179851052E-4</v>
      </c>
      <c r="Y189" s="323">
        <f t="shared" si="106"/>
        <v>2.5285685266101127E-4</v>
      </c>
      <c r="Z189" s="323">
        <f t="shared" si="106"/>
        <v>4.7166238810734132E-4</v>
      </c>
      <c r="AA189" s="323">
        <f t="shared" si="106"/>
        <v>6.2516426437737383E-3</v>
      </c>
      <c r="AB189" s="323">
        <f t="shared" si="106"/>
        <v>0</v>
      </c>
      <c r="AC189" s="323">
        <f t="shared" si="106"/>
        <v>4.8066107530246233E-2</v>
      </c>
      <c r="AD189" s="323">
        <f t="shared" si="106"/>
        <v>8.3160679895875264E-2</v>
      </c>
      <c r="AE189" s="323">
        <f t="shared" si="106"/>
        <v>4.5447312821092767E-2</v>
      </c>
      <c r="AF189" s="323">
        <f t="shared" si="106"/>
        <v>0.14252419164861815</v>
      </c>
      <c r="AG189" s="323">
        <f t="shared" si="106"/>
        <v>1.084168240339404E-2</v>
      </c>
      <c r="AH189" s="323">
        <f t="shared" si="106"/>
        <v>0</v>
      </c>
      <c r="AI189" s="323">
        <f t="shared" si="106"/>
        <v>0</v>
      </c>
      <c r="AJ189" s="323">
        <f t="shared" si="106"/>
        <v>0</v>
      </c>
      <c r="AK189" s="323">
        <f t="shared" si="106"/>
        <v>0</v>
      </c>
      <c r="AL189" s="323">
        <f t="shared" si="106"/>
        <v>0</v>
      </c>
      <c r="AM189" s="323">
        <f t="shared" si="106"/>
        <v>0</v>
      </c>
      <c r="AN189" s="323">
        <f t="shared" si="106"/>
        <v>0</v>
      </c>
      <c r="AO189" s="323">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277</v>
      </c>
      <c r="J191" s="153">
        <f>$H$85 * J189</f>
        <v>77906681.332589537</v>
      </c>
      <c r="K191" s="153">
        <f t="shared" ref="K191:AO191" si="107">$H$85 * K189</f>
        <v>0</v>
      </c>
      <c r="L191" s="153">
        <f t="shared" si="107"/>
        <v>0</v>
      </c>
      <c r="M191" s="153">
        <f t="shared" si="107"/>
        <v>1022301.4440489884</v>
      </c>
      <c r="N191" s="153">
        <f t="shared" si="107"/>
        <v>3832866.6463916521</v>
      </c>
      <c r="O191" s="153">
        <f t="shared" si="107"/>
        <v>4777647.3911716193</v>
      </c>
      <c r="P191" s="153">
        <f t="shared" si="107"/>
        <v>15948398.380183306</v>
      </c>
      <c r="Q191" s="153">
        <f t="shared" si="107"/>
        <v>0</v>
      </c>
      <c r="R191" s="153">
        <f t="shared" si="107"/>
        <v>0</v>
      </c>
      <c r="S191" s="153">
        <f t="shared" si="107"/>
        <v>6260005.4371403502</v>
      </c>
      <c r="T191" s="153">
        <f t="shared" si="107"/>
        <v>9436766.4720517732</v>
      </c>
      <c r="U191" s="153">
        <f t="shared" si="107"/>
        <v>5213403.6931536105</v>
      </c>
      <c r="V191" s="153">
        <f t="shared" si="107"/>
        <v>5436023.1326641198</v>
      </c>
      <c r="W191" s="153">
        <f t="shared" si="107"/>
        <v>0</v>
      </c>
      <c r="X191" s="153">
        <f t="shared" si="107"/>
        <v>23078.61814027833</v>
      </c>
      <c r="Y191" s="153">
        <f t="shared" si="107"/>
        <v>49526.508468581735</v>
      </c>
      <c r="Z191" s="153">
        <f t="shared" si="107"/>
        <v>92383.461286796432</v>
      </c>
      <c r="AA191" s="153">
        <f t="shared" si="107"/>
        <v>1224495.3185211748</v>
      </c>
      <c r="AB191" s="153">
        <f t="shared" si="107"/>
        <v>0</v>
      </c>
      <c r="AC191" s="153">
        <f t="shared" si="107"/>
        <v>9414601.4102293048</v>
      </c>
      <c r="AD191" s="153">
        <f t="shared" si="107"/>
        <v>16288497.123064717</v>
      </c>
      <c r="AE191" s="153">
        <f t="shared" si="107"/>
        <v>8901663.9241559245</v>
      </c>
      <c r="AF191" s="153">
        <f t="shared" si="107"/>
        <v>27915895.932336971</v>
      </c>
      <c r="AG191" s="153">
        <f t="shared" si="107"/>
        <v>2123536.1814980088</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control'!$H$36:$H$59,MATCH($A$1,'Version control'!$F$36:$F$59,0),1)&amp;"-G: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154</v>
      </c>
      <c r="J197" s="153">
        <f t="shared" ref="J197:AO197" si="108">IF(J33, J191/J154, 0)</f>
        <v>32.598651377042302</v>
      </c>
      <c r="K197" s="153">
        <f t="shared" si="108"/>
        <v>0</v>
      </c>
      <c r="L197" s="153">
        <f t="shared" si="108"/>
        <v>0</v>
      </c>
      <c r="M197" s="153">
        <f t="shared" si="108"/>
        <v>14.266070268554559</v>
      </c>
      <c r="N197" s="153">
        <f t="shared" si="108"/>
        <v>71.045405139829128</v>
      </c>
      <c r="O197" s="153">
        <f t="shared" si="108"/>
        <v>169.79736734956683</v>
      </c>
      <c r="P197" s="153">
        <f t="shared" si="108"/>
        <v>562.26246142651894</v>
      </c>
      <c r="Q197" s="153">
        <f t="shared" si="108"/>
        <v>0</v>
      </c>
      <c r="R197" s="153">
        <f t="shared" si="108"/>
        <v>0</v>
      </c>
      <c r="S197" s="153">
        <f t="shared" si="108"/>
        <v>930.32846523400383</v>
      </c>
      <c r="T197" s="153">
        <f t="shared" si="108"/>
        <v>1746.9170073538687</v>
      </c>
      <c r="U197" s="153">
        <f t="shared" si="108"/>
        <v>2777.8462564168076</v>
      </c>
      <c r="V197" s="153">
        <f t="shared" si="108"/>
        <v>4821.3035077562527</v>
      </c>
      <c r="W197" s="153">
        <f t="shared" si="108"/>
        <v>0</v>
      </c>
      <c r="X197" s="153">
        <f t="shared" si="108"/>
        <v>930.32846523400372</v>
      </c>
      <c r="Y197" s="153">
        <f t="shared" si="108"/>
        <v>1746.9170073538685</v>
      </c>
      <c r="Z197" s="153">
        <f t="shared" si="108"/>
        <v>2777.846256416808</v>
      </c>
      <c r="AA197" s="153">
        <f t="shared" si="108"/>
        <v>4821.3035077562545</v>
      </c>
      <c r="AB197" s="153">
        <f t="shared" si="108"/>
        <v>0</v>
      </c>
      <c r="AC197" s="153">
        <f t="shared" si="108"/>
        <v>4208.6122385916096</v>
      </c>
      <c r="AD197" s="153">
        <f t="shared" si="108"/>
        <v>13203.364055192662</v>
      </c>
      <c r="AE197" s="153">
        <f t="shared" si="108"/>
        <v>29475.426053183121</v>
      </c>
      <c r="AF197" s="153">
        <f t="shared" si="108"/>
        <v>91819.537590761334</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270</v>
      </c>
      <c r="I199" t="s">
        <v>154</v>
      </c>
      <c r="J199" s="153">
        <f t="shared" ref="J199:AO199" si="109">J197 * hundred / days_in_year</f>
        <v>8.9067353489186623</v>
      </c>
      <c r="K199" s="153">
        <f t="shared" si="109"/>
        <v>0</v>
      </c>
      <c r="L199" s="153">
        <f t="shared" si="109"/>
        <v>0</v>
      </c>
      <c r="M199" s="153">
        <f t="shared" si="109"/>
        <v>3.8978334067088958</v>
      </c>
      <c r="N199" s="153">
        <f t="shared" si="109"/>
        <v>19.411312879734734</v>
      </c>
      <c r="O199" s="153">
        <f t="shared" si="109"/>
        <v>46.392723319553774</v>
      </c>
      <c r="P199" s="153">
        <f t="shared" si="109"/>
        <v>153.62362334057894</v>
      </c>
      <c r="Q199" s="153">
        <f t="shared" si="109"/>
        <v>0</v>
      </c>
      <c r="R199" s="153">
        <f t="shared" si="109"/>
        <v>0</v>
      </c>
      <c r="S199" s="153">
        <f t="shared" si="109"/>
        <v>254.18810525519231</v>
      </c>
      <c r="T199" s="153">
        <f t="shared" si="109"/>
        <v>477.29972878521005</v>
      </c>
      <c r="U199" s="153">
        <f t="shared" si="109"/>
        <v>758.97438699912789</v>
      </c>
      <c r="V199" s="153">
        <f t="shared" si="109"/>
        <v>1317.2960403705608</v>
      </c>
      <c r="W199" s="153">
        <f t="shared" si="109"/>
        <v>0</v>
      </c>
      <c r="X199" s="153">
        <f t="shared" si="109"/>
        <v>254.18810525519226</v>
      </c>
      <c r="Y199" s="153">
        <f t="shared" si="109"/>
        <v>477.29972878520994</v>
      </c>
      <c r="Z199" s="153">
        <f t="shared" si="109"/>
        <v>758.97438699912789</v>
      </c>
      <c r="AA199" s="153">
        <f t="shared" si="109"/>
        <v>1317.2960403705613</v>
      </c>
      <c r="AB199" s="153">
        <f t="shared" si="109"/>
        <v>0</v>
      </c>
      <c r="AC199" s="153">
        <f t="shared" si="109"/>
        <v>1149.8940542600026</v>
      </c>
      <c r="AD199" s="153">
        <f t="shared" si="109"/>
        <v>3607.4765178122025</v>
      </c>
      <c r="AE199" s="153">
        <f t="shared" si="109"/>
        <v>8053.3950964981204</v>
      </c>
      <c r="AF199" s="153">
        <f t="shared" si="109"/>
        <v>25087.30535266703</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control'!$H$36:$H$59,MATCH($A$1,'Version control'!$F$36:$F$59,0),1)&amp;"-H: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6">
        <f t="shared" ref="J206:AO206" si="110">IF(J34, J191/J185, 0)</f>
        <v>0</v>
      </c>
      <c r="K206" s="326">
        <f t="shared" si="110"/>
        <v>0</v>
      </c>
      <c r="L206" s="326">
        <f t="shared" si="110"/>
        <v>0</v>
      </c>
      <c r="M206" s="326">
        <f t="shared" si="110"/>
        <v>0</v>
      </c>
      <c r="N206" s="326">
        <f t="shared" si="110"/>
        <v>0</v>
      </c>
      <c r="O206" s="326">
        <f t="shared" si="110"/>
        <v>0</v>
      </c>
      <c r="P206" s="326">
        <f t="shared" si="110"/>
        <v>0</v>
      </c>
      <c r="Q206" s="326">
        <f t="shared" si="110"/>
        <v>0</v>
      </c>
      <c r="R206" s="326">
        <f t="shared" si="110"/>
        <v>0</v>
      </c>
      <c r="S206" s="326">
        <f t="shared" si="110"/>
        <v>0</v>
      </c>
      <c r="T206" s="326">
        <f t="shared" si="110"/>
        <v>0</v>
      </c>
      <c r="U206" s="326">
        <f t="shared" si="110"/>
        <v>0</v>
      </c>
      <c r="V206" s="326">
        <f t="shared" si="110"/>
        <v>0</v>
      </c>
      <c r="W206" s="326">
        <f t="shared" si="110"/>
        <v>0</v>
      </c>
      <c r="X206" s="326">
        <f t="shared" si="110"/>
        <v>0</v>
      </c>
      <c r="Y206" s="326">
        <f t="shared" si="110"/>
        <v>0</v>
      </c>
      <c r="Z206" s="326">
        <f t="shared" si="110"/>
        <v>0</v>
      </c>
      <c r="AA206" s="326">
        <f t="shared" si="110"/>
        <v>0</v>
      </c>
      <c r="AB206" s="326">
        <f t="shared" si="110"/>
        <v>0</v>
      </c>
      <c r="AC206" s="326">
        <f t="shared" si="110"/>
        <v>0</v>
      </c>
      <c r="AD206" s="326">
        <f t="shared" si="110"/>
        <v>0</v>
      </c>
      <c r="AE206" s="326">
        <f t="shared" si="110"/>
        <v>0</v>
      </c>
      <c r="AF206" s="326">
        <f t="shared" si="110"/>
        <v>0</v>
      </c>
      <c r="AG206" s="326">
        <f t="shared" si="110"/>
        <v>8.8909167576597721</v>
      </c>
      <c r="AH206" s="326">
        <f t="shared" si="110"/>
        <v>0</v>
      </c>
      <c r="AI206" s="326">
        <f t="shared" si="110"/>
        <v>0</v>
      </c>
      <c r="AJ206" s="326">
        <f t="shared" si="110"/>
        <v>0</v>
      </c>
      <c r="AK206" s="326">
        <f t="shared" si="110"/>
        <v>0</v>
      </c>
      <c r="AL206" s="326">
        <f t="shared" si="110"/>
        <v>0</v>
      </c>
      <c r="AM206" s="326">
        <f t="shared" si="110"/>
        <v>0</v>
      </c>
      <c r="AN206" s="326">
        <f t="shared" si="110"/>
        <v>0</v>
      </c>
      <c r="AO206" s="326">
        <f t="shared" si="110"/>
        <v>0</v>
      </c>
    </row>
    <row r="207" spans="3:43" x14ac:dyDescent="0.25">
      <c r="C207" s="24"/>
      <c r="D207"/>
      <c r="E207"/>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c r="AF207" s="326"/>
      <c r="AG207" s="326"/>
      <c r="AH207" s="326"/>
      <c r="AI207" s="326"/>
      <c r="AJ207" s="326"/>
      <c r="AK207" s="326"/>
      <c r="AL207" s="326"/>
      <c r="AM207" s="326"/>
      <c r="AN207" s="326"/>
      <c r="AO207" s="326"/>
    </row>
    <row r="208" spans="3:43" x14ac:dyDescent="0.25">
      <c r="C208" s="24"/>
      <c r="E208" t="s">
        <v>934</v>
      </c>
      <c r="G208" t="s">
        <v>269</v>
      </c>
      <c r="J208" s="326">
        <f t="shared" ref="J208:AO208" si="111">J206*hundred/thousand</f>
        <v>0</v>
      </c>
      <c r="K208" s="326">
        <f t="shared" si="111"/>
        <v>0</v>
      </c>
      <c r="L208" s="326">
        <f t="shared" si="111"/>
        <v>0</v>
      </c>
      <c r="M208" s="326">
        <f t="shared" si="111"/>
        <v>0</v>
      </c>
      <c r="N208" s="326">
        <f t="shared" si="111"/>
        <v>0</v>
      </c>
      <c r="O208" s="326">
        <f t="shared" si="111"/>
        <v>0</v>
      </c>
      <c r="P208" s="326">
        <f t="shared" si="111"/>
        <v>0</v>
      </c>
      <c r="Q208" s="326">
        <f t="shared" si="111"/>
        <v>0</v>
      </c>
      <c r="R208" s="326">
        <f t="shared" si="111"/>
        <v>0</v>
      </c>
      <c r="S208" s="326">
        <f t="shared" si="111"/>
        <v>0</v>
      </c>
      <c r="T208" s="326">
        <f t="shared" si="111"/>
        <v>0</v>
      </c>
      <c r="U208" s="326">
        <f t="shared" si="111"/>
        <v>0</v>
      </c>
      <c r="V208" s="326">
        <f t="shared" si="111"/>
        <v>0</v>
      </c>
      <c r="W208" s="326">
        <f t="shared" si="111"/>
        <v>0</v>
      </c>
      <c r="X208" s="326">
        <f t="shared" si="111"/>
        <v>0</v>
      </c>
      <c r="Y208" s="326">
        <f t="shared" si="111"/>
        <v>0</v>
      </c>
      <c r="Z208" s="326">
        <f t="shared" si="111"/>
        <v>0</v>
      </c>
      <c r="AA208" s="326">
        <f t="shared" si="111"/>
        <v>0</v>
      </c>
      <c r="AB208" s="326">
        <f t="shared" si="111"/>
        <v>0</v>
      </c>
      <c r="AC208" s="326">
        <f t="shared" si="111"/>
        <v>0</v>
      </c>
      <c r="AD208" s="326">
        <f t="shared" si="111"/>
        <v>0</v>
      </c>
      <c r="AE208" s="326">
        <f t="shared" si="111"/>
        <v>0</v>
      </c>
      <c r="AF208" s="326">
        <f t="shared" si="111"/>
        <v>0</v>
      </c>
      <c r="AG208" s="326">
        <f t="shared" si="111"/>
        <v>0.88909167576597725</v>
      </c>
      <c r="AH208" s="326">
        <f t="shared" si="111"/>
        <v>0</v>
      </c>
      <c r="AI208" s="326">
        <f t="shared" si="111"/>
        <v>0</v>
      </c>
      <c r="AJ208" s="326">
        <f t="shared" si="111"/>
        <v>0</v>
      </c>
      <c r="AK208" s="326">
        <f t="shared" si="111"/>
        <v>0</v>
      </c>
      <c r="AL208" s="326">
        <f t="shared" si="111"/>
        <v>0</v>
      </c>
      <c r="AM208" s="326">
        <f t="shared" si="111"/>
        <v>0</v>
      </c>
      <c r="AN208" s="326">
        <f t="shared" si="111"/>
        <v>0</v>
      </c>
      <c r="AO208" s="326">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control'!$H$36:$H$59,MATCH($A$1,'Version control'!$F$36:$F$59,0),1)&amp;"-I: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270</v>
      </c>
      <c r="J223" s="153">
        <f t="array" ref="J223">MIN(IF($J150:$AO150=J150,$J43:$AO43+$J48:$AO48))</f>
        <v>5.8320747919667975</v>
      </c>
      <c r="K223" s="153">
        <f t="array" ref="K223">MIN(IF($J150:$AO150=K150,$J43:$AO43+$J48:$AO48))</f>
        <v>0</v>
      </c>
      <c r="L223" s="153">
        <f t="array" ref="L223">MIN(IF($J150:$AO150=L150,$J43:$AO43+$J48:$AO48))</f>
        <v>0</v>
      </c>
      <c r="M223" s="153">
        <f t="array" ref="M223">MIN(IF($J150:$AO150=M150,$J43:$AO43+$J48:$AO48))</f>
        <v>10.411296070422706</v>
      </c>
      <c r="N223" s="153">
        <f t="array" ref="N223">MIN(IF($J150:$AO150=N150,$J43:$AO43+$J48:$AO48))</f>
        <v>10.411296070422706</v>
      </c>
      <c r="O223" s="153">
        <f t="array" ref="O223">MIN(IF($J150:$AO150=O150,$J43:$AO43+$J48:$AO48))</f>
        <v>10.411296070422706</v>
      </c>
      <c r="P223" s="153">
        <f t="array" ref="P223">MIN(IF($J150:$AO150=P150,$J43:$AO43+$J48:$AO48))</f>
        <v>10.411296070422706</v>
      </c>
      <c r="Q223" s="153">
        <f t="array" ref="Q223">MIN(IF($J150:$AO150=Q150,$J43:$AO43+$J48:$AO48))</f>
        <v>0</v>
      </c>
      <c r="R223" s="153">
        <f t="array" ref="R223">MIN(IF($J150:$AO150=R150,$J43:$AO43+$J48:$AO48))</f>
        <v>0</v>
      </c>
      <c r="S223" s="153">
        <f t="array" ref="S223">MIN(IF($J150:$AO150=S150,$J43:$AO43+$J48:$AO48))</f>
        <v>11.215610214764538</v>
      </c>
      <c r="T223" s="153">
        <f t="array" ref="T223">MIN(IF($J150:$AO150=T150,$J43:$AO43+$J48:$AO48))</f>
        <v>11.215610214764538</v>
      </c>
      <c r="U223" s="153">
        <f t="array" ref="U223">MIN(IF($J150:$AO150=U150,$J43:$AO43+$J48:$AO48))</f>
        <v>11.215610214764538</v>
      </c>
      <c r="V223" s="153">
        <f t="array" ref="V223">MIN(IF($J150:$AO150=V150,$J43:$AO43+$J48:$AO48))</f>
        <v>11.215610214764538</v>
      </c>
      <c r="W223" s="153">
        <f t="array" ref="W223">MIN(IF($J150:$AO150=W150,$J43:$AO43+$J48:$AO48))</f>
        <v>0</v>
      </c>
      <c r="X223" s="153">
        <f t="array" ref="X223">MIN(IF($J150:$AO150=X150,$J43:$AO43+$J48:$AO48))</f>
        <v>11.215610214764538</v>
      </c>
      <c r="Y223" s="153">
        <f t="array" ref="Y223">MIN(IF($J150:$AO150=Y150,$J43:$AO43+$J48:$AO48))</f>
        <v>11.215610214764538</v>
      </c>
      <c r="Z223" s="153">
        <f t="array" ref="Z223">MIN(IF($J150:$AO150=Z150,$J43:$AO43+$J48:$AO48))</f>
        <v>11.215610214764538</v>
      </c>
      <c r="AA223" s="153">
        <f t="array" ref="AA223">MIN(IF($J150:$AO150=AA150,$J43:$AO43+$J48:$AO48))</f>
        <v>11.215610214764538</v>
      </c>
      <c r="AB223" s="153">
        <f t="array" ref="AB223">MIN(IF($J150:$AO150=AB150,$J43:$AO43+$J48:$AO48))</f>
        <v>0</v>
      </c>
      <c r="AC223" s="153">
        <f t="array" ref="AC223">MIN(IF($J150:$AO150=AC150,$J43:$AO43+$J48:$AO48))</f>
        <v>102.25878573807573</v>
      </c>
      <c r="AD223" s="153">
        <f t="array" ref="AD223">MIN(IF($J150:$AO150=AD150,$J43:$AO43+$J48:$AO48))</f>
        <v>102.25878573807573</v>
      </c>
      <c r="AE223" s="153">
        <f t="array" ref="AE223">MIN(IF($J150:$AO150=AE150,$J43:$AO43+$J48:$AO48))</f>
        <v>102.25878573807573</v>
      </c>
      <c r="AF223" s="153">
        <f t="array" ref="AF223">MIN(IF($J150:$AO150=AF150,$J43:$AO43+$J48:$AO48))</f>
        <v>102.25878573807573</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270</v>
      </c>
      <c r="J225" s="153">
        <f>MAX(-J223,J199)</f>
        <v>8.9067353489186623</v>
      </c>
      <c r="K225" s="153">
        <f t="shared" ref="K225:AO225" si="112">MAX(-K223,K199)</f>
        <v>0</v>
      </c>
      <c r="L225" s="153">
        <f t="shared" si="112"/>
        <v>0</v>
      </c>
      <c r="M225" s="153">
        <f t="shared" si="112"/>
        <v>3.8978334067088958</v>
      </c>
      <c r="N225" s="153">
        <f t="shared" si="112"/>
        <v>19.411312879734734</v>
      </c>
      <c r="O225" s="153">
        <f t="shared" si="112"/>
        <v>46.392723319553774</v>
      </c>
      <c r="P225" s="153">
        <f t="shared" si="112"/>
        <v>153.62362334057894</v>
      </c>
      <c r="Q225" s="153">
        <f t="shared" si="112"/>
        <v>0</v>
      </c>
      <c r="R225" s="153">
        <f t="shared" si="112"/>
        <v>0</v>
      </c>
      <c r="S225" s="153">
        <f t="shared" si="112"/>
        <v>254.18810525519231</v>
      </c>
      <c r="T225" s="153">
        <f t="shared" si="112"/>
        <v>477.29972878521005</v>
      </c>
      <c r="U225" s="153">
        <f t="shared" si="112"/>
        <v>758.97438699912789</v>
      </c>
      <c r="V225" s="153">
        <f t="shared" si="112"/>
        <v>1317.2960403705608</v>
      </c>
      <c r="W225" s="153">
        <f t="shared" si="112"/>
        <v>0</v>
      </c>
      <c r="X225" s="153">
        <f t="shared" si="112"/>
        <v>254.18810525519226</v>
      </c>
      <c r="Y225" s="153">
        <f t="shared" si="112"/>
        <v>477.29972878520994</v>
      </c>
      <c r="Z225" s="153">
        <f t="shared" si="112"/>
        <v>758.97438699912789</v>
      </c>
      <c r="AA225" s="153">
        <f t="shared" si="112"/>
        <v>1317.2960403705613</v>
      </c>
      <c r="AB225" s="153">
        <f t="shared" si="112"/>
        <v>0</v>
      </c>
      <c r="AC225" s="153">
        <f t="shared" si="112"/>
        <v>1149.8940542600026</v>
      </c>
      <c r="AD225" s="153">
        <f t="shared" si="112"/>
        <v>3607.4765178122025</v>
      </c>
      <c r="AE225" s="153">
        <f t="shared" si="112"/>
        <v>8053.3950964981204</v>
      </c>
      <c r="AF225" s="153">
        <f t="shared" si="112"/>
        <v>25087.30535266703</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control'!$H$36:$H$59,MATCH($A$1,'Version control'!$F$36:$F$59,0),1)&amp;"-J: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97"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149</v>
      </c>
      <c r="H245" s="313">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149</v>
      </c>
      <c r="H246" s="325">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149</v>
      </c>
      <c r="H247" s="314">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269</v>
      </c>
      <c r="H250" s="19"/>
      <c r="I250" s="19"/>
      <c r="J250" s="398">
        <f t="shared" ref="J250:AO250" si="116">IF(J$238, SMALL(J$40:J$42,$H245), 0)</f>
        <v>0</v>
      </c>
      <c r="K250" s="398">
        <f t="shared" si="116"/>
        <v>0</v>
      </c>
      <c r="L250" s="398">
        <f t="shared" si="116"/>
        <v>0</v>
      </c>
      <c r="M250" s="398">
        <f t="shared" si="116"/>
        <v>0</v>
      </c>
      <c r="N250" s="398">
        <f t="shared" si="116"/>
        <v>0</v>
      </c>
      <c r="O250" s="398">
        <f t="shared" si="116"/>
        <v>0</v>
      </c>
      <c r="P250" s="398">
        <f t="shared" si="116"/>
        <v>0</v>
      </c>
      <c r="Q250" s="398">
        <f t="shared" si="116"/>
        <v>0</v>
      </c>
      <c r="R250" s="398">
        <f t="shared" si="116"/>
        <v>0</v>
      </c>
      <c r="S250" s="398">
        <f t="shared" si="116"/>
        <v>0</v>
      </c>
      <c r="T250" s="398">
        <f t="shared" si="116"/>
        <v>0</v>
      </c>
      <c r="U250" s="398">
        <f t="shared" si="116"/>
        <v>0</v>
      </c>
      <c r="V250" s="398">
        <f t="shared" si="116"/>
        <v>0</v>
      </c>
      <c r="W250" s="398">
        <f t="shared" si="116"/>
        <v>0</v>
      </c>
      <c r="X250" s="398">
        <f t="shared" si="116"/>
        <v>0</v>
      </c>
      <c r="Y250" s="398">
        <f t="shared" si="116"/>
        <v>0</v>
      </c>
      <c r="Z250" s="398">
        <f t="shared" si="116"/>
        <v>0</v>
      </c>
      <c r="AA250" s="398">
        <f t="shared" si="116"/>
        <v>0</v>
      </c>
      <c r="AB250" s="398">
        <f t="shared" si="116"/>
        <v>0</v>
      </c>
      <c r="AC250" s="398">
        <f t="shared" si="116"/>
        <v>0</v>
      </c>
      <c r="AD250" s="398">
        <f t="shared" si="116"/>
        <v>0</v>
      </c>
      <c r="AE250" s="398">
        <f t="shared" si="116"/>
        <v>0</v>
      </c>
      <c r="AF250" s="398">
        <f t="shared" si="116"/>
        <v>0</v>
      </c>
      <c r="AG250" s="398">
        <f t="shared" si="116"/>
        <v>0</v>
      </c>
      <c r="AH250" s="398">
        <f t="shared" si="116"/>
        <v>0</v>
      </c>
      <c r="AI250" s="398">
        <f t="shared" si="116"/>
        <v>0</v>
      </c>
      <c r="AJ250" s="398">
        <f t="shared" si="116"/>
        <v>0</v>
      </c>
      <c r="AK250" s="398">
        <f t="shared" si="116"/>
        <v>0</v>
      </c>
      <c r="AL250" s="398">
        <f t="shared" si="116"/>
        <v>0</v>
      </c>
      <c r="AM250" s="398">
        <f t="shared" si="116"/>
        <v>0</v>
      </c>
      <c r="AN250" s="398">
        <f t="shared" si="116"/>
        <v>0</v>
      </c>
      <c r="AO250" s="398">
        <f t="shared" si="116"/>
        <v>0</v>
      </c>
    </row>
    <row r="251" spans="3:43" x14ac:dyDescent="0.25">
      <c r="C251" s="24"/>
      <c r="F251" t="s">
        <v>1057</v>
      </c>
      <c r="G251" t="s">
        <v>269</v>
      </c>
      <c r="J251" s="326">
        <f t="shared" ref="J251:AO251" si="117">IF(J$238, SMALL(J$40:J$42,$H246), 0)</f>
        <v>0</v>
      </c>
      <c r="K251" s="326">
        <f t="shared" si="117"/>
        <v>0</v>
      </c>
      <c r="L251" s="326">
        <f t="shared" si="117"/>
        <v>0</v>
      </c>
      <c r="M251" s="326">
        <f t="shared" si="117"/>
        <v>0</v>
      </c>
      <c r="N251" s="326">
        <f t="shared" si="117"/>
        <v>0</v>
      </c>
      <c r="O251" s="326">
        <f t="shared" si="117"/>
        <v>0</v>
      </c>
      <c r="P251" s="326">
        <f t="shared" si="117"/>
        <v>0</v>
      </c>
      <c r="Q251" s="326">
        <f t="shared" si="117"/>
        <v>0</v>
      </c>
      <c r="R251" s="326">
        <f t="shared" si="117"/>
        <v>0</v>
      </c>
      <c r="S251" s="326">
        <f t="shared" si="117"/>
        <v>0</v>
      </c>
      <c r="T251" s="326">
        <f t="shared" si="117"/>
        <v>0</v>
      </c>
      <c r="U251" s="326">
        <f t="shared" si="117"/>
        <v>0</v>
      </c>
      <c r="V251" s="326">
        <f t="shared" si="117"/>
        <v>0</v>
      </c>
      <c r="W251" s="326">
        <f t="shared" si="117"/>
        <v>0</v>
      </c>
      <c r="X251" s="326">
        <f t="shared" si="117"/>
        <v>0</v>
      </c>
      <c r="Y251" s="326">
        <f t="shared" si="117"/>
        <v>0</v>
      </c>
      <c r="Z251" s="326">
        <f t="shared" si="117"/>
        <v>0</v>
      </c>
      <c r="AA251" s="326">
        <f t="shared" si="117"/>
        <v>0</v>
      </c>
      <c r="AB251" s="326">
        <f t="shared" si="117"/>
        <v>0</v>
      </c>
      <c r="AC251" s="326">
        <f t="shared" si="117"/>
        <v>0</v>
      </c>
      <c r="AD251" s="326">
        <f t="shared" si="117"/>
        <v>0</v>
      </c>
      <c r="AE251" s="326">
        <f t="shared" si="117"/>
        <v>0</v>
      </c>
      <c r="AF251" s="326">
        <f t="shared" si="117"/>
        <v>0</v>
      </c>
      <c r="AG251" s="326">
        <f t="shared" si="117"/>
        <v>0</v>
      </c>
      <c r="AH251" s="326">
        <f t="shared" si="117"/>
        <v>0</v>
      </c>
      <c r="AI251" s="326">
        <f t="shared" si="117"/>
        <v>0</v>
      </c>
      <c r="AJ251" s="326">
        <f t="shared" si="117"/>
        <v>0</v>
      </c>
      <c r="AK251" s="326">
        <f t="shared" si="117"/>
        <v>0</v>
      </c>
      <c r="AL251" s="326">
        <f t="shared" si="117"/>
        <v>0</v>
      </c>
      <c r="AM251" s="326">
        <f t="shared" si="117"/>
        <v>0</v>
      </c>
      <c r="AN251" s="326">
        <f t="shared" si="117"/>
        <v>0</v>
      </c>
      <c r="AO251" s="326">
        <f t="shared" si="117"/>
        <v>0</v>
      </c>
    </row>
    <row r="252" spans="3:43" x14ac:dyDescent="0.25">
      <c r="C252" s="24"/>
      <c r="F252" s="28" t="s">
        <v>1058</v>
      </c>
      <c r="G252" s="28" t="s">
        <v>269</v>
      </c>
      <c r="H252" s="28"/>
      <c r="I252" s="28"/>
      <c r="J252" s="399">
        <f t="shared" ref="J252:AO252" si="118">IF(J$238, SMALL(J$40:J$42,$H247), 0)</f>
        <v>0</v>
      </c>
      <c r="K252" s="399">
        <f t="shared" si="118"/>
        <v>0</v>
      </c>
      <c r="L252" s="399">
        <f t="shared" si="118"/>
        <v>0</v>
      </c>
      <c r="M252" s="399">
        <f t="shared" si="118"/>
        <v>0</v>
      </c>
      <c r="N252" s="399">
        <f t="shared" si="118"/>
        <v>0</v>
      </c>
      <c r="O252" s="399">
        <f t="shared" si="118"/>
        <v>0</v>
      </c>
      <c r="P252" s="399">
        <f t="shared" si="118"/>
        <v>0</v>
      </c>
      <c r="Q252" s="399">
        <f t="shared" si="118"/>
        <v>0</v>
      </c>
      <c r="R252" s="399">
        <f t="shared" si="118"/>
        <v>0</v>
      </c>
      <c r="S252" s="399">
        <f t="shared" si="118"/>
        <v>0</v>
      </c>
      <c r="T252" s="399">
        <f t="shared" si="118"/>
        <v>0</v>
      </c>
      <c r="U252" s="399">
        <f t="shared" si="118"/>
        <v>0</v>
      </c>
      <c r="V252" s="399">
        <f t="shared" si="118"/>
        <v>0</v>
      </c>
      <c r="W252" s="399">
        <f t="shared" si="118"/>
        <v>0</v>
      </c>
      <c r="X252" s="399">
        <f t="shared" si="118"/>
        <v>0</v>
      </c>
      <c r="Y252" s="399">
        <f t="shared" si="118"/>
        <v>0</v>
      </c>
      <c r="Z252" s="399">
        <f t="shared" si="118"/>
        <v>0</v>
      </c>
      <c r="AA252" s="399">
        <f t="shared" si="118"/>
        <v>0</v>
      </c>
      <c r="AB252" s="399">
        <f t="shared" si="118"/>
        <v>0</v>
      </c>
      <c r="AC252" s="399">
        <f t="shared" si="118"/>
        <v>0</v>
      </c>
      <c r="AD252" s="399">
        <f t="shared" si="118"/>
        <v>0</v>
      </c>
      <c r="AE252" s="399">
        <f t="shared" si="118"/>
        <v>0</v>
      </c>
      <c r="AF252" s="399">
        <f t="shared" si="118"/>
        <v>0</v>
      </c>
      <c r="AG252" s="399">
        <f t="shared" si="118"/>
        <v>0</v>
      </c>
      <c r="AH252" s="399">
        <f t="shared" si="118"/>
        <v>0</v>
      </c>
      <c r="AI252" s="399">
        <f t="shared" si="118"/>
        <v>0</v>
      </c>
      <c r="AJ252" s="399">
        <f t="shared" si="118"/>
        <v>0</v>
      </c>
      <c r="AK252" s="399">
        <f t="shared" si="118"/>
        <v>0</v>
      </c>
      <c r="AL252" s="399">
        <f t="shared" si="118"/>
        <v>0</v>
      </c>
      <c r="AM252" s="399">
        <f t="shared" si="118"/>
        <v>0</v>
      </c>
      <c r="AN252" s="399">
        <f t="shared" si="118"/>
        <v>0</v>
      </c>
      <c r="AO252" s="399">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269</v>
      </c>
      <c r="H258" s="19"/>
      <c r="I258" s="19"/>
      <c r="J258" s="398">
        <f t="array" ref="J258">MIN(IF($J$150:$AO$150=J$150,$J250:$AO250))</f>
        <v>0</v>
      </c>
      <c r="K258" s="398">
        <f t="array" ref="K258">MIN(IF($J$150:$AO$150=K$150,$J250:$AO250))</f>
        <v>0</v>
      </c>
      <c r="L258" s="398">
        <f t="array" ref="L258">MIN(IF($J$150:$AO$150=L$150,$J250:$AO250))</f>
        <v>0</v>
      </c>
      <c r="M258" s="398">
        <f t="array" ref="M258">MIN(IF($J$150:$AO$150=M$150,$J250:$AO250))</f>
        <v>0</v>
      </c>
      <c r="N258" s="398">
        <f t="array" ref="N258">MIN(IF($J$150:$AO$150=N$150,$J250:$AO250))</f>
        <v>0</v>
      </c>
      <c r="O258" s="398">
        <f t="array" ref="O258">MIN(IF($J$150:$AO$150=O$150,$J250:$AO250))</f>
        <v>0</v>
      </c>
      <c r="P258" s="398">
        <f t="array" ref="P258">MIN(IF($J$150:$AO$150=P$150,$J250:$AO250))</f>
        <v>0</v>
      </c>
      <c r="Q258" s="398">
        <f t="array" ref="Q258">MIN(IF($J$150:$AO$150=Q$150,$J250:$AO250))</f>
        <v>0</v>
      </c>
      <c r="R258" s="398">
        <f t="array" ref="R258">MIN(IF($J$150:$AO$150=R$150,$J250:$AO250))</f>
        <v>0</v>
      </c>
      <c r="S258" s="398">
        <f t="array" ref="S258">MIN(IF($J$150:$AO$150=S$150,$J250:$AO250))</f>
        <v>0</v>
      </c>
      <c r="T258" s="398">
        <f t="array" ref="T258">MIN(IF($J$150:$AO$150=T$150,$J250:$AO250))</f>
        <v>0</v>
      </c>
      <c r="U258" s="398">
        <f t="array" ref="U258">MIN(IF($J$150:$AO$150=U$150,$J250:$AO250))</f>
        <v>0</v>
      </c>
      <c r="V258" s="398">
        <f t="array" ref="V258">MIN(IF($J$150:$AO$150=V$150,$J250:$AO250))</f>
        <v>0</v>
      </c>
      <c r="W258" s="398">
        <f t="array" ref="W258">MIN(IF($J$150:$AO$150=W$150,$J250:$AO250))</f>
        <v>0</v>
      </c>
      <c r="X258" s="398">
        <f t="array" ref="X258">MIN(IF($J$150:$AO$150=X$150,$J250:$AO250))</f>
        <v>0</v>
      </c>
      <c r="Y258" s="398">
        <f t="array" ref="Y258">MIN(IF($J$150:$AO$150=Y$150,$J250:$AO250))</f>
        <v>0</v>
      </c>
      <c r="Z258" s="398">
        <f t="array" ref="Z258">MIN(IF($J$150:$AO$150=Z$150,$J250:$AO250))</f>
        <v>0</v>
      </c>
      <c r="AA258" s="398">
        <f t="array" ref="AA258">MIN(IF($J$150:$AO$150=AA$150,$J250:$AO250))</f>
        <v>0</v>
      </c>
      <c r="AB258" s="398">
        <f t="array" ref="AB258">MIN(IF($J$150:$AO$150=AB$150,$J250:$AO250))</f>
        <v>0</v>
      </c>
      <c r="AC258" s="398">
        <f t="array" ref="AC258">MIN(IF($J$150:$AO$150=AC$150,$J250:$AO250))</f>
        <v>0</v>
      </c>
      <c r="AD258" s="398">
        <f t="array" ref="AD258">MIN(IF($J$150:$AO$150=AD$150,$J250:$AO250))</f>
        <v>0</v>
      </c>
      <c r="AE258" s="398">
        <f t="array" ref="AE258">MIN(IF($J$150:$AO$150=AE$150,$J250:$AO250))</f>
        <v>0</v>
      </c>
      <c r="AF258" s="398">
        <f t="array" ref="AF258">MIN(IF($J$150:$AO$150=AF$150,$J250:$AO250))</f>
        <v>0</v>
      </c>
      <c r="AG258" s="398">
        <f t="array" ref="AG258">MIN(IF($J$150:$AO$150=AG$150,$J250:$AO250))</f>
        <v>0</v>
      </c>
      <c r="AH258" s="398">
        <f t="array" ref="AH258">MIN(IF($J$150:$AO$150=AH$150,$J250:$AO250))</f>
        <v>0</v>
      </c>
      <c r="AI258" s="398">
        <f t="array" ref="AI258">MIN(IF($J$150:$AO$150=AI$150,$J250:$AO250))</f>
        <v>0</v>
      </c>
      <c r="AJ258" s="398">
        <f t="array" ref="AJ258">MIN(IF($J$150:$AO$150=AJ$150,$J250:$AO250))</f>
        <v>0</v>
      </c>
      <c r="AK258" s="398">
        <f t="array" ref="AK258">MIN(IF($J$150:$AO$150=AK$150,$J250:$AO250))</f>
        <v>0</v>
      </c>
      <c r="AL258" s="398">
        <f t="array" ref="AL258">MIN(IF($J$150:$AO$150=AL$150,$J250:$AO250))</f>
        <v>0</v>
      </c>
      <c r="AM258" s="398">
        <f t="array" ref="AM258">MIN(IF($J$150:$AO$150=AM$150,$J250:$AO250))</f>
        <v>0</v>
      </c>
      <c r="AN258" s="398">
        <f t="array" ref="AN258">MIN(IF($J$150:$AO$150=AN$150,$J250:$AO250))</f>
        <v>0</v>
      </c>
      <c r="AO258" s="398">
        <f t="array" ref="AO258">MIN(IF($J$150:$AO$150=AO$150,$J250:$AO250))</f>
        <v>0</v>
      </c>
    </row>
    <row r="259" spans="3:41" x14ac:dyDescent="0.25">
      <c r="C259" s="24"/>
      <c r="F259" t="s">
        <v>1057</v>
      </c>
      <c r="G259" t="s">
        <v>269</v>
      </c>
      <c r="J259" s="326">
        <f t="array" ref="J259">MIN(IF($J$150:$AO$150=J$150,$J251:$AO251))</f>
        <v>0</v>
      </c>
      <c r="K259" s="326">
        <f t="array" ref="K259">MIN(IF($J$150:$AO$150=K$150,$J251:$AO251))</f>
        <v>0</v>
      </c>
      <c r="L259" s="326">
        <f t="array" ref="L259">MIN(IF($J$150:$AO$150=L$150,$J251:$AO251))</f>
        <v>0</v>
      </c>
      <c r="M259" s="326">
        <f t="array" ref="M259">MIN(IF($J$150:$AO$150=M$150,$J251:$AO251))</f>
        <v>0</v>
      </c>
      <c r="N259" s="326">
        <f t="array" ref="N259">MIN(IF($J$150:$AO$150=N$150,$J251:$AO251))</f>
        <v>0</v>
      </c>
      <c r="O259" s="326">
        <f t="array" ref="O259">MIN(IF($J$150:$AO$150=O$150,$J251:$AO251))</f>
        <v>0</v>
      </c>
      <c r="P259" s="326">
        <f t="array" ref="P259">MIN(IF($J$150:$AO$150=P$150,$J251:$AO251))</f>
        <v>0</v>
      </c>
      <c r="Q259" s="326">
        <f t="array" ref="Q259">MIN(IF($J$150:$AO$150=Q$150,$J251:$AO251))</f>
        <v>0</v>
      </c>
      <c r="R259" s="326">
        <f t="array" ref="R259">MIN(IF($J$150:$AO$150=R$150,$J251:$AO251))</f>
        <v>0</v>
      </c>
      <c r="S259" s="326">
        <f t="array" ref="S259">MIN(IF($J$150:$AO$150=S$150,$J251:$AO251))</f>
        <v>0</v>
      </c>
      <c r="T259" s="326">
        <f t="array" ref="T259">MIN(IF($J$150:$AO$150=T$150,$J251:$AO251))</f>
        <v>0</v>
      </c>
      <c r="U259" s="326">
        <f t="array" ref="U259">MIN(IF($J$150:$AO$150=U$150,$J251:$AO251))</f>
        <v>0</v>
      </c>
      <c r="V259" s="326">
        <f t="array" ref="V259">MIN(IF($J$150:$AO$150=V$150,$J251:$AO251))</f>
        <v>0</v>
      </c>
      <c r="W259" s="326">
        <f t="array" ref="W259">MIN(IF($J$150:$AO$150=W$150,$J251:$AO251))</f>
        <v>0</v>
      </c>
      <c r="X259" s="326">
        <f t="array" ref="X259">MIN(IF($J$150:$AO$150=X$150,$J251:$AO251))</f>
        <v>0</v>
      </c>
      <c r="Y259" s="326">
        <f t="array" ref="Y259">MIN(IF($J$150:$AO$150=Y$150,$J251:$AO251))</f>
        <v>0</v>
      </c>
      <c r="Z259" s="326">
        <f t="array" ref="Z259">MIN(IF($J$150:$AO$150=Z$150,$J251:$AO251))</f>
        <v>0</v>
      </c>
      <c r="AA259" s="326">
        <f t="array" ref="AA259">MIN(IF($J$150:$AO$150=AA$150,$J251:$AO251))</f>
        <v>0</v>
      </c>
      <c r="AB259" s="326">
        <f t="array" ref="AB259">MIN(IF($J$150:$AO$150=AB$150,$J251:$AO251))</f>
        <v>0</v>
      </c>
      <c r="AC259" s="326">
        <f t="array" ref="AC259">MIN(IF($J$150:$AO$150=AC$150,$J251:$AO251))</f>
        <v>0</v>
      </c>
      <c r="AD259" s="326">
        <f t="array" ref="AD259">MIN(IF($J$150:$AO$150=AD$150,$J251:$AO251))</f>
        <v>0</v>
      </c>
      <c r="AE259" s="326">
        <f t="array" ref="AE259">MIN(IF($J$150:$AO$150=AE$150,$J251:$AO251))</f>
        <v>0</v>
      </c>
      <c r="AF259" s="326">
        <f t="array" ref="AF259">MIN(IF($J$150:$AO$150=AF$150,$J251:$AO251))</f>
        <v>0</v>
      </c>
      <c r="AG259" s="326">
        <f t="array" ref="AG259">MIN(IF($J$150:$AO$150=AG$150,$J251:$AO251))</f>
        <v>0</v>
      </c>
      <c r="AH259" s="326">
        <f t="array" ref="AH259">MIN(IF($J$150:$AO$150=AH$150,$J251:$AO251))</f>
        <v>0</v>
      </c>
      <c r="AI259" s="326">
        <f t="array" ref="AI259">MIN(IF($J$150:$AO$150=AI$150,$J251:$AO251))</f>
        <v>0</v>
      </c>
      <c r="AJ259" s="326">
        <f t="array" ref="AJ259">MIN(IF($J$150:$AO$150=AJ$150,$J251:$AO251))</f>
        <v>0</v>
      </c>
      <c r="AK259" s="326">
        <f t="array" ref="AK259">MIN(IF($J$150:$AO$150=AK$150,$J251:$AO251))</f>
        <v>0</v>
      </c>
      <c r="AL259" s="326">
        <f t="array" ref="AL259">MIN(IF($J$150:$AO$150=AL$150,$J251:$AO251))</f>
        <v>0</v>
      </c>
      <c r="AM259" s="326">
        <f t="array" ref="AM259">MIN(IF($J$150:$AO$150=AM$150,$J251:$AO251))</f>
        <v>0</v>
      </c>
      <c r="AN259" s="326">
        <f t="array" ref="AN259">MIN(IF($J$150:$AO$150=AN$150,$J251:$AO251))</f>
        <v>0</v>
      </c>
      <c r="AO259" s="326">
        <f t="array" ref="AO259">MIN(IF($J$150:$AO$150=AO$150,$J251:$AO251))</f>
        <v>0</v>
      </c>
    </row>
    <row r="260" spans="3:41" x14ac:dyDescent="0.25">
      <c r="C260" s="24"/>
      <c r="F260" s="28" t="s">
        <v>1058</v>
      </c>
      <c r="G260" s="28" t="s">
        <v>269</v>
      </c>
      <c r="H260" s="28"/>
      <c r="I260" s="28"/>
      <c r="J260" s="399">
        <f t="array" ref="J260">MIN(IF($J$150:$AO$150=J$150,$J252:$AO252))</f>
        <v>0</v>
      </c>
      <c r="K260" s="399">
        <f t="array" ref="K260">MIN(IF($J$150:$AO$150=K$150,$J252:$AO252))</f>
        <v>0</v>
      </c>
      <c r="L260" s="399">
        <f t="array" ref="L260">MIN(IF($J$150:$AO$150=L$150,$J252:$AO252))</f>
        <v>0</v>
      </c>
      <c r="M260" s="399">
        <f t="array" ref="M260">MIN(IF($J$150:$AO$150=M$150,$J252:$AO252))</f>
        <v>0</v>
      </c>
      <c r="N260" s="399">
        <f t="array" ref="N260">MIN(IF($J$150:$AO$150=N$150,$J252:$AO252))</f>
        <v>0</v>
      </c>
      <c r="O260" s="399">
        <f t="array" ref="O260">MIN(IF($J$150:$AO$150=O$150,$J252:$AO252))</f>
        <v>0</v>
      </c>
      <c r="P260" s="399">
        <f t="array" ref="P260">MIN(IF($J$150:$AO$150=P$150,$J252:$AO252))</f>
        <v>0</v>
      </c>
      <c r="Q260" s="399">
        <f t="array" ref="Q260">MIN(IF($J$150:$AO$150=Q$150,$J252:$AO252))</f>
        <v>0</v>
      </c>
      <c r="R260" s="399">
        <f t="array" ref="R260">MIN(IF($J$150:$AO$150=R$150,$J252:$AO252))</f>
        <v>0</v>
      </c>
      <c r="S260" s="399">
        <f t="array" ref="S260">MIN(IF($J$150:$AO$150=S$150,$J252:$AO252))</f>
        <v>0</v>
      </c>
      <c r="T260" s="399">
        <f t="array" ref="T260">MIN(IF($J$150:$AO$150=T$150,$J252:$AO252))</f>
        <v>0</v>
      </c>
      <c r="U260" s="399">
        <f t="array" ref="U260">MIN(IF($J$150:$AO$150=U$150,$J252:$AO252))</f>
        <v>0</v>
      </c>
      <c r="V260" s="399">
        <f t="array" ref="V260">MIN(IF($J$150:$AO$150=V$150,$J252:$AO252))</f>
        <v>0</v>
      </c>
      <c r="W260" s="399">
        <f t="array" ref="W260">MIN(IF($J$150:$AO$150=W$150,$J252:$AO252))</f>
        <v>0</v>
      </c>
      <c r="X260" s="399">
        <f t="array" ref="X260">MIN(IF($J$150:$AO$150=X$150,$J252:$AO252))</f>
        <v>0</v>
      </c>
      <c r="Y260" s="399">
        <f t="array" ref="Y260">MIN(IF($J$150:$AO$150=Y$150,$J252:$AO252))</f>
        <v>0</v>
      </c>
      <c r="Z260" s="399">
        <f t="array" ref="Z260">MIN(IF($J$150:$AO$150=Z$150,$J252:$AO252))</f>
        <v>0</v>
      </c>
      <c r="AA260" s="399">
        <f t="array" ref="AA260">MIN(IF($J$150:$AO$150=AA$150,$J252:$AO252))</f>
        <v>0</v>
      </c>
      <c r="AB260" s="399">
        <f t="array" ref="AB260">MIN(IF($J$150:$AO$150=AB$150,$J252:$AO252))</f>
        <v>0</v>
      </c>
      <c r="AC260" s="399">
        <f t="array" ref="AC260">MIN(IF($J$150:$AO$150=AC$150,$J252:$AO252))</f>
        <v>0</v>
      </c>
      <c r="AD260" s="399">
        <f t="array" ref="AD260">MIN(IF($J$150:$AO$150=AD$150,$J252:$AO252))</f>
        <v>0</v>
      </c>
      <c r="AE260" s="399">
        <f t="array" ref="AE260">MIN(IF($J$150:$AO$150=AE$150,$J252:$AO252))</f>
        <v>0</v>
      </c>
      <c r="AF260" s="399">
        <f t="array" ref="AF260">MIN(IF($J$150:$AO$150=AF$150,$J252:$AO252))</f>
        <v>0</v>
      </c>
      <c r="AG260" s="399">
        <f t="array" ref="AG260">MIN(IF($J$150:$AO$150=AG$150,$J252:$AO252))</f>
        <v>0</v>
      </c>
      <c r="AH260" s="399">
        <f t="array" ref="AH260">MIN(IF($J$150:$AO$150=AH$150,$J252:$AO252))</f>
        <v>0</v>
      </c>
      <c r="AI260" s="399">
        <f t="array" ref="AI260">MIN(IF($J$150:$AO$150=AI$150,$J252:$AO252))</f>
        <v>0</v>
      </c>
      <c r="AJ260" s="399">
        <f t="array" ref="AJ260">MIN(IF($J$150:$AO$150=AJ$150,$J252:$AO252))</f>
        <v>0</v>
      </c>
      <c r="AK260" s="399">
        <f t="array" ref="AK260">MIN(IF($J$150:$AO$150=AK$150,$J252:$AO252))</f>
        <v>0</v>
      </c>
      <c r="AL260" s="399">
        <f t="array" ref="AL260">MIN(IF($J$150:$AO$150=AL$150,$J252:$AO252))</f>
        <v>0</v>
      </c>
      <c r="AM260" s="399">
        <f t="array" ref="AM260">MIN(IF($J$150:$AO$150=AM$150,$J252:$AO252))</f>
        <v>0</v>
      </c>
      <c r="AN260" s="399">
        <f t="array" ref="AN260">MIN(IF($J$150:$AO$150=AN$150,$J252:$AO252))</f>
        <v>0</v>
      </c>
      <c r="AO260" s="399">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269</v>
      </c>
      <c r="H263" s="19"/>
      <c r="I263" s="19"/>
      <c r="J263" s="398">
        <f xml:space="preserve"> - J258</f>
        <v>0</v>
      </c>
      <c r="K263" s="398">
        <f t="shared" ref="K263:AO263" si="119" xml:space="preserve"> - K258</f>
        <v>0</v>
      </c>
      <c r="L263" s="398">
        <f t="shared" si="119"/>
        <v>0</v>
      </c>
      <c r="M263" s="398">
        <f t="shared" si="119"/>
        <v>0</v>
      </c>
      <c r="N263" s="398">
        <f t="shared" si="119"/>
        <v>0</v>
      </c>
      <c r="O263" s="398">
        <f t="shared" si="119"/>
        <v>0</v>
      </c>
      <c r="P263" s="398">
        <f t="shared" si="119"/>
        <v>0</v>
      </c>
      <c r="Q263" s="398">
        <f t="shared" si="119"/>
        <v>0</v>
      </c>
      <c r="R263" s="398">
        <f t="shared" si="119"/>
        <v>0</v>
      </c>
      <c r="S263" s="398">
        <f t="shared" si="119"/>
        <v>0</v>
      </c>
      <c r="T263" s="398">
        <f t="shared" si="119"/>
        <v>0</v>
      </c>
      <c r="U263" s="398">
        <f t="shared" si="119"/>
        <v>0</v>
      </c>
      <c r="V263" s="398">
        <f t="shared" si="119"/>
        <v>0</v>
      </c>
      <c r="W263" s="398">
        <f t="shared" si="119"/>
        <v>0</v>
      </c>
      <c r="X263" s="398">
        <f t="shared" si="119"/>
        <v>0</v>
      </c>
      <c r="Y263" s="398">
        <f t="shared" si="119"/>
        <v>0</v>
      </c>
      <c r="Z263" s="398">
        <f t="shared" si="119"/>
        <v>0</v>
      </c>
      <c r="AA263" s="398">
        <f t="shared" si="119"/>
        <v>0</v>
      </c>
      <c r="AB263" s="398">
        <f t="shared" si="119"/>
        <v>0</v>
      </c>
      <c r="AC263" s="398">
        <f t="shared" si="119"/>
        <v>0</v>
      </c>
      <c r="AD263" s="398">
        <f t="shared" si="119"/>
        <v>0</v>
      </c>
      <c r="AE263" s="398">
        <f t="shared" si="119"/>
        <v>0</v>
      </c>
      <c r="AF263" s="398">
        <f t="shared" si="119"/>
        <v>0</v>
      </c>
      <c r="AG263" s="398">
        <f t="shared" si="119"/>
        <v>0</v>
      </c>
      <c r="AH263" s="398">
        <f t="shared" si="119"/>
        <v>0</v>
      </c>
      <c r="AI263" s="398">
        <f t="shared" si="119"/>
        <v>0</v>
      </c>
      <c r="AJ263" s="398">
        <f t="shared" si="119"/>
        <v>0</v>
      </c>
      <c r="AK263" s="398">
        <f t="shared" si="119"/>
        <v>0</v>
      </c>
      <c r="AL263" s="398">
        <f t="shared" si="119"/>
        <v>0</v>
      </c>
      <c r="AM263" s="398">
        <f t="shared" si="119"/>
        <v>0</v>
      </c>
      <c r="AN263" s="398">
        <f t="shared" si="119"/>
        <v>0</v>
      </c>
      <c r="AO263" s="398">
        <f t="shared" si="119"/>
        <v>0</v>
      </c>
    </row>
    <row r="264" spans="3:41" x14ac:dyDescent="0.25">
      <c r="C264" s="24"/>
      <c r="F264" t="s">
        <v>1057</v>
      </c>
      <c r="G264" t="s">
        <v>269</v>
      </c>
      <c r="J264" s="326">
        <f t="shared" ref="J264:AO265" si="120" xml:space="preserve"> - J259</f>
        <v>0</v>
      </c>
      <c r="K264" s="326">
        <f t="shared" si="120"/>
        <v>0</v>
      </c>
      <c r="L264" s="326">
        <f t="shared" si="120"/>
        <v>0</v>
      </c>
      <c r="M264" s="326">
        <f t="shared" si="120"/>
        <v>0</v>
      </c>
      <c r="N264" s="326">
        <f t="shared" si="120"/>
        <v>0</v>
      </c>
      <c r="O264" s="326">
        <f t="shared" si="120"/>
        <v>0</v>
      </c>
      <c r="P264" s="326">
        <f t="shared" si="120"/>
        <v>0</v>
      </c>
      <c r="Q264" s="326">
        <f t="shared" si="120"/>
        <v>0</v>
      </c>
      <c r="R264" s="326">
        <f t="shared" si="120"/>
        <v>0</v>
      </c>
      <c r="S264" s="326">
        <f t="shared" si="120"/>
        <v>0</v>
      </c>
      <c r="T264" s="326">
        <f t="shared" si="120"/>
        <v>0</v>
      </c>
      <c r="U264" s="326">
        <f t="shared" si="120"/>
        <v>0</v>
      </c>
      <c r="V264" s="326">
        <f t="shared" si="120"/>
        <v>0</v>
      </c>
      <c r="W264" s="326">
        <f t="shared" si="120"/>
        <v>0</v>
      </c>
      <c r="X264" s="326">
        <f t="shared" si="120"/>
        <v>0</v>
      </c>
      <c r="Y264" s="326">
        <f t="shared" si="120"/>
        <v>0</v>
      </c>
      <c r="Z264" s="326">
        <f t="shared" si="120"/>
        <v>0</v>
      </c>
      <c r="AA264" s="326">
        <f t="shared" si="120"/>
        <v>0</v>
      </c>
      <c r="AB264" s="326">
        <f t="shared" si="120"/>
        <v>0</v>
      </c>
      <c r="AC264" s="326">
        <f t="shared" si="120"/>
        <v>0</v>
      </c>
      <c r="AD264" s="326">
        <f t="shared" si="120"/>
        <v>0</v>
      </c>
      <c r="AE264" s="326">
        <f t="shared" si="120"/>
        <v>0</v>
      </c>
      <c r="AF264" s="326">
        <f t="shared" si="120"/>
        <v>0</v>
      </c>
      <c r="AG264" s="326">
        <f t="shared" si="120"/>
        <v>0</v>
      </c>
      <c r="AH264" s="326">
        <f t="shared" si="120"/>
        <v>0</v>
      </c>
      <c r="AI264" s="326">
        <f t="shared" si="120"/>
        <v>0</v>
      </c>
      <c r="AJ264" s="326">
        <f t="shared" si="120"/>
        <v>0</v>
      </c>
      <c r="AK264" s="326">
        <f t="shared" si="120"/>
        <v>0</v>
      </c>
      <c r="AL264" s="326">
        <f t="shared" si="120"/>
        <v>0</v>
      </c>
      <c r="AM264" s="326">
        <f t="shared" si="120"/>
        <v>0</v>
      </c>
      <c r="AN264" s="326">
        <f t="shared" si="120"/>
        <v>0</v>
      </c>
      <c r="AO264" s="326">
        <f t="shared" si="120"/>
        <v>0</v>
      </c>
    </row>
    <row r="265" spans="3:41" x14ac:dyDescent="0.25">
      <c r="C265" s="24"/>
      <c r="F265" s="28" t="s">
        <v>1058</v>
      </c>
      <c r="G265" s="28" t="s">
        <v>269</v>
      </c>
      <c r="H265" s="28"/>
      <c r="I265" s="28"/>
      <c r="J265" s="399">
        <f t="shared" si="120"/>
        <v>0</v>
      </c>
      <c r="K265" s="399">
        <f t="shared" si="120"/>
        <v>0</v>
      </c>
      <c r="L265" s="399">
        <f t="shared" si="120"/>
        <v>0</v>
      </c>
      <c r="M265" s="399">
        <f t="shared" si="120"/>
        <v>0</v>
      </c>
      <c r="N265" s="399">
        <f t="shared" si="120"/>
        <v>0</v>
      </c>
      <c r="O265" s="399">
        <f t="shared" si="120"/>
        <v>0</v>
      </c>
      <c r="P265" s="399">
        <f t="shared" si="120"/>
        <v>0</v>
      </c>
      <c r="Q265" s="399">
        <f t="shared" si="120"/>
        <v>0</v>
      </c>
      <c r="R265" s="399">
        <f t="shared" si="120"/>
        <v>0</v>
      </c>
      <c r="S265" s="399">
        <f t="shared" si="120"/>
        <v>0</v>
      </c>
      <c r="T265" s="399">
        <f t="shared" si="120"/>
        <v>0</v>
      </c>
      <c r="U265" s="399">
        <f t="shared" si="120"/>
        <v>0</v>
      </c>
      <c r="V265" s="399">
        <f t="shared" si="120"/>
        <v>0</v>
      </c>
      <c r="W265" s="399">
        <f t="shared" si="120"/>
        <v>0</v>
      </c>
      <c r="X265" s="399">
        <f t="shared" si="120"/>
        <v>0</v>
      </c>
      <c r="Y265" s="399">
        <f t="shared" si="120"/>
        <v>0</v>
      </c>
      <c r="Z265" s="399">
        <f t="shared" si="120"/>
        <v>0</v>
      </c>
      <c r="AA265" s="399">
        <f t="shared" si="120"/>
        <v>0</v>
      </c>
      <c r="AB265" s="399">
        <f t="shared" si="120"/>
        <v>0</v>
      </c>
      <c r="AC265" s="399">
        <f t="shared" si="120"/>
        <v>0</v>
      </c>
      <c r="AD265" s="399">
        <f t="shared" si="120"/>
        <v>0</v>
      </c>
      <c r="AE265" s="399">
        <f t="shared" si="120"/>
        <v>0</v>
      </c>
      <c r="AF265" s="399">
        <f t="shared" si="120"/>
        <v>0</v>
      </c>
      <c r="AG265" s="399">
        <f t="shared" si="120"/>
        <v>0</v>
      </c>
      <c r="AH265" s="399">
        <f t="shared" si="120"/>
        <v>0</v>
      </c>
      <c r="AI265" s="399">
        <f t="shared" si="120"/>
        <v>0</v>
      </c>
      <c r="AJ265" s="399">
        <f t="shared" si="120"/>
        <v>0</v>
      </c>
      <c r="AK265" s="399">
        <f t="shared" si="120"/>
        <v>0</v>
      </c>
      <c r="AL265" s="399">
        <f t="shared" si="120"/>
        <v>0</v>
      </c>
      <c r="AM265" s="399">
        <f t="shared" si="120"/>
        <v>0</v>
      </c>
      <c r="AN265" s="399">
        <f t="shared" si="120"/>
        <v>0</v>
      </c>
      <c r="AO265" s="399">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149</v>
      </c>
      <c r="H268" s="19"/>
      <c r="I268" s="19"/>
      <c r="J268" s="349">
        <f t="shared" ref="J268:AO268" si="121">IF(J$238,MATCH(J250,J$40:J$42,0), 0)</f>
        <v>0</v>
      </c>
      <c r="K268" s="349">
        <f t="shared" si="121"/>
        <v>0</v>
      </c>
      <c r="L268" s="349">
        <f t="shared" si="121"/>
        <v>0</v>
      </c>
      <c r="M268" s="349">
        <f t="shared" si="121"/>
        <v>0</v>
      </c>
      <c r="N268" s="349">
        <f t="shared" si="121"/>
        <v>0</v>
      </c>
      <c r="O268" s="349">
        <f t="shared" si="121"/>
        <v>0</v>
      </c>
      <c r="P268" s="349">
        <f t="shared" si="121"/>
        <v>0</v>
      </c>
      <c r="Q268" s="349">
        <f t="shared" si="121"/>
        <v>0</v>
      </c>
      <c r="R268" s="349">
        <f t="shared" si="121"/>
        <v>0</v>
      </c>
      <c r="S268" s="349">
        <f t="shared" si="121"/>
        <v>0</v>
      </c>
      <c r="T268" s="349">
        <f t="shared" si="121"/>
        <v>0</v>
      </c>
      <c r="U268" s="349">
        <f t="shared" si="121"/>
        <v>0</v>
      </c>
      <c r="V268" s="349">
        <f t="shared" si="121"/>
        <v>0</v>
      </c>
      <c r="W268" s="349">
        <f t="shared" si="121"/>
        <v>0</v>
      </c>
      <c r="X268" s="349">
        <f t="shared" si="121"/>
        <v>0</v>
      </c>
      <c r="Y268" s="349">
        <f t="shared" si="121"/>
        <v>0</v>
      </c>
      <c r="Z268" s="349">
        <f t="shared" si="121"/>
        <v>0</v>
      </c>
      <c r="AA268" s="349">
        <f t="shared" si="121"/>
        <v>0</v>
      </c>
      <c r="AB268" s="349">
        <f t="shared" si="121"/>
        <v>0</v>
      </c>
      <c r="AC268" s="349">
        <f t="shared" si="121"/>
        <v>0</v>
      </c>
      <c r="AD268" s="349">
        <f t="shared" si="121"/>
        <v>0</v>
      </c>
      <c r="AE268" s="349">
        <f t="shared" si="121"/>
        <v>0</v>
      </c>
      <c r="AF268" s="349">
        <f t="shared" si="121"/>
        <v>0</v>
      </c>
      <c r="AG268" s="349">
        <f t="shared" si="121"/>
        <v>0</v>
      </c>
      <c r="AH268" s="349">
        <f t="shared" si="121"/>
        <v>0</v>
      </c>
      <c r="AI268" s="349">
        <f t="shared" si="121"/>
        <v>0</v>
      </c>
      <c r="AJ268" s="349">
        <f t="shared" si="121"/>
        <v>0</v>
      </c>
      <c r="AK268" s="349">
        <f t="shared" si="121"/>
        <v>0</v>
      </c>
      <c r="AL268" s="349">
        <f t="shared" si="121"/>
        <v>0</v>
      </c>
      <c r="AM268" s="349">
        <f t="shared" si="121"/>
        <v>0</v>
      </c>
      <c r="AN268" s="349">
        <f t="shared" si="121"/>
        <v>0</v>
      </c>
      <c r="AO268" s="349">
        <f t="shared" si="121"/>
        <v>0</v>
      </c>
    </row>
    <row r="269" spans="3:41" x14ac:dyDescent="0.25">
      <c r="C269" s="24"/>
      <c r="F269" t="s">
        <v>1057</v>
      </c>
      <c r="G269" t="s">
        <v>149</v>
      </c>
      <c r="J269" s="322">
        <f t="shared" ref="J269:AO269" si="122">IF(J$238,MATCH(J251,J$40:J$42,0), 0)</f>
        <v>0</v>
      </c>
      <c r="K269" s="322">
        <f t="shared" si="122"/>
        <v>0</v>
      </c>
      <c r="L269" s="322">
        <f t="shared" si="122"/>
        <v>0</v>
      </c>
      <c r="M269" s="322">
        <f t="shared" si="122"/>
        <v>0</v>
      </c>
      <c r="N269" s="322">
        <f t="shared" si="122"/>
        <v>0</v>
      </c>
      <c r="O269" s="322">
        <f t="shared" si="122"/>
        <v>0</v>
      </c>
      <c r="P269" s="322">
        <f t="shared" si="122"/>
        <v>0</v>
      </c>
      <c r="Q269" s="322">
        <f t="shared" si="122"/>
        <v>0</v>
      </c>
      <c r="R269" s="322">
        <f t="shared" si="122"/>
        <v>0</v>
      </c>
      <c r="S269" s="322">
        <f t="shared" si="122"/>
        <v>0</v>
      </c>
      <c r="T269" s="322">
        <f t="shared" si="122"/>
        <v>0</v>
      </c>
      <c r="U269" s="322">
        <f t="shared" si="122"/>
        <v>0</v>
      </c>
      <c r="V269" s="322">
        <f t="shared" si="122"/>
        <v>0</v>
      </c>
      <c r="W269" s="322">
        <f t="shared" si="122"/>
        <v>0</v>
      </c>
      <c r="X269" s="322">
        <f t="shared" si="122"/>
        <v>0</v>
      </c>
      <c r="Y269" s="322">
        <f t="shared" si="122"/>
        <v>0</v>
      </c>
      <c r="Z269" s="322">
        <f t="shared" si="122"/>
        <v>0</v>
      </c>
      <c r="AA269" s="322">
        <f t="shared" si="122"/>
        <v>0</v>
      </c>
      <c r="AB269" s="322">
        <f t="shared" si="122"/>
        <v>0</v>
      </c>
      <c r="AC269" s="322">
        <f t="shared" si="122"/>
        <v>0</v>
      </c>
      <c r="AD269" s="322">
        <f t="shared" si="122"/>
        <v>0</v>
      </c>
      <c r="AE269" s="322">
        <f t="shared" si="122"/>
        <v>0</v>
      </c>
      <c r="AF269" s="322">
        <f t="shared" si="122"/>
        <v>0</v>
      </c>
      <c r="AG269" s="322">
        <f t="shared" si="122"/>
        <v>0</v>
      </c>
      <c r="AH269" s="322">
        <f t="shared" si="122"/>
        <v>0</v>
      </c>
      <c r="AI269" s="322">
        <f t="shared" si="122"/>
        <v>0</v>
      </c>
      <c r="AJ269" s="322">
        <f t="shared" si="122"/>
        <v>0</v>
      </c>
      <c r="AK269" s="322">
        <f t="shared" si="122"/>
        <v>0</v>
      </c>
      <c r="AL269" s="322">
        <f t="shared" si="122"/>
        <v>0</v>
      </c>
      <c r="AM269" s="322">
        <f t="shared" si="122"/>
        <v>0</v>
      </c>
      <c r="AN269" s="322">
        <f t="shared" si="122"/>
        <v>0</v>
      </c>
      <c r="AO269" s="322">
        <f t="shared" si="122"/>
        <v>0</v>
      </c>
    </row>
    <row r="270" spans="3:41" x14ac:dyDescent="0.25">
      <c r="C270" s="24"/>
      <c r="F270" s="28" t="s">
        <v>1058</v>
      </c>
      <c r="G270" s="28" t="s">
        <v>149</v>
      </c>
      <c r="H270" s="28"/>
      <c r="I270" s="28"/>
      <c r="J270" s="351">
        <f t="shared" ref="J270:AO270" si="123">IF(J$238,MATCH(J252,J$40:J$42,0), 0)</f>
        <v>0</v>
      </c>
      <c r="K270" s="351">
        <f t="shared" si="123"/>
        <v>0</v>
      </c>
      <c r="L270" s="351">
        <f t="shared" si="123"/>
        <v>0</v>
      </c>
      <c r="M270" s="351">
        <f t="shared" si="123"/>
        <v>0</v>
      </c>
      <c r="N270" s="351">
        <f t="shared" si="123"/>
        <v>0</v>
      </c>
      <c r="O270" s="351">
        <f t="shared" si="123"/>
        <v>0</v>
      </c>
      <c r="P270" s="351">
        <f t="shared" si="123"/>
        <v>0</v>
      </c>
      <c r="Q270" s="351">
        <f t="shared" si="123"/>
        <v>0</v>
      </c>
      <c r="R270" s="351">
        <f t="shared" si="123"/>
        <v>0</v>
      </c>
      <c r="S270" s="351">
        <f t="shared" si="123"/>
        <v>0</v>
      </c>
      <c r="T270" s="351">
        <f t="shared" si="123"/>
        <v>0</v>
      </c>
      <c r="U270" s="351">
        <f t="shared" si="123"/>
        <v>0</v>
      </c>
      <c r="V270" s="351">
        <f t="shared" si="123"/>
        <v>0</v>
      </c>
      <c r="W270" s="351">
        <f t="shared" si="123"/>
        <v>0</v>
      </c>
      <c r="X270" s="351">
        <f t="shared" si="123"/>
        <v>0</v>
      </c>
      <c r="Y270" s="351">
        <f t="shared" si="123"/>
        <v>0</v>
      </c>
      <c r="Z270" s="351">
        <f t="shared" si="123"/>
        <v>0</v>
      </c>
      <c r="AA270" s="351">
        <f t="shared" si="123"/>
        <v>0</v>
      </c>
      <c r="AB270" s="351">
        <f t="shared" si="123"/>
        <v>0</v>
      </c>
      <c r="AC270" s="351">
        <f t="shared" si="123"/>
        <v>0</v>
      </c>
      <c r="AD270" s="351">
        <f t="shared" si="123"/>
        <v>0</v>
      </c>
      <c r="AE270" s="351">
        <f t="shared" si="123"/>
        <v>0</v>
      </c>
      <c r="AF270" s="351">
        <f t="shared" si="123"/>
        <v>0</v>
      </c>
      <c r="AG270" s="351">
        <f t="shared" si="123"/>
        <v>0</v>
      </c>
      <c r="AH270" s="351">
        <f t="shared" si="123"/>
        <v>0</v>
      </c>
      <c r="AI270" s="351">
        <f t="shared" si="123"/>
        <v>0</v>
      </c>
      <c r="AJ270" s="351">
        <f t="shared" si="123"/>
        <v>0</v>
      </c>
      <c r="AK270" s="351">
        <f t="shared" si="123"/>
        <v>0</v>
      </c>
      <c r="AL270" s="351">
        <f t="shared" si="123"/>
        <v>0</v>
      </c>
      <c r="AM270" s="351">
        <f t="shared" si="123"/>
        <v>0</v>
      </c>
      <c r="AN270" s="351">
        <f t="shared" si="123"/>
        <v>0</v>
      </c>
      <c r="AO270" s="351">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207</v>
      </c>
      <c r="H273" s="19"/>
      <c r="I273" s="19"/>
      <c r="J273" s="400">
        <f t="shared" ref="J273:AO273" si="124">IF(J$238, INDEX(J$53:J$55,J268), 0)</f>
        <v>0</v>
      </c>
      <c r="K273" s="400">
        <f t="shared" si="124"/>
        <v>0</v>
      </c>
      <c r="L273" s="400">
        <f t="shared" si="124"/>
        <v>0</v>
      </c>
      <c r="M273" s="400">
        <f t="shared" si="124"/>
        <v>0</v>
      </c>
      <c r="N273" s="400">
        <f t="shared" si="124"/>
        <v>0</v>
      </c>
      <c r="O273" s="400">
        <f t="shared" si="124"/>
        <v>0</v>
      </c>
      <c r="P273" s="400">
        <f t="shared" si="124"/>
        <v>0</v>
      </c>
      <c r="Q273" s="400">
        <f t="shared" si="124"/>
        <v>0</v>
      </c>
      <c r="R273" s="400">
        <f t="shared" si="124"/>
        <v>0</v>
      </c>
      <c r="S273" s="400">
        <f t="shared" si="124"/>
        <v>0</v>
      </c>
      <c r="T273" s="400">
        <f t="shared" si="124"/>
        <v>0</v>
      </c>
      <c r="U273" s="400">
        <f t="shared" si="124"/>
        <v>0</v>
      </c>
      <c r="V273" s="400">
        <f t="shared" si="124"/>
        <v>0</v>
      </c>
      <c r="W273" s="400">
        <f t="shared" si="124"/>
        <v>0</v>
      </c>
      <c r="X273" s="400">
        <f t="shared" si="124"/>
        <v>0</v>
      </c>
      <c r="Y273" s="400">
        <f t="shared" si="124"/>
        <v>0</v>
      </c>
      <c r="Z273" s="400">
        <f t="shared" si="124"/>
        <v>0</v>
      </c>
      <c r="AA273" s="400">
        <f t="shared" si="124"/>
        <v>0</v>
      </c>
      <c r="AB273" s="400">
        <f t="shared" si="124"/>
        <v>0</v>
      </c>
      <c r="AC273" s="400">
        <f t="shared" si="124"/>
        <v>0</v>
      </c>
      <c r="AD273" s="400">
        <f t="shared" si="124"/>
        <v>0</v>
      </c>
      <c r="AE273" s="400">
        <f t="shared" si="124"/>
        <v>0</v>
      </c>
      <c r="AF273" s="400">
        <f t="shared" si="124"/>
        <v>0</v>
      </c>
      <c r="AG273" s="400">
        <f t="shared" si="124"/>
        <v>0</v>
      </c>
      <c r="AH273" s="400">
        <f t="shared" si="124"/>
        <v>0</v>
      </c>
      <c r="AI273" s="400">
        <f t="shared" si="124"/>
        <v>0</v>
      </c>
      <c r="AJ273" s="400">
        <f t="shared" si="124"/>
        <v>0</v>
      </c>
      <c r="AK273" s="400">
        <f t="shared" si="124"/>
        <v>0</v>
      </c>
      <c r="AL273" s="400">
        <f t="shared" si="124"/>
        <v>0</v>
      </c>
      <c r="AM273" s="400">
        <f t="shared" si="124"/>
        <v>0</v>
      </c>
      <c r="AN273" s="400">
        <f t="shared" si="124"/>
        <v>0</v>
      </c>
      <c r="AO273" s="400">
        <f t="shared" si="124"/>
        <v>0</v>
      </c>
    </row>
    <row r="274" spans="3:43" x14ac:dyDescent="0.25">
      <c r="C274" s="24"/>
      <c r="F274" t="s">
        <v>1057</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207</v>
      </c>
      <c r="H275" s="28"/>
      <c r="I275" s="28"/>
      <c r="J275" s="401">
        <f t="shared" ref="J275:AO275" si="126">IF(J$238, INDEX(J$53:J$55,J270), 0)</f>
        <v>0</v>
      </c>
      <c r="K275" s="401">
        <f t="shared" si="126"/>
        <v>0</v>
      </c>
      <c r="L275" s="401">
        <f t="shared" si="126"/>
        <v>0</v>
      </c>
      <c r="M275" s="401">
        <f t="shared" si="126"/>
        <v>0</v>
      </c>
      <c r="N275" s="401">
        <f t="shared" si="126"/>
        <v>0</v>
      </c>
      <c r="O275" s="401">
        <f t="shared" si="126"/>
        <v>0</v>
      </c>
      <c r="P275" s="401">
        <f t="shared" si="126"/>
        <v>0</v>
      </c>
      <c r="Q275" s="401">
        <f t="shared" si="126"/>
        <v>0</v>
      </c>
      <c r="R275" s="401">
        <f t="shared" si="126"/>
        <v>0</v>
      </c>
      <c r="S275" s="401">
        <f t="shared" si="126"/>
        <v>0</v>
      </c>
      <c r="T275" s="401">
        <f t="shared" si="126"/>
        <v>0</v>
      </c>
      <c r="U275" s="401">
        <f t="shared" si="126"/>
        <v>0</v>
      </c>
      <c r="V275" s="401">
        <f t="shared" si="126"/>
        <v>0</v>
      </c>
      <c r="W275" s="401">
        <f t="shared" si="126"/>
        <v>0</v>
      </c>
      <c r="X275" s="401">
        <f t="shared" si="126"/>
        <v>0</v>
      </c>
      <c r="Y275" s="401">
        <f t="shared" si="126"/>
        <v>0</v>
      </c>
      <c r="Z275" s="401">
        <f t="shared" si="126"/>
        <v>0</v>
      </c>
      <c r="AA275" s="401">
        <f t="shared" si="126"/>
        <v>0</v>
      </c>
      <c r="AB275" s="401">
        <f t="shared" si="126"/>
        <v>0</v>
      </c>
      <c r="AC275" s="401">
        <f t="shared" si="126"/>
        <v>0</v>
      </c>
      <c r="AD275" s="401">
        <f t="shared" si="126"/>
        <v>0</v>
      </c>
      <c r="AE275" s="401">
        <f t="shared" si="126"/>
        <v>0</v>
      </c>
      <c r="AF275" s="401">
        <f t="shared" si="126"/>
        <v>0</v>
      </c>
      <c r="AG275" s="401">
        <f t="shared" si="126"/>
        <v>0</v>
      </c>
      <c r="AH275" s="401">
        <f t="shared" si="126"/>
        <v>0</v>
      </c>
      <c r="AI275" s="401">
        <f t="shared" si="126"/>
        <v>0</v>
      </c>
      <c r="AJ275" s="401">
        <f t="shared" si="126"/>
        <v>0</v>
      </c>
      <c r="AK275" s="401">
        <f t="shared" si="126"/>
        <v>0</v>
      </c>
      <c r="AL275" s="401">
        <f t="shared" si="126"/>
        <v>0</v>
      </c>
      <c r="AM275" s="401">
        <f t="shared" si="126"/>
        <v>0</v>
      </c>
      <c r="AN275" s="401">
        <f t="shared" si="126"/>
        <v>0</v>
      </c>
      <c r="AO275" s="401">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207</v>
      </c>
      <c r="H278" s="19"/>
      <c r="I278" s="19"/>
      <c r="J278" s="400">
        <f t="shared" ref="J278:AO280" si="127">SUMIF($J$150:$AO$150,J$150,$J273:$AO273)</f>
        <v>0</v>
      </c>
      <c r="K278" s="400">
        <f t="shared" si="127"/>
        <v>0</v>
      </c>
      <c r="L278" s="400">
        <f t="shared" si="127"/>
        <v>0</v>
      </c>
      <c r="M278" s="400">
        <f t="shared" si="127"/>
        <v>0</v>
      </c>
      <c r="N278" s="400">
        <f t="shared" si="127"/>
        <v>0</v>
      </c>
      <c r="O278" s="400">
        <f t="shared" si="127"/>
        <v>0</v>
      </c>
      <c r="P278" s="400">
        <f t="shared" si="127"/>
        <v>0</v>
      </c>
      <c r="Q278" s="400">
        <f t="shared" si="127"/>
        <v>0</v>
      </c>
      <c r="R278" s="400">
        <f t="shared" si="127"/>
        <v>0</v>
      </c>
      <c r="S278" s="400">
        <f t="shared" si="127"/>
        <v>0</v>
      </c>
      <c r="T278" s="400">
        <f t="shared" si="127"/>
        <v>0</v>
      </c>
      <c r="U278" s="400">
        <f t="shared" si="127"/>
        <v>0</v>
      </c>
      <c r="V278" s="400">
        <f t="shared" si="127"/>
        <v>0</v>
      </c>
      <c r="W278" s="400">
        <f t="shared" si="127"/>
        <v>0</v>
      </c>
      <c r="X278" s="400">
        <f t="shared" si="127"/>
        <v>0</v>
      </c>
      <c r="Y278" s="400">
        <f t="shared" si="127"/>
        <v>0</v>
      </c>
      <c r="Z278" s="400">
        <f t="shared" si="127"/>
        <v>0</v>
      </c>
      <c r="AA278" s="400">
        <f t="shared" si="127"/>
        <v>0</v>
      </c>
      <c r="AB278" s="400">
        <f t="shared" si="127"/>
        <v>0</v>
      </c>
      <c r="AC278" s="400">
        <f t="shared" si="127"/>
        <v>0</v>
      </c>
      <c r="AD278" s="400">
        <f t="shared" si="127"/>
        <v>0</v>
      </c>
      <c r="AE278" s="400">
        <f t="shared" si="127"/>
        <v>0</v>
      </c>
      <c r="AF278" s="400">
        <f t="shared" si="127"/>
        <v>0</v>
      </c>
      <c r="AG278" s="400">
        <f t="shared" si="127"/>
        <v>0</v>
      </c>
      <c r="AH278" s="400">
        <f t="shared" si="127"/>
        <v>0</v>
      </c>
      <c r="AI278" s="400">
        <f t="shared" si="127"/>
        <v>0</v>
      </c>
      <c r="AJ278" s="400">
        <f t="shared" si="127"/>
        <v>0</v>
      </c>
      <c r="AK278" s="400">
        <f t="shared" si="127"/>
        <v>0</v>
      </c>
      <c r="AL278" s="400">
        <f t="shared" si="127"/>
        <v>0</v>
      </c>
      <c r="AM278" s="400">
        <f t="shared" si="127"/>
        <v>0</v>
      </c>
      <c r="AN278" s="400">
        <f t="shared" si="127"/>
        <v>0</v>
      </c>
      <c r="AO278" s="400">
        <f t="shared" si="127"/>
        <v>0</v>
      </c>
    </row>
    <row r="279" spans="3:43" x14ac:dyDescent="0.25">
      <c r="C279" s="24"/>
      <c r="F279" t="s">
        <v>1057</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207</v>
      </c>
      <c r="H280" s="28"/>
      <c r="I280" s="28"/>
      <c r="J280" s="401">
        <f t="shared" si="127"/>
        <v>0</v>
      </c>
      <c r="K280" s="401">
        <f t="shared" si="127"/>
        <v>0</v>
      </c>
      <c r="L280" s="401">
        <f t="shared" si="127"/>
        <v>0</v>
      </c>
      <c r="M280" s="401">
        <f t="shared" si="127"/>
        <v>0</v>
      </c>
      <c r="N280" s="401">
        <f t="shared" si="127"/>
        <v>0</v>
      </c>
      <c r="O280" s="401">
        <f t="shared" si="127"/>
        <v>0</v>
      </c>
      <c r="P280" s="401">
        <f t="shared" si="127"/>
        <v>0</v>
      </c>
      <c r="Q280" s="401">
        <f t="shared" si="127"/>
        <v>0</v>
      </c>
      <c r="R280" s="401">
        <f t="shared" si="127"/>
        <v>0</v>
      </c>
      <c r="S280" s="401">
        <f t="shared" si="127"/>
        <v>0</v>
      </c>
      <c r="T280" s="401">
        <f t="shared" si="127"/>
        <v>0</v>
      </c>
      <c r="U280" s="401">
        <f t="shared" si="127"/>
        <v>0</v>
      </c>
      <c r="V280" s="401">
        <f t="shared" si="127"/>
        <v>0</v>
      </c>
      <c r="W280" s="401">
        <f t="shared" si="127"/>
        <v>0</v>
      </c>
      <c r="X280" s="401">
        <f t="shared" si="127"/>
        <v>0</v>
      </c>
      <c r="Y280" s="401">
        <f t="shared" si="127"/>
        <v>0</v>
      </c>
      <c r="Z280" s="401">
        <f t="shared" si="127"/>
        <v>0</v>
      </c>
      <c r="AA280" s="401">
        <f t="shared" si="127"/>
        <v>0</v>
      </c>
      <c r="AB280" s="401">
        <f t="shared" si="127"/>
        <v>0</v>
      </c>
      <c r="AC280" s="401">
        <f t="shared" si="127"/>
        <v>0</v>
      </c>
      <c r="AD280" s="401">
        <f t="shared" si="127"/>
        <v>0</v>
      </c>
      <c r="AE280" s="401">
        <f t="shared" si="127"/>
        <v>0</v>
      </c>
      <c r="AF280" s="401">
        <f t="shared" si="127"/>
        <v>0</v>
      </c>
      <c r="AG280" s="401">
        <f t="shared" si="127"/>
        <v>0</v>
      </c>
      <c r="AH280" s="401">
        <f t="shared" si="127"/>
        <v>0</v>
      </c>
      <c r="AI280" s="401">
        <f t="shared" si="127"/>
        <v>0</v>
      </c>
      <c r="AJ280" s="401">
        <f t="shared" si="127"/>
        <v>0</v>
      </c>
      <c r="AK280" s="401">
        <f t="shared" si="127"/>
        <v>0</v>
      </c>
      <c r="AL280" s="401">
        <f t="shared" si="127"/>
        <v>0</v>
      </c>
      <c r="AM280" s="401">
        <f t="shared" si="127"/>
        <v>0</v>
      </c>
      <c r="AN280" s="401">
        <f t="shared" si="127"/>
        <v>0</v>
      </c>
      <c r="AO280" s="401">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207</v>
      </c>
      <c r="H283" s="19"/>
      <c r="I283" s="19"/>
      <c r="J283" s="400">
        <f>J278 * J$158</f>
        <v>0</v>
      </c>
      <c r="K283" s="400">
        <f t="shared" ref="K283:AO283" si="128">K278 * K$158</f>
        <v>0</v>
      </c>
      <c r="L283" s="400">
        <f t="shared" si="128"/>
        <v>0</v>
      </c>
      <c r="M283" s="400">
        <f t="shared" si="128"/>
        <v>0</v>
      </c>
      <c r="N283" s="400">
        <f t="shared" si="128"/>
        <v>0</v>
      </c>
      <c r="O283" s="400">
        <f t="shared" si="128"/>
        <v>0</v>
      </c>
      <c r="P283" s="400">
        <f t="shared" si="128"/>
        <v>0</v>
      </c>
      <c r="Q283" s="400">
        <f t="shared" si="128"/>
        <v>0</v>
      </c>
      <c r="R283" s="400">
        <f t="shared" si="128"/>
        <v>0</v>
      </c>
      <c r="S283" s="400">
        <f t="shared" si="128"/>
        <v>0</v>
      </c>
      <c r="T283" s="400">
        <f t="shared" si="128"/>
        <v>0</v>
      </c>
      <c r="U283" s="400">
        <f t="shared" si="128"/>
        <v>0</v>
      </c>
      <c r="V283" s="400">
        <f t="shared" si="128"/>
        <v>0</v>
      </c>
      <c r="W283" s="400">
        <f t="shared" si="128"/>
        <v>0</v>
      </c>
      <c r="X283" s="400">
        <f t="shared" si="128"/>
        <v>0</v>
      </c>
      <c r="Y283" s="400">
        <f t="shared" si="128"/>
        <v>0</v>
      </c>
      <c r="Z283" s="400">
        <f t="shared" si="128"/>
        <v>0</v>
      </c>
      <c r="AA283" s="400">
        <f t="shared" si="128"/>
        <v>0</v>
      </c>
      <c r="AB283" s="400">
        <f t="shared" si="128"/>
        <v>0</v>
      </c>
      <c r="AC283" s="400">
        <f t="shared" si="128"/>
        <v>0</v>
      </c>
      <c r="AD283" s="400">
        <f t="shared" si="128"/>
        <v>0</v>
      </c>
      <c r="AE283" s="400">
        <f t="shared" si="128"/>
        <v>0</v>
      </c>
      <c r="AF283" s="400">
        <f t="shared" si="128"/>
        <v>0</v>
      </c>
      <c r="AG283" s="400">
        <f t="shared" si="128"/>
        <v>0</v>
      </c>
      <c r="AH283" s="400">
        <f t="shared" si="128"/>
        <v>0</v>
      </c>
      <c r="AI283" s="400">
        <f t="shared" si="128"/>
        <v>0</v>
      </c>
      <c r="AJ283" s="400">
        <f t="shared" si="128"/>
        <v>0</v>
      </c>
      <c r="AK283" s="400">
        <f t="shared" si="128"/>
        <v>0</v>
      </c>
      <c r="AL283" s="400">
        <f t="shared" si="128"/>
        <v>0</v>
      </c>
      <c r="AM283" s="400">
        <f t="shared" si="128"/>
        <v>0</v>
      </c>
      <c r="AN283" s="400">
        <f t="shared" si="128"/>
        <v>0</v>
      </c>
      <c r="AO283" s="400">
        <f t="shared" si="128"/>
        <v>0</v>
      </c>
    </row>
    <row r="284" spans="3:43" x14ac:dyDescent="0.25">
      <c r="C284" s="24"/>
      <c r="F284" t="s">
        <v>1057</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207</v>
      </c>
      <c r="H285" s="28"/>
      <c r="I285" s="28"/>
      <c r="J285" s="401">
        <f t="shared" si="129"/>
        <v>0</v>
      </c>
      <c r="K285" s="401">
        <f t="shared" si="129"/>
        <v>0</v>
      </c>
      <c r="L285" s="401">
        <f t="shared" si="129"/>
        <v>0</v>
      </c>
      <c r="M285" s="401">
        <f t="shared" si="129"/>
        <v>0</v>
      </c>
      <c r="N285" s="401">
        <f t="shared" si="129"/>
        <v>0</v>
      </c>
      <c r="O285" s="401">
        <f t="shared" si="129"/>
        <v>0</v>
      </c>
      <c r="P285" s="401">
        <f t="shared" si="129"/>
        <v>0</v>
      </c>
      <c r="Q285" s="401">
        <f t="shared" si="129"/>
        <v>0</v>
      </c>
      <c r="R285" s="401">
        <f t="shared" si="129"/>
        <v>0</v>
      </c>
      <c r="S285" s="401">
        <f t="shared" si="129"/>
        <v>0</v>
      </c>
      <c r="T285" s="401">
        <f t="shared" si="129"/>
        <v>0</v>
      </c>
      <c r="U285" s="401">
        <f t="shared" si="129"/>
        <v>0</v>
      </c>
      <c r="V285" s="401">
        <f t="shared" si="129"/>
        <v>0</v>
      </c>
      <c r="W285" s="401">
        <f t="shared" si="129"/>
        <v>0</v>
      </c>
      <c r="X285" s="401">
        <f t="shared" si="129"/>
        <v>0</v>
      </c>
      <c r="Y285" s="401">
        <f t="shared" si="129"/>
        <v>0</v>
      </c>
      <c r="Z285" s="401">
        <f t="shared" si="129"/>
        <v>0</v>
      </c>
      <c r="AA285" s="401">
        <f t="shared" si="129"/>
        <v>0</v>
      </c>
      <c r="AB285" s="401">
        <f t="shared" si="129"/>
        <v>0</v>
      </c>
      <c r="AC285" s="401">
        <f t="shared" si="129"/>
        <v>0</v>
      </c>
      <c r="AD285" s="401">
        <f t="shared" si="129"/>
        <v>0</v>
      </c>
      <c r="AE285" s="401">
        <f t="shared" si="129"/>
        <v>0</v>
      </c>
      <c r="AF285" s="401">
        <f t="shared" si="129"/>
        <v>0</v>
      </c>
      <c r="AG285" s="401">
        <f t="shared" si="129"/>
        <v>0</v>
      </c>
      <c r="AH285" s="401">
        <f t="shared" si="129"/>
        <v>0</v>
      </c>
      <c r="AI285" s="401">
        <f t="shared" si="129"/>
        <v>0</v>
      </c>
      <c r="AJ285" s="401">
        <f t="shared" si="129"/>
        <v>0</v>
      </c>
      <c r="AK285" s="401">
        <f t="shared" si="129"/>
        <v>0</v>
      </c>
      <c r="AL285" s="401">
        <f t="shared" si="129"/>
        <v>0</v>
      </c>
      <c r="AM285" s="401">
        <f t="shared" si="129"/>
        <v>0</v>
      </c>
      <c r="AN285" s="401">
        <f t="shared" si="129"/>
        <v>0</v>
      </c>
      <c r="AO285" s="401">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control'!$H$36:$H$59,MATCH($A$1,'Version control'!$F$36:$F$59,0),1)&amp;"-K: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97" t="s">
        <v>1074</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269</v>
      </c>
      <c r="J305" s="326">
        <f t="shared" ref="J305:AO305" si="135">IF( J299&lt;&gt;0, J296/J303, 0)*hundred/thousand</f>
        <v>0</v>
      </c>
      <c r="K305" s="326">
        <f t="shared" si="135"/>
        <v>0</v>
      </c>
      <c r="L305" s="326">
        <f t="shared" si="135"/>
        <v>0</v>
      </c>
      <c r="M305" s="326">
        <f t="shared" si="135"/>
        <v>0</v>
      </c>
      <c r="N305" s="326">
        <f t="shared" si="135"/>
        <v>0</v>
      </c>
      <c r="O305" s="326">
        <f t="shared" si="135"/>
        <v>0</v>
      </c>
      <c r="P305" s="326">
        <f t="shared" si="135"/>
        <v>0</v>
      </c>
      <c r="Q305" s="326">
        <f t="shared" si="135"/>
        <v>0</v>
      </c>
      <c r="R305" s="326">
        <f t="shared" si="135"/>
        <v>0</v>
      </c>
      <c r="S305" s="326">
        <f t="shared" si="135"/>
        <v>0</v>
      </c>
      <c r="T305" s="326">
        <f t="shared" si="135"/>
        <v>0</v>
      </c>
      <c r="U305" s="326">
        <f t="shared" si="135"/>
        <v>0</v>
      </c>
      <c r="V305" s="326">
        <f t="shared" si="135"/>
        <v>0</v>
      </c>
      <c r="W305" s="326">
        <f t="shared" si="135"/>
        <v>0</v>
      </c>
      <c r="X305" s="326">
        <f t="shared" si="135"/>
        <v>0</v>
      </c>
      <c r="Y305" s="326">
        <f t="shared" si="135"/>
        <v>0</v>
      </c>
      <c r="Z305" s="326">
        <f t="shared" si="135"/>
        <v>0</v>
      </c>
      <c r="AA305" s="326">
        <f t="shared" si="135"/>
        <v>0</v>
      </c>
      <c r="AB305" s="326">
        <f t="shared" si="135"/>
        <v>0</v>
      </c>
      <c r="AC305" s="326">
        <f t="shared" si="135"/>
        <v>0</v>
      </c>
      <c r="AD305" s="326">
        <f t="shared" si="135"/>
        <v>0</v>
      </c>
      <c r="AE305" s="326">
        <f t="shared" si="135"/>
        <v>0</v>
      </c>
      <c r="AF305" s="326">
        <f t="shared" si="135"/>
        <v>0</v>
      </c>
      <c r="AG305" s="326">
        <f t="shared" si="135"/>
        <v>0</v>
      </c>
      <c r="AH305" s="326">
        <f t="shared" si="135"/>
        <v>0</v>
      </c>
      <c r="AI305" s="326">
        <f t="shared" si="135"/>
        <v>0</v>
      </c>
      <c r="AJ305" s="326">
        <f t="shared" si="135"/>
        <v>0</v>
      </c>
      <c r="AK305" s="326">
        <f t="shared" si="135"/>
        <v>0</v>
      </c>
      <c r="AL305" s="326">
        <f t="shared" si="135"/>
        <v>0</v>
      </c>
      <c r="AM305" s="326">
        <f t="shared" si="135"/>
        <v>0</v>
      </c>
      <c r="AN305" s="326">
        <f t="shared" si="135"/>
        <v>0</v>
      </c>
      <c r="AO305" s="326">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402" t="b">
        <f t="shared" ref="J308:AO308" si="136">IF(J$32, - J263+J$305&gt;=0, TRUE)</f>
        <v>1</v>
      </c>
      <c r="K308" s="402" t="b">
        <f t="shared" si="136"/>
        <v>1</v>
      </c>
      <c r="L308" s="402" t="b">
        <f t="shared" si="136"/>
        <v>1</v>
      </c>
      <c r="M308" s="402" t="b">
        <f t="shared" si="136"/>
        <v>1</v>
      </c>
      <c r="N308" s="402" t="b">
        <f t="shared" si="136"/>
        <v>1</v>
      </c>
      <c r="O308" s="402" t="b">
        <f t="shared" si="136"/>
        <v>1</v>
      </c>
      <c r="P308" s="402" t="b">
        <f t="shared" si="136"/>
        <v>1</v>
      </c>
      <c r="Q308" s="402" t="b">
        <f t="shared" si="136"/>
        <v>1</v>
      </c>
      <c r="R308" s="402" t="b">
        <f t="shared" si="136"/>
        <v>1</v>
      </c>
      <c r="S308" s="402" t="b">
        <f t="shared" si="136"/>
        <v>1</v>
      </c>
      <c r="T308" s="402" t="b">
        <f t="shared" si="136"/>
        <v>1</v>
      </c>
      <c r="U308" s="402" t="b">
        <f t="shared" si="136"/>
        <v>1</v>
      </c>
      <c r="V308" s="402" t="b">
        <f t="shared" si="136"/>
        <v>1</v>
      </c>
      <c r="W308" s="402" t="b">
        <f t="shared" si="136"/>
        <v>1</v>
      </c>
      <c r="X308" s="402" t="b">
        <f t="shared" si="136"/>
        <v>1</v>
      </c>
      <c r="Y308" s="402" t="b">
        <f t="shared" si="136"/>
        <v>1</v>
      </c>
      <c r="Z308" s="402" t="b">
        <f t="shared" si="136"/>
        <v>1</v>
      </c>
      <c r="AA308" s="402" t="b">
        <f t="shared" si="136"/>
        <v>1</v>
      </c>
      <c r="AB308" s="402" t="b">
        <f t="shared" si="136"/>
        <v>1</v>
      </c>
      <c r="AC308" s="402" t="b">
        <f t="shared" si="136"/>
        <v>1</v>
      </c>
      <c r="AD308" s="402" t="b">
        <f t="shared" si="136"/>
        <v>1</v>
      </c>
      <c r="AE308" s="402" t="b">
        <f t="shared" si="136"/>
        <v>1</v>
      </c>
      <c r="AF308" s="402" t="b">
        <f t="shared" si="136"/>
        <v>1</v>
      </c>
      <c r="AG308" s="402" t="b">
        <f t="shared" si="136"/>
        <v>1</v>
      </c>
      <c r="AH308" s="402" t="b">
        <f t="shared" si="136"/>
        <v>1</v>
      </c>
      <c r="AI308" s="402" t="b">
        <f t="shared" si="136"/>
        <v>1</v>
      </c>
      <c r="AJ308" s="402" t="b">
        <f t="shared" si="136"/>
        <v>1</v>
      </c>
      <c r="AK308" s="402" t="b">
        <f t="shared" si="136"/>
        <v>1</v>
      </c>
      <c r="AL308" s="402" t="b">
        <f t="shared" si="136"/>
        <v>1</v>
      </c>
      <c r="AM308" s="402" t="b">
        <f t="shared" si="136"/>
        <v>1</v>
      </c>
      <c r="AN308" s="402" t="b">
        <f t="shared" si="136"/>
        <v>1</v>
      </c>
      <c r="AO308" s="402"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403" t="b">
        <f t="shared" ref="J310:AO310" si="138">IF(J$32, - J265+J$305&gt;=0, TRUE)</f>
        <v>1</v>
      </c>
      <c r="K310" s="403" t="b">
        <f t="shared" si="138"/>
        <v>1</v>
      </c>
      <c r="L310" s="403" t="b">
        <f t="shared" si="138"/>
        <v>1</v>
      </c>
      <c r="M310" s="403" t="b">
        <f t="shared" si="138"/>
        <v>1</v>
      </c>
      <c r="N310" s="403" t="b">
        <f t="shared" si="138"/>
        <v>1</v>
      </c>
      <c r="O310" s="403" t="b">
        <f t="shared" si="138"/>
        <v>1</v>
      </c>
      <c r="P310" s="403" t="b">
        <f t="shared" si="138"/>
        <v>1</v>
      </c>
      <c r="Q310" s="403" t="b">
        <f t="shared" si="138"/>
        <v>1</v>
      </c>
      <c r="R310" s="403" t="b">
        <f t="shared" si="138"/>
        <v>1</v>
      </c>
      <c r="S310" s="403" t="b">
        <f t="shared" si="138"/>
        <v>1</v>
      </c>
      <c r="T310" s="403" t="b">
        <f t="shared" si="138"/>
        <v>1</v>
      </c>
      <c r="U310" s="403" t="b">
        <f t="shared" si="138"/>
        <v>1</v>
      </c>
      <c r="V310" s="403" t="b">
        <f t="shared" si="138"/>
        <v>1</v>
      </c>
      <c r="W310" s="403" t="b">
        <f t="shared" si="138"/>
        <v>1</v>
      </c>
      <c r="X310" s="403" t="b">
        <f t="shared" si="138"/>
        <v>1</v>
      </c>
      <c r="Y310" s="403" t="b">
        <f t="shared" si="138"/>
        <v>1</v>
      </c>
      <c r="Z310" s="403" t="b">
        <f t="shared" si="138"/>
        <v>1</v>
      </c>
      <c r="AA310" s="403" t="b">
        <f t="shared" si="138"/>
        <v>1</v>
      </c>
      <c r="AB310" s="403" t="b">
        <f t="shared" si="138"/>
        <v>1</v>
      </c>
      <c r="AC310" s="403" t="b">
        <f t="shared" si="138"/>
        <v>1</v>
      </c>
      <c r="AD310" s="403" t="b">
        <f t="shared" si="138"/>
        <v>1</v>
      </c>
      <c r="AE310" s="403" t="b">
        <f t="shared" si="138"/>
        <v>1</v>
      </c>
      <c r="AF310" s="403" t="b">
        <f t="shared" si="138"/>
        <v>1</v>
      </c>
      <c r="AG310" s="403" t="b">
        <f t="shared" si="138"/>
        <v>1</v>
      </c>
      <c r="AH310" s="403" t="b">
        <f t="shared" si="138"/>
        <v>1</v>
      </c>
      <c r="AI310" s="403" t="b">
        <f t="shared" si="138"/>
        <v>1</v>
      </c>
      <c r="AJ310" s="403" t="b">
        <f t="shared" si="138"/>
        <v>1</v>
      </c>
      <c r="AK310" s="403" t="b">
        <f t="shared" si="138"/>
        <v>1</v>
      </c>
      <c r="AL310" s="403" t="b">
        <f t="shared" si="138"/>
        <v>1</v>
      </c>
      <c r="AM310" s="403" t="b">
        <f t="shared" si="138"/>
        <v>1</v>
      </c>
      <c r="AN310" s="403" t="b">
        <f t="shared" si="138"/>
        <v>1</v>
      </c>
      <c r="AO310" s="403"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control'!$H$36:$H$59,MATCH($A$1,'Version control'!$F$36:$F$59,0),1)&amp;"-L: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404"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97" t="s">
        <v>1084</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97" t="s">
        <v>1085</v>
      </c>
      <c r="G337" t="s">
        <v>269</v>
      </c>
      <c r="J337" s="326">
        <f t="shared" ref="J337:AO337" si="147">IF( J335&lt;&gt;0, J328/J335, 0)*hundred/thousand</f>
        <v>0</v>
      </c>
      <c r="K337" s="326">
        <f t="shared" si="147"/>
        <v>0</v>
      </c>
      <c r="L337" s="326">
        <f t="shared" si="147"/>
        <v>0</v>
      </c>
      <c r="M337" s="326">
        <f t="shared" si="147"/>
        <v>0</v>
      </c>
      <c r="N337" s="326">
        <f t="shared" si="147"/>
        <v>0</v>
      </c>
      <c r="O337" s="326">
        <f t="shared" si="147"/>
        <v>0</v>
      </c>
      <c r="P337" s="326">
        <f t="shared" si="147"/>
        <v>0</v>
      </c>
      <c r="Q337" s="326">
        <f t="shared" si="147"/>
        <v>0</v>
      </c>
      <c r="R337" s="326">
        <f t="shared" si="147"/>
        <v>0</v>
      </c>
      <c r="S337" s="326">
        <f t="shared" si="147"/>
        <v>0</v>
      </c>
      <c r="T337" s="326">
        <f t="shared" si="147"/>
        <v>0</v>
      </c>
      <c r="U337" s="326">
        <f t="shared" si="147"/>
        <v>0</v>
      </c>
      <c r="V337" s="326">
        <f t="shared" si="147"/>
        <v>0</v>
      </c>
      <c r="W337" s="326">
        <f t="shared" si="147"/>
        <v>0</v>
      </c>
      <c r="X337" s="326">
        <f t="shared" si="147"/>
        <v>0</v>
      </c>
      <c r="Y337" s="326">
        <f t="shared" si="147"/>
        <v>0</v>
      </c>
      <c r="Z337" s="326">
        <f t="shared" si="147"/>
        <v>0</v>
      </c>
      <c r="AA337" s="326">
        <f t="shared" si="147"/>
        <v>0</v>
      </c>
      <c r="AB337" s="326">
        <f t="shared" si="147"/>
        <v>0</v>
      </c>
      <c r="AC337" s="326">
        <f t="shared" si="147"/>
        <v>0</v>
      </c>
      <c r="AD337" s="326">
        <f t="shared" si="147"/>
        <v>0</v>
      </c>
      <c r="AE337" s="326">
        <f t="shared" si="147"/>
        <v>0</v>
      </c>
      <c r="AF337" s="326">
        <f t="shared" si="147"/>
        <v>0</v>
      </c>
      <c r="AG337" s="326">
        <f t="shared" si="147"/>
        <v>0</v>
      </c>
      <c r="AH337" s="326">
        <f t="shared" si="147"/>
        <v>0</v>
      </c>
      <c r="AI337" s="326">
        <f t="shared" si="147"/>
        <v>0</v>
      </c>
      <c r="AJ337" s="326">
        <f t="shared" si="147"/>
        <v>0</v>
      </c>
      <c r="AK337" s="326">
        <f t="shared" si="147"/>
        <v>0</v>
      </c>
      <c r="AL337" s="326">
        <f t="shared" si="147"/>
        <v>0</v>
      </c>
      <c r="AM337" s="326">
        <f t="shared" si="147"/>
        <v>0</v>
      </c>
      <c r="AN337" s="326">
        <f t="shared" si="147"/>
        <v>0</v>
      </c>
      <c r="AO337" s="326">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405"/>
      <c r="K340" s="405"/>
      <c r="L340" s="405"/>
      <c r="M340" s="405"/>
      <c r="N340" s="405"/>
      <c r="O340" s="405"/>
      <c r="P340" s="405"/>
      <c r="Q340" s="405"/>
      <c r="R340" s="405"/>
      <c r="S340" s="405"/>
      <c r="T340" s="405"/>
      <c r="U340" s="405"/>
      <c r="V340" s="405"/>
      <c r="W340" s="405"/>
      <c r="X340" s="405"/>
      <c r="Y340" s="405"/>
      <c r="Z340" s="405"/>
      <c r="AA340" s="405"/>
      <c r="AB340" s="405"/>
      <c r="AC340" s="405"/>
      <c r="AD340" s="405"/>
      <c r="AE340" s="405"/>
      <c r="AF340" s="405"/>
      <c r="AG340" s="405"/>
      <c r="AH340" s="405"/>
      <c r="AI340" s="405"/>
      <c r="AJ340" s="405"/>
      <c r="AK340" s="405"/>
      <c r="AL340" s="405"/>
      <c r="AM340" s="405"/>
      <c r="AN340" s="405"/>
      <c r="AO340" s="405"/>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403" t="b">
        <f t="shared" ref="J342:AO342" si="149">IF(J$32, -J265+J$337&gt;=0, TRUE)</f>
        <v>1</v>
      </c>
      <c r="K342" s="403" t="b">
        <f t="shared" si="149"/>
        <v>1</v>
      </c>
      <c r="L342" s="403" t="b">
        <f t="shared" si="149"/>
        <v>1</v>
      </c>
      <c r="M342" s="403" t="b">
        <f t="shared" si="149"/>
        <v>1</v>
      </c>
      <c r="N342" s="403" t="b">
        <f t="shared" si="149"/>
        <v>1</v>
      </c>
      <c r="O342" s="403" t="b">
        <f t="shared" si="149"/>
        <v>1</v>
      </c>
      <c r="P342" s="403" t="b">
        <f t="shared" si="149"/>
        <v>1</v>
      </c>
      <c r="Q342" s="403" t="b">
        <f t="shared" si="149"/>
        <v>1</v>
      </c>
      <c r="R342" s="403" t="b">
        <f t="shared" si="149"/>
        <v>1</v>
      </c>
      <c r="S342" s="403" t="b">
        <f t="shared" si="149"/>
        <v>1</v>
      </c>
      <c r="T342" s="403" t="b">
        <f t="shared" si="149"/>
        <v>1</v>
      </c>
      <c r="U342" s="403" t="b">
        <f t="shared" si="149"/>
        <v>1</v>
      </c>
      <c r="V342" s="403" t="b">
        <f t="shared" si="149"/>
        <v>1</v>
      </c>
      <c r="W342" s="403" t="b">
        <f t="shared" si="149"/>
        <v>1</v>
      </c>
      <c r="X342" s="403" t="b">
        <f t="shared" si="149"/>
        <v>1</v>
      </c>
      <c r="Y342" s="403" t="b">
        <f t="shared" si="149"/>
        <v>1</v>
      </c>
      <c r="Z342" s="403" t="b">
        <f t="shared" si="149"/>
        <v>1</v>
      </c>
      <c r="AA342" s="403" t="b">
        <f t="shared" si="149"/>
        <v>1</v>
      </c>
      <c r="AB342" s="403" t="b">
        <f t="shared" si="149"/>
        <v>1</v>
      </c>
      <c r="AC342" s="403" t="b">
        <f t="shared" si="149"/>
        <v>1</v>
      </c>
      <c r="AD342" s="403" t="b">
        <f t="shared" si="149"/>
        <v>1</v>
      </c>
      <c r="AE342" s="403" t="b">
        <f t="shared" si="149"/>
        <v>1</v>
      </c>
      <c r="AF342" s="403" t="b">
        <f t="shared" si="149"/>
        <v>1</v>
      </c>
      <c r="AG342" s="403" t="b">
        <f t="shared" si="149"/>
        <v>1</v>
      </c>
      <c r="AH342" s="403" t="b">
        <f t="shared" si="149"/>
        <v>1</v>
      </c>
      <c r="AI342" s="403" t="b">
        <f t="shared" si="149"/>
        <v>1</v>
      </c>
      <c r="AJ342" s="403" t="b">
        <f t="shared" si="149"/>
        <v>1</v>
      </c>
      <c r="AK342" s="403" t="b">
        <f t="shared" si="149"/>
        <v>1</v>
      </c>
      <c r="AL342" s="403" t="b">
        <f t="shared" si="149"/>
        <v>1</v>
      </c>
      <c r="AM342" s="403" t="b">
        <f t="shared" si="149"/>
        <v>1</v>
      </c>
      <c r="AN342" s="403" t="b">
        <f t="shared" si="149"/>
        <v>1</v>
      </c>
      <c r="AO342" s="403"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control'!$H$36:$H$59,MATCH($A$1,'Version control'!$F$36:$F$59,0),1)&amp;"-M: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404"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97" t="s">
        <v>1084</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269</v>
      </c>
      <c r="J369" s="326">
        <f t="shared" ref="J369:AO369" si="158">IF( J367&lt;&gt;0, J360/J367, 0)*hundred/thousand</f>
        <v>0</v>
      </c>
      <c r="K369" s="326">
        <f t="shared" si="158"/>
        <v>0</v>
      </c>
      <c r="L369" s="326">
        <f t="shared" si="158"/>
        <v>0</v>
      </c>
      <c r="M369" s="326">
        <f t="shared" si="158"/>
        <v>0</v>
      </c>
      <c r="N369" s="326">
        <f t="shared" si="158"/>
        <v>0</v>
      </c>
      <c r="O369" s="326">
        <f t="shared" si="158"/>
        <v>0</v>
      </c>
      <c r="P369" s="326">
        <f t="shared" si="158"/>
        <v>0</v>
      </c>
      <c r="Q369" s="326">
        <f t="shared" si="158"/>
        <v>0</v>
      </c>
      <c r="R369" s="326">
        <f t="shared" si="158"/>
        <v>0</v>
      </c>
      <c r="S369" s="326">
        <f t="shared" si="158"/>
        <v>0</v>
      </c>
      <c r="T369" s="326">
        <f t="shared" si="158"/>
        <v>0</v>
      </c>
      <c r="U369" s="326">
        <f t="shared" si="158"/>
        <v>0</v>
      </c>
      <c r="V369" s="326">
        <f t="shared" si="158"/>
        <v>0</v>
      </c>
      <c r="W369" s="326">
        <f t="shared" si="158"/>
        <v>0</v>
      </c>
      <c r="X369" s="326">
        <f t="shared" si="158"/>
        <v>0</v>
      </c>
      <c r="Y369" s="326">
        <f t="shared" si="158"/>
        <v>0</v>
      </c>
      <c r="Z369" s="326">
        <f t="shared" si="158"/>
        <v>0</v>
      </c>
      <c r="AA369" s="326">
        <f t="shared" si="158"/>
        <v>0</v>
      </c>
      <c r="AB369" s="326">
        <f t="shared" si="158"/>
        <v>0</v>
      </c>
      <c r="AC369" s="326">
        <f t="shared" si="158"/>
        <v>0</v>
      </c>
      <c r="AD369" s="326">
        <f t="shared" si="158"/>
        <v>0</v>
      </c>
      <c r="AE369" s="326">
        <f t="shared" si="158"/>
        <v>0</v>
      </c>
      <c r="AF369" s="326">
        <f t="shared" si="158"/>
        <v>0</v>
      </c>
      <c r="AG369" s="326">
        <f t="shared" si="158"/>
        <v>0</v>
      </c>
      <c r="AH369" s="326">
        <f t="shared" si="158"/>
        <v>0</v>
      </c>
      <c r="AI369" s="326">
        <f t="shared" si="158"/>
        <v>0</v>
      </c>
      <c r="AJ369" s="326">
        <f t="shared" si="158"/>
        <v>0</v>
      </c>
      <c r="AK369" s="326">
        <f t="shared" si="158"/>
        <v>0</v>
      </c>
      <c r="AL369" s="326">
        <f t="shared" si="158"/>
        <v>0</v>
      </c>
      <c r="AM369" s="326">
        <f t="shared" si="158"/>
        <v>0</v>
      </c>
      <c r="AN369" s="326">
        <f t="shared" si="158"/>
        <v>0</v>
      </c>
      <c r="AO369" s="326">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405"/>
      <c r="K372" s="405"/>
      <c r="L372" s="405"/>
      <c r="M372" s="405"/>
      <c r="N372" s="405"/>
      <c r="O372" s="405"/>
      <c r="P372" s="405"/>
      <c r="Q372" s="405"/>
      <c r="R372" s="405"/>
      <c r="S372" s="405"/>
      <c r="T372" s="405"/>
      <c r="U372" s="405"/>
      <c r="V372" s="405"/>
      <c r="W372" s="405"/>
      <c r="X372" s="405"/>
      <c r="Y372" s="405"/>
      <c r="Z372" s="405"/>
      <c r="AA372" s="405"/>
      <c r="AB372" s="405"/>
      <c r="AC372" s="405"/>
      <c r="AD372" s="405"/>
      <c r="AE372" s="405"/>
      <c r="AF372" s="405"/>
      <c r="AG372" s="405"/>
      <c r="AH372" s="405"/>
      <c r="AI372" s="405"/>
      <c r="AJ372" s="405"/>
      <c r="AK372" s="405"/>
      <c r="AL372" s="405"/>
      <c r="AM372" s="405"/>
      <c r="AN372" s="405"/>
      <c r="AO372" s="405"/>
    </row>
    <row r="373" spans="3:43" x14ac:dyDescent="0.25">
      <c r="C373" s="24"/>
      <c r="F373" t="s">
        <v>1057</v>
      </c>
      <c r="G373" t="s">
        <v>907</v>
      </c>
      <c r="J373" s="406"/>
      <c r="K373" s="406"/>
      <c r="L373" s="406"/>
      <c r="M373" s="406"/>
      <c r="N373" s="406"/>
      <c r="O373" s="406"/>
      <c r="P373" s="406"/>
      <c r="Q373" s="406"/>
      <c r="R373" s="406"/>
      <c r="S373" s="406"/>
      <c r="T373" s="406"/>
      <c r="U373" s="406"/>
      <c r="V373" s="406"/>
      <c r="W373" s="406"/>
      <c r="X373" s="406"/>
      <c r="Y373" s="406"/>
      <c r="Z373" s="406"/>
      <c r="AA373" s="406"/>
      <c r="AB373" s="406"/>
      <c r="AC373" s="406"/>
      <c r="AD373" s="406"/>
      <c r="AE373" s="406"/>
      <c r="AF373" s="406"/>
      <c r="AG373" s="406"/>
      <c r="AH373" s="406"/>
      <c r="AI373" s="406"/>
      <c r="AJ373" s="406"/>
      <c r="AK373" s="406"/>
      <c r="AL373" s="406"/>
      <c r="AM373" s="406"/>
      <c r="AN373" s="406"/>
      <c r="AO373" s="406"/>
    </row>
    <row r="374" spans="3:43" x14ac:dyDescent="0.25">
      <c r="C374" s="24"/>
      <c r="F374" s="28" t="s">
        <v>1058</v>
      </c>
      <c r="G374" s="28" t="s">
        <v>907</v>
      </c>
      <c r="H374" s="28"/>
      <c r="I374" s="28"/>
      <c r="J374" s="403" t="b">
        <f t="shared" ref="J374:AO374" si="159">IF(J$32, -J265+J$369&gt;=0, TRUE)</f>
        <v>1</v>
      </c>
      <c r="K374" s="403" t="b">
        <f t="shared" si="159"/>
        <v>1</v>
      </c>
      <c r="L374" s="403" t="b">
        <f t="shared" si="159"/>
        <v>1</v>
      </c>
      <c r="M374" s="403" t="b">
        <f t="shared" si="159"/>
        <v>1</v>
      </c>
      <c r="N374" s="403" t="b">
        <f t="shared" si="159"/>
        <v>1</v>
      </c>
      <c r="O374" s="403" t="b">
        <f t="shared" si="159"/>
        <v>1</v>
      </c>
      <c r="P374" s="403" t="b">
        <f t="shared" si="159"/>
        <v>1</v>
      </c>
      <c r="Q374" s="403" t="b">
        <f t="shared" si="159"/>
        <v>1</v>
      </c>
      <c r="R374" s="403" t="b">
        <f t="shared" si="159"/>
        <v>1</v>
      </c>
      <c r="S374" s="403" t="b">
        <f t="shared" si="159"/>
        <v>1</v>
      </c>
      <c r="T374" s="403" t="b">
        <f t="shared" si="159"/>
        <v>1</v>
      </c>
      <c r="U374" s="403" t="b">
        <f t="shared" si="159"/>
        <v>1</v>
      </c>
      <c r="V374" s="403" t="b">
        <f t="shared" si="159"/>
        <v>1</v>
      </c>
      <c r="W374" s="403" t="b">
        <f t="shared" si="159"/>
        <v>1</v>
      </c>
      <c r="X374" s="403" t="b">
        <f t="shared" si="159"/>
        <v>1</v>
      </c>
      <c r="Y374" s="403" t="b">
        <f t="shared" si="159"/>
        <v>1</v>
      </c>
      <c r="Z374" s="403" t="b">
        <f t="shared" si="159"/>
        <v>1</v>
      </c>
      <c r="AA374" s="403" t="b">
        <f t="shared" si="159"/>
        <v>1</v>
      </c>
      <c r="AB374" s="403" t="b">
        <f t="shared" si="159"/>
        <v>1</v>
      </c>
      <c r="AC374" s="403" t="b">
        <f t="shared" si="159"/>
        <v>1</v>
      </c>
      <c r="AD374" s="403" t="b">
        <f t="shared" si="159"/>
        <v>1</v>
      </c>
      <c r="AE374" s="403" t="b">
        <f t="shared" si="159"/>
        <v>1</v>
      </c>
      <c r="AF374" s="403" t="b">
        <f t="shared" si="159"/>
        <v>1</v>
      </c>
      <c r="AG374" s="403" t="b">
        <f t="shared" si="159"/>
        <v>1</v>
      </c>
      <c r="AH374" s="403" t="b">
        <f t="shared" si="159"/>
        <v>1</v>
      </c>
      <c r="AI374" s="403" t="b">
        <f t="shared" si="159"/>
        <v>1</v>
      </c>
      <c r="AJ374" s="403" t="b">
        <f t="shared" si="159"/>
        <v>1</v>
      </c>
      <c r="AK374" s="403" t="b">
        <f t="shared" si="159"/>
        <v>1</v>
      </c>
      <c r="AL374" s="403" t="b">
        <f t="shared" si="159"/>
        <v>1</v>
      </c>
      <c r="AM374" s="403" t="b">
        <f t="shared" si="159"/>
        <v>1</v>
      </c>
      <c r="AN374" s="403" t="b">
        <f t="shared" si="159"/>
        <v>1</v>
      </c>
      <c r="AO374" s="403"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control'!$H$36:$H$59,MATCH($A$1,'Version control'!$F$36:$F$59,0),1)&amp;"-N: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407" t="b">
        <f t="shared" ref="J385:AO385" si="161">J312</f>
        <v>1</v>
      </c>
      <c r="K385" s="407" t="b">
        <f t="shared" si="161"/>
        <v>1</v>
      </c>
      <c r="L385" s="407" t="b">
        <f t="shared" si="161"/>
        <v>1</v>
      </c>
      <c r="M385" s="407" t="b">
        <f t="shared" si="161"/>
        <v>1</v>
      </c>
      <c r="N385" s="407" t="b">
        <f t="shared" si="161"/>
        <v>1</v>
      </c>
      <c r="O385" s="407" t="b">
        <f t="shared" si="161"/>
        <v>1</v>
      </c>
      <c r="P385" s="407" t="b">
        <f t="shared" si="161"/>
        <v>1</v>
      </c>
      <c r="Q385" s="407" t="b">
        <f t="shared" si="161"/>
        <v>1</v>
      </c>
      <c r="R385" s="407" t="b">
        <f t="shared" si="161"/>
        <v>1</v>
      </c>
      <c r="S385" s="407" t="b">
        <f t="shared" si="161"/>
        <v>1</v>
      </c>
      <c r="T385" s="407" t="b">
        <f t="shared" si="161"/>
        <v>1</v>
      </c>
      <c r="U385" s="407" t="b">
        <f t="shared" si="161"/>
        <v>1</v>
      </c>
      <c r="V385" s="407" t="b">
        <f t="shared" si="161"/>
        <v>1</v>
      </c>
      <c r="W385" s="407" t="b">
        <f t="shared" si="161"/>
        <v>1</v>
      </c>
      <c r="X385" s="407" t="b">
        <f t="shared" si="161"/>
        <v>1</v>
      </c>
      <c r="Y385" s="407" t="b">
        <f t="shared" si="161"/>
        <v>1</v>
      </c>
      <c r="Z385" s="407" t="b">
        <f t="shared" si="161"/>
        <v>1</v>
      </c>
      <c r="AA385" s="407" t="b">
        <f t="shared" si="161"/>
        <v>1</v>
      </c>
      <c r="AB385" s="407" t="b">
        <f t="shared" si="161"/>
        <v>1</v>
      </c>
      <c r="AC385" s="407" t="b">
        <f t="shared" si="161"/>
        <v>1</v>
      </c>
      <c r="AD385" s="407" t="b">
        <f t="shared" si="161"/>
        <v>1</v>
      </c>
      <c r="AE385" s="407" t="b">
        <f t="shared" si="161"/>
        <v>1</v>
      </c>
      <c r="AF385" s="407" t="b">
        <f t="shared" si="161"/>
        <v>1</v>
      </c>
      <c r="AG385" s="407" t="b">
        <f t="shared" si="161"/>
        <v>1</v>
      </c>
      <c r="AH385" s="407" t="b">
        <f t="shared" si="161"/>
        <v>1</v>
      </c>
      <c r="AI385" s="407" t="b">
        <f t="shared" si="161"/>
        <v>1</v>
      </c>
      <c r="AJ385" s="407" t="b">
        <f t="shared" si="161"/>
        <v>1</v>
      </c>
      <c r="AK385" s="407" t="b">
        <f t="shared" si="161"/>
        <v>1</v>
      </c>
      <c r="AL385" s="407" t="b">
        <f t="shared" si="161"/>
        <v>1</v>
      </c>
      <c r="AM385" s="407" t="b">
        <f t="shared" si="161"/>
        <v>1</v>
      </c>
      <c r="AN385" s="407" t="b">
        <f t="shared" si="161"/>
        <v>1</v>
      </c>
      <c r="AO385" s="407" t="b">
        <f t="shared" si="161"/>
        <v>1</v>
      </c>
    </row>
    <row r="386" spans="3:41" x14ac:dyDescent="0.25">
      <c r="C386" s="24"/>
      <c r="F386" t="s">
        <v>1098</v>
      </c>
      <c r="G386" t="s">
        <v>907</v>
      </c>
      <c r="J386" s="407" t="b">
        <f t="shared" ref="J386:AO386" si="162">J344</f>
        <v>1</v>
      </c>
      <c r="K386" s="407" t="b">
        <f t="shared" si="162"/>
        <v>1</v>
      </c>
      <c r="L386" s="407" t="b">
        <f t="shared" si="162"/>
        <v>1</v>
      </c>
      <c r="M386" s="407" t="b">
        <f t="shared" si="162"/>
        <v>1</v>
      </c>
      <c r="N386" s="407" t="b">
        <f t="shared" si="162"/>
        <v>1</v>
      </c>
      <c r="O386" s="407" t="b">
        <f t="shared" si="162"/>
        <v>1</v>
      </c>
      <c r="P386" s="407" t="b">
        <f t="shared" si="162"/>
        <v>1</v>
      </c>
      <c r="Q386" s="407" t="b">
        <f t="shared" si="162"/>
        <v>1</v>
      </c>
      <c r="R386" s="407" t="b">
        <f t="shared" si="162"/>
        <v>1</v>
      </c>
      <c r="S386" s="407" t="b">
        <f t="shared" si="162"/>
        <v>1</v>
      </c>
      <c r="T386" s="407" t="b">
        <f t="shared" si="162"/>
        <v>1</v>
      </c>
      <c r="U386" s="407" t="b">
        <f t="shared" si="162"/>
        <v>1</v>
      </c>
      <c r="V386" s="407" t="b">
        <f t="shared" si="162"/>
        <v>1</v>
      </c>
      <c r="W386" s="407" t="b">
        <f t="shared" si="162"/>
        <v>1</v>
      </c>
      <c r="X386" s="407" t="b">
        <f t="shared" si="162"/>
        <v>1</v>
      </c>
      <c r="Y386" s="407" t="b">
        <f t="shared" si="162"/>
        <v>1</v>
      </c>
      <c r="Z386" s="407" t="b">
        <f t="shared" si="162"/>
        <v>1</v>
      </c>
      <c r="AA386" s="407" t="b">
        <f t="shared" si="162"/>
        <v>1</v>
      </c>
      <c r="AB386" s="407" t="b">
        <f t="shared" si="162"/>
        <v>1</v>
      </c>
      <c r="AC386" s="407" t="b">
        <f t="shared" si="162"/>
        <v>1</v>
      </c>
      <c r="AD386" s="407" t="b">
        <f t="shared" si="162"/>
        <v>1</v>
      </c>
      <c r="AE386" s="407" t="b">
        <f t="shared" si="162"/>
        <v>1</v>
      </c>
      <c r="AF386" s="407" t="b">
        <f t="shared" si="162"/>
        <v>1</v>
      </c>
      <c r="AG386" s="407" t="b">
        <f t="shared" si="162"/>
        <v>1</v>
      </c>
      <c r="AH386" s="407" t="b">
        <f t="shared" si="162"/>
        <v>1</v>
      </c>
      <c r="AI386" s="407" t="b">
        <f t="shared" si="162"/>
        <v>1</v>
      </c>
      <c r="AJ386" s="407" t="b">
        <f t="shared" si="162"/>
        <v>1</v>
      </c>
      <c r="AK386" s="407" t="b">
        <f t="shared" si="162"/>
        <v>1</v>
      </c>
      <c r="AL386" s="407" t="b">
        <f t="shared" si="162"/>
        <v>1</v>
      </c>
      <c r="AM386" s="407" t="b">
        <f t="shared" si="162"/>
        <v>1</v>
      </c>
      <c r="AN386" s="407" t="b">
        <f t="shared" si="162"/>
        <v>1</v>
      </c>
      <c r="AO386" s="407" t="b">
        <f t="shared" si="162"/>
        <v>1</v>
      </c>
    </row>
    <row r="387" spans="3:41" x14ac:dyDescent="0.25">
      <c r="C387" s="24"/>
      <c r="F387" s="28" t="s">
        <v>1099</v>
      </c>
      <c r="G387" s="28" t="s">
        <v>907</v>
      </c>
      <c r="H387" s="28"/>
      <c r="I387" s="28"/>
      <c r="J387" s="403" t="b">
        <f>J376</f>
        <v>1</v>
      </c>
      <c r="K387" s="403" t="b">
        <f t="shared" ref="K387:AO387" si="163">K376</f>
        <v>1</v>
      </c>
      <c r="L387" s="403" t="b">
        <f t="shared" si="163"/>
        <v>1</v>
      </c>
      <c r="M387" s="403" t="b">
        <f t="shared" si="163"/>
        <v>1</v>
      </c>
      <c r="N387" s="403" t="b">
        <f t="shared" si="163"/>
        <v>1</v>
      </c>
      <c r="O387" s="403" t="b">
        <f t="shared" si="163"/>
        <v>1</v>
      </c>
      <c r="P387" s="403" t="b">
        <f t="shared" si="163"/>
        <v>1</v>
      </c>
      <c r="Q387" s="403" t="b">
        <f t="shared" si="163"/>
        <v>1</v>
      </c>
      <c r="R387" s="403" t="b">
        <f t="shared" si="163"/>
        <v>1</v>
      </c>
      <c r="S387" s="403" t="b">
        <f t="shared" si="163"/>
        <v>1</v>
      </c>
      <c r="T387" s="403" t="b">
        <f t="shared" si="163"/>
        <v>1</v>
      </c>
      <c r="U387" s="403" t="b">
        <f t="shared" si="163"/>
        <v>1</v>
      </c>
      <c r="V387" s="403" t="b">
        <f t="shared" si="163"/>
        <v>1</v>
      </c>
      <c r="W387" s="403" t="b">
        <f t="shared" si="163"/>
        <v>1</v>
      </c>
      <c r="X387" s="403" t="b">
        <f t="shared" si="163"/>
        <v>1</v>
      </c>
      <c r="Y387" s="403" t="b">
        <f t="shared" si="163"/>
        <v>1</v>
      </c>
      <c r="Z387" s="403" t="b">
        <f t="shared" si="163"/>
        <v>1</v>
      </c>
      <c r="AA387" s="403" t="b">
        <f t="shared" si="163"/>
        <v>1</v>
      </c>
      <c r="AB387" s="403" t="b">
        <f t="shared" si="163"/>
        <v>1</v>
      </c>
      <c r="AC387" s="403" t="b">
        <f t="shared" si="163"/>
        <v>1</v>
      </c>
      <c r="AD387" s="403" t="b">
        <f t="shared" si="163"/>
        <v>1</v>
      </c>
      <c r="AE387" s="403" t="b">
        <f t="shared" si="163"/>
        <v>1</v>
      </c>
      <c r="AF387" s="403" t="b">
        <f t="shared" si="163"/>
        <v>1</v>
      </c>
      <c r="AG387" s="403" t="b">
        <f t="shared" si="163"/>
        <v>1</v>
      </c>
      <c r="AH387" s="403" t="b">
        <f t="shared" si="163"/>
        <v>1</v>
      </c>
      <c r="AI387" s="403" t="b">
        <f t="shared" si="163"/>
        <v>1</v>
      </c>
      <c r="AJ387" s="403" t="b">
        <f t="shared" si="163"/>
        <v>1</v>
      </c>
      <c r="AK387" s="403" t="b">
        <f t="shared" si="163"/>
        <v>1</v>
      </c>
      <c r="AL387" s="403" t="b">
        <f t="shared" si="163"/>
        <v>1</v>
      </c>
      <c r="AM387" s="403" t="b">
        <f t="shared" si="163"/>
        <v>1</v>
      </c>
      <c r="AN387" s="403" t="b">
        <f t="shared" si="163"/>
        <v>1</v>
      </c>
      <c r="AO387" s="403"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6"/>
      <c r="K390" s="326"/>
      <c r="L390" s="326"/>
      <c r="M390" s="326"/>
      <c r="N390" s="326"/>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row>
    <row r="391" spans="3:41" x14ac:dyDescent="0.25">
      <c r="C391" s="24"/>
      <c r="E391" s="27" t="s">
        <v>1101</v>
      </c>
      <c r="F391" s="28"/>
      <c r="G391" s="28"/>
      <c r="H391" s="28"/>
      <c r="I391" s="28"/>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c r="AO391" s="403"/>
    </row>
    <row r="392" spans="3:41" x14ac:dyDescent="0.25">
      <c r="C392" s="24"/>
      <c r="F392" s="19" t="s">
        <v>1097</v>
      </c>
      <c r="G392" s="19" t="s">
        <v>907</v>
      </c>
      <c r="H392" s="19"/>
      <c r="I392" s="19"/>
      <c r="J392" s="408">
        <f t="shared" ref="J392:AO392" si="165">J305</f>
        <v>0</v>
      </c>
      <c r="K392" s="408">
        <f t="shared" si="165"/>
        <v>0</v>
      </c>
      <c r="L392" s="408">
        <f t="shared" si="165"/>
        <v>0</v>
      </c>
      <c r="M392" s="408">
        <f t="shared" si="165"/>
        <v>0</v>
      </c>
      <c r="N392" s="408">
        <f t="shared" si="165"/>
        <v>0</v>
      </c>
      <c r="O392" s="408">
        <f t="shared" si="165"/>
        <v>0</v>
      </c>
      <c r="P392" s="408">
        <f t="shared" si="165"/>
        <v>0</v>
      </c>
      <c r="Q392" s="408">
        <f t="shared" si="165"/>
        <v>0</v>
      </c>
      <c r="R392" s="408">
        <f t="shared" si="165"/>
        <v>0</v>
      </c>
      <c r="S392" s="408">
        <f t="shared" si="165"/>
        <v>0</v>
      </c>
      <c r="T392" s="408">
        <f t="shared" si="165"/>
        <v>0</v>
      </c>
      <c r="U392" s="408">
        <f t="shared" si="165"/>
        <v>0</v>
      </c>
      <c r="V392" s="408">
        <f t="shared" si="165"/>
        <v>0</v>
      </c>
      <c r="W392" s="408">
        <f t="shared" si="165"/>
        <v>0</v>
      </c>
      <c r="X392" s="408">
        <f t="shared" si="165"/>
        <v>0</v>
      </c>
      <c r="Y392" s="408">
        <f t="shared" si="165"/>
        <v>0</v>
      </c>
      <c r="Z392" s="408">
        <f t="shared" si="165"/>
        <v>0</v>
      </c>
      <c r="AA392" s="408">
        <f t="shared" si="165"/>
        <v>0</v>
      </c>
      <c r="AB392" s="408">
        <f t="shared" si="165"/>
        <v>0</v>
      </c>
      <c r="AC392" s="408">
        <f t="shared" si="165"/>
        <v>0</v>
      </c>
      <c r="AD392" s="408">
        <f t="shared" si="165"/>
        <v>0</v>
      </c>
      <c r="AE392" s="408">
        <f t="shared" si="165"/>
        <v>0</v>
      </c>
      <c r="AF392" s="408">
        <f t="shared" si="165"/>
        <v>0</v>
      </c>
      <c r="AG392" s="408">
        <f t="shared" si="165"/>
        <v>0</v>
      </c>
      <c r="AH392" s="408">
        <f t="shared" si="165"/>
        <v>0</v>
      </c>
      <c r="AI392" s="408">
        <f t="shared" si="165"/>
        <v>0</v>
      </c>
      <c r="AJ392" s="408">
        <f t="shared" si="165"/>
        <v>0</v>
      </c>
      <c r="AK392" s="408">
        <f t="shared" si="165"/>
        <v>0</v>
      </c>
      <c r="AL392" s="408">
        <f t="shared" si="165"/>
        <v>0</v>
      </c>
      <c r="AM392" s="408">
        <f t="shared" si="165"/>
        <v>0</v>
      </c>
      <c r="AN392" s="408">
        <f t="shared" si="165"/>
        <v>0</v>
      </c>
      <c r="AO392" s="408">
        <f t="shared" si="165"/>
        <v>0</v>
      </c>
    </row>
    <row r="393" spans="3:41" x14ac:dyDescent="0.25">
      <c r="C393" s="24"/>
      <c r="F393" t="s">
        <v>1098</v>
      </c>
      <c r="G393" t="s">
        <v>907</v>
      </c>
      <c r="J393" s="408">
        <f t="shared" ref="J393:AO393" si="166">J337</f>
        <v>0</v>
      </c>
      <c r="K393" s="408">
        <f t="shared" si="166"/>
        <v>0</v>
      </c>
      <c r="L393" s="408">
        <f t="shared" si="166"/>
        <v>0</v>
      </c>
      <c r="M393" s="408">
        <f t="shared" si="166"/>
        <v>0</v>
      </c>
      <c r="N393" s="408">
        <f t="shared" si="166"/>
        <v>0</v>
      </c>
      <c r="O393" s="408">
        <f t="shared" si="166"/>
        <v>0</v>
      </c>
      <c r="P393" s="408">
        <f t="shared" si="166"/>
        <v>0</v>
      </c>
      <c r="Q393" s="408">
        <f t="shared" si="166"/>
        <v>0</v>
      </c>
      <c r="R393" s="408">
        <f t="shared" si="166"/>
        <v>0</v>
      </c>
      <c r="S393" s="408">
        <f t="shared" si="166"/>
        <v>0</v>
      </c>
      <c r="T393" s="408">
        <f t="shared" si="166"/>
        <v>0</v>
      </c>
      <c r="U393" s="408">
        <f t="shared" si="166"/>
        <v>0</v>
      </c>
      <c r="V393" s="408">
        <f t="shared" si="166"/>
        <v>0</v>
      </c>
      <c r="W393" s="408">
        <f t="shared" si="166"/>
        <v>0</v>
      </c>
      <c r="X393" s="408">
        <f t="shared" si="166"/>
        <v>0</v>
      </c>
      <c r="Y393" s="408">
        <f t="shared" si="166"/>
        <v>0</v>
      </c>
      <c r="Z393" s="408">
        <f t="shared" si="166"/>
        <v>0</v>
      </c>
      <c r="AA393" s="408">
        <f t="shared" si="166"/>
        <v>0</v>
      </c>
      <c r="AB393" s="408">
        <f t="shared" si="166"/>
        <v>0</v>
      </c>
      <c r="AC393" s="408">
        <f t="shared" si="166"/>
        <v>0</v>
      </c>
      <c r="AD393" s="408">
        <f t="shared" si="166"/>
        <v>0</v>
      </c>
      <c r="AE393" s="408">
        <f t="shared" si="166"/>
        <v>0</v>
      </c>
      <c r="AF393" s="408">
        <f t="shared" si="166"/>
        <v>0</v>
      </c>
      <c r="AG393" s="408">
        <f t="shared" si="166"/>
        <v>0</v>
      </c>
      <c r="AH393" s="408">
        <f t="shared" si="166"/>
        <v>0</v>
      </c>
      <c r="AI393" s="408">
        <f t="shared" si="166"/>
        <v>0</v>
      </c>
      <c r="AJ393" s="408">
        <f t="shared" si="166"/>
        <v>0</v>
      </c>
      <c r="AK393" s="408">
        <f t="shared" si="166"/>
        <v>0</v>
      </c>
      <c r="AL393" s="408">
        <f t="shared" si="166"/>
        <v>0</v>
      </c>
      <c r="AM393" s="408">
        <f t="shared" si="166"/>
        <v>0</v>
      </c>
      <c r="AN393" s="408">
        <f t="shared" si="166"/>
        <v>0</v>
      </c>
      <c r="AO393" s="408">
        <f t="shared" si="166"/>
        <v>0</v>
      </c>
    </row>
    <row r="394" spans="3:41" x14ac:dyDescent="0.25">
      <c r="C394" s="24"/>
      <c r="F394" s="28" t="s">
        <v>1099</v>
      </c>
      <c r="G394" s="28" t="s">
        <v>907</v>
      </c>
      <c r="H394" s="28"/>
      <c r="I394" s="28"/>
      <c r="J394" s="399">
        <f t="shared" ref="J394:AO394" si="167">J369</f>
        <v>0</v>
      </c>
      <c r="K394" s="399">
        <f t="shared" si="167"/>
        <v>0</v>
      </c>
      <c r="L394" s="399">
        <f t="shared" si="167"/>
        <v>0</v>
      </c>
      <c r="M394" s="399">
        <f t="shared" si="167"/>
        <v>0</v>
      </c>
      <c r="N394" s="399">
        <f t="shared" si="167"/>
        <v>0</v>
      </c>
      <c r="O394" s="399">
        <f t="shared" si="167"/>
        <v>0</v>
      </c>
      <c r="P394" s="399">
        <f t="shared" si="167"/>
        <v>0</v>
      </c>
      <c r="Q394" s="399">
        <f t="shared" si="167"/>
        <v>0</v>
      </c>
      <c r="R394" s="399">
        <f t="shared" si="167"/>
        <v>0</v>
      </c>
      <c r="S394" s="399">
        <f t="shared" si="167"/>
        <v>0</v>
      </c>
      <c r="T394" s="399">
        <f t="shared" si="167"/>
        <v>0</v>
      </c>
      <c r="U394" s="399">
        <f t="shared" si="167"/>
        <v>0</v>
      </c>
      <c r="V394" s="399">
        <f t="shared" si="167"/>
        <v>0</v>
      </c>
      <c r="W394" s="399">
        <f t="shared" si="167"/>
        <v>0</v>
      </c>
      <c r="X394" s="399">
        <f t="shared" si="167"/>
        <v>0</v>
      </c>
      <c r="Y394" s="399">
        <f t="shared" si="167"/>
        <v>0</v>
      </c>
      <c r="Z394" s="399">
        <f t="shared" si="167"/>
        <v>0</v>
      </c>
      <c r="AA394" s="399">
        <f t="shared" si="167"/>
        <v>0</v>
      </c>
      <c r="AB394" s="399">
        <f t="shared" si="167"/>
        <v>0</v>
      </c>
      <c r="AC394" s="399">
        <f t="shared" si="167"/>
        <v>0</v>
      </c>
      <c r="AD394" s="399">
        <f t="shared" si="167"/>
        <v>0</v>
      </c>
      <c r="AE394" s="399">
        <f t="shared" si="167"/>
        <v>0</v>
      </c>
      <c r="AF394" s="399">
        <f t="shared" si="167"/>
        <v>0</v>
      </c>
      <c r="AG394" s="399">
        <f t="shared" si="167"/>
        <v>0</v>
      </c>
      <c r="AH394" s="399">
        <f t="shared" si="167"/>
        <v>0</v>
      </c>
      <c r="AI394" s="399">
        <f t="shared" si="167"/>
        <v>0</v>
      </c>
      <c r="AJ394" s="399">
        <f t="shared" si="167"/>
        <v>0</v>
      </c>
      <c r="AK394" s="399">
        <f t="shared" si="167"/>
        <v>0</v>
      </c>
      <c r="AL394" s="399">
        <f t="shared" si="167"/>
        <v>0</v>
      </c>
      <c r="AM394" s="399">
        <f t="shared" si="167"/>
        <v>0</v>
      </c>
      <c r="AN394" s="399">
        <f t="shared" si="167"/>
        <v>0</v>
      </c>
      <c r="AO394" s="399">
        <f t="shared" si="167"/>
        <v>0</v>
      </c>
    </row>
    <row r="395" spans="3:41" x14ac:dyDescent="0.25">
      <c r="C395" s="24"/>
      <c r="J395" s="326"/>
      <c r="K395" s="326"/>
      <c r="L395" s="326"/>
      <c r="M395" s="326"/>
      <c r="N395" s="326"/>
      <c r="O395" s="326"/>
      <c r="P395" s="326"/>
      <c r="Q395" s="326"/>
      <c r="R395" s="326"/>
      <c r="S395" s="326"/>
      <c r="T395" s="326"/>
      <c r="U395" s="326"/>
      <c r="V395" s="326"/>
      <c r="W395" s="326"/>
      <c r="X395" s="326"/>
      <c r="Y395" s="326"/>
      <c r="Z395" s="326"/>
      <c r="AA395" s="326"/>
      <c r="AB395" s="326"/>
      <c r="AC395" s="326"/>
      <c r="AD395" s="326"/>
      <c r="AE395" s="326"/>
      <c r="AF395" s="326"/>
      <c r="AG395" s="326"/>
      <c r="AH395" s="326"/>
      <c r="AI395" s="326"/>
      <c r="AJ395" s="326"/>
      <c r="AK395" s="326"/>
      <c r="AL395" s="326"/>
      <c r="AM395" s="326"/>
      <c r="AN395" s="326"/>
      <c r="AO395" s="326"/>
    </row>
    <row r="396" spans="3:41" x14ac:dyDescent="0.25">
      <c r="C396" s="24"/>
      <c r="E396" s="397" t="s">
        <v>1102</v>
      </c>
      <c r="G396" t="s">
        <v>269</v>
      </c>
      <c r="J396" s="326">
        <f>INDEX(J392:J394,J389)</f>
        <v>0</v>
      </c>
      <c r="K396" s="326">
        <f t="shared" ref="K396:AO396" si="168">INDEX(K392:K394,K389)</f>
        <v>0</v>
      </c>
      <c r="L396" s="326">
        <f t="shared" si="168"/>
        <v>0</v>
      </c>
      <c r="M396" s="326">
        <f t="shared" si="168"/>
        <v>0</v>
      </c>
      <c r="N396" s="326">
        <f t="shared" si="168"/>
        <v>0</v>
      </c>
      <c r="O396" s="326">
        <f t="shared" si="168"/>
        <v>0</v>
      </c>
      <c r="P396" s="326">
        <f t="shared" si="168"/>
        <v>0</v>
      </c>
      <c r="Q396" s="326">
        <f t="shared" si="168"/>
        <v>0</v>
      </c>
      <c r="R396" s="326">
        <f t="shared" si="168"/>
        <v>0</v>
      </c>
      <c r="S396" s="326">
        <f t="shared" si="168"/>
        <v>0</v>
      </c>
      <c r="T396" s="326">
        <f t="shared" si="168"/>
        <v>0</v>
      </c>
      <c r="U396" s="326">
        <f t="shared" si="168"/>
        <v>0</v>
      </c>
      <c r="V396" s="326">
        <f t="shared" si="168"/>
        <v>0</v>
      </c>
      <c r="W396" s="326">
        <f t="shared" si="168"/>
        <v>0</v>
      </c>
      <c r="X396" s="326">
        <f t="shared" si="168"/>
        <v>0</v>
      </c>
      <c r="Y396" s="326">
        <f t="shared" si="168"/>
        <v>0</v>
      </c>
      <c r="Z396" s="326">
        <f t="shared" si="168"/>
        <v>0</v>
      </c>
      <c r="AA396" s="326">
        <f t="shared" si="168"/>
        <v>0</v>
      </c>
      <c r="AB396" s="326">
        <f t="shared" si="168"/>
        <v>0</v>
      </c>
      <c r="AC396" s="326">
        <f t="shared" si="168"/>
        <v>0</v>
      </c>
      <c r="AD396" s="326">
        <f t="shared" si="168"/>
        <v>0</v>
      </c>
      <c r="AE396" s="326">
        <f t="shared" si="168"/>
        <v>0</v>
      </c>
      <c r="AF396" s="326">
        <f t="shared" si="168"/>
        <v>0</v>
      </c>
      <c r="AG396" s="326">
        <f t="shared" si="168"/>
        <v>0</v>
      </c>
      <c r="AH396" s="326">
        <f t="shared" si="168"/>
        <v>0</v>
      </c>
      <c r="AI396" s="326">
        <f t="shared" si="168"/>
        <v>0</v>
      </c>
      <c r="AJ396" s="326">
        <f t="shared" si="168"/>
        <v>0</v>
      </c>
      <c r="AK396" s="326">
        <f t="shared" si="168"/>
        <v>0</v>
      </c>
      <c r="AL396" s="326">
        <f t="shared" si="168"/>
        <v>0</v>
      </c>
      <c r="AM396" s="326">
        <f t="shared" si="168"/>
        <v>0</v>
      </c>
      <c r="AN396" s="326">
        <f t="shared" si="168"/>
        <v>0</v>
      </c>
      <c r="AO396" s="326">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269</v>
      </c>
      <c r="H399" s="19"/>
      <c r="I399" s="19"/>
      <c r="J399" s="398">
        <f t="shared" ref="J399:AO401" si="169">MAX(J$396, J263)</f>
        <v>0</v>
      </c>
      <c r="K399" s="398">
        <f t="shared" si="169"/>
        <v>0</v>
      </c>
      <c r="L399" s="398">
        <f t="shared" si="169"/>
        <v>0</v>
      </c>
      <c r="M399" s="398">
        <f t="shared" si="169"/>
        <v>0</v>
      </c>
      <c r="N399" s="398">
        <f t="shared" si="169"/>
        <v>0</v>
      </c>
      <c r="O399" s="398">
        <f t="shared" si="169"/>
        <v>0</v>
      </c>
      <c r="P399" s="398">
        <f t="shared" si="169"/>
        <v>0</v>
      </c>
      <c r="Q399" s="398">
        <f t="shared" si="169"/>
        <v>0</v>
      </c>
      <c r="R399" s="398">
        <f t="shared" si="169"/>
        <v>0</v>
      </c>
      <c r="S399" s="398">
        <f t="shared" si="169"/>
        <v>0</v>
      </c>
      <c r="T399" s="398">
        <f t="shared" si="169"/>
        <v>0</v>
      </c>
      <c r="U399" s="398">
        <f t="shared" si="169"/>
        <v>0</v>
      </c>
      <c r="V399" s="398">
        <f t="shared" si="169"/>
        <v>0</v>
      </c>
      <c r="W399" s="398">
        <f t="shared" si="169"/>
        <v>0</v>
      </c>
      <c r="X399" s="398">
        <f t="shared" si="169"/>
        <v>0</v>
      </c>
      <c r="Y399" s="398">
        <f t="shared" si="169"/>
        <v>0</v>
      </c>
      <c r="Z399" s="398">
        <f t="shared" si="169"/>
        <v>0</v>
      </c>
      <c r="AA399" s="398">
        <f t="shared" si="169"/>
        <v>0</v>
      </c>
      <c r="AB399" s="398">
        <f t="shared" si="169"/>
        <v>0</v>
      </c>
      <c r="AC399" s="398">
        <f t="shared" si="169"/>
        <v>0</v>
      </c>
      <c r="AD399" s="398">
        <f t="shared" si="169"/>
        <v>0</v>
      </c>
      <c r="AE399" s="398">
        <f t="shared" si="169"/>
        <v>0</v>
      </c>
      <c r="AF399" s="398">
        <f t="shared" si="169"/>
        <v>0</v>
      </c>
      <c r="AG399" s="398">
        <f t="shared" si="169"/>
        <v>0</v>
      </c>
      <c r="AH399" s="398">
        <f t="shared" si="169"/>
        <v>0</v>
      </c>
      <c r="AI399" s="398">
        <f t="shared" si="169"/>
        <v>0</v>
      </c>
      <c r="AJ399" s="398">
        <f t="shared" si="169"/>
        <v>0</v>
      </c>
      <c r="AK399" s="398">
        <f t="shared" si="169"/>
        <v>0</v>
      </c>
      <c r="AL399" s="398">
        <f t="shared" si="169"/>
        <v>0</v>
      </c>
      <c r="AM399" s="398">
        <f t="shared" si="169"/>
        <v>0</v>
      </c>
      <c r="AN399" s="398">
        <f t="shared" si="169"/>
        <v>0</v>
      </c>
      <c r="AO399" s="398">
        <f t="shared" si="169"/>
        <v>0</v>
      </c>
    </row>
    <row r="400" spans="3:41" x14ac:dyDescent="0.25">
      <c r="C400" s="24"/>
      <c r="F400" t="s">
        <v>1057</v>
      </c>
      <c r="G400" t="s">
        <v>269</v>
      </c>
      <c r="J400" s="326">
        <f t="shared" si="169"/>
        <v>0</v>
      </c>
      <c r="K400" s="326">
        <f t="shared" si="169"/>
        <v>0</v>
      </c>
      <c r="L400" s="326">
        <f t="shared" si="169"/>
        <v>0</v>
      </c>
      <c r="M400" s="326">
        <f t="shared" si="169"/>
        <v>0</v>
      </c>
      <c r="N400" s="326">
        <f t="shared" si="169"/>
        <v>0</v>
      </c>
      <c r="O400" s="326">
        <f t="shared" si="169"/>
        <v>0</v>
      </c>
      <c r="P400" s="326">
        <f t="shared" si="169"/>
        <v>0</v>
      </c>
      <c r="Q400" s="326">
        <f t="shared" si="169"/>
        <v>0</v>
      </c>
      <c r="R400" s="326">
        <f t="shared" si="169"/>
        <v>0</v>
      </c>
      <c r="S400" s="326">
        <f t="shared" si="169"/>
        <v>0</v>
      </c>
      <c r="T400" s="326">
        <f t="shared" si="169"/>
        <v>0</v>
      </c>
      <c r="U400" s="326">
        <f t="shared" si="169"/>
        <v>0</v>
      </c>
      <c r="V400" s="326">
        <f t="shared" si="169"/>
        <v>0</v>
      </c>
      <c r="W400" s="326">
        <f t="shared" si="169"/>
        <v>0</v>
      </c>
      <c r="X400" s="326">
        <f t="shared" si="169"/>
        <v>0</v>
      </c>
      <c r="Y400" s="326">
        <f t="shared" si="169"/>
        <v>0</v>
      </c>
      <c r="Z400" s="326">
        <f t="shared" si="169"/>
        <v>0</v>
      </c>
      <c r="AA400" s="326">
        <f t="shared" si="169"/>
        <v>0</v>
      </c>
      <c r="AB400" s="326">
        <f t="shared" si="169"/>
        <v>0</v>
      </c>
      <c r="AC400" s="326">
        <f t="shared" si="169"/>
        <v>0</v>
      </c>
      <c r="AD400" s="326">
        <f t="shared" si="169"/>
        <v>0</v>
      </c>
      <c r="AE400" s="326">
        <f t="shared" si="169"/>
        <v>0</v>
      </c>
      <c r="AF400" s="326">
        <f t="shared" si="169"/>
        <v>0</v>
      </c>
      <c r="AG400" s="326">
        <f t="shared" si="169"/>
        <v>0</v>
      </c>
      <c r="AH400" s="326">
        <f t="shared" si="169"/>
        <v>0</v>
      </c>
      <c r="AI400" s="326">
        <f t="shared" si="169"/>
        <v>0</v>
      </c>
      <c r="AJ400" s="326">
        <f t="shared" si="169"/>
        <v>0</v>
      </c>
      <c r="AK400" s="326">
        <f t="shared" si="169"/>
        <v>0</v>
      </c>
      <c r="AL400" s="326">
        <f t="shared" si="169"/>
        <v>0</v>
      </c>
      <c r="AM400" s="326">
        <f t="shared" si="169"/>
        <v>0</v>
      </c>
      <c r="AN400" s="326">
        <f t="shared" si="169"/>
        <v>0</v>
      </c>
      <c r="AO400" s="326">
        <f t="shared" si="169"/>
        <v>0</v>
      </c>
    </row>
    <row r="401" spans="2:43" x14ac:dyDescent="0.25">
      <c r="C401" s="24"/>
      <c r="F401" s="28" t="s">
        <v>1058</v>
      </c>
      <c r="G401" s="28" t="s">
        <v>269</v>
      </c>
      <c r="H401" s="28"/>
      <c r="I401" s="28"/>
      <c r="J401" s="399">
        <f t="shared" si="169"/>
        <v>0</v>
      </c>
      <c r="K401" s="399">
        <f t="shared" si="169"/>
        <v>0</v>
      </c>
      <c r="L401" s="399">
        <f t="shared" si="169"/>
        <v>0</v>
      </c>
      <c r="M401" s="399">
        <f t="shared" si="169"/>
        <v>0</v>
      </c>
      <c r="N401" s="399">
        <f t="shared" si="169"/>
        <v>0</v>
      </c>
      <c r="O401" s="399">
        <f t="shared" si="169"/>
        <v>0</v>
      </c>
      <c r="P401" s="399">
        <f t="shared" si="169"/>
        <v>0</v>
      </c>
      <c r="Q401" s="399">
        <f t="shared" si="169"/>
        <v>0</v>
      </c>
      <c r="R401" s="399">
        <f t="shared" si="169"/>
        <v>0</v>
      </c>
      <c r="S401" s="399">
        <f t="shared" si="169"/>
        <v>0</v>
      </c>
      <c r="T401" s="399">
        <f t="shared" si="169"/>
        <v>0</v>
      </c>
      <c r="U401" s="399">
        <f t="shared" si="169"/>
        <v>0</v>
      </c>
      <c r="V401" s="399">
        <f t="shared" si="169"/>
        <v>0</v>
      </c>
      <c r="W401" s="399">
        <f t="shared" si="169"/>
        <v>0</v>
      </c>
      <c r="X401" s="399">
        <f t="shared" si="169"/>
        <v>0</v>
      </c>
      <c r="Y401" s="399">
        <f t="shared" si="169"/>
        <v>0</v>
      </c>
      <c r="Z401" s="399">
        <f t="shared" si="169"/>
        <v>0</v>
      </c>
      <c r="AA401" s="399">
        <f t="shared" si="169"/>
        <v>0</v>
      </c>
      <c r="AB401" s="399">
        <f t="shared" si="169"/>
        <v>0</v>
      </c>
      <c r="AC401" s="399">
        <f t="shared" si="169"/>
        <v>0</v>
      </c>
      <c r="AD401" s="399">
        <f t="shared" si="169"/>
        <v>0</v>
      </c>
      <c r="AE401" s="399">
        <f t="shared" si="169"/>
        <v>0</v>
      </c>
      <c r="AF401" s="399">
        <f t="shared" si="169"/>
        <v>0</v>
      </c>
      <c r="AG401" s="399">
        <f t="shared" si="169"/>
        <v>0</v>
      </c>
      <c r="AH401" s="399">
        <f t="shared" si="169"/>
        <v>0</v>
      </c>
      <c r="AI401" s="399">
        <f t="shared" si="169"/>
        <v>0</v>
      </c>
      <c r="AJ401" s="399">
        <f t="shared" si="169"/>
        <v>0</v>
      </c>
      <c r="AK401" s="399">
        <f t="shared" si="169"/>
        <v>0</v>
      </c>
      <c r="AL401" s="399">
        <f t="shared" si="169"/>
        <v>0</v>
      </c>
      <c r="AM401" s="399">
        <f t="shared" si="169"/>
        <v>0</v>
      </c>
      <c r="AN401" s="399">
        <f t="shared" si="169"/>
        <v>0</v>
      </c>
      <c r="AO401" s="399">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156</v>
      </c>
      <c r="G404" s="19" t="s">
        <v>269</v>
      </c>
      <c r="H404" s="19"/>
      <c r="I404" s="19"/>
      <c r="J404" s="398">
        <f t="shared" ref="J404:AO406" si="170">IF(J$238, INDEX(J$399:J$401,J268), 0)</f>
        <v>0</v>
      </c>
      <c r="K404" s="398">
        <f t="shared" si="170"/>
        <v>0</v>
      </c>
      <c r="L404" s="398">
        <f t="shared" si="170"/>
        <v>0</v>
      </c>
      <c r="M404" s="398">
        <f t="shared" si="170"/>
        <v>0</v>
      </c>
      <c r="N404" s="398">
        <f t="shared" si="170"/>
        <v>0</v>
      </c>
      <c r="O404" s="398">
        <f t="shared" si="170"/>
        <v>0</v>
      </c>
      <c r="P404" s="398">
        <f t="shared" si="170"/>
        <v>0</v>
      </c>
      <c r="Q404" s="398">
        <f t="shared" si="170"/>
        <v>0</v>
      </c>
      <c r="R404" s="398">
        <f t="shared" si="170"/>
        <v>0</v>
      </c>
      <c r="S404" s="398">
        <f t="shared" si="170"/>
        <v>0</v>
      </c>
      <c r="T404" s="398">
        <f t="shared" si="170"/>
        <v>0</v>
      </c>
      <c r="U404" s="398">
        <f t="shared" si="170"/>
        <v>0</v>
      </c>
      <c r="V404" s="398">
        <f t="shared" si="170"/>
        <v>0</v>
      </c>
      <c r="W404" s="398">
        <f t="shared" si="170"/>
        <v>0</v>
      </c>
      <c r="X404" s="398">
        <f t="shared" si="170"/>
        <v>0</v>
      </c>
      <c r="Y404" s="398">
        <f t="shared" si="170"/>
        <v>0</v>
      </c>
      <c r="Z404" s="398">
        <f t="shared" si="170"/>
        <v>0</v>
      </c>
      <c r="AA404" s="398">
        <f t="shared" si="170"/>
        <v>0</v>
      </c>
      <c r="AB404" s="398">
        <f t="shared" si="170"/>
        <v>0</v>
      </c>
      <c r="AC404" s="398">
        <f t="shared" si="170"/>
        <v>0</v>
      </c>
      <c r="AD404" s="398">
        <f t="shared" si="170"/>
        <v>0</v>
      </c>
      <c r="AE404" s="398">
        <f t="shared" si="170"/>
        <v>0</v>
      </c>
      <c r="AF404" s="398">
        <f t="shared" si="170"/>
        <v>0</v>
      </c>
      <c r="AG404" s="398">
        <f t="shared" si="170"/>
        <v>0</v>
      </c>
      <c r="AH404" s="398">
        <f t="shared" si="170"/>
        <v>0</v>
      </c>
      <c r="AI404" s="398">
        <f t="shared" si="170"/>
        <v>0</v>
      </c>
      <c r="AJ404" s="398">
        <f t="shared" si="170"/>
        <v>0</v>
      </c>
      <c r="AK404" s="398">
        <f t="shared" si="170"/>
        <v>0</v>
      </c>
      <c r="AL404" s="398">
        <f t="shared" si="170"/>
        <v>0</v>
      </c>
      <c r="AM404" s="398">
        <f t="shared" si="170"/>
        <v>0</v>
      </c>
      <c r="AN404" s="398">
        <f t="shared" si="170"/>
        <v>0</v>
      </c>
      <c r="AO404" s="398">
        <f t="shared" si="170"/>
        <v>0</v>
      </c>
    </row>
    <row r="405" spans="2:43" x14ac:dyDescent="0.25">
      <c r="C405" s="24"/>
      <c r="F405" t="s">
        <v>157</v>
      </c>
      <c r="G405" t="s">
        <v>269</v>
      </c>
      <c r="J405" s="326">
        <f t="shared" si="170"/>
        <v>0</v>
      </c>
      <c r="K405" s="326">
        <f t="shared" si="170"/>
        <v>0</v>
      </c>
      <c r="L405" s="326">
        <f t="shared" si="170"/>
        <v>0</v>
      </c>
      <c r="M405" s="326">
        <f t="shared" si="170"/>
        <v>0</v>
      </c>
      <c r="N405" s="326">
        <f t="shared" si="170"/>
        <v>0</v>
      </c>
      <c r="O405" s="326">
        <f t="shared" si="170"/>
        <v>0</v>
      </c>
      <c r="P405" s="326">
        <f t="shared" si="170"/>
        <v>0</v>
      </c>
      <c r="Q405" s="326">
        <f t="shared" si="170"/>
        <v>0</v>
      </c>
      <c r="R405" s="326">
        <f t="shared" si="170"/>
        <v>0</v>
      </c>
      <c r="S405" s="326">
        <f t="shared" si="170"/>
        <v>0</v>
      </c>
      <c r="T405" s="326">
        <f t="shared" si="170"/>
        <v>0</v>
      </c>
      <c r="U405" s="326">
        <f t="shared" si="170"/>
        <v>0</v>
      </c>
      <c r="V405" s="326">
        <f t="shared" si="170"/>
        <v>0</v>
      </c>
      <c r="W405" s="326">
        <f t="shared" si="170"/>
        <v>0</v>
      </c>
      <c r="X405" s="326">
        <f t="shared" si="170"/>
        <v>0</v>
      </c>
      <c r="Y405" s="326">
        <f t="shared" si="170"/>
        <v>0</v>
      </c>
      <c r="Z405" s="326">
        <f t="shared" si="170"/>
        <v>0</v>
      </c>
      <c r="AA405" s="326">
        <f t="shared" si="170"/>
        <v>0</v>
      </c>
      <c r="AB405" s="326">
        <f t="shared" si="170"/>
        <v>0</v>
      </c>
      <c r="AC405" s="326">
        <f t="shared" si="170"/>
        <v>0</v>
      </c>
      <c r="AD405" s="326">
        <f t="shared" si="170"/>
        <v>0</v>
      </c>
      <c r="AE405" s="326">
        <f t="shared" si="170"/>
        <v>0</v>
      </c>
      <c r="AF405" s="326">
        <f t="shared" si="170"/>
        <v>0</v>
      </c>
      <c r="AG405" s="326">
        <f t="shared" si="170"/>
        <v>0</v>
      </c>
      <c r="AH405" s="326">
        <f t="shared" si="170"/>
        <v>0</v>
      </c>
      <c r="AI405" s="326">
        <f t="shared" si="170"/>
        <v>0</v>
      </c>
      <c r="AJ405" s="326">
        <f t="shared" si="170"/>
        <v>0</v>
      </c>
      <c r="AK405" s="326">
        <f t="shared" si="170"/>
        <v>0</v>
      </c>
      <c r="AL405" s="326">
        <f t="shared" si="170"/>
        <v>0</v>
      </c>
      <c r="AM405" s="326">
        <f t="shared" si="170"/>
        <v>0</v>
      </c>
      <c r="AN405" s="326">
        <f t="shared" si="170"/>
        <v>0</v>
      </c>
      <c r="AO405" s="326">
        <f t="shared" si="170"/>
        <v>0</v>
      </c>
    </row>
    <row r="406" spans="2:43" x14ac:dyDescent="0.25">
      <c r="C406" s="24"/>
      <c r="F406" s="28" t="s">
        <v>158</v>
      </c>
      <c r="G406" s="28" t="s">
        <v>269</v>
      </c>
      <c r="H406" s="28"/>
      <c r="I406" s="28"/>
      <c r="J406" s="399">
        <f t="shared" si="170"/>
        <v>0</v>
      </c>
      <c r="K406" s="399">
        <f t="shared" si="170"/>
        <v>0</v>
      </c>
      <c r="L406" s="399">
        <f t="shared" si="170"/>
        <v>0</v>
      </c>
      <c r="M406" s="399">
        <f t="shared" si="170"/>
        <v>0</v>
      </c>
      <c r="N406" s="399">
        <f t="shared" si="170"/>
        <v>0</v>
      </c>
      <c r="O406" s="399">
        <f t="shared" si="170"/>
        <v>0</v>
      </c>
      <c r="P406" s="399">
        <f t="shared" si="170"/>
        <v>0</v>
      </c>
      <c r="Q406" s="399">
        <f t="shared" si="170"/>
        <v>0</v>
      </c>
      <c r="R406" s="399">
        <f t="shared" si="170"/>
        <v>0</v>
      </c>
      <c r="S406" s="399">
        <f t="shared" si="170"/>
        <v>0</v>
      </c>
      <c r="T406" s="399">
        <f t="shared" si="170"/>
        <v>0</v>
      </c>
      <c r="U406" s="399">
        <f t="shared" si="170"/>
        <v>0</v>
      </c>
      <c r="V406" s="399">
        <f t="shared" si="170"/>
        <v>0</v>
      </c>
      <c r="W406" s="399">
        <f t="shared" si="170"/>
        <v>0</v>
      </c>
      <c r="X406" s="399">
        <f t="shared" si="170"/>
        <v>0</v>
      </c>
      <c r="Y406" s="399">
        <f t="shared" si="170"/>
        <v>0</v>
      </c>
      <c r="Z406" s="399">
        <f t="shared" si="170"/>
        <v>0</v>
      </c>
      <c r="AA406" s="399">
        <f t="shared" si="170"/>
        <v>0</v>
      </c>
      <c r="AB406" s="399">
        <f t="shared" si="170"/>
        <v>0</v>
      </c>
      <c r="AC406" s="399">
        <f t="shared" si="170"/>
        <v>0</v>
      </c>
      <c r="AD406" s="399">
        <f t="shared" si="170"/>
        <v>0</v>
      </c>
      <c r="AE406" s="399">
        <f t="shared" si="170"/>
        <v>0</v>
      </c>
      <c r="AF406" s="399">
        <f t="shared" si="170"/>
        <v>0</v>
      </c>
      <c r="AG406" s="399">
        <f t="shared" si="170"/>
        <v>0</v>
      </c>
      <c r="AH406" s="399">
        <f t="shared" si="170"/>
        <v>0</v>
      </c>
      <c r="AI406" s="399">
        <f t="shared" si="170"/>
        <v>0</v>
      </c>
      <c r="AJ406" s="399">
        <f t="shared" si="170"/>
        <v>0</v>
      </c>
      <c r="AK406" s="399">
        <f t="shared" si="170"/>
        <v>0</v>
      </c>
      <c r="AL406" s="399">
        <f t="shared" si="170"/>
        <v>0</v>
      </c>
      <c r="AM406" s="399">
        <f t="shared" si="170"/>
        <v>0</v>
      </c>
      <c r="AN406" s="399">
        <f t="shared" si="170"/>
        <v>0</v>
      </c>
      <c r="AO406" s="399">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6"/>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control'!$H$36:$H$59,MATCH($A$1,'Version control'!$F$36:$F$59,0),1)&amp;"-O: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0.88909167576597725</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0.88909167576597725</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0.88909167576597725</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159</v>
      </c>
      <c r="G416" t="s">
        <v>270</v>
      </c>
      <c r="J416" s="189">
        <f t="shared" ref="J416:AO416" si="173">J225</f>
        <v>8.9067353489186623</v>
      </c>
      <c r="K416" s="189">
        <f t="shared" si="173"/>
        <v>0</v>
      </c>
      <c r="L416" s="189">
        <f t="shared" si="173"/>
        <v>0</v>
      </c>
      <c r="M416" s="189">
        <f t="shared" si="173"/>
        <v>3.8978334067088958</v>
      </c>
      <c r="N416" s="189">
        <f t="shared" si="173"/>
        <v>19.411312879734734</v>
      </c>
      <c r="O416" s="189">
        <f t="shared" si="173"/>
        <v>46.392723319553774</v>
      </c>
      <c r="P416" s="189">
        <f t="shared" si="173"/>
        <v>153.62362334057894</v>
      </c>
      <c r="Q416" s="189">
        <f t="shared" si="173"/>
        <v>0</v>
      </c>
      <c r="R416" s="189">
        <f t="shared" si="173"/>
        <v>0</v>
      </c>
      <c r="S416" s="189">
        <f t="shared" si="173"/>
        <v>254.18810525519231</v>
      </c>
      <c r="T416" s="189">
        <f t="shared" si="173"/>
        <v>477.29972878521005</v>
      </c>
      <c r="U416" s="189">
        <f t="shared" si="173"/>
        <v>758.97438699912789</v>
      </c>
      <c r="V416" s="189">
        <f t="shared" si="173"/>
        <v>1317.2960403705608</v>
      </c>
      <c r="W416" s="189">
        <f t="shared" si="173"/>
        <v>0</v>
      </c>
      <c r="X416" s="189">
        <f t="shared" si="173"/>
        <v>254.18810525519226</v>
      </c>
      <c r="Y416" s="189">
        <f t="shared" si="173"/>
        <v>477.29972878520994</v>
      </c>
      <c r="Z416" s="189">
        <f t="shared" si="173"/>
        <v>758.97438699912789</v>
      </c>
      <c r="AA416" s="189">
        <f t="shared" si="173"/>
        <v>1317.2960403705613</v>
      </c>
      <c r="AB416" s="189">
        <f t="shared" si="173"/>
        <v>0</v>
      </c>
      <c r="AC416" s="189">
        <f t="shared" si="173"/>
        <v>1149.8940542600026</v>
      </c>
      <c r="AD416" s="189">
        <f t="shared" si="173"/>
        <v>3607.4765178122025</v>
      </c>
      <c r="AE416" s="189">
        <f t="shared" si="173"/>
        <v>8053.3950964981204</v>
      </c>
      <c r="AF416" s="189">
        <f t="shared" si="173"/>
        <v>25087.30535266703</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30" activePane="bottomRight" state="frozen"/>
      <selection pane="topRight"/>
      <selection pane="bottomLeft"/>
      <selection pane="bottomRight" activeCell="J47" sqref="J47"/>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control'!$H$36:$H$59,MATCH($A$1,'Version control'!$F$36:$F$59,0),1)&amp;"-A: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156</v>
      </c>
      <c r="G20" s="19" t="s">
        <v>269</v>
      </c>
      <c r="H20" s="267"/>
      <c r="I20" s="255"/>
      <c r="J20" s="267">
        <f>'Revenue matching'!J40</f>
        <v>6.5552317947693215</v>
      </c>
      <c r="K20" s="267">
        <f>'Revenue matching'!K40</f>
        <v>6.5552317947693215</v>
      </c>
      <c r="L20" s="267">
        <f>'Revenue matching'!L40</f>
        <v>6.0773952794030546</v>
      </c>
      <c r="M20" s="267">
        <f>'Revenue matching'!M40</f>
        <v>6.0773952794030546</v>
      </c>
      <c r="N20" s="267">
        <f>'Revenue matching'!N40</f>
        <v>6.0773952794030546</v>
      </c>
      <c r="O20" s="267">
        <f>'Revenue matching'!O40</f>
        <v>6.0773952794030546</v>
      </c>
      <c r="P20" s="267">
        <f>'Revenue matching'!P40</f>
        <v>6.0773952794030546</v>
      </c>
      <c r="Q20" s="267">
        <f>'Revenue matching'!Q40</f>
        <v>6.0773952794030546</v>
      </c>
      <c r="R20" s="267">
        <f>'Revenue matching'!R40</f>
        <v>4.7453787408342878</v>
      </c>
      <c r="S20" s="267">
        <f>'Revenue matching'!S40</f>
        <v>4.7453787408342878</v>
      </c>
      <c r="T20" s="267">
        <f>'Revenue matching'!T40</f>
        <v>4.7453787408342878</v>
      </c>
      <c r="U20" s="267">
        <f>'Revenue matching'!U40</f>
        <v>4.7453787408342878</v>
      </c>
      <c r="V20" s="267">
        <f>'Revenue matching'!V40</f>
        <v>4.7453787408342878</v>
      </c>
      <c r="W20" s="267">
        <f>'Revenue matching'!W40</f>
        <v>2.4344363610974544</v>
      </c>
      <c r="X20" s="267">
        <f>'Revenue matching'!X40</f>
        <v>2.4344363610974544</v>
      </c>
      <c r="Y20" s="267">
        <f>'Revenue matching'!Y40</f>
        <v>2.4344363610974544</v>
      </c>
      <c r="Z20" s="267">
        <f>'Revenue matching'!Z40</f>
        <v>2.4344363610974544</v>
      </c>
      <c r="AA20" s="267">
        <f>'Revenue matching'!AA40</f>
        <v>2.4344363610974544</v>
      </c>
      <c r="AB20" s="267">
        <f>'Revenue matching'!AB40</f>
        <v>1.1830943449306988</v>
      </c>
      <c r="AC20" s="267">
        <f>'Revenue matching'!AC40</f>
        <v>1.1830943449306988</v>
      </c>
      <c r="AD20" s="267">
        <f>'Revenue matching'!AD40</f>
        <v>1.1830943449306988</v>
      </c>
      <c r="AE20" s="267">
        <f>'Revenue matching'!AE40</f>
        <v>1.1830943449306988</v>
      </c>
      <c r="AF20" s="267">
        <f>'Revenue matching'!AF40</f>
        <v>1.1830943449306988</v>
      </c>
      <c r="AG20" s="267">
        <f>'Revenue matching'!AG40</f>
        <v>19.592534522310324</v>
      </c>
      <c r="AH20" s="267">
        <f>'Revenue matching'!AH40</f>
        <v>-4.186786864327857</v>
      </c>
      <c r="AI20" s="267">
        <f>'Revenue matching'!AI40</f>
        <v>-3.4675761632447348</v>
      </c>
      <c r="AJ20" s="267">
        <f>'Revenue matching'!AJ40</f>
        <v>-4.186786864327857</v>
      </c>
      <c r="AK20" s="267">
        <f>'Revenue matching'!AK40</f>
        <v>-4.186786864327857</v>
      </c>
      <c r="AL20" s="267">
        <f>'Revenue matching'!AL40</f>
        <v>-3.4675761632447348</v>
      </c>
      <c r="AM20" s="267">
        <f>'Revenue matching'!AM40</f>
        <v>-3.4675761632447348</v>
      </c>
      <c r="AN20" s="267">
        <f>'Revenue matching'!AN40</f>
        <v>-1.7521841974333925</v>
      </c>
      <c r="AO20" s="267">
        <f>'Revenue matching'!AO40</f>
        <v>-1.7521841974333925</v>
      </c>
      <c r="AP20" s="256"/>
      <c r="AQ20" s="256"/>
    </row>
    <row r="21" spans="3:43" x14ac:dyDescent="0.25">
      <c r="C21" s="78"/>
      <c r="F21" t="s">
        <v>157</v>
      </c>
      <c r="G21" t="s">
        <v>269</v>
      </c>
      <c r="H21" s="268"/>
      <c r="I21" s="256"/>
      <c r="J21" s="268">
        <f>'Revenue matching'!J41</f>
        <v>1.1641252254335506</v>
      </c>
      <c r="K21" s="268">
        <f>'Revenue matching'!K41</f>
        <v>1.1641252254335506</v>
      </c>
      <c r="L21" s="268">
        <f>'Revenue matching'!L41</f>
        <v>1.079267579115841</v>
      </c>
      <c r="M21" s="268">
        <f>'Revenue matching'!M41</f>
        <v>1.079267579115841</v>
      </c>
      <c r="N21" s="268">
        <f>'Revenue matching'!N41</f>
        <v>1.079267579115841</v>
      </c>
      <c r="O21" s="268">
        <f>'Revenue matching'!O41</f>
        <v>1.079267579115841</v>
      </c>
      <c r="P21" s="268">
        <f>'Revenue matching'!P41</f>
        <v>1.079267579115841</v>
      </c>
      <c r="Q21" s="268">
        <f>'Revenue matching'!Q41</f>
        <v>1.079267579115841</v>
      </c>
      <c r="R21" s="268">
        <f>'Revenue matching'!R41</f>
        <v>0.85090351287663679</v>
      </c>
      <c r="S21" s="268">
        <f>'Revenue matching'!S41</f>
        <v>0.85090351287663679</v>
      </c>
      <c r="T21" s="268">
        <f>'Revenue matching'!T41</f>
        <v>0.85090351287663679</v>
      </c>
      <c r="U21" s="268">
        <f>'Revenue matching'!U41</f>
        <v>0.85090351287663679</v>
      </c>
      <c r="V21" s="268">
        <f>'Revenue matching'!V41</f>
        <v>0.85090351287663679</v>
      </c>
      <c r="W21" s="268">
        <f>'Revenue matching'!W41</f>
        <v>0.44882463508356385</v>
      </c>
      <c r="X21" s="268">
        <f>'Revenue matching'!X41</f>
        <v>0.44882463508356385</v>
      </c>
      <c r="Y21" s="268">
        <f>'Revenue matching'!Y41</f>
        <v>0.44882463508356385</v>
      </c>
      <c r="Z21" s="268">
        <f>'Revenue matching'!Z41</f>
        <v>0.44882463508356385</v>
      </c>
      <c r="AA21" s="268">
        <f>'Revenue matching'!AA41</f>
        <v>0.44882463508356385</v>
      </c>
      <c r="AB21" s="268">
        <f>'Revenue matching'!AB41</f>
        <v>0.20845279839728717</v>
      </c>
      <c r="AC21" s="268">
        <f>'Revenue matching'!AC41</f>
        <v>0.20845279839728717</v>
      </c>
      <c r="AD21" s="268">
        <f>'Revenue matching'!AD41</f>
        <v>0.20845279839728717</v>
      </c>
      <c r="AE21" s="268">
        <f>'Revenue matching'!AE41</f>
        <v>0.20845279839728717</v>
      </c>
      <c r="AF21" s="268">
        <f>'Revenue matching'!AF41</f>
        <v>0.20845279839728717</v>
      </c>
      <c r="AG21" s="268">
        <f>'Revenue matching'!AG41</f>
        <v>2.0079047507262224</v>
      </c>
      <c r="AH21" s="268">
        <f>'Revenue matching'!AH41</f>
        <v>-0.74351973429330243</v>
      </c>
      <c r="AI21" s="268">
        <f>'Revenue matching'!AI41</f>
        <v>-0.61941219953210536</v>
      </c>
      <c r="AJ21" s="268">
        <f>'Revenue matching'!AJ41</f>
        <v>-0.74351973429330243</v>
      </c>
      <c r="AK21" s="268">
        <f>'Revenue matching'!AK41</f>
        <v>-0.74351973429330243</v>
      </c>
      <c r="AL21" s="268">
        <f>'Revenue matching'!AL41</f>
        <v>-0.61941219953210536</v>
      </c>
      <c r="AM21" s="268">
        <f>'Revenue matching'!AM41</f>
        <v>-0.61941219953210536</v>
      </c>
      <c r="AN21" s="268">
        <f>'Revenue matching'!AN41</f>
        <v>-0.32210732776295514</v>
      </c>
      <c r="AO21" s="268">
        <f>'Revenue matching'!AO41</f>
        <v>-0.32210732776295514</v>
      </c>
      <c r="AP21" s="256"/>
      <c r="AQ21" s="256"/>
    </row>
    <row r="22" spans="3:43" x14ac:dyDescent="0.25">
      <c r="C22" s="78"/>
      <c r="F22" t="s">
        <v>158</v>
      </c>
      <c r="G22" t="s">
        <v>269</v>
      </c>
      <c r="H22" s="268"/>
      <c r="I22" s="256"/>
      <c r="J22" s="268">
        <f>'Revenue matching'!J42</f>
        <v>0.13699708495012364</v>
      </c>
      <c r="K22" s="268">
        <f>'Revenue matching'!K42</f>
        <v>0.13699708495012364</v>
      </c>
      <c r="L22" s="268">
        <f>'Revenue matching'!L42</f>
        <v>0.12701083095676546</v>
      </c>
      <c r="M22" s="268">
        <f>'Revenue matching'!M42</f>
        <v>0.12701083095676546</v>
      </c>
      <c r="N22" s="268">
        <f>'Revenue matching'!N42</f>
        <v>0.12701083095676546</v>
      </c>
      <c r="O22" s="268">
        <f>'Revenue matching'!O42</f>
        <v>0.12701083095676546</v>
      </c>
      <c r="P22" s="268">
        <f>'Revenue matching'!P42</f>
        <v>0.12701083095676546</v>
      </c>
      <c r="Q22" s="268">
        <f>'Revenue matching'!Q42</f>
        <v>0.12701083095676546</v>
      </c>
      <c r="R22" s="268">
        <f>'Revenue matching'!R42</f>
        <v>9.4585565578456307E-2</v>
      </c>
      <c r="S22" s="268">
        <f>'Revenue matching'!S42</f>
        <v>9.4585565578456307E-2</v>
      </c>
      <c r="T22" s="268">
        <f>'Revenue matching'!T42</f>
        <v>9.4585565578456307E-2</v>
      </c>
      <c r="U22" s="268">
        <f>'Revenue matching'!U42</f>
        <v>9.4585565578456307E-2</v>
      </c>
      <c r="V22" s="268">
        <f>'Revenue matching'!V42</f>
        <v>9.4585565578456307E-2</v>
      </c>
      <c r="W22" s="268">
        <f>'Revenue matching'!W42</f>
        <v>4.1629036785237376E-2</v>
      </c>
      <c r="X22" s="268">
        <f>'Revenue matching'!X42</f>
        <v>4.1629036785237376E-2</v>
      </c>
      <c r="Y22" s="268">
        <f>'Revenue matching'!Y42</f>
        <v>4.1629036785237376E-2</v>
      </c>
      <c r="Z22" s="268">
        <f>'Revenue matching'!Z42</f>
        <v>4.1629036785237376E-2</v>
      </c>
      <c r="AA22" s="268">
        <f>'Revenue matching'!AA42</f>
        <v>4.1629036785237376E-2</v>
      </c>
      <c r="AB22" s="268">
        <f>'Revenue matching'!AB42</f>
        <v>1.712365946581141E-2</v>
      </c>
      <c r="AC22" s="268">
        <f>'Revenue matching'!AC42</f>
        <v>1.712365946581141E-2</v>
      </c>
      <c r="AD22" s="268">
        <f>'Revenue matching'!AD42</f>
        <v>1.712365946581141E-2</v>
      </c>
      <c r="AE22" s="268">
        <f>'Revenue matching'!AE42</f>
        <v>1.712365946581141E-2</v>
      </c>
      <c r="AF22" s="268">
        <f>'Revenue matching'!AF42</f>
        <v>1.712365946581141E-2</v>
      </c>
      <c r="AG22" s="268">
        <f>'Revenue matching'!AG42</f>
        <v>1.1410175384799575</v>
      </c>
      <c r="AH22" s="268">
        <f>'Revenue matching'!AH42</f>
        <v>-8.749920882707235E-2</v>
      </c>
      <c r="AI22" s="268">
        <f>'Revenue matching'!AI42</f>
        <v>-7.0442298160749872E-2</v>
      </c>
      <c r="AJ22" s="268">
        <f>'Revenue matching'!AJ42</f>
        <v>-8.749920882707235E-2</v>
      </c>
      <c r="AK22" s="268">
        <f>'Revenue matching'!AK42</f>
        <v>-8.749920882707235E-2</v>
      </c>
      <c r="AL22" s="268">
        <f>'Revenue matching'!AL42</f>
        <v>-7.0442298160749872E-2</v>
      </c>
      <c r="AM22" s="268">
        <f>'Revenue matching'!AM42</f>
        <v>-7.0442298160749872E-2</v>
      </c>
      <c r="AN22" s="268">
        <f>'Revenue matching'!AN42</f>
        <v>-2.9593486029886762E-2</v>
      </c>
      <c r="AO22" s="268">
        <f>'Revenue matching'!AO42</f>
        <v>-2.9593486029886762E-2</v>
      </c>
      <c r="AP22" s="256"/>
      <c r="AQ22" s="256"/>
    </row>
    <row r="23" spans="3:43" x14ac:dyDescent="0.25">
      <c r="C23" s="78"/>
      <c r="F23" t="s">
        <v>159</v>
      </c>
      <c r="G23" t="s">
        <v>270</v>
      </c>
      <c r="H23" s="41"/>
      <c r="J23" s="110">
        <f>'Revenue matching'!J43</f>
        <v>5.5760809219142891</v>
      </c>
      <c r="K23" s="110">
        <f>'Revenue matching'!K43</f>
        <v>0</v>
      </c>
      <c r="L23" s="110">
        <f>'Revenue matching'!L43</f>
        <v>10.255573274807343</v>
      </c>
      <c r="M23" s="110">
        <f>'Revenue matching'!M43</f>
        <v>10.255573274807343</v>
      </c>
      <c r="N23" s="110">
        <f>'Revenue matching'!N43</f>
        <v>10.255573274807343</v>
      </c>
      <c r="O23" s="110">
        <f>'Revenue matching'!O43</f>
        <v>10.255573274807343</v>
      </c>
      <c r="P23" s="110">
        <f>'Revenue matching'!P43</f>
        <v>10.255573274807343</v>
      </c>
      <c r="Q23" s="110">
        <f>'Revenue matching'!Q43</f>
        <v>0</v>
      </c>
      <c r="R23" s="110">
        <f>'Revenue matching'!R43</f>
        <v>14.16830857064785</v>
      </c>
      <c r="S23" s="110">
        <f>'Revenue matching'!S43</f>
        <v>14.16830857064785</v>
      </c>
      <c r="T23" s="110">
        <f>'Revenue matching'!T43</f>
        <v>14.16830857064785</v>
      </c>
      <c r="U23" s="110">
        <f>'Revenue matching'!U43</f>
        <v>14.16830857064785</v>
      </c>
      <c r="V23" s="110">
        <f>'Revenue matching'!V43</f>
        <v>14.16830857064785</v>
      </c>
      <c r="W23" s="110">
        <f>'Revenue matching'!W43</f>
        <v>11.059887419149176</v>
      </c>
      <c r="X23" s="110">
        <f>'Revenue matching'!X43</f>
        <v>11.059887419149176</v>
      </c>
      <c r="Y23" s="110">
        <f>'Revenue matching'!Y43</f>
        <v>11.059887419149176</v>
      </c>
      <c r="Z23" s="110">
        <f>'Revenue matching'!Z43</f>
        <v>11.059887419149176</v>
      </c>
      <c r="AA23" s="110">
        <f>'Revenue matching'!AA43</f>
        <v>11.059887419149176</v>
      </c>
      <c r="AB23" s="110">
        <f>'Revenue matching'!AB43</f>
        <v>102.10306294246037</v>
      </c>
      <c r="AC23" s="110">
        <f>'Revenue matching'!AC43</f>
        <v>102.10306294246037</v>
      </c>
      <c r="AD23" s="110">
        <f>'Revenue matching'!AD43</f>
        <v>102.10306294246037</v>
      </c>
      <c r="AE23" s="110">
        <f>'Revenue matching'!AE43</f>
        <v>102.10306294246037</v>
      </c>
      <c r="AF23" s="110">
        <f>'Revenue matching'!AF43</f>
        <v>102.10306294246037</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63.900454893200845</v>
      </c>
      <c r="AO23" s="110">
        <f>'Revenue matching'!AO43</f>
        <v>63.900454893200845</v>
      </c>
    </row>
    <row r="24" spans="3:43" x14ac:dyDescent="0.2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4.9261307270603929</v>
      </c>
      <c r="S24" s="110">
        <f>'Revenue matching'!S44</f>
        <v>4.9261307270603929</v>
      </c>
      <c r="T24" s="110">
        <f>'Revenue matching'!T44</f>
        <v>4.9261307270603929</v>
      </c>
      <c r="U24" s="110">
        <f>'Revenue matching'!U44</f>
        <v>4.9261307270603929</v>
      </c>
      <c r="V24" s="110">
        <f>'Revenue matching'!V44</f>
        <v>4.9261307270603929</v>
      </c>
      <c r="W24" s="110">
        <f>'Revenue matching'!W44</f>
        <v>5.34360253476415</v>
      </c>
      <c r="X24" s="110">
        <f>'Revenue matching'!X44</f>
        <v>5.34360253476415</v>
      </c>
      <c r="Y24" s="110">
        <f>'Revenue matching'!Y44</f>
        <v>5.34360253476415</v>
      </c>
      <c r="Z24" s="110">
        <f>'Revenue matching'!Z44</f>
        <v>5.34360253476415</v>
      </c>
      <c r="AA24" s="110">
        <f>'Revenue matching'!AA44</f>
        <v>5.34360253476415</v>
      </c>
      <c r="AB24" s="110">
        <f>'Revenue matching'!AB44</f>
        <v>5.6374389608038982</v>
      </c>
      <c r="AC24" s="110">
        <f>'Revenue matching'!AC44</f>
        <v>5.6374389608038982</v>
      </c>
      <c r="AD24" s="110">
        <f>'Revenue matching'!AD44</f>
        <v>5.6374389608038982</v>
      </c>
      <c r="AE24" s="110">
        <f>'Revenue matching'!AE44</f>
        <v>5.6374389608038982</v>
      </c>
      <c r="AF24" s="110">
        <f>'Revenue matching'!AF44</f>
        <v>5.6374389608038982</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8.6476005057225613</v>
      </c>
      <c r="S25" s="110">
        <f>'Revenue matching'!S45</f>
        <v>8.6476005057225613</v>
      </c>
      <c r="T25" s="110">
        <f>'Revenue matching'!T45</f>
        <v>8.6476005057225613</v>
      </c>
      <c r="U25" s="110">
        <f>'Revenue matching'!U45</f>
        <v>8.6476005057225613</v>
      </c>
      <c r="V25" s="110">
        <f>'Revenue matching'!V45</f>
        <v>8.6476005057225613</v>
      </c>
      <c r="W25" s="110">
        <f>'Revenue matching'!W45</f>
        <v>7.263397869064387</v>
      </c>
      <c r="X25" s="110">
        <f>'Revenue matching'!X45</f>
        <v>7.263397869064387</v>
      </c>
      <c r="Y25" s="110">
        <f>'Revenue matching'!Y45</f>
        <v>7.263397869064387</v>
      </c>
      <c r="Z25" s="110">
        <f>'Revenue matching'!Z45</f>
        <v>7.263397869064387</v>
      </c>
      <c r="AA25" s="110">
        <f>'Revenue matching'!AA45</f>
        <v>7.263397869064387</v>
      </c>
      <c r="AB25" s="110">
        <f>'Revenue matching'!AB45</f>
        <v>7.3360433216250591</v>
      </c>
      <c r="AC25" s="110">
        <f>'Revenue matching'!AC45</f>
        <v>7.3360433216250591</v>
      </c>
      <c r="AD25" s="110">
        <f>'Revenue matching'!AD45</f>
        <v>7.3360433216250591</v>
      </c>
      <c r="AE25" s="110">
        <f>'Revenue matching'!AE45</f>
        <v>7.3360433216250591</v>
      </c>
      <c r="AF25" s="110">
        <f>'Revenue matching'!AF45</f>
        <v>7.3360433216250591</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0.11518861443804111</v>
      </c>
      <c r="S26" s="272">
        <f>'Revenue matching'!S46</f>
        <v>0.11518861443804111</v>
      </c>
      <c r="T26" s="272">
        <f>'Revenue matching'!T46</f>
        <v>0.11518861443804111</v>
      </c>
      <c r="U26" s="272">
        <f>'Revenue matching'!U46</f>
        <v>0.11518861443804111</v>
      </c>
      <c r="V26" s="272">
        <f>'Revenue matching'!V46</f>
        <v>0.11518861443804111</v>
      </c>
      <c r="W26" s="272">
        <f>'Revenue matching'!W46</f>
        <v>6.9699671029066212E-2</v>
      </c>
      <c r="X26" s="272">
        <f>'Revenue matching'!X46</f>
        <v>6.9699671029066212E-2</v>
      </c>
      <c r="Y26" s="272">
        <f>'Revenue matching'!Y46</f>
        <v>6.9699671029066212E-2</v>
      </c>
      <c r="Z26" s="272">
        <f>'Revenue matching'!Z46</f>
        <v>6.9699671029066212E-2</v>
      </c>
      <c r="AA26" s="272">
        <f>'Revenue matching'!AA46</f>
        <v>6.9699671029066212E-2</v>
      </c>
      <c r="AB26" s="272">
        <f>'Revenue matching'!AB46</f>
        <v>3.0329114448965223E-2</v>
      </c>
      <c r="AC26" s="272">
        <f>'Revenue matching'!AC46</f>
        <v>3.0329114448965223E-2</v>
      </c>
      <c r="AD26" s="272">
        <f>'Revenue matching'!AD46</f>
        <v>3.0329114448965223E-2</v>
      </c>
      <c r="AE26" s="272">
        <f>'Revenue matching'!AE46</f>
        <v>3.0329114448965223E-2</v>
      </c>
      <c r="AF26" s="272">
        <f>'Revenue matching'!AF46</f>
        <v>3.0329114448965223E-2</v>
      </c>
      <c r="AG26" s="272">
        <f>'Revenue matching'!AG46</f>
        <v>0</v>
      </c>
      <c r="AH26" s="272">
        <f>'Revenue matching'!AH46</f>
        <v>0</v>
      </c>
      <c r="AI26" s="272">
        <f>'Revenue matching'!AI46</f>
        <v>0</v>
      </c>
      <c r="AJ26" s="272">
        <f>'Revenue matching'!AJ46</f>
        <v>0.13197133789973453</v>
      </c>
      <c r="AK26" s="272">
        <f>'Revenue matching'!AK46</f>
        <v>0</v>
      </c>
      <c r="AL26" s="272">
        <f>'Revenue matching'!AL46</f>
        <v>0.10133750175642738</v>
      </c>
      <c r="AM26" s="272">
        <f>'Revenue matching'!AM46</f>
        <v>0</v>
      </c>
      <c r="AN26" s="272">
        <f>'Revenue matching'!AN46</f>
        <v>7.8373162303441601E-2</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control'!$H$36:$H$59,MATCH($A$1,'Version control'!$F$36:$F$59,0),1)&amp;"-B: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0.88909167576597725</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0.88909167576597725</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0.88909167576597725</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159</v>
      </c>
      <c r="G35" t="s">
        <v>270</v>
      </c>
      <c r="H35" s="41"/>
      <c r="J35" s="261">
        <f>'Revenue matching'!J416</f>
        <v>8.9067353489186623</v>
      </c>
      <c r="K35" s="261">
        <f>'Revenue matching'!K416</f>
        <v>0</v>
      </c>
      <c r="L35" s="261">
        <f>'Revenue matching'!L416</f>
        <v>0</v>
      </c>
      <c r="M35" s="261">
        <f>'Revenue matching'!M416</f>
        <v>3.8978334067088958</v>
      </c>
      <c r="N35" s="261">
        <f>'Revenue matching'!N416</f>
        <v>19.411312879734734</v>
      </c>
      <c r="O35" s="261">
        <f>'Revenue matching'!O416</f>
        <v>46.392723319553774</v>
      </c>
      <c r="P35" s="261">
        <f>'Revenue matching'!P416</f>
        <v>153.62362334057894</v>
      </c>
      <c r="Q35" s="261">
        <f>'Revenue matching'!Q416</f>
        <v>0</v>
      </c>
      <c r="R35" s="261">
        <f>'Revenue matching'!R416</f>
        <v>0</v>
      </c>
      <c r="S35" s="261">
        <f>'Revenue matching'!S416</f>
        <v>254.18810525519231</v>
      </c>
      <c r="T35" s="261">
        <f>'Revenue matching'!T416</f>
        <v>477.29972878521005</v>
      </c>
      <c r="U35" s="261">
        <f>'Revenue matching'!U416</f>
        <v>758.97438699912789</v>
      </c>
      <c r="V35" s="261">
        <f>'Revenue matching'!V416</f>
        <v>1317.2960403705608</v>
      </c>
      <c r="W35" s="261">
        <f>'Revenue matching'!W416</f>
        <v>0</v>
      </c>
      <c r="X35" s="261">
        <f>'Revenue matching'!X416</f>
        <v>254.18810525519226</v>
      </c>
      <c r="Y35" s="261">
        <f>'Revenue matching'!Y416</f>
        <v>477.29972878520994</v>
      </c>
      <c r="Z35" s="261">
        <f>'Revenue matching'!Z416</f>
        <v>758.97438699912789</v>
      </c>
      <c r="AA35" s="261">
        <f>'Revenue matching'!AA416</f>
        <v>1317.2960403705613</v>
      </c>
      <c r="AB35" s="261">
        <f>'Revenue matching'!AB416</f>
        <v>0</v>
      </c>
      <c r="AC35" s="261">
        <f>'Revenue matching'!AC416</f>
        <v>1149.8940542600026</v>
      </c>
      <c r="AD35" s="261">
        <f>'Revenue matching'!AD416</f>
        <v>3607.4765178122025</v>
      </c>
      <c r="AE35" s="261">
        <f>'Revenue matching'!AE416</f>
        <v>8053.3950964981204</v>
      </c>
      <c r="AF35" s="261">
        <f>'Revenue matching'!AF416</f>
        <v>25087.30535266703</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control'!$H$36:$H$59,MATCH($A$1,'Version control'!$F$36:$F$59,0),1)&amp;"-C: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159</v>
      </c>
      <c r="G47" t="s">
        <v>270</v>
      </c>
      <c r="H47" s="41"/>
      <c r="J47" s="111">
        <f>'Revenue matching'!J48</f>
        <v>0.25599387005250862</v>
      </c>
      <c r="K47" s="111">
        <f>'Revenue matching'!K48</f>
        <v>0</v>
      </c>
      <c r="L47" s="111">
        <f>'Revenue matching'!L48</f>
        <v>0.15572279561536206</v>
      </c>
      <c r="M47" s="111">
        <f>'Revenue matching'!M48</f>
        <v>0.15572279561536206</v>
      </c>
      <c r="N47" s="111">
        <f>'Revenue matching'!N48</f>
        <v>0.15572279561536206</v>
      </c>
      <c r="O47" s="111">
        <f>'Revenue matching'!O48</f>
        <v>0.15572279561536206</v>
      </c>
      <c r="P47" s="111">
        <f>'Revenue matching'!P48</f>
        <v>0.15572279561536206</v>
      </c>
      <c r="Q47" s="111">
        <f>'Revenue matching'!Q48</f>
        <v>0</v>
      </c>
      <c r="R47" s="111">
        <f>'Revenue matching'!R48</f>
        <v>0.15572279561536206</v>
      </c>
      <c r="S47" s="111">
        <f>'Revenue matching'!S48</f>
        <v>0.15572279561536206</v>
      </c>
      <c r="T47" s="111">
        <f>'Revenue matching'!T48</f>
        <v>0.15572279561536206</v>
      </c>
      <c r="U47" s="111">
        <f>'Revenue matching'!U48</f>
        <v>0.15572279561536206</v>
      </c>
      <c r="V47" s="111">
        <f>'Revenue matching'!V48</f>
        <v>0.15572279561536206</v>
      </c>
      <c r="W47" s="111">
        <f>'Revenue matching'!W48</f>
        <v>0.15572279561536206</v>
      </c>
      <c r="X47" s="111">
        <f>'Revenue matching'!X48</f>
        <v>0.15572279561536206</v>
      </c>
      <c r="Y47" s="111">
        <f>'Revenue matching'!Y48</f>
        <v>0.15572279561536206</v>
      </c>
      <c r="Z47" s="111">
        <f>'Revenue matching'!Z48</f>
        <v>0.15572279561536206</v>
      </c>
      <c r="AA47" s="111">
        <f>'Revenue matching'!AA48</f>
        <v>0.15572279561536206</v>
      </c>
      <c r="AB47" s="111">
        <f>'Revenue matching'!AB48</f>
        <v>0.15572279561536206</v>
      </c>
      <c r="AC47" s="111">
        <f>'Revenue matching'!AC48</f>
        <v>0.15572279561536206</v>
      </c>
      <c r="AD47" s="111">
        <f>'Revenue matching'!AD48</f>
        <v>0.15572279561536206</v>
      </c>
      <c r="AE47" s="111">
        <f>'Revenue matching'!AE48</f>
        <v>0.15572279561536206</v>
      </c>
      <c r="AF47" s="111">
        <f>'Revenue matching'!AF48</f>
        <v>0.15572279561536206</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control'!$H$36:$H$59,MATCH($A$1,'Version control'!$F$36:$F$59,0),1)&amp;"-D: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65" t="s">
        <v>1005</v>
      </c>
      <c r="G54" s="365"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156</v>
      </c>
      <c r="G57" s="19" t="s">
        <v>167</v>
      </c>
      <c r="H57" s="164"/>
      <c r="I57" s="19"/>
      <c r="J57" s="331">
        <f>'Volume adjustments'!J315</f>
        <v>0.3378546825678212</v>
      </c>
      <c r="K57" s="331">
        <f>'Volume adjustments'!K315</f>
        <v>0.3378546825678212</v>
      </c>
      <c r="L57" s="331">
        <f>'Volume adjustments'!L315</f>
        <v>0.3378546825678212</v>
      </c>
      <c r="M57" s="331">
        <f>'Volume adjustments'!M315</f>
        <v>0.3378546825678212</v>
      </c>
      <c r="N57" s="331">
        <f>'Volume adjustments'!N315</f>
        <v>0.3378546825678212</v>
      </c>
      <c r="O57" s="331">
        <f>'Volume adjustments'!O315</f>
        <v>0</v>
      </c>
      <c r="P57" s="331">
        <f>'Volume adjustments'!P315</f>
        <v>0</v>
      </c>
      <c r="Q57" s="331">
        <f>'Volume adjustments'!Q315</f>
        <v>0.3378546825678212</v>
      </c>
      <c r="R57" s="331">
        <f>'Volume adjustments'!R315</f>
        <v>0</v>
      </c>
      <c r="S57" s="331">
        <f>'Volume adjustments'!S315</f>
        <v>0</v>
      </c>
      <c r="T57" s="331">
        <f>'Volume adjustments'!T315</f>
        <v>0</v>
      </c>
      <c r="U57" s="331">
        <f>'Volume adjustments'!U315</f>
        <v>0</v>
      </c>
      <c r="V57" s="331">
        <f>'Volume adjustments'!V315</f>
        <v>0</v>
      </c>
      <c r="W57" s="331">
        <f>'Volume adjustments'!W315</f>
        <v>0</v>
      </c>
      <c r="X57" s="331">
        <f>'Volume adjustments'!X315</f>
        <v>0</v>
      </c>
      <c r="Y57" s="331">
        <f>'Volume adjustments'!Y315</f>
        <v>0</v>
      </c>
    </row>
    <row r="58" spans="3:43" x14ac:dyDescent="0.25">
      <c r="E58" s="78"/>
      <c r="F58" t="s">
        <v>157</v>
      </c>
      <c r="G58" t="s">
        <v>167</v>
      </c>
      <c r="H58" s="41"/>
      <c r="J58" s="332">
        <f>'Volume adjustments'!J316</f>
        <v>0.3378546825678212</v>
      </c>
      <c r="K58" s="332">
        <f>'Volume adjustments'!K316</f>
        <v>0.3378546825678212</v>
      </c>
      <c r="L58" s="332">
        <f>'Volume adjustments'!L316</f>
        <v>0.3378546825678212</v>
      </c>
      <c r="M58" s="332">
        <f>'Volume adjustments'!M316</f>
        <v>0.3378546825678212</v>
      </c>
      <c r="N58" s="332">
        <f>'Volume adjustments'!N316</f>
        <v>0.3378546825678212</v>
      </c>
      <c r="O58" s="332">
        <f>'Volume adjustments'!O316</f>
        <v>0</v>
      </c>
      <c r="P58" s="332">
        <f>'Volume adjustments'!P316</f>
        <v>0</v>
      </c>
      <c r="Q58" s="332">
        <f>'Volume adjustments'!Q316</f>
        <v>0.3378546825678212</v>
      </c>
      <c r="R58" s="332">
        <f>'Volume adjustments'!R316</f>
        <v>0</v>
      </c>
      <c r="S58" s="332">
        <f>'Volume adjustments'!S316</f>
        <v>0</v>
      </c>
      <c r="T58" s="332">
        <f>'Volume adjustments'!T316</f>
        <v>0</v>
      </c>
      <c r="U58" s="332">
        <f>'Volume adjustments'!U316</f>
        <v>0</v>
      </c>
      <c r="V58" s="332">
        <f>'Volume adjustments'!V316</f>
        <v>0</v>
      </c>
      <c r="W58" s="332">
        <f>'Volume adjustments'!W316</f>
        <v>0</v>
      </c>
      <c r="X58" s="332">
        <f>'Volume adjustments'!X316</f>
        <v>0</v>
      </c>
      <c r="Y58" s="332">
        <f>'Volume adjustments'!Y316</f>
        <v>0</v>
      </c>
    </row>
    <row r="59" spans="3:43" x14ac:dyDescent="0.25">
      <c r="E59" s="78"/>
      <c r="F59" t="s">
        <v>158</v>
      </c>
      <c r="G59" t="s">
        <v>167</v>
      </c>
      <c r="H59" s="41"/>
      <c r="J59" s="332">
        <f>'Volume adjustments'!J317</f>
        <v>0.3378546825678212</v>
      </c>
      <c r="K59" s="332">
        <f>'Volume adjustments'!K317</f>
        <v>0.3378546825678212</v>
      </c>
      <c r="L59" s="332">
        <f>'Volume adjustments'!L317</f>
        <v>0.3378546825678212</v>
      </c>
      <c r="M59" s="332">
        <f>'Volume adjustments'!M317</f>
        <v>0.3378546825678212</v>
      </c>
      <c r="N59" s="332">
        <f>'Volume adjustments'!N317</f>
        <v>0.3378546825678212</v>
      </c>
      <c r="O59" s="332">
        <f>'Volume adjustments'!O317</f>
        <v>0</v>
      </c>
      <c r="P59" s="332">
        <f>'Volume adjustments'!P317</f>
        <v>0</v>
      </c>
      <c r="Q59" s="332">
        <f>'Volume adjustments'!Q317</f>
        <v>0.3378546825678212</v>
      </c>
      <c r="R59" s="332">
        <f>'Volume adjustments'!R317</f>
        <v>0</v>
      </c>
      <c r="S59" s="332">
        <f>'Volume adjustments'!S317</f>
        <v>0</v>
      </c>
      <c r="T59" s="332">
        <f>'Volume adjustments'!T317</f>
        <v>0</v>
      </c>
      <c r="U59" s="332">
        <f>'Volume adjustments'!U317</f>
        <v>0</v>
      </c>
      <c r="V59" s="332">
        <f>'Volume adjustments'!V317</f>
        <v>0</v>
      </c>
      <c r="W59" s="332">
        <f>'Volume adjustments'!W317</f>
        <v>0</v>
      </c>
      <c r="X59" s="332">
        <f>'Volume adjustments'!X317</f>
        <v>0</v>
      </c>
      <c r="Y59" s="332">
        <f>'Volume adjustments'!Y317</f>
        <v>0</v>
      </c>
    </row>
    <row r="60" spans="3:43" x14ac:dyDescent="0.25">
      <c r="E60" s="78"/>
      <c r="F60" t="s">
        <v>159</v>
      </c>
      <c r="G60" t="s">
        <v>167</v>
      </c>
      <c r="H60" s="41"/>
      <c r="J60" s="332">
        <f>'Volume adjustments'!J318</f>
        <v>0.3378546825678212</v>
      </c>
      <c r="K60" s="332">
        <f>'Volume adjustments'!K318</f>
        <v>0.3378546825678212</v>
      </c>
      <c r="L60" s="332">
        <f>'Volume adjustments'!L318</f>
        <v>0.3378546825678212</v>
      </c>
      <c r="M60" s="332">
        <f>'Volume adjustments'!M318</f>
        <v>0.3378546825678212</v>
      </c>
      <c r="N60" s="332">
        <f>'Volume adjustments'!N318</f>
        <v>0.3378546825678212</v>
      </c>
      <c r="O60" s="332">
        <f>'Volume adjustments'!O318</f>
        <v>0</v>
      </c>
      <c r="P60" s="332">
        <f>'Volume adjustments'!P318</f>
        <v>0</v>
      </c>
      <c r="Q60" s="332">
        <f>'Volume adjustments'!Q318</f>
        <v>0.3378546825678212</v>
      </c>
      <c r="R60" s="332">
        <f>'Volume adjustments'!R318</f>
        <v>1</v>
      </c>
      <c r="S60" s="332">
        <f>'Volume adjustments'!S318</f>
        <v>1</v>
      </c>
      <c r="T60" s="332">
        <f>'Volume adjustments'!T318</f>
        <v>1</v>
      </c>
      <c r="U60" s="332">
        <f>'Volume adjustments'!U318</f>
        <v>1</v>
      </c>
      <c r="V60" s="332">
        <f>'Volume adjustments'!V318</f>
        <v>1</v>
      </c>
      <c r="W60" s="332">
        <f>'Volume adjustments'!W318</f>
        <v>1</v>
      </c>
      <c r="X60" s="332">
        <f>'Volume adjustments'!X318</f>
        <v>1</v>
      </c>
      <c r="Y60" s="332">
        <f>'Volume adjustments'!Y318</f>
        <v>1</v>
      </c>
    </row>
    <row r="61" spans="3:43" x14ac:dyDescent="0.25">
      <c r="E61" s="78"/>
      <c r="F61" t="s">
        <v>160</v>
      </c>
      <c r="G61" t="s">
        <v>167</v>
      </c>
      <c r="H61" s="41"/>
      <c r="J61" s="332">
        <f>'Volume adjustments'!J319</f>
        <v>0.3378546825678212</v>
      </c>
      <c r="K61" s="332">
        <f>'Volume adjustments'!K319</f>
        <v>0.3378546825678212</v>
      </c>
      <c r="L61" s="332">
        <f>'Volume adjustments'!L319</f>
        <v>0.3378546825678212</v>
      </c>
      <c r="M61" s="332">
        <f>'Volume adjustments'!M319</f>
        <v>0.3378546825678212</v>
      </c>
      <c r="N61" s="332">
        <f>'Volume adjustments'!N319</f>
        <v>0.3378546825678212</v>
      </c>
      <c r="O61" s="332">
        <f>'Volume adjustments'!O319</f>
        <v>0</v>
      </c>
      <c r="P61" s="332">
        <f>'Volume adjustments'!P319</f>
        <v>0</v>
      </c>
      <c r="Q61" s="332">
        <f>'Volume adjustments'!Q319</f>
        <v>0.3378546825678212</v>
      </c>
      <c r="R61" s="332">
        <f>'Volume adjustments'!R319</f>
        <v>0</v>
      </c>
      <c r="S61" s="332">
        <f>'Volume adjustments'!S319</f>
        <v>0</v>
      </c>
      <c r="T61" s="332">
        <f>'Volume adjustments'!T319</f>
        <v>0</v>
      </c>
      <c r="U61" s="332">
        <f>'Volume adjustments'!U319</f>
        <v>0</v>
      </c>
      <c r="V61" s="332">
        <f>'Volume adjustments'!V319</f>
        <v>0</v>
      </c>
      <c r="W61" s="332">
        <f>'Volume adjustments'!W319</f>
        <v>0</v>
      </c>
      <c r="X61" s="332">
        <f>'Volume adjustments'!X319</f>
        <v>0</v>
      </c>
      <c r="Y61" s="332">
        <f>'Volume adjustments'!Y319</f>
        <v>0</v>
      </c>
    </row>
    <row r="62" spans="3:43" x14ac:dyDescent="0.25">
      <c r="E62" s="78"/>
      <c r="F62" t="s">
        <v>161</v>
      </c>
      <c r="G62" t="s">
        <v>167</v>
      </c>
      <c r="H62" s="41"/>
      <c r="J62" s="332">
        <f>'Volume adjustments'!J320</f>
        <v>0.3378546825678212</v>
      </c>
      <c r="K62" s="332">
        <f>'Volume adjustments'!K320</f>
        <v>0.3378546825678212</v>
      </c>
      <c r="L62" s="332">
        <f>'Volume adjustments'!L320</f>
        <v>0.3378546825678212</v>
      </c>
      <c r="M62" s="332">
        <f>'Volume adjustments'!M320</f>
        <v>0.3378546825678212</v>
      </c>
      <c r="N62" s="332">
        <f>'Volume adjustments'!N320</f>
        <v>0.3378546825678212</v>
      </c>
      <c r="O62" s="332">
        <f>'Volume adjustments'!O320</f>
        <v>0</v>
      </c>
      <c r="P62" s="332">
        <f>'Volume adjustments'!P320</f>
        <v>0</v>
      </c>
      <c r="Q62" s="332">
        <f>'Volume adjustments'!Q320</f>
        <v>0.3378546825678212</v>
      </c>
      <c r="R62" s="332">
        <f>'Volume adjustments'!R320</f>
        <v>0</v>
      </c>
      <c r="S62" s="332">
        <f>'Volume adjustments'!S320</f>
        <v>0</v>
      </c>
      <c r="T62" s="332">
        <f>'Volume adjustments'!T320</f>
        <v>0</v>
      </c>
      <c r="U62" s="332">
        <f>'Volume adjustments'!U320</f>
        <v>0</v>
      </c>
      <c r="V62" s="332">
        <f>'Volume adjustments'!V320</f>
        <v>0</v>
      </c>
      <c r="W62" s="332">
        <f>'Volume adjustments'!W320</f>
        <v>0</v>
      </c>
      <c r="X62" s="332">
        <f>'Volume adjustments'!X320</f>
        <v>0</v>
      </c>
      <c r="Y62" s="332">
        <f>'Volume adjustments'!Y320</f>
        <v>0</v>
      </c>
    </row>
    <row r="63" spans="3:43" x14ac:dyDescent="0.25">
      <c r="E63" s="78"/>
      <c r="F63" s="28" t="s">
        <v>162</v>
      </c>
      <c r="G63" s="28" t="s">
        <v>167</v>
      </c>
      <c r="H63" s="201"/>
      <c r="I63" s="28"/>
      <c r="J63" s="333">
        <f>'Volume adjustments'!J321</f>
        <v>0.3378546825678212</v>
      </c>
      <c r="K63" s="333">
        <f>'Volume adjustments'!K321</f>
        <v>0.3378546825678212</v>
      </c>
      <c r="L63" s="333">
        <f>'Volume adjustments'!L321</f>
        <v>0.3378546825678212</v>
      </c>
      <c r="M63" s="333">
        <f>'Volume adjustments'!M321</f>
        <v>0.3378546825678212</v>
      </c>
      <c r="N63" s="333">
        <f>'Volume adjustments'!N321</f>
        <v>0.3378546825678212</v>
      </c>
      <c r="O63" s="333">
        <f>'Volume adjustments'!O321</f>
        <v>0</v>
      </c>
      <c r="P63" s="333">
        <f>'Volume adjustments'!P321</f>
        <v>0</v>
      </c>
      <c r="Q63" s="333">
        <f>'Volume adjustments'!Q321</f>
        <v>0.3378546825678212</v>
      </c>
      <c r="R63" s="333">
        <f>'Volume adjustments'!R321</f>
        <v>0</v>
      </c>
      <c r="S63" s="333">
        <f>'Volume adjustments'!S321</f>
        <v>0</v>
      </c>
      <c r="T63" s="333">
        <f>'Volume adjustments'!T321</f>
        <v>0</v>
      </c>
      <c r="U63" s="333">
        <f>'Volume adjustments'!U321</f>
        <v>0</v>
      </c>
      <c r="V63" s="333">
        <f>'Volume adjustments'!V321</f>
        <v>0</v>
      </c>
      <c r="W63" s="333">
        <f>'Volume adjustments'!W321</f>
        <v>0</v>
      </c>
      <c r="X63" s="333">
        <f>'Volume adjustments'!X321</f>
        <v>0</v>
      </c>
      <c r="Y63" s="333">
        <f>'Volume adjustments'!Y321</f>
        <v>0</v>
      </c>
    </row>
    <row r="64" spans="3:43" x14ac:dyDescent="0.25">
      <c r="E64"/>
    </row>
    <row r="65" spans="4:43" ht="60" x14ac:dyDescent="0.2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156</v>
      </c>
      <c r="G66" s="19" t="s">
        <v>167</v>
      </c>
      <c r="H66" s="164"/>
      <c r="I66" s="19"/>
      <c r="J66" s="331">
        <f>'Volume adjustments'!J324</f>
        <v>0.48529035029231349</v>
      </c>
      <c r="K66" s="331">
        <f>'Volume adjustments'!K324</f>
        <v>0.48529035029231349</v>
      </c>
      <c r="L66" s="331">
        <f>'Volume adjustments'!L324</f>
        <v>0.48529035029231349</v>
      </c>
      <c r="M66" s="331">
        <f>'Volume adjustments'!M324</f>
        <v>0.48529035029231349</v>
      </c>
      <c r="N66" s="331">
        <f>'Volume adjustments'!N324</f>
        <v>0.48529035029231349</v>
      </c>
      <c r="O66" s="331">
        <f>'Volume adjustments'!O324</f>
        <v>0.20072349959460251</v>
      </c>
      <c r="P66" s="331">
        <f>'Volume adjustments'!P324</f>
        <v>8.1602927143683501E-2</v>
      </c>
      <c r="Q66" s="331">
        <f>'Volume adjustments'!Q324</f>
        <v>0.48529035029231349</v>
      </c>
      <c r="R66" s="331">
        <f>'Volume adjustments'!R324</f>
        <v>0</v>
      </c>
      <c r="S66" s="331">
        <f>'Volume adjustments'!S324</f>
        <v>0</v>
      </c>
      <c r="T66" s="331">
        <f>'Volume adjustments'!T324</f>
        <v>0</v>
      </c>
      <c r="U66" s="331">
        <f>'Volume adjustments'!U324</f>
        <v>0</v>
      </c>
      <c r="V66" s="331">
        <f>'Volume adjustments'!V324</f>
        <v>0</v>
      </c>
      <c r="W66" s="331">
        <f>'Volume adjustments'!W324</f>
        <v>0</v>
      </c>
      <c r="X66" s="331">
        <f>'Volume adjustments'!X324</f>
        <v>0</v>
      </c>
      <c r="Y66" s="331">
        <f>'Volume adjustments'!Y324</f>
        <v>0</v>
      </c>
    </row>
    <row r="67" spans="4:43" x14ac:dyDescent="0.25">
      <c r="E67" s="78"/>
      <c r="F67" t="s">
        <v>157</v>
      </c>
      <c r="G67" t="s">
        <v>167</v>
      </c>
      <c r="H67" s="41"/>
      <c r="J67" s="332">
        <f>'Volume adjustments'!J325</f>
        <v>0.48529035029231349</v>
      </c>
      <c r="K67" s="332">
        <f>'Volume adjustments'!K325</f>
        <v>0.48529035029231349</v>
      </c>
      <c r="L67" s="332">
        <f>'Volume adjustments'!L325</f>
        <v>0.48529035029231349</v>
      </c>
      <c r="M67" s="332">
        <f>'Volume adjustments'!M325</f>
        <v>0.48529035029231349</v>
      </c>
      <c r="N67" s="332">
        <f>'Volume adjustments'!N325</f>
        <v>0.48529035029231349</v>
      </c>
      <c r="O67" s="332">
        <f>'Volume adjustments'!O325</f>
        <v>0.20072349959460251</v>
      </c>
      <c r="P67" s="332">
        <f>'Volume adjustments'!P325</f>
        <v>8.1602927143683501E-2</v>
      </c>
      <c r="Q67" s="332">
        <f>'Volume adjustments'!Q325</f>
        <v>0.48529035029231349</v>
      </c>
      <c r="R67" s="332">
        <f>'Volume adjustments'!R325</f>
        <v>0</v>
      </c>
      <c r="S67" s="332">
        <f>'Volume adjustments'!S325</f>
        <v>0</v>
      </c>
      <c r="T67" s="332">
        <f>'Volume adjustments'!T325</f>
        <v>0</v>
      </c>
      <c r="U67" s="332">
        <f>'Volume adjustments'!U325</f>
        <v>0</v>
      </c>
      <c r="V67" s="332">
        <f>'Volume adjustments'!V325</f>
        <v>0</v>
      </c>
      <c r="W67" s="332">
        <f>'Volume adjustments'!W325</f>
        <v>0</v>
      </c>
      <c r="X67" s="332">
        <f>'Volume adjustments'!X325</f>
        <v>0</v>
      </c>
      <c r="Y67" s="332">
        <f>'Volume adjustments'!Y325</f>
        <v>0</v>
      </c>
    </row>
    <row r="68" spans="4:43" x14ac:dyDescent="0.25">
      <c r="E68" s="78"/>
      <c r="F68" t="s">
        <v>158</v>
      </c>
      <c r="G68" t="s">
        <v>167</v>
      </c>
      <c r="H68" s="41"/>
      <c r="J68" s="332">
        <f>'Volume adjustments'!J326</f>
        <v>0.48529035029231349</v>
      </c>
      <c r="K68" s="332">
        <f>'Volume adjustments'!K326</f>
        <v>0.48529035029231349</v>
      </c>
      <c r="L68" s="332">
        <f>'Volume adjustments'!L326</f>
        <v>0.48529035029231349</v>
      </c>
      <c r="M68" s="332">
        <f>'Volume adjustments'!M326</f>
        <v>0.48529035029231349</v>
      </c>
      <c r="N68" s="332">
        <f>'Volume adjustments'!N326</f>
        <v>0.48529035029231349</v>
      </c>
      <c r="O68" s="332">
        <f>'Volume adjustments'!O326</f>
        <v>0.20072349959460251</v>
      </c>
      <c r="P68" s="332">
        <f>'Volume adjustments'!P326</f>
        <v>8.1602927143683501E-2</v>
      </c>
      <c r="Q68" s="332">
        <f>'Volume adjustments'!Q326</f>
        <v>0.48529035029231349</v>
      </c>
      <c r="R68" s="332">
        <f>'Volume adjustments'!R326</f>
        <v>0</v>
      </c>
      <c r="S68" s="332">
        <f>'Volume adjustments'!S326</f>
        <v>0</v>
      </c>
      <c r="T68" s="332">
        <f>'Volume adjustments'!T326</f>
        <v>0</v>
      </c>
      <c r="U68" s="332">
        <f>'Volume adjustments'!U326</f>
        <v>0</v>
      </c>
      <c r="V68" s="332">
        <f>'Volume adjustments'!V326</f>
        <v>0</v>
      </c>
      <c r="W68" s="332">
        <f>'Volume adjustments'!W326</f>
        <v>0</v>
      </c>
      <c r="X68" s="332">
        <f>'Volume adjustments'!X326</f>
        <v>0</v>
      </c>
      <c r="Y68" s="332">
        <f>'Volume adjustments'!Y326</f>
        <v>0</v>
      </c>
    </row>
    <row r="69" spans="4:43" x14ac:dyDescent="0.25">
      <c r="E69" s="78"/>
      <c r="F69" t="s">
        <v>159</v>
      </c>
      <c r="G69" t="s">
        <v>167</v>
      </c>
      <c r="H69" s="41"/>
      <c r="J69" s="332">
        <f>'Volume adjustments'!J327</f>
        <v>0.48529035029231349</v>
      </c>
      <c r="K69" s="332">
        <f>'Volume adjustments'!K327</f>
        <v>0.48529035029231349</v>
      </c>
      <c r="L69" s="332">
        <f>'Volume adjustments'!L327</f>
        <v>0.48529035029231349</v>
      </c>
      <c r="M69" s="332">
        <f>'Volume adjustments'!M327</f>
        <v>0.48529035029231349</v>
      </c>
      <c r="N69" s="332">
        <f>'Volume adjustments'!N327</f>
        <v>0.48529035029231349</v>
      </c>
      <c r="O69" s="332">
        <f>'Volume adjustments'!O327</f>
        <v>0.20072349959460251</v>
      </c>
      <c r="P69" s="332">
        <f>'Volume adjustments'!P327</f>
        <v>8.1602927143683501E-2</v>
      </c>
      <c r="Q69" s="332">
        <f>'Volume adjustments'!Q327</f>
        <v>0.48529035029231349</v>
      </c>
      <c r="R69" s="332">
        <f>'Volume adjustments'!R327</f>
        <v>1</v>
      </c>
      <c r="S69" s="332">
        <f>'Volume adjustments'!S327</f>
        <v>1</v>
      </c>
      <c r="T69" s="332">
        <f>'Volume adjustments'!T327</f>
        <v>1</v>
      </c>
      <c r="U69" s="332">
        <f>'Volume adjustments'!U327</f>
        <v>1</v>
      </c>
      <c r="V69" s="332">
        <f>'Volume adjustments'!V327</f>
        <v>1</v>
      </c>
      <c r="W69" s="332">
        <f>'Volume adjustments'!W327</f>
        <v>1</v>
      </c>
      <c r="X69" s="332">
        <f>'Volume adjustments'!X327</f>
        <v>1</v>
      </c>
      <c r="Y69" s="332">
        <f>'Volume adjustments'!Y327</f>
        <v>1</v>
      </c>
    </row>
    <row r="70" spans="4:43" x14ac:dyDescent="0.25">
      <c r="E70" s="78"/>
      <c r="F70" t="s">
        <v>160</v>
      </c>
      <c r="G70" t="s">
        <v>167</v>
      </c>
      <c r="H70" s="41"/>
      <c r="J70" s="332">
        <f>'Volume adjustments'!J328</f>
        <v>0.48529035029231349</v>
      </c>
      <c r="K70" s="332">
        <f>'Volume adjustments'!K328</f>
        <v>0.48529035029231349</v>
      </c>
      <c r="L70" s="332">
        <f>'Volume adjustments'!L328</f>
        <v>0.48529035029231349</v>
      </c>
      <c r="M70" s="332">
        <f>'Volume adjustments'!M328</f>
        <v>0.48529035029231349</v>
      </c>
      <c r="N70" s="332">
        <f>'Volume adjustments'!N328</f>
        <v>0.48529035029231349</v>
      </c>
      <c r="O70" s="332">
        <f>'Volume adjustments'!O328</f>
        <v>0.20072349959460251</v>
      </c>
      <c r="P70" s="332">
        <f>'Volume adjustments'!P328</f>
        <v>8.1602927143683501E-2</v>
      </c>
      <c r="Q70" s="332">
        <f>'Volume adjustments'!Q328</f>
        <v>0.48529035029231349</v>
      </c>
      <c r="R70" s="332">
        <f>'Volume adjustments'!R328</f>
        <v>0</v>
      </c>
      <c r="S70" s="332">
        <f>'Volume adjustments'!S328</f>
        <v>0</v>
      </c>
      <c r="T70" s="332">
        <f>'Volume adjustments'!T328</f>
        <v>0</v>
      </c>
      <c r="U70" s="332">
        <f>'Volume adjustments'!U328</f>
        <v>0</v>
      </c>
      <c r="V70" s="332">
        <f>'Volume adjustments'!V328</f>
        <v>0</v>
      </c>
      <c r="W70" s="332">
        <f>'Volume adjustments'!W328</f>
        <v>0</v>
      </c>
      <c r="X70" s="332">
        <f>'Volume adjustments'!X328</f>
        <v>0</v>
      </c>
      <c r="Y70" s="332">
        <f>'Volume adjustments'!Y328</f>
        <v>0</v>
      </c>
    </row>
    <row r="71" spans="4:43" x14ac:dyDescent="0.25">
      <c r="E71" s="78"/>
      <c r="F71" t="s">
        <v>161</v>
      </c>
      <c r="G71" t="s">
        <v>167</v>
      </c>
      <c r="H71" s="41"/>
      <c r="J71" s="332">
        <f>'Volume adjustments'!J329</f>
        <v>0.48529035029231349</v>
      </c>
      <c r="K71" s="332">
        <f>'Volume adjustments'!K329</f>
        <v>0.48529035029231349</v>
      </c>
      <c r="L71" s="332">
        <f>'Volume adjustments'!L329</f>
        <v>0.48529035029231349</v>
      </c>
      <c r="M71" s="332">
        <f>'Volume adjustments'!M329</f>
        <v>0.48529035029231349</v>
      </c>
      <c r="N71" s="332">
        <f>'Volume adjustments'!N329</f>
        <v>0.48529035029231349</v>
      </c>
      <c r="O71" s="332">
        <f>'Volume adjustments'!O329</f>
        <v>0.20072349959460251</v>
      </c>
      <c r="P71" s="332">
        <f>'Volume adjustments'!P329</f>
        <v>8.1602927143683501E-2</v>
      </c>
      <c r="Q71" s="332">
        <f>'Volume adjustments'!Q329</f>
        <v>0.48529035029231349</v>
      </c>
      <c r="R71" s="332">
        <f>'Volume adjustments'!R329</f>
        <v>0</v>
      </c>
      <c r="S71" s="332">
        <f>'Volume adjustments'!S329</f>
        <v>0</v>
      </c>
      <c r="T71" s="332">
        <f>'Volume adjustments'!T329</f>
        <v>0</v>
      </c>
      <c r="U71" s="332">
        <f>'Volume adjustments'!U329</f>
        <v>0</v>
      </c>
      <c r="V71" s="332">
        <f>'Volume adjustments'!V329</f>
        <v>0</v>
      </c>
      <c r="W71" s="332">
        <f>'Volume adjustments'!W329</f>
        <v>0</v>
      </c>
      <c r="X71" s="332">
        <f>'Volume adjustments'!X329</f>
        <v>0</v>
      </c>
      <c r="Y71" s="332">
        <f>'Volume adjustments'!Y329</f>
        <v>0</v>
      </c>
    </row>
    <row r="72" spans="4:43" x14ac:dyDescent="0.25">
      <c r="E72" s="78"/>
      <c r="F72" s="28" t="s">
        <v>162</v>
      </c>
      <c r="G72" s="28" t="s">
        <v>167</v>
      </c>
      <c r="H72" s="201"/>
      <c r="I72" s="28"/>
      <c r="J72" s="333">
        <f>'Volume adjustments'!J330</f>
        <v>0.48529035029231349</v>
      </c>
      <c r="K72" s="333">
        <f>'Volume adjustments'!K330</f>
        <v>0.48529035029231349</v>
      </c>
      <c r="L72" s="333">
        <f>'Volume adjustments'!L330</f>
        <v>0.48529035029231349</v>
      </c>
      <c r="M72" s="333">
        <f>'Volume adjustments'!M330</f>
        <v>0.48529035029231349</v>
      </c>
      <c r="N72" s="333">
        <f>'Volume adjustments'!N330</f>
        <v>0.48529035029231349</v>
      </c>
      <c r="O72" s="333">
        <f>'Volume adjustments'!O330</f>
        <v>0.20072349959460251</v>
      </c>
      <c r="P72" s="333">
        <f>'Volume adjustments'!P330</f>
        <v>8.1602927143683501E-2</v>
      </c>
      <c r="Q72" s="333">
        <f>'Volume adjustments'!Q330</f>
        <v>0.48529035029231349</v>
      </c>
      <c r="R72" s="333">
        <f>'Volume adjustments'!R330</f>
        <v>0</v>
      </c>
      <c r="S72" s="333">
        <f>'Volume adjustments'!S330</f>
        <v>0</v>
      </c>
      <c r="T72" s="333">
        <f>'Volume adjustments'!T330</f>
        <v>0</v>
      </c>
      <c r="U72" s="333">
        <f>'Volume adjustments'!U330</f>
        <v>0</v>
      </c>
      <c r="V72" s="333">
        <f>'Volume adjustments'!V330</f>
        <v>0</v>
      </c>
      <c r="W72" s="333">
        <f>'Volume adjustments'!W330</f>
        <v>0</v>
      </c>
      <c r="X72" s="333">
        <f>'Volume adjustments'!X330</f>
        <v>0</v>
      </c>
      <c r="Y72" s="333">
        <f>'Volume adjustments'!Y330</f>
        <v>0</v>
      </c>
    </row>
    <row r="73" spans="4:43" x14ac:dyDescent="0.25">
      <c r="E73"/>
    </row>
    <row r="74" spans="4:43" x14ac:dyDescent="0.25">
      <c r="D74"/>
      <c r="E74" s="78" t="s">
        <v>747</v>
      </c>
      <c r="I74" t="s">
        <v>154</v>
      </c>
      <c r="AQ74" t="s">
        <v>427</v>
      </c>
    </row>
    <row r="75" spans="4:43" x14ac:dyDescent="0.25">
      <c r="D75"/>
      <c r="E75" s="78"/>
      <c r="F75" s="19" t="s">
        <v>156</v>
      </c>
      <c r="G75" s="19" t="s">
        <v>167</v>
      </c>
      <c r="H75" s="164"/>
      <c r="I75" s="19"/>
      <c r="J75" s="144">
        <f>INDEX($J57:$Y57,J$54)</f>
        <v>0.3378546825678212</v>
      </c>
      <c r="K75" s="144">
        <f t="shared" ref="K75:AO75" si="0">INDEX($J57:$Y57,K$54)</f>
        <v>0.3378546825678212</v>
      </c>
      <c r="L75" s="144">
        <f t="shared" si="0"/>
        <v>0.3378546825678212</v>
      </c>
      <c r="M75" s="144">
        <f t="shared" si="0"/>
        <v>0.3378546825678212</v>
      </c>
      <c r="N75" s="144">
        <f t="shared" si="0"/>
        <v>0.3378546825678212</v>
      </c>
      <c r="O75" s="144">
        <f t="shared" si="0"/>
        <v>0.3378546825678212</v>
      </c>
      <c r="P75" s="144">
        <f t="shared" si="0"/>
        <v>0.3378546825678212</v>
      </c>
      <c r="Q75" s="144">
        <f t="shared" si="0"/>
        <v>0.3378546825678212</v>
      </c>
      <c r="R75" s="144">
        <f t="shared" si="0"/>
        <v>0.3378546825678212</v>
      </c>
      <c r="S75" s="144">
        <f t="shared" si="0"/>
        <v>0.3378546825678212</v>
      </c>
      <c r="T75" s="144">
        <f t="shared" si="0"/>
        <v>0.3378546825678212</v>
      </c>
      <c r="U75" s="144">
        <f t="shared" si="0"/>
        <v>0.3378546825678212</v>
      </c>
      <c r="V75" s="144">
        <f t="shared" si="0"/>
        <v>0.3378546825678212</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0.3378546825678212</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157</v>
      </c>
      <c r="G76" t="s">
        <v>167</v>
      </c>
      <c r="H76" s="41"/>
      <c r="J76" s="135">
        <f t="shared" ref="J76:AO76" si="1">INDEX($J58:$Y58,J$54)</f>
        <v>0.3378546825678212</v>
      </c>
      <c r="K76" s="135">
        <f t="shared" si="1"/>
        <v>0.3378546825678212</v>
      </c>
      <c r="L76" s="135">
        <f t="shared" si="1"/>
        <v>0.3378546825678212</v>
      </c>
      <c r="M76" s="135">
        <f t="shared" si="1"/>
        <v>0.3378546825678212</v>
      </c>
      <c r="N76" s="135">
        <f t="shared" si="1"/>
        <v>0.3378546825678212</v>
      </c>
      <c r="O76" s="135">
        <f t="shared" si="1"/>
        <v>0.3378546825678212</v>
      </c>
      <c r="P76" s="135">
        <f t="shared" si="1"/>
        <v>0.3378546825678212</v>
      </c>
      <c r="Q76" s="135">
        <f t="shared" si="1"/>
        <v>0.3378546825678212</v>
      </c>
      <c r="R76" s="135">
        <f t="shared" si="1"/>
        <v>0.3378546825678212</v>
      </c>
      <c r="S76" s="135">
        <f t="shared" si="1"/>
        <v>0.3378546825678212</v>
      </c>
      <c r="T76" s="135">
        <f t="shared" si="1"/>
        <v>0.3378546825678212</v>
      </c>
      <c r="U76" s="135">
        <f t="shared" si="1"/>
        <v>0.3378546825678212</v>
      </c>
      <c r="V76" s="135">
        <f t="shared" si="1"/>
        <v>0.3378546825678212</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0.3378546825678212</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158</v>
      </c>
      <c r="G77" t="s">
        <v>167</v>
      </c>
      <c r="H77" s="41"/>
      <c r="J77" s="135">
        <f t="shared" ref="J77:AO77" si="2">INDEX($J59:$Y59,J$54)</f>
        <v>0.3378546825678212</v>
      </c>
      <c r="K77" s="135">
        <f t="shared" si="2"/>
        <v>0.3378546825678212</v>
      </c>
      <c r="L77" s="135">
        <f t="shared" si="2"/>
        <v>0.3378546825678212</v>
      </c>
      <c r="M77" s="135">
        <f t="shared" si="2"/>
        <v>0.3378546825678212</v>
      </c>
      <c r="N77" s="135">
        <f t="shared" si="2"/>
        <v>0.3378546825678212</v>
      </c>
      <c r="O77" s="135">
        <f t="shared" si="2"/>
        <v>0.3378546825678212</v>
      </c>
      <c r="P77" s="135">
        <f t="shared" si="2"/>
        <v>0.3378546825678212</v>
      </c>
      <c r="Q77" s="135">
        <f t="shared" si="2"/>
        <v>0.3378546825678212</v>
      </c>
      <c r="R77" s="135">
        <f t="shared" si="2"/>
        <v>0.3378546825678212</v>
      </c>
      <c r="S77" s="135">
        <f t="shared" si="2"/>
        <v>0.3378546825678212</v>
      </c>
      <c r="T77" s="135">
        <f t="shared" si="2"/>
        <v>0.3378546825678212</v>
      </c>
      <c r="U77" s="135">
        <f t="shared" si="2"/>
        <v>0.3378546825678212</v>
      </c>
      <c r="V77" s="135">
        <f t="shared" si="2"/>
        <v>0.3378546825678212</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0.3378546825678212</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159</v>
      </c>
      <c r="G78" t="s">
        <v>167</v>
      </c>
      <c r="H78" s="41"/>
      <c r="J78" s="135">
        <f t="shared" ref="J78:AO78" si="3">INDEX($J60:$Y60,J$54)</f>
        <v>0.3378546825678212</v>
      </c>
      <c r="K78" s="135">
        <f t="shared" si="3"/>
        <v>0.3378546825678212</v>
      </c>
      <c r="L78" s="135">
        <f t="shared" si="3"/>
        <v>0.3378546825678212</v>
      </c>
      <c r="M78" s="135">
        <f t="shared" si="3"/>
        <v>0.3378546825678212</v>
      </c>
      <c r="N78" s="135">
        <f t="shared" si="3"/>
        <v>0.3378546825678212</v>
      </c>
      <c r="O78" s="135">
        <f t="shared" si="3"/>
        <v>0.3378546825678212</v>
      </c>
      <c r="P78" s="135">
        <f t="shared" si="3"/>
        <v>0.3378546825678212</v>
      </c>
      <c r="Q78" s="135">
        <f t="shared" si="3"/>
        <v>0.3378546825678212</v>
      </c>
      <c r="R78" s="135">
        <f t="shared" si="3"/>
        <v>0.3378546825678212</v>
      </c>
      <c r="S78" s="135">
        <f t="shared" si="3"/>
        <v>0.3378546825678212</v>
      </c>
      <c r="T78" s="135">
        <f t="shared" si="3"/>
        <v>0.3378546825678212</v>
      </c>
      <c r="U78" s="135">
        <f t="shared" si="3"/>
        <v>0.3378546825678212</v>
      </c>
      <c r="V78" s="135">
        <f t="shared" si="3"/>
        <v>0.3378546825678212</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0.3378546825678212</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160</v>
      </c>
      <c r="G79" t="s">
        <v>167</v>
      </c>
      <c r="H79" s="41"/>
      <c r="J79" s="135">
        <f t="shared" ref="J79:AO79" si="4">INDEX($J61:$Y61,J$54)</f>
        <v>0.3378546825678212</v>
      </c>
      <c r="K79" s="135">
        <f t="shared" si="4"/>
        <v>0.3378546825678212</v>
      </c>
      <c r="L79" s="135">
        <f t="shared" si="4"/>
        <v>0.3378546825678212</v>
      </c>
      <c r="M79" s="135">
        <f t="shared" si="4"/>
        <v>0.3378546825678212</v>
      </c>
      <c r="N79" s="135">
        <f t="shared" si="4"/>
        <v>0.3378546825678212</v>
      </c>
      <c r="O79" s="135">
        <f t="shared" si="4"/>
        <v>0.3378546825678212</v>
      </c>
      <c r="P79" s="135">
        <f t="shared" si="4"/>
        <v>0.3378546825678212</v>
      </c>
      <c r="Q79" s="135">
        <f t="shared" si="4"/>
        <v>0.3378546825678212</v>
      </c>
      <c r="R79" s="135">
        <f t="shared" si="4"/>
        <v>0.3378546825678212</v>
      </c>
      <c r="S79" s="135">
        <f t="shared" si="4"/>
        <v>0.3378546825678212</v>
      </c>
      <c r="T79" s="135">
        <f t="shared" si="4"/>
        <v>0.3378546825678212</v>
      </c>
      <c r="U79" s="135">
        <f t="shared" si="4"/>
        <v>0.3378546825678212</v>
      </c>
      <c r="V79" s="135">
        <f t="shared" si="4"/>
        <v>0.3378546825678212</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0.3378546825678212</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161</v>
      </c>
      <c r="G80" t="s">
        <v>167</v>
      </c>
      <c r="H80" s="41"/>
      <c r="J80" s="135">
        <f t="shared" ref="J80:AO80" si="5">INDEX($J62:$Y62,J$54)</f>
        <v>0.3378546825678212</v>
      </c>
      <c r="K80" s="135">
        <f t="shared" si="5"/>
        <v>0.3378546825678212</v>
      </c>
      <c r="L80" s="135">
        <f t="shared" si="5"/>
        <v>0.3378546825678212</v>
      </c>
      <c r="M80" s="135">
        <f t="shared" si="5"/>
        <v>0.3378546825678212</v>
      </c>
      <c r="N80" s="135">
        <f t="shared" si="5"/>
        <v>0.3378546825678212</v>
      </c>
      <c r="O80" s="135">
        <f t="shared" si="5"/>
        <v>0.3378546825678212</v>
      </c>
      <c r="P80" s="135">
        <f t="shared" si="5"/>
        <v>0.3378546825678212</v>
      </c>
      <c r="Q80" s="135">
        <f t="shared" si="5"/>
        <v>0.3378546825678212</v>
      </c>
      <c r="R80" s="135">
        <f t="shared" si="5"/>
        <v>0.3378546825678212</v>
      </c>
      <c r="S80" s="135">
        <f t="shared" si="5"/>
        <v>0.3378546825678212</v>
      </c>
      <c r="T80" s="135">
        <f t="shared" si="5"/>
        <v>0.3378546825678212</v>
      </c>
      <c r="U80" s="135">
        <f t="shared" si="5"/>
        <v>0.3378546825678212</v>
      </c>
      <c r="V80" s="135">
        <f t="shared" si="5"/>
        <v>0.3378546825678212</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0.3378546825678212</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162</v>
      </c>
      <c r="G81" s="28" t="s">
        <v>167</v>
      </c>
      <c r="H81" s="201"/>
      <c r="I81" s="28"/>
      <c r="J81" s="145">
        <f t="shared" ref="J81:AO81" si="6">INDEX($J63:$Y63,J$54)</f>
        <v>0.3378546825678212</v>
      </c>
      <c r="K81" s="145">
        <f t="shared" si="6"/>
        <v>0.3378546825678212</v>
      </c>
      <c r="L81" s="145">
        <f t="shared" si="6"/>
        <v>0.3378546825678212</v>
      </c>
      <c r="M81" s="145">
        <f t="shared" si="6"/>
        <v>0.3378546825678212</v>
      </c>
      <c r="N81" s="145">
        <f t="shared" si="6"/>
        <v>0.3378546825678212</v>
      </c>
      <c r="O81" s="145">
        <f t="shared" si="6"/>
        <v>0.3378546825678212</v>
      </c>
      <c r="P81" s="145">
        <f t="shared" si="6"/>
        <v>0.3378546825678212</v>
      </c>
      <c r="Q81" s="145">
        <f t="shared" si="6"/>
        <v>0.3378546825678212</v>
      </c>
      <c r="R81" s="145">
        <f t="shared" si="6"/>
        <v>0.3378546825678212</v>
      </c>
      <c r="S81" s="145">
        <f t="shared" si="6"/>
        <v>0.3378546825678212</v>
      </c>
      <c r="T81" s="145">
        <f t="shared" si="6"/>
        <v>0.3378546825678212</v>
      </c>
      <c r="U81" s="145">
        <f t="shared" si="6"/>
        <v>0.3378546825678212</v>
      </c>
      <c r="V81" s="145">
        <f t="shared" si="6"/>
        <v>0.3378546825678212</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0.3378546825678212</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154</v>
      </c>
      <c r="AQ83" t="s">
        <v>427</v>
      </c>
    </row>
    <row r="84" spans="3:43" x14ac:dyDescent="0.25">
      <c r="D84"/>
      <c r="E84" s="78"/>
      <c r="F84" s="19" t="s">
        <v>156</v>
      </c>
      <c r="G84" s="19" t="s">
        <v>167</v>
      </c>
      <c r="H84" s="164"/>
      <c r="I84" s="19"/>
      <c r="J84" s="144">
        <f>INDEX($J66:$Y66,J$54)</f>
        <v>0.48529035029231349</v>
      </c>
      <c r="K84" s="144">
        <f t="shared" ref="K84:AO84" si="7">INDEX($J66:$Y66,K$54)</f>
        <v>0.48529035029231349</v>
      </c>
      <c r="L84" s="144">
        <f t="shared" si="7"/>
        <v>0.48529035029231349</v>
      </c>
      <c r="M84" s="144">
        <f t="shared" si="7"/>
        <v>0.48529035029231349</v>
      </c>
      <c r="N84" s="144">
        <f t="shared" si="7"/>
        <v>0.48529035029231349</v>
      </c>
      <c r="O84" s="144">
        <f t="shared" si="7"/>
        <v>0.48529035029231349</v>
      </c>
      <c r="P84" s="144">
        <f t="shared" si="7"/>
        <v>0.48529035029231349</v>
      </c>
      <c r="Q84" s="144">
        <f t="shared" si="7"/>
        <v>0.48529035029231349</v>
      </c>
      <c r="R84" s="144">
        <f t="shared" si="7"/>
        <v>0.48529035029231349</v>
      </c>
      <c r="S84" s="144">
        <f t="shared" si="7"/>
        <v>0.48529035029231349</v>
      </c>
      <c r="T84" s="144">
        <f t="shared" si="7"/>
        <v>0.48529035029231349</v>
      </c>
      <c r="U84" s="144">
        <f t="shared" si="7"/>
        <v>0.48529035029231349</v>
      </c>
      <c r="V84" s="144">
        <f t="shared" si="7"/>
        <v>0.48529035029231349</v>
      </c>
      <c r="W84" s="144">
        <f t="shared" si="7"/>
        <v>0.20072349959460251</v>
      </c>
      <c r="X84" s="144">
        <f t="shared" si="7"/>
        <v>0.20072349959460251</v>
      </c>
      <c r="Y84" s="144">
        <f t="shared" si="7"/>
        <v>0.20072349959460251</v>
      </c>
      <c r="Z84" s="144">
        <f t="shared" si="7"/>
        <v>0.20072349959460251</v>
      </c>
      <c r="AA84" s="144">
        <f t="shared" si="7"/>
        <v>0.20072349959460251</v>
      </c>
      <c r="AB84" s="144">
        <f t="shared" si="7"/>
        <v>8.1602927143683501E-2</v>
      </c>
      <c r="AC84" s="144">
        <f t="shared" si="7"/>
        <v>8.1602927143683501E-2</v>
      </c>
      <c r="AD84" s="144">
        <f t="shared" si="7"/>
        <v>8.1602927143683501E-2</v>
      </c>
      <c r="AE84" s="144">
        <f t="shared" si="7"/>
        <v>8.1602927143683501E-2</v>
      </c>
      <c r="AF84" s="144">
        <f t="shared" si="7"/>
        <v>8.1602927143683501E-2</v>
      </c>
      <c r="AG84" s="144">
        <f t="shared" si="7"/>
        <v>0.48529035029231349</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157</v>
      </c>
      <c r="G85" t="s">
        <v>167</v>
      </c>
      <c r="H85" s="41"/>
      <c r="J85" s="135">
        <f t="shared" ref="J85:AO85" si="8">INDEX($J67:$Y67,J$54)</f>
        <v>0.48529035029231349</v>
      </c>
      <c r="K85" s="135">
        <f t="shared" si="8"/>
        <v>0.48529035029231349</v>
      </c>
      <c r="L85" s="135">
        <f t="shared" si="8"/>
        <v>0.48529035029231349</v>
      </c>
      <c r="M85" s="135">
        <f t="shared" si="8"/>
        <v>0.48529035029231349</v>
      </c>
      <c r="N85" s="135">
        <f t="shared" si="8"/>
        <v>0.48529035029231349</v>
      </c>
      <c r="O85" s="135">
        <f t="shared" si="8"/>
        <v>0.48529035029231349</v>
      </c>
      <c r="P85" s="135">
        <f t="shared" si="8"/>
        <v>0.48529035029231349</v>
      </c>
      <c r="Q85" s="135">
        <f t="shared" si="8"/>
        <v>0.48529035029231349</v>
      </c>
      <c r="R85" s="135">
        <f t="shared" si="8"/>
        <v>0.48529035029231349</v>
      </c>
      <c r="S85" s="135">
        <f t="shared" si="8"/>
        <v>0.48529035029231349</v>
      </c>
      <c r="T85" s="135">
        <f t="shared" si="8"/>
        <v>0.48529035029231349</v>
      </c>
      <c r="U85" s="135">
        <f t="shared" si="8"/>
        <v>0.48529035029231349</v>
      </c>
      <c r="V85" s="135">
        <f t="shared" si="8"/>
        <v>0.48529035029231349</v>
      </c>
      <c r="W85" s="135">
        <f t="shared" si="8"/>
        <v>0.20072349959460251</v>
      </c>
      <c r="X85" s="135">
        <f t="shared" si="8"/>
        <v>0.20072349959460251</v>
      </c>
      <c r="Y85" s="135">
        <f t="shared" si="8"/>
        <v>0.20072349959460251</v>
      </c>
      <c r="Z85" s="135">
        <f t="shared" si="8"/>
        <v>0.20072349959460251</v>
      </c>
      <c r="AA85" s="135">
        <f t="shared" si="8"/>
        <v>0.20072349959460251</v>
      </c>
      <c r="AB85" s="135">
        <f t="shared" si="8"/>
        <v>8.1602927143683501E-2</v>
      </c>
      <c r="AC85" s="135">
        <f t="shared" si="8"/>
        <v>8.1602927143683501E-2</v>
      </c>
      <c r="AD85" s="135">
        <f t="shared" si="8"/>
        <v>8.1602927143683501E-2</v>
      </c>
      <c r="AE85" s="135">
        <f t="shared" si="8"/>
        <v>8.1602927143683501E-2</v>
      </c>
      <c r="AF85" s="135">
        <f t="shared" si="8"/>
        <v>8.1602927143683501E-2</v>
      </c>
      <c r="AG85" s="135">
        <f t="shared" si="8"/>
        <v>0.48529035029231349</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158</v>
      </c>
      <c r="G86" t="s">
        <v>167</v>
      </c>
      <c r="H86" s="41"/>
      <c r="J86" s="135">
        <f t="shared" ref="J86:AO86" si="9">INDEX($J68:$Y68,J$54)</f>
        <v>0.48529035029231349</v>
      </c>
      <c r="K86" s="135">
        <f t="shared" si="9"/>
        <v>0.48529035029231349</v>
      </c>
      <c r="L86" s="135">
        <f t="shared" si="9"/>
        <v>0.48529035029231349</v>
      </c>
      <c r="M86" s="135">
        <f t="shared" si="9"/>
        <v>0.48529035029231349</v>
      </c>
      <c r="N86" s="135">
        <f t="shared" si="9"/>
        <v>0.48529035029231349</v>
      </c>
      <c r="O86" s="135">
        <f t="shared" si="9"/>
        <v>0.48529035029231349</v>
      </c>
      <c r="P86" s="135">
        <f t="shared" si="9"/>
        <v>0.48529035029231349</v>
      </c>
      <c r="Q86" s="135">
        <f t="shared" si="9"/>
        <v>0.48529035029231349</v>
      </c>
      <c r="R86" s="135">
        <f t="shared" si="9"/>
        <v>0.48529035029231349</v>
      </c>
      <c r="S86" s="135">
        <f t="shared" si="9"/>
        <v>0.48529035029231349</v>
      </c>
      <c r="T86" s="135">
        <f t="shared" si="9"/>
        <v>0.48529035029231349</v>
      </c>
      <c r="U86" s="135">
        <f t="shared" si="9"/>
        <v>0.48529035029231349</v>
      </c>
      <c r="V86" s="135">
        <f t="shared" si="9"/>
        <v>0.48529035029231349</v>
      </c>
      <c r="W86" s="135">
        <f t="shared" si="9"/>
        <v>0.20072349959460251</v>
      </c>
      <c r="X86" s="135">
        <f t="shared" si="9"/>
        <v>0.20072349959460251</v>
      </c>
      <c r="Y86" s="135">
        <f t="shared" si="9"/>
        <v>0.20072349959460251</v>
      </c>
      <c r="Z86" s="135">
        <f t="shared" si="9"/>
        <v>0.20072349959460251</v>
      </c>
      <c r="AA86" s="135">
        <f t="shared" si="9"/>
        <v>0.20072349959460251</v>
      </c>
      <c r="AB86" s="135">
        <f t="shared" si="9"/>
        <v>8.1602927143683501E-2</v>
      </c>
      <c r="AC86" s="135">
        <f t="shared" si="9"/>
        <v>8.1602927143683501E-2</v>
      </c>
      <c r="AD86" s="135">
        <f t="shared" si="9"/>
        <v>8.1602927143683501E-2</v>
      </c>
      <c r="AE86" s="135">
        <f t="shared" si="9"/>
        <v>8.1602927143683501E-2</v>
      </c>
      <c r="AF86" s="135">
        <f t="shared" si="9"/>
        <v>8.1602927143683501E-2</v>
      </c>
      <c r="AG86" s="135">
        <f t="shared" si="9"/>
        <v>0.48529035029231349</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159</v>
      </c>
      <c r="G87" t="s">
        <v>167</v>
      </c>
      <c r="H87" s="41"/>
      <c r="J87" s="135">
        <f t="shared" ref="J87:AO87" si="10">INDEX($J69:$Y69,J$54)</f>
        <v>0.48529035029231349</v>
      </c>
      <c r="K87" s="135">
        <f t="shared" si="10"/>
        <v>0.48529035029231349</v>
      </c>
      <c r="L87" s="135">
        <f t="shared" si="10"/>
        <v>0.48529035029231349</v>
      </c>
      <c r="M87" s="135">
        <f t="shared" si="10"/>
        <v>0.48529035029231349</v>
      </c>
      <c r="N87" s="135">
        <f t="shared" si="10"/>
        <v>0.48529035029231349</v>
      </c>
      <c r="O87" s="135">
        <f t="shared" si="10"/>
        <v>0.48529035029231349</v>
      </c>
      <c r="P87" s="135">
        <f t="shared" si="10"/>
        <v>0.48529035029231349</v>
      </c>
      <c r="Q87" s="135">
        <f t="shared" si="10"/>
        <v>0.48529035029231349</v>
      </c>
      <c r="R87" s="135">
        <f t="shared" si="10"/>
        <v>0.48529035029231349</v>
      </c>
      <c r="S87" s="135">
        <f t="shared" si="10"/>
        <v>0.48529035029231349</v>
      </c>
      <c r="T87" s="135">
        <f t="shared" si="10"/>
        <v>0.48529035029231349</v>
      </c>
      <c r="U87" s="135">
        <f t="shared" si="10"/>
        <v>0.48529035029231349</v>
      </c>
      <c r="V87" s="135">
        <f t="shared" si="10"/>
        <v>0.48529035029231349</v>
      </c>
      <c r="W87" s="135">
        <f t="shared" si="10"/>
        <v>0.20072349959460251</v>
      </c>
      <c r="X87" s="135">
        <f t="shared" si="10"/>
        <v>0.20072349959460251</v>
      </c>
      <c r="Y87" s="135">
        <f t="shared" si="10"/>
        <v>0.20072349959460251</v>
      </c>
      <c r="Z87" s="135">
        <f t="shared" si="10"/>
        <v>0.20072349959460251</v>
      </c>
      <c r="AA87" s="135">
        <f t="shared" si="10"/>
        <v>0.20072349959460251</v>
      </c>
      <c r="AB87" s="135">
        <f t="shared" si="10"/>
        <v>8.1602927143683501E-2</v>
      </c>
      <c r="AC87" s="135">
        <f t="shared" si="10"/>
        <v>8.1602927143683501E-2</v>
      </c>
      <c r="AD87" s="135">
        <f t="shared" si="10"/>
        <v>8.1602927143683501E-2</v>
      </c>
      <c r="AE87" s="135">
        <f t="shared" si="10"/>
        <v>8.1602927143683501E-2</v>
      </c>
      <c r="AF87" s="135">
        <f t="shared" si="10"/>
        <v>8.1602927143683501E-2</v>
      </c>
      <c r="AG87" s="135">
        <f t="shared" si="10"/>
        <v>0.48529035029231349</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160</v>
      </c>
      <c r="G88" t="s">
        <v>167</v>
      </c>
      <c r="H88" s="41"/>
      <c r="J88" s="135">
        <f t="shared" ref="J88:AO88" si="11">INDEX($J70:$Y70,J$54)</f>
        <v>0.48529035029231349</v>
      </c>
      <c r="K88" s="135">
        <f t="shared" si="11"/>
        <v>0.48529035029231349</v>
      </c>
      <c r="L88" s="135">
        <f t="shared" si="11"/>
        <v>0.48529035029231349</v>
      </c>
      <c r="M88" s="135">
        <f t="shared" si="11"/>
        <v>0.48529035029231349</v>
      </c>
      <c r="N88" s="135">
        <f t="shared" si="11"/>
        <v>0.48529035029231349</v>
      </c>
      <c r="O88" s="135">
        <f t="shared" si="11"/>
        <v>0.48529035029231349</v>
      </c>
      <c r="P88" s="135">
        <f t="shared" si="11"/>
        <v>0.48529035029231349</v>
      </c>
      <c r="Q88" s="135">
        <f t="shared" si="11"/>
        <v>0.48529035029231349</v>
      </c>
      <c r="R88" s="135">
        <f t="shared" si="11"/>
        <v>0.48529035029231349</v>
      </c>
      <c r="S88" s="135">
        <f t="shared" si="11"/>
        <v>0.48529035029231349</v>
      </c>
      <c r="T88" s="135">
        <f t="shared" si="11"/>
        <v>0.48529035029231349</v>
      </c>
      <c r="U88" s="135">
        <f t="shared" si="11"/>
        <v>0.48529035029231349</v>
      </c>
      <c r="V88" s="135">
        <f t="shared" si="11"/>
        <v>0.48529035029231349</v>
      </c>
      <c r="W88" s="135">
        <f t="shared" si="11"/>
        <v>0.20072349959460251</v>
      </c>
      <c r="X88" s="135">
        <f t="shared" si="11"/>
        <v>0.20072349959460251</v>
      </c>
      <c r="Y88" s="135">
        <f t="shared" si="11"/>
        <v>0.20072349959460251</v>
      </c>
      <c r="Z88" s="135">
        <f t="shared" si="11"/>
        <v>0.20072349959460251</v>
      </c>
      <c r="AA88" s="135">
        <f t="shared" si="11"/>
        <v>0.20072349959460251</v>
      </c>
      <c r="AB88" s="135">
        <f t="shared" si="11"/>
        <v>8.1602927143683501E-2</v>
      </c>
      <c r="AC88" s="135">
        <f t="shared" si="11"/>
        <v>8.1602927143683501E-2</v>
      </c>
      <c r="AD88" s="135">
        <f t="shared" si="11"/>
        <v>8.1602927143683501E-2</v>
      </c>
      <c r="AE88" s="135">
        <f t="shared" si="11"/>
        <v>8.1602927143683501E-2</v>
      </c>
      <c r="AF88" s="135">
        <f t="shared" si="11"/>
        <v>8.1602927143683501E-2</v>
      </c>
      <c r="AG88" s="135">
        <f t="shared" si="11"/>
        <v>0.48529035029231349</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161</v>
      </c>
      <c r="G89" t="s">
        <v>167</v>
      </c>
      <c r="H89" s="41"/>
      <c r="J89" s="135">
        <f t="shared" ref="J89:AO89" si="12">INDEX($J71:$Y71,J$54)</f>
        <v>0.48529035029231349</v>
      </c>
      <c r="K89" s="135">
        <f t="shared" si="12"/>
        <v>0.48529035029231349</v>
      </c>
      <c r="L89" s="135">
        <f t="shared" si="12"/>
        <v>0.48529035029231349</v>
      </c>
      <c r="M89" s="135">
        <f t="shared" si="12"/>
        <v>0.48529035029231349</v>
      </c>
      <c r="N89" s="135">
        <f t="shared" si="12"/>
        <v>0.48529035029231349</v>
      </c>
      <c r="O89" s="135">
        <f t="shared" si="12"/>
        <v>0.48529035029231349</v>
      </c>
      <c r="P89" s="135">
        <f t="shared" si="12"/>
        <v>0.48529035029231349</v>
      </c>
      <c r="Q89" s="135">
        <f t="shared" si="12"/>
        <v>0.48529035029231349</v>
      </c>
      <c r="R89" s="135">
        <f t="shared" si="12"/>
        <v>0.48529035029231349</v>
      </c>
      <c r="S89" s="135">
        <f t="shared" si="12"/>
        <v>0.48529035029231349</v>
      </c>
      <c r="T89" s="135">
        <f t="shared" si="12"/>
        <v>0.48529035029231349</v>
      </c>
      <c r="U89" s="135">
        <f t="shared" si="12"/>
        <v>0.48529035029231349</v>
      </c>
      <c r="V89" s="135">
        <f t="shared" si="12"/>
        <v>0.48529035029231349</v>
      </c>
      <c r="W89" s="135">
        <f t="shared" si="12"/>
        <v>0.20072349959460251</v>
      </c>
      <c r="X89" s="135">
        <f t="shared" si="12"/>
        <v>0.20072349959460251</v>
      </c>
      <c r="Y89" s="135">
        <f t="shared" si="12"/>
        <v>0.20072349959460251</v>
      </c>
      <c r="Z89" s="135">
        <f t="shared" si="12"/>
        <v>0.20072349959460251</v>
      </c>
      <c r="AA89" s="135">
        <f t="shared" si="12"/>
        <v>0.20072349959460251</v>
      </c>
      <c r="AB89" s="135">
        <f t="shared" si="12"/>
        <v>8.1602927143683501E-2</v>
      </c>
      <c r="AC89" s="135">
        <f t="shared" si="12"/>
        <v>8.1602927143683501E-2</v>
      </c>
      <c r="AD89" s="135">
        <f t="shared" si="12"/>
        <v>8.1602927143683501E-2</v>
      </c>
      <c r="AE89" s="135">
        <f t="shared" si="12"/>
        <v>8.1602927143683501E-2</v>
      </c>
      <c r="AF89" s="135">
        <f t="shared" si="12"/>
        <v>8.1602927143683501E-2</v>
      </c>
      <c r="AG89" s="135">
        <f t="shared" si="12"/>
        <v>0.48529035029231349</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162</v>
      </c>
      <c r="G90" s="28" t="s">
        <v>167</v>
      </c>
      <c r="H90" s="201"/>
      <c r="I90" s="28"/>
      <c r="J90" s="145">
        <f t="shared" ref="J90:AO90" si="13">INDEX($J72:$Y72,J$54)</f>
        <v>0.48529035029231349</v>
      </c>
      <c r="K90" s="145">
        <f t="shared" si="13"/>
        <v>0.48529035029231349</v>
      </c>
      <c r="L90" s="145">
        <f t="shared" si="13"/>
        <v>0.48529035029231349</v>
      </c>
      <c r="M90" s="145">
        <f t="shared" si="13"/>
        <v>0.48529035029231349</v>
      </c>
      <c r="N90" s="145">
        <f t="shared" si="13"/>
        <v>0.48529035029231349</v>
      </c>
      <c r="O90" s="145">
        <f t="shared" si="13"/>
        <v>0.48529035029231349</v>
      </c>
      <c r="P90" s="145">
        <f t="shared" si="13"/>
        <v>0.48529035029231349</v>
      </c>
      <c r="Q90" s="145">
        <f t="shared" si="13"/>
        <v>0.48529035029231349</v>
      </c>
      <c r="R90" s="145">
        <f t="shared" si="13"/>
        <v>0.48529035029231349</v>
      </c>
      <c r="S90" s="145">
        <f t="shared" si="13"/>
        <v>0.48529035029231349</v>
      </c>
      <c r="T90" s="145">
        <f t="shared" si="13"/>
        <v>0.48529035029231349</v>
      </c>
      <c r="U90" s="145">
        <f t="shared" si="13"/>
        <v>0.48529035029231349</v>
      </c>
      <c r="V90" s="145">
        <f t="shared" si="13"/>
        <v>0.48529035029231349</v>
      </c>
      <c r="W90" s="145">
        <f t="shared" si="13"/>
        <v>0.20072349959460251</v>
      </c>
      <c r="X90" s="145">
        <f t="shared" si="13"/>
        <v>0.20072349959460251</v>
      </c>
      <c r="Y90" s="145">
        <f t="shared" si="13"/>
        <v>0.20072349959460251</v>
      </c>
      <c r="Z90" s="145">
        <f t="shared" si="13"/>
        <v>0.20072349959460251</v>
      </c>
      <c r="AA90" s="145">
        <f t="shared" si="13"/>
        <v>0.20072349959460251</v>
      </c>
      <c r="AB90" s="145">
        <f t="shared" si="13"/>
        <v>8.1602927143683501E-2</v>
      </c>
      <c r="AC90" s="145">
        <f t="shared" si="13"/>
        <v>8.1602927143683501E-2</v>
      </c>
      <c r="AD90" s="145">
        <f t="shared" si="13"/>
        <v>8.1602927143683501E-2</v>
      </c>
      <c r="AE90" s="145">
        <f t="shared" si="13"/>
        <v>8.1602927143683501E-2</v>
      </c>
      <c r="AF90" s="145">
        <f t="shared" si="13"/>
        <v>8.1602927143683501E-2</v>
      </c>
      <c r="AG90" s="145">
        <f t="shared" si="13"/>
        <v>0.48529035029231349</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control'!$H$36:$H$59,MATCH($A$1,'Version control'!$F$36:$F$59,0),1)&amp;"-E: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154</v>
      </c>
      <c r="AQ94" t="s">
        <v>155</v>
      </c>
    </row>
    <row r="95" spans="3:43" x14ac:dyDescent="0.25">
      <c r="C95" s="78"/>
      <c r="F95" s="19" t="s">
        <v>156</v>
      </c>
      <c r="G95" s="19" t="s">
        <v>149</v>
      </c>
      <c r="H95" s="164">
        <f>'Fixed inputs'!H25</f>
        <v>3</v>
      </c>
    </row>
    <row r="96" spans="3:43" x14ac:dyDescent="0.25">
      <c r="C96" s="78"/>
      <c r="F96" t="s">
        <v>157</v>
      </c>
      <c r="G96" t="s">
        <v>149</v>
      </c>
      <c r="H96" s="41">
        <f>'Fixed inputs'!H26</f>
        <v>3</v>
      </c>
    </row>
    <row r="97" spans="2:43" x14ac:dyDescent="0.25">
      <c r="C97" s="78"/>
      <c r="F97" t="s">
        <v>158</v>
      </c>
      <c r="G97" t="s">
        <v>149</v>
      </c>
      <c r="H97" s="41">
        <f>'Fixed inputs'!H27</f>
        <v>3</v>
      </c>
    </row>
    <row r="98" spans="2:43" x14ac:dyDescent="0.25">
      <c r="C98" s="78"/>
      <c r="F98" t="s">
        <v>159</v>
      </c>
      <c r="G98" t="s">
        <v>149</v>
      </c>
      <c r="H98" s="41">
        <f>'Fixed inputs'!H28</f>
        <v>2</v>
      </c>
    </row>
    <row r="99" spans="2:43" x14ac:dyDescent="0.25">
      <c r="C99" s="78"/>
      <c r="F99" t="s">
        <v>160</v>
      </c>
      <c r="G99" t="s">
        <v>149</v>
      </c>
      <c r="H99" s="41">
        <f>'Fixed inputs'!H29</f>
        <v>2</v>
      </c>
    </row>
    <row r="100" spans="2:43" x14ac:dyDescent="0.25">
      <c r="C100" s="78"/>
      <c r="F100" t="s">
        <v>161</v>
      </c>
      <c r="G100" t="s">
        <v>149</v>
      </c>
      <c r="H100" s="41">
        <f>'Fixed inputs'!H30</f>
        <v>2</v>
      </c>
    </row>
    <row r="101" spans="2:43" x14ac:dyDescent="0.25">
      <c r="C101" s="78"/>
      <c r="F101" s="28" t="s">
        <v>162</v>
      </c>
      <c r="G101" s="28" t="s">
        <v>149</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control'!$H$36:$H$59,MATCH($A$1,'Version control'!$F$36:$F$59,0),1)&amp;"-F: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156</v>
      </c>
      <c r="G110" s="19" t="s">
        <v>269</v>
      </c>
      <c r="H110" s="267"/>
      <c r="I110" s="255"/>
      <c r="J110" s="270">
        <f xml:space="preserve"> J20 + J32</f>
        <v>6.5552317947693215</v>
      </c>
      <c r="K110" s="270">
        <f t="shared" ref="K110:AO110" si="14" xml:space="preserve"> K20 + K32</f>
        <v>6.5552317947693215</v>
      </c>
      <c r="L110" s="270">
        <f t="shared" si="14"/>
        <v>6.0773952794030546</v>
      </c>
      <c r="M110" s="270">
        <f t="shared" si="14"/>
        <v>6.0773952794030546</v>
      </c>
      <c r="N110" s="270">
        <f t="shared" si="14"/>
        <v>6.0773952794030546</v>
      </c>
      <c r="O110" s="270">
        <f t="shared" si="14"/>
        <v>6.0773952794030546</v>
      </c>
      <c r="P110" s="270">
        <f t="shared" si="14"/>
        <v>6.0773952794030546</v>
      </c>
      <c r="Q110" s="270">
        <f t="shared" si="14"/>
        <v>6.0773952794030546</v>
      </c>
      <c r="R110" s="270">
        <f t="shared" si="14"/>
        <v>4.7453787408342878</v>
      </c>
      <c r="S110" s="270">
        <f t="shared" si="14"/>
        <v>4.7453787408342878</v>
      </c>
      <c r="T110" s="270">
        <f t="shared" si="14"/>
        <v>4.7453787408342878</v>
      </c>
      <c r="U110" s="270">
        <f t="shared" si="14"/>
        <v>4.7453787408342878</v>
      </c>
      <c r="V110" s="270">
        <f t="shared" si="14"/>
        <v>4.7453787408342878</v>
      </c>
      <c r="W110" s="270">
        <f t="shared" si="14"/>
        <v>2.4344363610974544</v>
      </c>
      <c r="X110" s="270">
        <f t="shared" si="14"/>
        <v>2.4344363610974544</v>
      </c>
      <c r="Y110" s="270">
        <f t="shared" si="14"/>
        <v>2.4344363610974544</v>
      </c>
      <c r="Z110" s="270">
        <f t="shared" si="14"/>
        <v>2.4344363610974544</v>
      </c>
      <c r="AA110" s="270">
        <f t="shared" si="14"/>
        <v>2.4344363610974544</v>
      </c>
      <c r="AB110" s="270">
        <f t="shared" si="14"/>
        <v>1.1830943449306988</v>
      </c>
      <c r="AC110" s="270">
        <f t="shared" si="14"/>
        <v>1.1830943449306988</v>
      </c>
      <c r="AD110" s="270">
        <f t="shared" si="14"/>
        <v>1.1830943449306988</v>
      </c>
      <c r="AE110" s="270">
        <f t="shared" si="14"/>
        <v>1.1830943449306988</v>
      </c>
      <c r="AF110" s="270">
        <f t="shared" si="14"/>
        <v>1.1830943449306988</v>
      </c>
      <c r="AG110" s="270">
        <f t="shared" si="14"/>
        <v>20.481626198076302</v>
      </c>
      <c r="AH110" s="270">
        <f t="shared" si="14"/>
        <v>-4.186786864327857</v>
      </c>
      <c r="AI110" s="270">
        <f t="shared" si="14"/>
        <v>-3.4675761632447348</v>
      </c>
      <c r="AJ110" s="270">
        <f t="shared" si="14"/>
        <v>-4.186786864327857</v>
      </c>
      <c r="AK110" s="270">
        <f t="shared" si="14"/>
        <v>-4.186786864327857</v>
      </c>
      <c r="AL110" s="270">
        <f t="shared" si="14"/>
        <v>-3.4675761632447348</v>
      </c>
      <c r="AM110" s="270">
        <f t="shared" si="14"/>
        <v>-3.4675761632447348</v>
      </c>
      <c r="AN110" s="270">
        <f t="shared" si="14"/>
        <v>-1.7521841974333925</v>
      </c>
      <c r="AO110" s="270">
        <f t="shared" si="14"/>
        <v>-1.7521841974333925</v>
      </c>
      <c r="AP110" s="256"/>
      <c r="AQ110" s="256"/>
    </row>
    <row r="111" spans="2:43" x14ac:dyDescent="0.25">
      <c r="D111"/>
      <c r="E111" s="78"/>
      <c r="F111" t="s">
        <v>157</v>
      </c>
      <c r="G111" t="s">
        <v>269</v>
      </c>
      <c r="H111" s="268"/>
      <c r="I111" s="256"/>
      <c r="J111" s="271">
        <f t="shared" ref="J111" si="15" xml:space="preserve"> J21 + J33</f>
        <v>1.1641252254335506</v>
      </c>
      <c r="K111" s="271">
        <f t="shared" ref="K111:AO111" si="16" xml:space="preserve"> K21 + K33</f>
        <v>1.1641252254335506</v>
      </c>
      <c r="L111" s="271">
        <f t="shared" si="16"/>
        <v>1.079267579115841</v>
      </c>
      <c r="M111" s="271">
        <f t="shared" si="16"/>
        <v>1.079267579115841</v>
      </c>
      <c r="N111" s="271">
        <f t="shared" si="16"/>
        <v>1.079267579115841</v>
      </c>
      <c r="O111" s="271">
        <f t="shared" si="16"/>
        <v>1.079267579115841</v>
      </c>
      <c r="P111" s="271">
        <f t="shared" si="16"/>
        <v>1.079267579115841</v>
      </c>
      <c r="Q111" s="271">
        <f t="shared" si="16"/>
        <v>1.079267579115841</v>
      </c>
      <c r="R111" s="271">
        <f t="shared" si="16"/>
        <v>0.85090351287663679</v>
      </c>
      <c r="S111" s="271">
        <f t="shared" si="16"/>
        <v>0.85090351287663679</v>
      </c>
      <c r="T111" s="271">
        <f t="shared" si="16"/>
        <v>0.85090351287663679</v>
      </c>
      <c r="U111" s="271">
        <f t="shared" si="16"/>
        <v>0.85090351287663679</v>
      </c>
      <c r="V111" s="271">
        <f t="shared" si="16"/>
        <v>0.85090351287663679</v>
      </c>
      <c r="W111" s="271">
        <f t="shared" si="16"/>
        <v>0.44882463508356385</v>
      </c>
      <c r="X111" s="271">
        <f t="shared" si="16"/>
        <v>0.44882463508356385</v>
      </c>
      <c r="Y111" s="271">
        <f t="shared" si="16"/>
        <v>0.44882463508356385</v>
      </c>
      <c r="Z111" s="271">
        <f t="shared" si="16"/>
        <v>0.44882463508356385</v>
      </c>
      <c r="AA111" s="271">
        <f t="shared" si="16"/>
        <v>0.44882463508356385</v>
      </c>
      <c r="AB111" s="271">
        <f t="shared" si="16"/>
        <v>0.20845279839728717</v>
      </c>
      <c r="AC111" s="271">
        <f t="shared" si="16"/>
        <v>0.20845279839728717</v>
      </c>
      <c r="AD111" s="271">
        <f t="shared" si="16"/>
        <v>0.20845279839728717</v>
      </c>
      <c r="AE111" s="271">
        <f t="shared" si="16"/>
        <v>0.20845279839728717</v>
      </c>
      <c r="AF111" s="271">
        <f t="shared" si="16"/>
        <v>0.20845279839728717</v>
      </c>
      <c r="AG111" s="271">
        <f t="shared" si="16"/>
        <v>2.8969964264921995</v>
      </c>
      <c r="AH111" s="271">
        <f t="shared" si="16"/>
        <v>-0.74351973429330243</v>
      </c>
      <c r="AI111" s="271">
        <f t="shared" si="16"/>
        <v>-0.61941219953210536</v>
      </c>
      <c r="AJ111" s="271">
        <f t="shared" si="16"/>
        <v>-0.74351973429330243</v>
      </c>
      <c r="AK111" s="271">
        <f t="shared" si="16"/>
        <v>-0.74351973429330243</v>
      </c>
      <c r="AL111" s="271">
        <f t="shared" si="16"/>
        <v>-0.61941219953210536</v>
      </c>
      <c r="AM111" s="271">
        <f t="shared" si="16"/>
        <v>-0.61941219953210536</v>
      </c>
      <c r="AN111" s="271">
        <f t="shared" si="16"/>
        <v>-0.32210732776295514</v>
      </c>
      <c r="AO111" s="271">
        <f t="shared" si="16"/>
        <v>-0.32210732776295514</v>
      </c>
      <c r="AP111" s="256"/>
      <c r="AQ111" s="256"/>
    </row>
    <row r="112" spans="2:43" x14ac:dyDescent="0.25">
      <c r="D112"/>
      <c r="E112" s="78"/>
      <c r="F112" t="s">
        <v>158</v>
      </c>
      <c r="G112" t="s">
        <v>269</v>
      </c>
      <c r="H112" s="268"/>
      <c r="I112" s="256"/>
      <c r="J112" s="271">
        <f t="shared" ref="J112" si="17" xml:space="preserve"> J22 + J34</f>
        <v>0.13699708495012364</v>
      </c>
      <c r="K112" s="271">
        <f t="shared" ref="K112:AO112" si="18" xml:space="preserve"> K22 + K34</f>
        <v>0.13699708495012364</v>
      </c>
      <c r="L112" s="271">
        <f t="shared" si="18"/>
        <v>0.12701083095676546</v>
      </c>
      <c r="M112" s="271">
        <f t="shared" si="18"/>
        <v>0.12701083095676546</v>
      </c>
      <c r="N112" s="271">
        <f t="shared" si="18"/>
        <v>0.12701083095676546</v>
      </c>
      <c r="O112" s="271">
        <f t="shared" si="18"/>
        <v>0.12701083095676546</v>
      </c>
      <c r="P112" s="271">
        <f t="shared" si="18"/>
        <v>0.12701083095676546</v>
      </c>
      <c r="Q112" s="271">
        <f t="shared" si="18"/>
        <v>0.12701083095676546</v>
      </c>
      <c r="R112" s="271">
        <f t="shared" si="18"/>
        <v>9.4585565578456307E-2</v>
      </c>
      <c r="S112" s="271">
        <f t="shared" si="18"/>
        <v>9.4585565578456307E-2</v>
      </c>
      <c r="T112" s="271">
        <f t="shared" si="18"/>
        <v>9.4585565578456307E-2</v>
      </c>
      <c r="U112" s="271">
        <f t="shared" si="18"/>
        <v>9.4585565578456307E-2</v>
      </c>
      <c r="V112" s="271">
        <f t="shared" si="18"/>
        <v>9.4585565578456307E-2</v>
      </c>
      <c r="W112" s="271">
        <f t="shared" si="18"/>
        <v>4.1629036785237376E-2</v>
      </c>
      <c r="X112" s="271">
        <f t="shared" si="18"/>
        <v>4.1629036785237376E-2</v>
      </c>
      <c r="Y112" s="271">
        <f t="shared" si="18"/>
        <v>4.1629036785237376E-2</v>
      </c>
      <c r="Z112" s="271">
        <f t="shared" si="18"/>
        <v>4.1629036785237376E-2</v>
      </c>
      <c r="AA112" s="271">
        <f t="shared" si="18"/>
        <v>4.1629036785237376E-2</v>
      </c>
      <c r="AB112" s="271">
        <f t="shared" si="18"/>
        <v>1.712365946581141E-2</v>
      </c>
      <c r="AC112" s="271">
        <f t="shared" si="18"/>
        <v>1.712365946581141E-2</v>
      </c>
      <c r="AD112" s="271">
        <f t="shared" si="18"/>
        <v>1.712365946581141E-2</v>
      </c>
      <c r="AE112" s="271">
        <f t="shared" si="18"/>
        <v>1.712365946581141E-2</v>
      </c>
      <c r="AF112" s="271">
        <f t="shared" si="18"/>
        <v>1.712365946581141E-2</v>
      </c>
      <c r="AG112" s="271">
        <f t="shared" si="18"/>
        <v>2.0301092142459347</v>
      </c>
      <c r="AH112" s="271">
        <f t="shared" si="18"/>
        <v>-8.749920882707235E-2</v>
      </c>
      <c r="AI112" s="271">
        <f t="shared" si="18"/>
        <v>-7.0442298160749872E-2</v>
      </c>
      <c r="AJ112" s="271">
        <f t="shared" si="18"/>
        <v>-8.749920882707235E-2</v>
      </c>
      <c r="AK112" s="271">
        <f t="shared" si="18"/>
        <v>-8.749920882707235E-2</v>
      </c>
      <c r="AL112" s="271">
        <f t="shared" si="18"/>
        <v>-7.0442298160749872E-2</v>
      </c>
      <c r="AM112" s="271">
        <f t="shared" si="18"/>
        <v>-7.0442298160749872E-2</v>
      </c>
      <c r="AN112" s="271">
        <f t="shared" si="18"/>
        <v>-2.9593486029886762E-2</v>
      </c>
      <c r="AO112" s="271">
        <f t="shared" si="18"/>
        <v>-2.9593486029886762E-2</v>
      </c>
      <c r="AP112" s="256"/>
      <c r="AQ112" s="256"/>
    </row>
    <row r="113" spans="3:43" x14ac:dyDescent="0.25">
      <c r="D113"/>
      <c r="E113" s="78"/>
      <c r="F113" t="s">
        <v>159</v>
      </c>
      <c r="G113" t="s">
        <v>270</v>
      </c>
      <c r="H113" s="41"/>
      <c r="J113" s="88">
        <f t="shared" ref="J113" si="19" xml:space="preserve"> J23 + J35</f>
        <v>14.482816270832952</v>
      </c>
      <c r="K113" s="88">
        <f t="shared" ref="K113:AO113" si="20" xml:space="preserve"> K23 + K35</f>
        <v>0</v>
      </c>
      <c r="L113" s="88">
        <f t="shared" si="20"/>
        <v>10.255573274807343</v>
      </c>
      <c r="M113" s="88">
        <f t="shared" si="20"/>
        <v>14.153406681516239</v>
      </c>
      <c r="N113" s="88">
        <f t="shared" si="20"/>
        <v>29.666886154542077</v>
      </c>
      <c r="O113" s="88">
        <f t="shared" si="20"/>
        <v>56.648296594361113</v>
      </c>
      <c r="P113" s="88">
        <f t="shared" si="20"/>
        <v>163.87919661538629</v>
      </c>
      <c r="Q113" s="88">
        <f t="shared" si="20"/>
        <v>0</v>
      </c>
      <c r="R113" s="88">
        <f t="shared" si="20"/>
        <v>14.16830857064785</v>
      </c>
      <c r="S113" s="88">
        <f t="shared" si="20"/>
        <v>268.35641382584015</v>
      </c>
      <c r="T113" s="88">
        <f t="shared" si="20"/>
        <v>491.46803735585792</v>
      </c>
      <c r="U113" s="88">
        <f t="shared" si="20"/>
        <v>773.1426955697757</v>
      </c>
      <c r="V113" s="88">
        <f t="shared" si="20"/>
        <v>1331.4643489412088</v>
      </c>
      <c r="W113" s="88">
        <f t="shared" si="20"/>
        <v>11.059887419149176</v>
      </c>
      <c r="X113" s="88">
        <f t="shared" si="20"/>
        <v>265.24799267434145</v>
      </c>
      <c r="Y113" s="88">
        <f t="shared" si="20"/>
        <v>488.3596162043591</v>
      </c>
      <c r="Z113" s="88">
        <f t="shared" si="20"/>
        <v>770.03427441827705</v>
      </c>
      <c r="AA113" s="88">
        <f t="shared" si="20"/>
        <v>1328.3559277897104</v>
      </c>
      <c r="AB113" s="88">
        <f t="shared" si="20"/>
        <v>102.10306294246037</v>
      </c>
      <c r="AC113" s="88">
        <f t="shared" si="20"/>
        <v>1251.997117202463</v>
      </c>
      <c r="AD113" s="88">
        <f t="shared" si="20"/>
        <v>3709.5795807546629</v>
      </c>
      <c r="AE113" s="88">
        <f t="shared" si="20"/>
        <v>8155.4981594405808</v>
      </c>
      <c r="AF113" s="88">
        <f t="shared" si="20"/>
        <v>25189.40841560949</v>
      </c>
      <c r="AG113" s="88">
        <f t="shared" si="20"/>
        <v>0</v>
      </c>
      <c r="AH113" s="88">
        <f t="shared" si="20"/>
        <v>0</v>
      </c>
      <c r="AI113" s="88">
        <f t="shared" si="20"/>
        <v>0</v>
      </c>
      <c r="AJ113" s="88">
        <f t="shared" si="20"/>
        <v>0</v>
      </c>
      <c r="AK113" s="88">
        <f t="shared" si="20"/>
        <v>0</v>
      </c>
      <c r="AL113" s="88">
        <f t="shared" si="20"/>
        <v>0</v>
      </c>
      <c r="AM113" s="88">
        <f t="shared" si="20"/>
        <v>0</v>
      </c>
      <c r="AN113" s="88">
        <f t="shared" si="20"/>
        <v>63.900454893200845</v>
      </c>
      <c r="AO113" s="88">
        <f t="shared" si="20"/>
        <v>63.900454893200845</v>
      </c>
    </row>
    <row r="114" spans="3:43" x14ac:dyDescent="0.2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4.9261307270603929</v>
      </c>
      <c r="S114" s="88">
        <f t="shared" si="22"/>
        <v>4.9261307270603929</v>
      </c>
      <c r="T114" s="88">
        <f t="shared" si="22"/>
        <v>4.9261307270603929</v>
      </c>
      <c r="U114" s="88">
        <f t="shared" si="22"/>
        <v>4.9261307270603929</v>
      </c>
      <c r="V114" s="88">
        <f t="shared" si="22"/>
        <v>4.9261307270603929</v>
      </c>
      <c r="W114" s="88">
        <f t="shared" si="22"/>
        <v>5.34360253476415</v>
      </c>
      <c r="X114" s="88">
        <f t="shared" si="22"/>
        <v>5.34360253476415</v>
      </c>
      <c r="Y114" s="88">
        <f t="shared" si="22"/>
        <v>5.34360253476415</v>
      </c>
      <c r="Z114" s="88">
        <f t="shared" si="22"/>
        <v>5.34360253476415</v>
      </c>
      <c r="AA114" s="88">
        <f t="shared" si="22"/>
        <v>5.34360253476415</v>
      </c>
      <c r="AB114" s="88">
        <f t="shared" si="22"/>
        <v>5.6374389608038982</v>
      </c>
      <c r="AC114" s="88">
        <f t="shared" si="22"/>
        <v>5.6374389608038982</v>
      </c>
      <c r="AD114" s="88">
        <f t="shared" si="22"/>
        <v>5.6374389608038982</v>
      </c>
      <c r="AE114" s="88">
        <f t="shared" si="22"/>
        <v>5.6374389608038982</v>
      </c>
      <c r="AF114" s="88">
        <f t="shared" si="22"/>
        <v>5.6374389608038982</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8.6476005057225613</v>
      </c>
      <c r="S115" s="88">
        <f t="shared" si="24"/>
        <v>8.6476005057225613</v>
      </c>
      <c r="T115" s="88">
        <f t="shared" si="24"/>
        <v>8.6476005057225613</v>
      </c>
      <c r="U115" s="88">
        <f t="shared" si="24"/>
        <v>8.6476005057225613</v>
      </c>
      <c r="V115" s="88">
        <f t="shared" si="24"/>
        <v>8.6476005057225613</v>
      </c>
      <c r="W115" s="88">
        <f t="shared" si="24"/>
        <v>7.263397869064387</v>
      </c>
      <c r="X115" s="88">
        <f t="shared" si="24"/>
        <v>7.263397869064387</v>
      </c>
      <c r="Y115" s="88">
        <f t="shared" si="24"/>
        <v>7.263397869064387</v>
      </c>
      <c r="Z115" s="88">
        <f t="shared" si="24"/>
        <v>7.263397869064387</v>
      </c>
      <c r="AA115" s="88">
        <f t="shared" si="24"/>
        <v>7.263397869064387</v>
      </c>
      <c r="AB115" s="88">
        <f t="shared" si="24"/>
        <v>7.3360433216250591</v>
      </c>
      <c r="AC115" s="88">
        <f t="shared" si="24"/>
        <v>7.3360433216250591</v>
      </c>
      <c r="AD115" s="88">
        <f t="shared" si="24"/>
        <v>7.3360433216250591</v>
      </c>
      <c r="AE115" s="88">
        <f t="shared" si="24"/>
        <v>7.3360433216250591</v>
      </c>
      <c r="AF115" s="88">
        <f t="shared" si="24"/>
        <v>7.3360433216250591</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0.11518861443804111</v>
      </c>
      <c r="S116" s="273">
        <f t="shared" si="26"/>
        <v>0.11518861443804111</v>
      </c>
      <c r="T116" s="273">
        <f t="shared" si="26"/>
        <v>0.11518861443804111</v>
      </c>
      <c r="U116" s="273">
        <f t="shared" si="26"/>
        <v>0.11518861443804111</v>
      </c>
      <c r="V116" s="273">
        <f t="shared" si="26"/>
        <v>0.11518861443804111</v>
      </c>
      <c r="W116" s="273">
        <f t="shared" si="26"/>
        <v>6.9699671029066212E-2</v>
      </c>
      <c r="X116" s="273">
        <f t="shared" si="26"/>
        <v>6.9699671029066212E-2</v>
      </c>
      <c r="Y116" s="273">
        <f t="shared" si="26"/>
        <v>6.9699671029066212E-2</v>
      </c>
      <c r="Z116" s="273">
        <f t="shared" si="26"/>
        <v>6.9699671029066212E-2</v>
      </c>
      <c r="AA116" s="273">
        <f t="shared" si="26"/>
        <v>6.9699671029066212E-2</v>
      </c>
      <c r="AB116" s="273">
        <f t="shared" si="26"/>
        <v>3.0329114448965223E-2</v>
      </c>
      <c r="AC116" s="273">
        <f t="shared" si="26"/>
        <v>3.0329114448965223E-2</v>
      </c>
      <c r="AD116" s="273">
        <f t="shared" si="26"/>
        <v>3.0329114448965223E-2</v>
      </c>
      <c r="AE116" s="273">
        <f t="shared" si="26"/>
        <v>3.0329114448965223E-2</v>
      </c>
      <c r="AF116" s="273">
        <f t="shared" si="26"/>
        <v>3.0329114448965223E-2</v>
      </c>
      <c r="AG116" s="273">
        <f t="shared" si="26"/>
        <v>0</v>
      </c>
      <c r="AH116" s="273">
        <f t="shared" si="26"/>
        <v>0</v>
      </c>
      <c r="AI116" s="273">
        <f t="shared" si="26"/>
        <v>0</v>
      </c>
      <c r="AJ116" s="273">
        <f t="shared" si="26"/>
        <v>0.13197133789973453</v>
      </c>
      <c r="AK116" s="273">
        <f t="shared" si="26"/>
        <v>0</v>
      </c>
      <c r="AL116" s="273">
        <f t="shared" si="26"/>
        <v>0.10133750175642738</v>
      </c>
      <c r="AM116" s="273">
        <f t="shared" si="26"/>
        <v>0</v>
      </c>
      <c r="AN116" s="273">
        <f t="shared" si="26"/>
        <v>7.8373162303441601E-2</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control'!$H$36:$H$59,MATCH($A$1,'Version control'!$F$36:$F$59,0),1)&amp;"-G: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156</v>
      </c>
      <c r="G121" s="19" t="s">
        <v>269</v>
      </c>
      <c r="H121" s="267"/>
      <c r="I121" s="255"/>
      <c r="J121" s="316">
        <f xml:space="preserve"> J110 + J44</f>
        <v>6.5552317947693215</v>
      </c>
      <c r="K121" s="316">
        <f t="shared" ref="K121:AO121" si="27" xml:space="preserve"> K110 + K44</f>
        <v>6.5552317947693215</v>
      </c>
      <c r="L121" s="316">
        <f t="shared" si="27"/>
        <v>6.0773952794030546</v>
      </c>
      <c r="M121" s="316">
        <f t="shared" si="27"/>
        <v>6.0773952794030546</v>
      </c>
      <c r="N121" s="316">
        <f t="shared" si="27"/>
        <v>6.0773952794030546</v>
      </c>
      <c r="O121" s="316">
        <f t="shared" si="27"/>
        <v>6.0773952794030546</v>
      </c>
      <c r="P121" s="316">
        <f t="shared" si="27"/>
        <v>6.0773952794030546</v>
      </c>
      <c r="Q121" s="316">
        <f t="shared" si="27"/>
        <v>6.0773952794030546</v>
      </c>
      <c r="R121" s="316">
        <f t="shared" si="27"/>
        <v>4.7453787408342878</v>
      </c>
      <c r="S121" s="316">
        <f t="shared" si="27"/>
        <v>4.7453787408342878</v>
      </c>
      <c r="T121" s="316">
        <f t="shared" si="27"/>
        <v>4.7453787408342878</v>
      </c>
      <c r="U121" s="316">
        <f t="shared" si="27"/>
        <v>4.7453787408342878</v>
      </c>
      <c r="V121" s="316">
        <f t="shared" si="27"/>
        <v>4.7453787408342878</v>
      </c>
      <c r="W121" s="316">
        <f t="shared" si="27"/>
        <v>2.4344363610974544</v>
      </c>
      <c r="X121" s="316">
        <f t="shared" si="27"/>
        <v>2.4344363610974544</v>
      </c>
      <c r="Y121" s="316">
        <f t="shared" si="27"/>
        <v>2.4344363610974544</v>
      </c>
      <c r="Z121" s="316">
        <f t="shared" si="27"/>
        <v>2.4344363610974544</v>
      </c>
      <c r="AA121" s="316">
        <f t="shared" si="27"/>
        <v>2.4344363610974544</v>
      </c>
      <c r="AB121" s="316">
        <f t="shared" si="27"/>
        <v>1.1830943449306988</v>
      </c>
      <c r="AC121" s="316">
        <f t="shared" si="27"/>
        <v>1.1830943449306988</v>
      </c>
      <c r="AD121" s="316">
        <f t="shared" si="27"/>
        <v>1.1830943449306988</v>
      </c>
      <c r="AE121" s="316">
        <f t="shared" si="27"/>
        <v>1.1830943449306988</v>
      </c>
      <c r="AF121" s="316">
        <f t="shared" si="27"/>
        <v>1.1830943449306988</v>
      </c>
      <c r="AG121" s="316">
        <f t="shared" si="27"/>
        <v>20.481626198076302</v>
      </c>
      <c r="AH121" s="316">
        <f t="shared" si="27"/>
        <v>-4.186786864327857</v>
      </c>
      <c r="AI121" s="316">
        <f t="shared" si="27"/>
        <v>-3.4675761632447348</v>
      </c>
      <c r="AJ121" s="316">
        <f t="shared" si="27"/>
        <v>-4.186786864327857</v>
      </c>
      <c r="AK121" s="316">
        <f t="shared" si="27"/>
        <v>-4.186786864327857</v>
      </c>
      <c r="AL121" s="316">
        <f t="shared" si="27"/>
        <v>-3.4675761632447348</v>
      </c>
      <c r="AM121" s="316">
        <f t="shared" si="27"/>
        <v>-3.4675761632447348</v>
      </c>
      <c r="AN121" s="316">
        <f t="shared" si="27"/>
        <v>-1.7521841974333925</v>
      </c>
      <c r="AO121" s="316">
        <f t="shared" si="27"/>
        <v>-1.7521841974333925</v>
      </c>
      <c r="AP121" s="256"/>
      <c r="AQ121" s="256"/>
    </row>
    <row r="122" spans="3:43" x14ac:dyDescent="0.25">
      <c r="E122" s="78"/>
      <c r="F122" t="s">
        <v>157</v>
      </c>
      <c r="G122" t="s">
        <v>269</v>
      </c>
      <c r="H122" s="268"/>
      <c r="I122" s="256"/>
      <c r="J122" s="317">
        <f t="shared" ref="J122" si="28" xml:space="preserve"> J111 + J45</f>
        <v>1.1641252254335506</v>
      </c>
      <c r="K122" s="317">
        <f t="shared" ref="K122:AO122" si="29" xml:space="preserve"> K111 + K45</f>
        <v>1.1641252254335506</v>
      </c>
      <c r="L122" s="317">
        <f t="shared" si="29"/>
        <v>1.079267579115841</v>
      </c>
      <c r="M122" s="317">
        <f t="shared" si="29"/>
        <v>1.079267579115841</v>
      </c>
      <c r="N122" s="317">
        <f t="shared" si="29"/>
        <v>1.079267579115841</v>
      </c>
      <c r="O122" s="317">
        <f t="shared" si="29"/>
        <v>1.079267579115841</v>
      </c>
      <c r="P122" s="317">
        <f t="shared" si="29"/>
        <v>1.079267579115841</v>
      </c>
      <c r="Q122" s="317">
        <f t="shared" si="29"/>
        <v>1.079267579115841</v>
      </c>
      <c r="R122" s="317">
        <f t="shared" si="29"/>
        <v>0.85090351287663679</v>
      </c>
      <c r="S122" s="317">
        <f t="shared" si="29"/>
        <v>0.85090351287663679</v>
      </c>
      <c r="T122" s="317">
        <f t="shared" si="29"/>
        <v>0.85090351287663679</v>
      </c>
      <c r="U122" s="317">
        <f t="shared" si="29"/>
        <v>0.85090351287663679</v>
      </c>
      <c r="V122" s="317">
        <f t="shared" si="29"/>
        <v>0.85090351287663679</v>
      </c>
      <c r="W122" s="317">
        <f t="shared" si="29"/>
        <v>0.44882463508356385</v>
      </c>
      <c r="X122" s="317">
        <f t="shared" si="29"/>
        <v>0.44882463508356385</v>
      </c>
      <c r="Y122" s="317">
        <f t="shared" si="29"/>
        <v>0.44882463508356385</v>
      </c>
      <c r="Z122" s="317">
        <f t="shared" si="29"/>
        <v>0.44882463508356385</v>
      </c>
      <c r="AA122" s="317">
        <f t="shared" si="29"/>
        <v>0.44882463508356385</v>
      </c>
      <c r="AB122" s="317">
        <f t="shared" si="29"/>
        <v>0.20845279839728717</v>
      </c>
      <c r="AC122" s="317">
        <f t="shared" si="29"/>
        <v>0.20845279839728717</v>
      </c>
      <c r="AD122" s="317">
        <f t="shared" si="29"/>
        <v>0.20845279839728717</v>
      </c>
      <c r="AE122" s="317">
        <f t="shared" si="29"/>
        <v>0.20845279839728717</v>
      </c>
      <c r="AF122" s="317">
        <f t="shared" si="29"/>
        <v>0.20845279839728717</v>
      </c>
      <c r="AG122" s="317">
        <f t="shared" si="29"/>
        <v>2.8969964264921995</v>
      </c>
      <c r="AH122" s="317">
        <f t="shared" si="29"/>
        <v>-0.74351973429330243</v>
      </c>
      <c r="AI122" s="317">
        <f t="shared" si="29"/>
        <v>-0.61941219953210536</v>
      </c>
      <c r="AJ122" s="317">
        <f t="shared" si="29"/>
        <v>-0.74351973429330243</v>
      </c>
      <c r="AK122" s="317">
        <f t="shared" si="29"/>
        <v>-0.74351973429330243</v>
      </c>
      <c r="AL122" s="317">
        <f t="shared" si="29"/>
        <v>-0.61941219953210536</v>
      </c>
      <c r="AM122" s="317">
        <f t="shared" si="29"/>
        <v>-0.61941219953210536</v>
      </c>
      <c r="AN122" s="317">
        <f t="shared" si="29"/>
        <v>-0.32210732776295514</v>
      </c>
      <c r="AO122" s="317">
        <f t="shared" si="29"/>
        <v>-0.32210732776295514</v>
      </c>
      <c r="AP122" s="256"/>
      <c r="AQ122" s="256"/>
    </row>
    <row r="123" spans="3:43" x14ac:dyDescent="0.25">
      <c r="E123" s="78"/>
      <c r="F123" t="s">
        <v>158</v>
      </c>
      <c r="G123" t="s">
        <v>269</v>
      </c>
      <c r="H123" s="268"/>
      <c r="I123" s="256"/>
      <c r="J123" s="317">
        <f t="shared" ref="J123" si="30" xml:space="preserve"> J112 + J46</f>
        <v>0.13699708495012364</v>
      </c>
      <c r="K123" s="317">
        <f t="shared" ref="K123:AO123" si="31" xml:space="preserve"> K112 + K46</f>
        <v>0.13699708495012364</v>
      </c>
      <c r="L123" s="317">
        <f t="shared" si="31"/>
        <v>0.12701083095676546</v>
      </c>
      <c r="M123" s="317">
        <f t="shared" si="31"/>
        <v>0.12701083095676546</v>
      </c>
      <c r="N123" s="317">
        <f t="shared" si="31"/>
        <v>0.12701083095676546</v>
      </c>
      <c r="O123" s="317">
        <f t="shared" si="31"/>
        <v>0.12701083095676546</v>
      </c>
      <c r="P123" s="317">
        <f t="shared" si="31"/>
        <v>0.12701083095676546</v>
      </c>
      <c r="Q123" s="317">
        <f t="shared" si="31"/>
        <v>0.12701083095676546</v>
      </c>
      <c r="R123" s="317">
        <f t="shared" si="31"/>
        <v>9.4585565578456307E-2</v>
      </c>
      <c r="S123" s="317">
        <f t="shared" si="31"/>
        <v>9.4585565578456307E-2</v>
      </c>
      <c r="T123" s="317">
        <f t="shared" si="31"/>
        <v>9.4585565578456307E-2</v>
      </c>
      <c r="U123" s="317">
        <f t="shared" si="31"/>
        <v>9.4585565578456307E-2</v>
      </c>
      <c r="V123" s="317">
        <f t="shared" si="31"/>
        <v>9.4585565578456307E-2</v>
      </c>
      <c r="W123" s="317">
        <f t="shared" si="31"/>
        <v>4.1629036785237376E-2</v>
      </c>
      <c r="X123" s="317">
        <f t="shared" si="31"/>
        <v>4.1629036785237376E-2</v>
      </c>
      <c r="Y123" s="317">
        <f t="shared" si="31"/>
        <v>4.1629036785237376E-2</v>
      </c>
      <c r="Z123" s="317">
        <f t="shared" si="31"/>
        <v>4.1629036785237376E-2</v>
      </c>
      <c r="AA123" s="317">
        <f t="shared" si="31"/>
        <v>4.1629036785237376E-2</v>
      </c>
      <c r="AB123" s="317">
        <f t="shared" si="31"/>
        <v>1.712365946581141E-2</v>
      </c>
      <c r="AC123" s="317">
        <f t="shared" si="31"/>
        <v>1.712365946581141E-2</v>
      </c>
      <c r="AD123" s="317">
        <f t="shared" si="31"/>
        <v>1.712365946581141E-2</v>
      </c>
      <c r="AE123" s="317">
        <f t="shared" si="31"/>
        <v>1.712365946581141E-2</v>
      </c>
      <c r="AF123" s="317">
        <f t="shared" si="31"/>
        <v>1.712365946581141E-2</v>
      </c>
      <c r="AG123" s="317">
        <f t="shared" si="31"/>
        <v>2.0301092142459347</v>
      </c>
      <c r="AH123" s="317">
        <f t="shared" si="31"/>
        <v>-8.749920882707235E-2</v>
      </c>
      <c r="AI123" s="317">
        <f t="shared" si="31"/>
        <v>-7.0442298160749872E-2</v>
      </c>
      <c r="AJ123" s="317">
        <f t="shared" si="31"/>
        <v>-8.749920882707235E-2</v>
      </c>
      <c r="AK123" s="317">
        <f t="shared" si="31"/>
        <v>-8.749920882707235E-2</v>
      </c>
      <c r="AL123" s="317">
        <f t="shared" si="31"/>
        <v>-7.0442298160749872E-2</v>
      </c>
      <c r="AM123" s="317">
        <f t="shared" si="31"/>
        <v>-7.0442298160749872E-2</v>
      </c>
      <c r="AN123" s="317">
        <f t="shared" si="31"/>
        <v>-2.9593486029886762E-2</v>
      </c>
      <c r="AO123" s="317">
        <f t="shared" si="31"/>
        <v>-2.9593486029886762E-2</v>
      </c>
      <c r="AP123" s="256"/>
      <c r="AQ123" s="256"/>
    </row>
    <row r="124" spans="3:43" x14ac:dyDescent="0.25">
      <c r="E124" s="78"/>
      <c r="F124" t="s">
        <v>159</v>
      </c>
      <c r="G124" t="s">
        <v>270</v>
      </c>
      <c r="H124" s="41"/>
      <c r="J124" s="318">
        <f t="shared" ref="J124" si="32" xml:space="preserve"> J113 + J47</f>
        <v>14.738810140885461</v>
      </c>
      <c r="K124" s="318">
        <f t="shared" ref="K124:AO124" si="33" xml:space="preserve"> K113 + K47</f>
        <v>0</v>
      </c>
      <c r="L124" s="318">
        <f t="shared" si="33"/>
        <v>10.411296070422706</v>
      </c>
      <c r="M124" s="318">
        <f t="shared" si="33"/>
        <v>14.309129477131602</v>
      </c>
      <c r="N124" s="318">
        <f t="shared" si="33"/>
        <v>29.822608950157438</v>
      </c>
      <c r="O124" s="318">
        <f t="shared" si="33"/>
        <v>56.804019389976474</v>
      </c>
      <c r="P124" s="318">
        <f t="shared" si="33"/>
        <v>164.03491941100165</v>
      </c>
      <c r="Q124" s="318">
        <f t="shared" si="33"/>
        <v>0</v>
      </c>
      <c r="R124" s="318">
        <f t="shared" si="33"/>
        <v>14.324031366263213</v>
      </c>
      <c r="S124" s="318">
        <f t="shared" si="33"/>
        <v>268.51213662145551</v>
      </c>
      <c r="T124" s="318">
        <f t="shared" si="33"/>
        <v>491.62376015147328</v>
      </c>
      <c r="U124" s="318">
        <f t="shared" si="33"/>
        <v>773.29841836539106</v>
      </c>
      <c r="V124" s="318">
        <f t="shared" si="33"/>
        <v>1331.6200717368242</v>
      </c>
      <c r="W124" s="318">
        <f t="shared" si="33"/>
        <v>11.215610214764538</v>
      </c>
      <c r="X124" s="318">
        <f t="shared" si="33"/>
        <v>265.40371546995681</v>
      </c>
      <c r="Y124" s="318">
        <f t="shared" si="33"/>
        <v>488.51533899997446</v>
      </c>
      <c r="Z124" s="318">
        <f t="shared" si="33"/>
        <v>770.18999721389241</v>
      </c>
      <c r="AA124" s="318">
        <f t="shared" si="33"/>
        <v>1328.5116505853259</v>
      </c>
      <c r="AB124" s="318">
        <f t="shared" si="33"/>
        <v>102.25878573807573</v>
      </c>
      <c r="AC124" s="318">
        <f t="shared" si="33"/>
        <v>1252.1528399980784</v>
      </c>
      <c r="AD124" s="318">
        <f t="shared" si="33"/>
        <v>3709.7353035502783</v>
      </c>
      <c r="AE124" s="318">
        <f t="shared" si="33"/>
        <v>8155.6538822361963</v>
      </c>
      <c r="AF124" s="318">
        <f t="shared" si="33"/>
        <v>25189.564138405105</v>
      </c>
      <c r="AG124" s="318">
        <f t="shared" si="33"/>
        <v>0</v>
      </c>
      <c r="AH124" s="318">
        <f t="shared" si="33"/>
        <v>0</v>
      </c>
      <c r="AI124" s="318">
        <f t="shared" si="33"/>
        <v>0</v>
      </c>
      <c r="AJ124" s="318">
        <f t="shared" si="33"/>
        <v>0</v>
      </c>
      <c r="AK124" s="318">
        <f t="shared" si="33"/>
        <v>0</v>
      </c>
      <c r="AL124" s="318">
        <f t="shared" si="33"/>
        <v>0</v>
      </c>
      <c r="AM124" s="318">
        <f t="shared" si="33"/>
        <v>0</v>
      </c>
      <c r="AN124" s="318">
        <f t="shared" si="33"/>
        <v>63.900454893200845</v>
      </c>
      <c r="AO124" s="318">
        <f t="shared" si="33"/>
        <v>63.900454893200845</v>
      </c>
    </row>
    <row r="125" spans="3:43" x14ac:dyDescent="0.25">
      <c r="E125" s="78"/>
      <c r="F125" t="s">
        <v>160</v>
      </c>
      <c r="G125" t="s">
        <v>271</v>
      </c>
      <c r="H125" s="41"/>
      <c r="J125" s="318">
        <f t="shared" ref="J125" si="34" xml:space="preserve"> J114 + J48</f>
        <v>0</v>
      </c>
      <c r="K125" s="318">
        <f t="shared" ref="K125:AO125" si="35" xml:space="preserve"> K114 + K48</f>
        <v>0</v>
      </c>
      <c r="L125" s="318">
        <f t="shared" si="35"/>
        <v>0</v>
      </c>
      <c r="M125" s="318">
        <f t="shared" si="35"/>
        <v>0</v>
      </c>
      <c r="N125" s="318">
        <f t="shared" si="35"/>
        <v>0</v>
      </c>
      <c r="O125" s="318">
        <f t="shared" si="35"/>
        <v>0</v>
      </c>
      <c r="P125" s="318">
        <f t="shared" si="35"/>
        <v>0</v>
      </c>
      <c r="Q125" s="318">
        <f t="shared" si="35"/>
        <v>0</v>
      </c>
      <c r="R125" s="318">
        <f t="shared" si="35"/>
        <v>4.9261307270603929</v>
      </c>
      <c r="S125" s="318">
        <f t="shared" si="35"/>
        <v>4.9261307270603929</v>
      </c>
      <c r="T125" s="318">
        <f t="shared" si="35"/>
        <v>4.9261307270603929</v>
      </c>
      <c r="U125" s="318">
        <f t="shared" si="35"/>
        <v>4.9261307270603929</v>
      </c>
      <c r="V125" s="318">
        <f t="shared" si="35"/>
        <v>4.9261307270603929</v>
      </c>
      <c r="W125" s="318">
        <f t="shared" si="35"/>
        <v>5.34360253476415</v>
      </c>
      <c r="X125" s="318">
        <f t="shared" si="35"/>
        <v>5.34360253476415</v>
      </c>
      <c r="Y125" s="318">
        <f t="shared" si="35"/>
        <v>5.34360253476415</v>
      </c>
      <c r="Z125" s="318">
        <f t="shared" si="35"/>
        <v>5.34360253476415</v>
      </c>
      <c r="AA125" s="318">
        <f t="shared" si="35"/>
        <v>5.34360253476415</v>
      </c>
      <c r="AB125" s="318">
        <f t="shared" si="35"/>
        <v>5.6374389608038982</v>
      </c>
      <c r="AC125" s="318">
        <f t="shared" si="35"/>
        <v>5.6374389608038982</v>
      </c>
      <c r="AD125" s="318">
        <f t="shared" si="35"/>
        <v>5.6374389608038982</v>
      </c>
      <c r="AE125" s="318">
        <f t="shared" si="35"/>
        <v>5.6374389608038982</v>
      </c>
      <c r="AF125" s="318">
        <f t="shared" si="35"/>
        <v>5.6374389608038982</v>
      </c>
      <c r="AG125" s="318">
        <f t="shared" si="35"/>
        <v>0</v>
      </c>
      <c r="AH125" s="318">
        <f t="shared" si="35"/>
        <v>0</v>
      </c>
      <c r="AI125" s="318">
        <f t="shared" si="35"/>
        <v>0</v>
      </c>
      <c r="AJ125" s="318">
        <f t="shared" si="35"/>
        <v>0</v>
      </c>
      <c r="AK125" s="318">
        <f t="shared" si="35"/>
        <v>0</v>
      </c>
      <c r="AL125" s="318">
        <f t="shared" si="35"/>
        <v>0</v>
      </c>
      <c r="AM125" s="318">
        <f t="shared" si="35"/>
        <v>0</v>
      </c>
      <c r="AN125" s="318">
        <f t="shared" si="35"/>
        <v>0</v>
      </c>
      <c r="AO125" s="318">
        <f t="shared" si="35"/>
        <v>0</v>
      </c>
    </row>
    <row r="126" spans="3:43" x14ac:dyDescent="0.25">
      <c r="E126" s="78"/>
      <c r="F126" t="s">
        <v>161</v>
      </c>
      <c r="G126" t="s">
        <v>271</v>
      </c>
      <c r="H126" s="41"/>
      <c r="J126" s="318">
        <f t="shared" ref="J126" si="36" xml:space="preserve"> J115 + J49</f>
        <v>0</v>
      </c>
      <c r="K126" s="318">
        <f t="shared" ref="K126:AO126" si="37" xml:space="preserve"> K115 + K49</f>
        <v>0</v>
      </c>
      <c r="L126" s="318">
        <f t="shared" si="37"/>
        <v>0</v>
      </c>
      <c r="M126" s="318">
        <f t="shared" si="37"/>
        <v>0</v>
      </c>
      <c r="N126" s="318">
        <f t="shared" si="37"/>
        <v>0</v>
      </c>
      <c r="O126" s="318">
        <f t="shared" si="37"/>
        <v>0</v>
      </c>
      <c r="P126" s="318">
        <f t="shared" si="37"/>
        <v>0</v>
      </c>
      <c r="Q126" s="318">
        <f t="shared" si="37"/>
        <v>0</v>
      </c>
      <c r="R126" s="318">
        <f t="shared" si="37"/>
        <v>8.6476005057225613</v>
      </c>
      <c r="S126" s="318">
        <f t="shared" si="37"/>
        <v>8.6476005057225613</v>
      </c>
      <c r="T126" s="318">
        <f t="shared" si="37"/>
        <v>8.6476005057225613</v>
      </c>
      <c r="U126" s="318">
        <f t="shared" si="37"/>
        <v>8.6476005057225613</v>
      </c>
      <c r="V126" s="318">
        <f t="shared" si="37"/>
        <v>8.6476005057225613</v>
      </c>
      <c r="W126" s="318">
        <f t="shared" si="37"/>
        <v>7.263397869064387</v>
      </c>
      <c r="X126" s="318">
        <f t="shared" si="37"/>
        <v>7.263397869064387</v>
      </c>
      <c r="Y126" s="318">
        <f t="shared" si="37"/>
        <v>7.263397869064387</v>
      </c>
      <c r="Z126" s="318">
        <f t="shared" si="37"/>
        <v>7.263397869064387</v>
      </c>
      <c r="AA126" s="318">
        <f t="shared" si="37"/>
        <v>7.263397869064387</v>
      </c>
      <c r="AB126" s="318">
        <f t="shared" si="37"/>
        <v>7.3360433216250591</v>
      </c>
      <c r="AC126" s="318">
        <f t="shared" si="37"/>
        <v>7.3360433216250591</v>
      </c>
      <c r="AD126" s="318">
        <f t="shared" si="37"/>
        <v>7.3360433216250591</v>
      </c>
      <c r="AE126" s="318">
        <f t="shared" si="37"/>
        <v>7.3360433216250591</v>
      </c>
      <c r="AF126" s="318">
        <f t="shared" si="37"/>
        <v>7.3360433216250591</v>
      </c>
      <c r="AG126" s="318">
        <f t="shared" si="37"/>
        <v>0</v>
      </c>
      <c r="AH126" s="318">
        <f t="shared" si="37"/>
        <v>0</v>
      </c>
      <c r="AI126" s="318">
        <f t="shared" si="37"/>
        <v>0</v>
      </c>
      <c r="AJ126" s="318">
        <f t="shared" si="37"/>
        <v>0</v>
      </c>
      <c r="AK126" s="318">
        <f t="shared" si="37"/>
        <v>0</v>
      </c>
      <c r="AL126" s="318">
        <f t="shared" si="37"/>
        <v>0</v>
      </c>
      <c r="AM126" s="318">
        <f t="shared" si="37"/>
        <v>0</v>
      </c>
      <c r="AN126" s="318">
        <f t="shared" si="37"/>
        <v>0</v>
      </c>
      <c r="AO126" s="318">
        <f t="shared" si="37"/>
        <v>0</v>
      </c>
    </row>
    <row r="127" spans="3:43" x14ac:dyDescent="0.2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0.11518861443804111</v>
      </c>
      <c r="S127" s="273">
        <f t="shared" si="39"/>
        <v>0.11518861443804111</v>
      </c>
      <c r="T127" s="273">
        <f t="shared" si="39"/>
        <v>0.11518861443804111</v>
      </c>
      <c r="U127" s="273">
        <f t="shared" si="39"/>
        <v>0.11518861443804111</v>
      </c>
      <c r="V127" s="273">
        <f t="shared" si="39"/>
        <v>0.11518861443804111</v>
      </c>
      <c r="W127" s="273">
        <f t="shared" si="39"/>
        <v>6.9699671029066212E-2</v>
      </c>
      <c r="X127" s="273">
        <f t="shared" si="39"/>
        <v>6.9699671029066212E-2</v>
      </c>
      <c r="Y127" s="273">
        <f t="shared" si="39"/>
        <v>6.9699671029066212E-2</v>
      </c>
      <c r="Z127" s="273">
        <f t="shared" si="39"/>
        <v>6.9699671029066212E-2</v>
      </c>
      <c r="AA127" s="273">
        <f t="shared" si="39"/>
        <v>6.9699671029066212E-2</v>
      </c>
      <c r="AB127" s="273">
        <f t="shared" si="39"/>
        <v>3.0329114448965223E-2</v>
      </c>
      <c r="AC127" s="273">
        <f t="shared" si="39"/>
        <v>3.0329114448965223E-2</v>
      </c>
      <c r="AD127" s="273">
        <f t="shared" si="39"/>
        <v>3.0329114448965223E-2</v>
      </c>
      <c r="AE127" s="273">
        <f t="shared" si="39"/>
        <v>3.0329114448965223E-2</v>
      </c>
      <c r="AF127" s="273">
        <f t="shared" si="39"/>
        <v>3.0329114448965223E-2</v>
      </c>
      <c r="AG127" s="273">
        <f t="shared" si="39"/>
        <v>0</v>
      </c>
      <c r="AH127" s="273">
        <f t="shared" si="39"/>
        <v>0</v>
      </c>
      <c r="AI127" s="273">
        <f t="shared" si="39"/>
        <v>0</v>
      </c>
      <c r="AJ127" s="273">
        <f t="shared" si="39"/>
        <v>0.13197133789973453</v>
      </c>
      <c r="AK127" s="273">
        <f t="shared" si="39"/>
        <v>0</v>
      </c>
      <c r="AL127" s="273">
        <f t="shared" si="39"/>
        <v>0.10133750175642738</v>
      </c>
      <c r="AM127" s="273">
        <f t="shared" si="39"/>
        <v>0</v>
      </c>
      <c r="AN127" s="273">
        <f t="shared" si="39"/>
        <v>7.8373162303441601E-2</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156</v>
      </c>
      <c r="G130" s="19" t="s">
        <v>269</v>
      </c>
      <c r="H130" s="267"/>
      <c r="I130" s="255"/>
      <c r="J130" s="270">
        <f t="shared" ref="J130:J136" si="40" xml:space="preserve"> J110 * (1 - J75) + J44</f>
        <v>4.340516037589043</v>
      </c>
      <c r="K130" s="270">
        <f t="shared" ref="K130:AJ130" si="41" xml:space="preserve"> K110 * (1 - K75) + K44</f>
        <v>4.340516037589043</v>
      </c>
      <c r="L130" s="270">
        <f t="shared" si="41"/>
        <v>4.0241188264411605</v>
      </c>
      <c r="M130" s="270">
        <f t="shared" si="41"/>
        <v>4.0241188264411605</v>
      </c>
      <c r="N130" s="270">
        <f t="shared" si="41"/>
        <v>4.0241188264411605</v>
      </c>
      <c r="O130" s="270">
        <f t="shared" si="41"/>
        <v>4.0241188264411605</v>
      </c>
      <c r="P130" s="270">
        <f t="shared" si="41"/>
        <v>4.0241188264411605</v>
      </c>
      <c r="Q130" s="270">
        <f t="shared" si="41"/>
        <v>4.0241188264411605</v>
      </c>
      <c r="R130" s="270">
        <f t="shared" si="41"/>
        <v>3.1421303126856324</v>
      </c>
      <c r="S130" s="270">
        <f t="shared" si="41"/>
        <v>3.1421303126856324</v>
      </c>
      <c r="T130" s="270">
        <f t="shared" si="41"/>
        <v>3.1421303126856324</v>
      </c>
      <c r="U130" s="270">
        <f t="shared" si="41"/>
        <v>3.1421303126856324</v>
      </c>
      <c r="V130" s="270">
        <f t="shared" si="41"/>
        <v>3.1421303126856324</v>
      </c>
      <c r="W130" s="269"/>
      <c r="X130" s="269"/>
      <c r="Y130" s="269"/>
      <c r="Z130" s="269"/>
      <c r="AA130" s="269"/>
      <c r="AB130" s="269"/>
      <c r="AC130" s="269"/>
      <c r="AD130" s="269"/>
      <c r="AE130" s="269"/>
      <c r="AF130" s="269"/>
      <c r="AG130" s="270">
        <f t="shared" si="41"/>
        <v>13.561812880452461</v>
      </c>
      <c r="AH130" s="270">
        <f t="shared" si="41"/>
        <v>-4.186786864327857</v>
      </c>
      <c r="AI130" s="269"/>
      <c r="AJ130" s="270">
        <f t="shared" si="41"/>
        <v>-4.186786864327857</v>
      </c>
      <c r="AK130" s="269"/>
      <c r="AL130" s="269"/>
      <c r="AM130" s="269"/>
      <c r="AN130" s="269"/>
      <c r="AO130" s="269"/>
      <c r="AP130" s="256"/>
      <c r="AQ130" s="256"/>
    </row>
    <row r="131" spans="3:43" x14ac:dyDescent="0.25">
      <c r="E131" s="78"/>
      <c r="F131" t="s">
        <v>157</v>
      </c>
      <c r="G131" t="s">
        <v>269</v>
      </c>
      <c r="H131" s="268"/>
      <c r="I131" s="256"/>
      <c r="J131" s="317">
        <f t="shared" si="40"/>
        <v>0.77082006692550498</v>
      </c>
      <c r="K131" s="317">
        <f t="shared" ref="K131:AJ131" si="42" xml:space="preserve"> K111 * (1 - K76) + K45</f>
        <v>0.77082006692550498</v>
      </c>
      <c r="L131" s="317">
        <f t="shared" si="42"/>
        <v>0.71463197376791765</v>
      </c>
      <c r="M131" s="317">
        <f t="shared" si="42"/>
        <v>0.71463197376791765</v>
      </c>
      <c r="N131" s="317">
        <f t="shared" si="42"/>
        <v>0.71463197376791765</v>
      </c>
      <c r="O131" s="317">
        <f t="shared" si="42"/>
        <v>0.71463197376791765</v>
      </c>
      <c r="P131" s="317">
        <f t="shared" si="42"/>
        <v>0.71463197376791765</v>
      </c>
      <c r="Q131" s="317">
        <f t="shared" si="42"/>
        <v>0.71463197376791765</v>
      </c>
      <c r="R131" s="317">
        <f t="shared" si="42"/>
        <v>0.56342177663785664</v>
      </c>
      <c r="S131" s="317">
        <f t="shared" si="42"/>
        <v>0.56342177663785664</v>
      </c>
      <c r="T131" s="317">
        <f t="shared" si="42"/>
        <v>0.56342177663785664</v>
      </c>
      <c r="U131" s="317">
        <f t="shared" si="42"/>
        <v>0.56342177663785664</v>
      </c>
      <c r="V131" s="317">
        <f t="shared" si="42"/>
        <v>0.56342177663785664</v>
      </c>
      <c r="W131" s="257"/>
      <c r="X131" s="257"/>
      <c r="Y131" s="257"/>
      <c r="Z131" s="257"/>
      <c r="AA131" s="257"/>
      <c r="AB131" s="257"/>
      <c r="AC131" s="257"/>
      <c r="AD131" s="257"/>
      <c r="AE131" s="257"/>
      <c r="AF131" s="257"/>
      <c r="AG131" s="317">
        <f t="shared" si="42"/>
        <v>1.9182326184195648</v>
      </c>
      <c r="AH131" s="317">
        <f t="shared" si="42"/>
        <v>-0.74351973429330243</v>
      </c>
      <c r="AI131" s="257"/>
      <c r="AJ131" s="317">
        <f t="shared" si="42"/>
        <v>-0.74351973429330243</v>
      </c>
      <c r="AK131" s="257"/>
      <c r="AL131" s="257"/>
      <c r="AM131" s="257"/>
      <c r="AN131" s="257"/>
      <c r="AO131" s="257"/>
      <c r="AP131" s="256"/>
      <c r="AQ131" s="256"/>
    </row>
    <row r="132" spans="3:43" x14ac:dyDescent="0.25">
      <c r="E132" s="78"/>
      <c r="F132" t="s">
        <v>158</v>
      </c>
      <c r="G132" t="s">
        <v>269</v>
      </c>
      <c r="H132" s="268"/>
      <c r="I132" s="256"/>
      <c r="J132" s="317">
        <f t="shared" si="40"/>
        <v>9.0711978301582771E-2</v>
      </c>
      <c r="K132" s="317">
        <f t="shared" ref="K132:AJ132" si="43" xml:space="preserve"> K112 * (1 - K77) + K46</f>
        <v>9.0711978301582771E-2</v>
      </c>
      <c r="L132" s="317">
        <f t="shared" si="43"/>
        <v>8.4099626981192263E-2</v>
      </c>
      <c r="M132" s="317">
        <f t="shared" si="43"/>
        <v>8.4099626981192263E-2</v>
      </c>
      <c r="N132" s="317">
        <f t="shared" si="43"/>
        <v>8.4099626981192263E-2</v>
      </c>
      <c r="O132" s="317">
        <f t="shared" si="43"/>
        <v>8.4099626981192263E-2</v>
      </c>
      <c r="P132" s="317">
        <f t="shared" si="43"/>
        <v>8.4099626981192263E-2</v>
      </c>
      <c r="Q132" s="317">
        <f t="shared" si="43"/>
        <v>8.4099626981192263E-2</v>
      </c>
      <c r="R132" s="317">
        <f t="shared" si="43"/>
        <v>6.2629389344449116E-2</v>
      </c>
      <c r="S132" s="317">
        <f t="shared" si="43"/>
        <v>6.2629389344449116E-2</v>
      </c>
      <c r="T132" s="317">
        <f t="shared" si="43"/>
        <v>6.2629389344449116E-2</v>
      </c>
      <c r="U132" s="317">
        <f t="shared" si="43"/>
        <v>6.2629389344449116E-2</v>
      </c>
      <c r="V132" s="317">
        <f t="shared" si="43"/>
        <v>6.2629389344449116E-2</v>
      </c>
      <c r="W132" s="257"/>
      <c r="X132" s="257"/>
      <c r="Y132" s="257"/>
      <c r="Z132" s="257"/>
      <c r="AA132" s="257"/>
      <c r="AB132" s="257"/>
      <c r="AC132" s="257"/>
      <c r="AD132" s="257"/>
      <c r="AE132" s="257"/>
      <c r="AF132" s="257"/>
      <c r="AG132" s="317">
        <f t="shared" si="43"/>
        <v>1.3442273100888653</v>
      </c>
      <c r="AH132" s="317">
        <f t="shared" si="43"/>
        <v>-8.749920882707235E-2</v>
      </c>
      <c r="AI132" s="257"/>
      <c r="AJ132" s="317">
        <f t="shared" si="43"/>
        <v>-8.749920882707235E-2</v>
      </c>
      <c r="AK132" s="257"/>
      <c r="AL132" s="257"/>
      <c r="AM132" s="257"/>
      <c r="AN132" s="257"/>
      <c r="AO132" s="257"/>
      <c r="AP132" s="256"/>
      <c r="AQ132" s="256"/>
    </row>
    <row r="133" spans="3:43" x14ac:dyDescent="0.25">
      <c r="E133" s="78"/>
      <c r="F133" t="s">
        <v>159</v>
      </c>
      <c r="G133" t="s">
        <v>270</v>
      </c>
      <c r="H133" s="41"/>
      <c r="J133" s="318">
        <f t="shared" si="40"/>
        <v>9.8457228470151161</v>
      </c>
      <c r="K133" s="318">
        <f t="shared" ref="K133:AJ133" si="44" xml:space="preserve"> K113 * (1 - K78) + K47</f>
        <v>0</v>
      </c>
      <c r="L133" s="318">
        <f t="shared" si="44"/>
        <v>6.9464026171116391</v>
      </c>
      <c r="M133" s="318">
        <f t="shared" si="44"/>
        <v>9.5273347554946533</v>
      </c>
      <c r="N133" s="318">
        <f t="shared" si="44"/>
        <v>19.799512545638933</v>
      </c>
      <c r="O133" s="318">
        <f t="shared" si="44"/>
        <v>37.665127126080812</v>
      </c>
      <c r="P133" s="318">
        <f t="shared" si="44"/>
        <v>108.66756545904074</v>
      </c>
      <c r="Q133" s="318">
        <f t="shared" si="44"/>
        <v>0</v>
      </c>
      <c r="R133" s="318">
        <f t="shared" si="44"/>
        <v>9.537201971604043</v>
      </c>
      <c r="S133" s="318">
        <f t="shared" si="44"/>
        <v>177.8466656132874</v>
      </c>
      <c r="T133" s="318">
        <f t="shared" si="44"/>
        <v>325.57898239837976</v>
      </c>
      <c r="U133" s="318">
        <f t="shared" si="44"/>
        <v>512.0885383740349</v>
      </c>
      <c r="V133" s="318">
        <f t="shared" si="44"/>
        <v>881.77860677492129</v>
      </c>
      <c r="W133" s="69"/>
      <c r="X133" s="69"/>
      <c r="Y133" s="69"/>
      <c r="Z133" s="69"/>
      <c r="AA133" s="69"/>
      <c r="AB133" s="69"/>
      <c r="AC133" s="69"/>
      <c r="AD133" s="69"/>
      <c r="AE133" s="69"/>
      <c r="AF133" s="69"/>
      <c r="AG133" s="318">
        <f t="shared" si="44"/>
        <v>0</v>
      </c>
      <c r="AH133" s="318">
        <f t="shared" si="44"/>
        <v>0</v>
      </c>
      <c r="AI133" s="69"/>
      <c r="AJ133" s="318">
        <f t="shared" si="44"/>
        <v>0</v>
      </c>
      <c r="AK133" s="69"/>
      <c r="AL133" s="69"/>
      <c r="AM133" s="69"/>
      <c r="AN133" s="69"/>
      <c r="AO133" s="69"/>
    </row>
    <row r="134" spans="3:43" x14ac:dyDescent="0.25">
      <c r="E134" s="78"/>
      <c r="F134" t="s">
        <v>160</v>
      </c>
      <c r="G134" t="s">
        <v>271</v>
      </c>
      <c r="H134" s="41"/>
      <c r="J134" s="318">
        <f t="shared" si="40"/>
        <v>0</v>
      </c>
      <c r="K134" s="318">
        <f t="shared" ref="K134:AJ134" si="45" xml:space="preserve"> K114 * (1 - K79) + K48</f>
        <v>0</v>
      </c>
      <c r="L134" s="318">
        <f t="shared" si="45"/>
        <v>0</v>
      </c>
      <c r="M134" s="318">
        <f t="shared" si="45"/>
        <v>0</v>
      </c>
      <c r="N134" s="318">
        <f t="shared" si="45"/>
        <v>0</v>
      </c>
      <c r="O134" s="318">
        <f t="shared" si="45"/>
        <v>0</v>
      </c>
      <c r="P134" s="318">
        <f t="shared" si="45"/>
        <v>0</v>
      </c>
      <c r="Q134" s="318">
        <f t="shared" si="45"/>
        <v>0</v>
      </c>
      <c r="R134" s="318">
        <f t="shared" si="45"/>
        <v>3.2618143939818132</v>
      </c>
      <c r="S134" s="318">
        <f t="shared" si="45"/>
        <v>3.2618143939818132</v>
      </c>
      <c r="T134" s="318">
        <f t="shared" si="45"/>
        <v>3.2618143939818132</v>
      </c>
      <c r="U134" s="318">
        <f t="shared" si="45"/>
        <v>3.2618143939818132</v>
      </c>
      <c r="V134" s="318">
        <f t="shared" si="45"/>
        <v>3.2618143939818132</v>
      </c>
      <c r="W134" s="69"/>
      <c r="X134" s="69"/>
      <c r="Y134" s="69"/>
      <c r="Z134" s="69"/>
      <c r="AA134" s="69"/>
      <c r="AB134" s="69"/>
      <c r="AC134" s="69"/>
      <c r="AD134" s="69"/>
      <c r="AE134" s="69"/>
      <c r="AF134" s="69"/>
      <c r="AG134" s="318">
        <f t="shared" si="45"/>
        <v>0</v>
      </c>
      <c r="AH134" s="318">
        <f t="shared" si="45"/>
        <v>0</v>
      </c>
      <c r="AI134" s="69"/>
      <c r="AJ134" s="318">
        <f t="shared" si="45"/>
        <v>0</v>
      </c>
      <c r="AK134" s="69"/>
      <c r="AL134" s="69"/>
      <c r="AM134" s="69"/>
      <c r="AN134" s="69"/>
      <c r="AO134" s="69"/>
    </row>
    <row r="135" spans="3:43" x14ac:dyDescent="0.25">
      <c r="E135" s="78"/>
      <c r="F135" t="s">
        <v>161</v>
      </c>
      <c r="G135" t="s">
        <v>271</v>
      </c>
      <c r="H135" s="41"/>
      <c r="J135" s="318">
        <f t="shared" si="40"/>
        <v>0</v>
      </c>
      <c r="K135" s="318">
        <f t="shared" ref="K135:AJ135" si="46" xml:space="preserve"> K115 * (1 - K80) + K49</f>
        <v>0</v>
      </c>
      <c r="L135" s="318">
        <f t="shared" si="46"/>
        <v>0</v>
      </c>
      <c r="M135" s="318">
        <f t="shared" si="46"/>
        <v>0</v>
      </c>
      <c r="N135" s="318">
        <f t="shared" si="46"/>
        <v>0</v>
      </c>
      <c r="O135" s="318">
        <f t="shared" si="46"/>
        <v>0</v>
      </c>
      <c r="P135" s="318">
        <f t="shared" si="46"/>
        <v>0</v>
      </c>
      <c r="Q135" s="318">
        <f t="shared" si="46"/>
        <v>0</v>
      </c>
      <c r="R135" s="318">
        <f t="shared" si="46"/>
        <v>5.7259681818883346</v>
      </c>
      <c r="S135" s="318">
        <f t="shared" si="46"/>
        <v>5.7259681818883346</v>
      </c>
      <c r="T135" s="318">
        <f t="shared" si="46"/>
        <v>5.7259681818883346</v>
      </c>
      <c r="U135" s="318">
        <f t="shared" si="46"/>
        <v>5.7259681818883346</v>
      </c>
      <c r="V135" s="318">
        <f t="shared" si="46"/>
        <v>5.7259681818883346</v>
      </c>
      <c r="W135" s="69"/>
      <c r="X135" s="69"/>
      <c r="Y135" s="69"/>
      <c r="Z135" s="69"/>
      <c r="AA135" s="69"/>
      <c r="AB135" s="69"/>
      <c r="AC135" s="69"/>
      <c r="AD135" s="69"/>
      <c r="AE135" s="69"/>
      <c r="AF135" s="69"/>
      <c r="AG135" s="318">
        <f t="shared" si="46"/>
        <v>0</v>
      </c>
      <c r="AH135" s="318">
        <f t="shared" si="46"/>
        <v>0</v>
      </c>
      <c r="AI135" s="69"/>
      <c r="AJ135" s="318">
        <f t="shared" si="46"/>
        <v>0</v>
      </c>
      <c r="AK135" s="69"/>
      <c r="AL135" s="69"/>
      <c r="AM135" s="69"/>
      <c r="AN135" s="69"/>
      <c r="AO135" s="69"/>
    </row>
    <row r="136" spans="3:43" x14ac:dyDescent="0.2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7.6271601671649578E-2</v>
      </c>
      <c r="S136" s="273">
        <f t="shared" si="47"/>
        <v>7.6271601671649578E-2</v>
      </c>
      <c r="T136" s="273">
        <f t="shared" si="47"/>
        <v>7.6271601671649578E-2</v>
      </c>
      <c r="U136" s="273">
        <f t="shared" si="47"/>
        <v>7.6271601671649578E-2</v>
      </c>
      <c r="V136" s="273">
        <f t="shared" si="47"/>
        <v>7.6271601671649578E-2</v>
      </c>
      <c r="W136" s="259"/>
      <c r="X136" s="259"/>
      <c r="Y136" s="259"/>
      <c r="Z136" s="259"/>
      <c r="AA136" s="259"/>
      <c r="AB136" s="259"/>
      <c r="AC136" s="259"/>
      <c r="AD136" s="259"/>
      <c r="AE136" s="259"/>
      <c r="AF136" s="259"/>
      <c r="AG136" s="273">
        <f t="shared" si="47"/>
        <v>0</v>
      </c>
      <c r="AH136" s="273">
        <f t="shared" si="47"/>
        <v>0</v>
      </c>
      <c r="AI136" s="259"/>
      <c r="AJ136" s="273">
        <f t="shared" si="47"/>
        <v>0.13197133789973453</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156</v>
      </c>
      <c r="G139" s="19" t="s">
        <v>269</v>
      </c>
      <c r="H139" s="267"/>
      <c r="I139" s="255"/>
      <c r="J139" s="270">
        <f t="shared" ref="J139:J145" si="48">J110 * (1 - J84) + J44</f>
        <v>3.3740410608384068</v>
      </c>
      <c r="K139" s="270">
        <f t="shared" ref="K139:AN139" si="49">K110 * (1 - K84) + K44</f>
        <v>3.3740410608384068</v>
      </c>
      <c r="L139" s="270">
        <f t="shared" si="49"/>
        <v>3.1280939953966937</v>
      </c>
      <c r="M139" s="270">
        <f t="shared" si="49"/>
        <v>3.1280939953966937</v>
      </c>
      <c r="N139" s="270">
        <f t="shared" si="49"/>
        <v>3.1280939953966937</v>
      </c>
      <c r="O139" s="270">
        <f t="shared" si="49"/>
        <v>3.1280939953966937</v>
      </c>
      <c r="P139" s="270">
        <f t="shared" si="49"/>
        <v>3.1280939953966937</v>
      </c>
      <c r="Q139" s="270">
        <f t="shared" si="49"/>
        <v>3.1280939953966937</v>
      </c>
      <c r="R139" s="270">
        <f t="shared" si="49"/>
        <v>2.4424922294251186</v>
      </c>
      <c r="S139" s="270">
        <f t="shared" si="49"/>
        <v>2.4424922294251186</v>
      </c>
      <c r="T139" s="270">
        <f t="shared" si="49"/>
        <v>2.4424922294251186</v>
      </c>
      <c r="U139" s="270">
        <f t="shared" si="49"/>
        <v>2.4424922294251186</v>
      </c>
      <c r="V139" s="270">
        <f t="shared" si="49"/>
        <v>2.4424922294251186</v>
      </c>
      <c r="W139" s="270">
        <f t="shared" si="49"/>
        <v>1.9457877751576238</v>
      </c>
      <c r="X139" s="270">
        <f t="shared" si="49"/>
        <v>1.9457877751576238</v>
      </c>
      <c r="Y139" s="270">
        <f t="shared" si="49"/>
        <v>1.9457877751576238</v>
      </c>
      <c r="Z139" s="270">
        <f t="shared" si="49"/>
        <v>1.9457877751576238</v>
      </c>
      <c r="AA139" s="270">
        <f t="shared" si="49"/>
        <v>1.9457877751576238</v>
      </c>
      <c r="AB139" s="270">
        <f t="shared" si="49"/>
        <v>1.086550383297215</v>
      </c>
      <c r="AC139" s="270">
        <f t="shared" si="49"/>
        <v>1.086550383297215</v>
      </c>
      <c r="AD139" s="270">
        <f t="shared" si="49"/>
        <v>1.086550383297215</v>
      </c>
      <c r="AE139" s="270">
        <f t="shared" si="49"/>
        <v>1.086550383297215</v>
      </c>
      <c r="AF139" s="270">
        <f t="shared" si="49"/>
        <v>1.086550383297215</v>
      </c>
      <c r="AG139" s="270">
        <f t="shared" si="49"/>
        <v>10.542090645855628</v>
      </c>
      <c r="AH139" s="270">
        <f t="shared" si="49"/>
        <v>-4.186786864327857</v>
      </c>
      <c r="AI139" s="270">
        <f t="shared" si="49"/>
        <v>-3.4675761632447348</v>
      </c>
      <c r="AJ139" s="270">
        <f t="shared" si="49"/>
        <v>-4.186786864327857</v>
      </c>
      <c r="AK139" s="269"/>
      <c r="AL139" s="270">
        <f t="shared" si="49"/>
        <v>-3.4675761632447348</v>
      </c>
      <c r="AM139" s="269"/>
      <c r="AN139" s="270">
        <f t="shared" si="49"/>
        <v>-1.7521841974333925</v>
      </c>
      <c r="AO139" s="269"/>
      <c r="AP139" s="256"/>
      <c r="AQ139" s="256"/>
    </row>
    <row r="140" spans="3:43" x14ac:dyDescent="0.25">
      <c r="C140" s="78"/>
      <c r="F140" t="s">
        <v>157</v>
      </c>
      <c r="G140" t="s">
        <v>269</v>
      </c>
      <c r="H140" s="268"/>
      <c r="I140" s="256"/>
      <c r="J140" s="317">
        <f t="shared" si="48"/>
        <v>0.59918648699878441</v>
      </c>
      <c r="K140" s="317">
        <f t="shared" ref="K140:AN140" si="50">K111 * (1 - K85) + K45</f>
        <v>0.59918648699878441</v>
      </c>
      <c r="L140" s="317">
        <f t="shared" si="50"/>
        <v>0.55550943758757743</v>
      </c>
      <c r="M140" s="317">
        <f t="shared" si="50"/>
        <v>0.55550943758757743</v>
      </c>
      <c r="N140" s="317">
        <f t="shared" si="50"/>
        <v>0.55550943758757743</v>
      </c>
      <c r="O140" s="317">
        <f t="shared" si="50"/>
        <v>0.55550943758757743</v>
      </c>
      <c r="P140" s="317">
        <f t="shared" si="50"/>
        <v>0.55550943758757743</v>
      </c>
      <c r="Q140" s="317">
        <f t="shared" si="50"/>
        <v>0.55550943758757743</v>
      </c>
      <c r="R140" s="317">
        <f t="shared" si="50"/>
        <v>0.43796824904777365</v>
      </c>
      <c r="S140" s="317">
        <f t="shared" si="50"/>
        <v>0.43796824904777365</v>
      </c>
      <c r="T140" s="317">
        <f t="shared" si="50"/>
        <v>0.43796824904777365</v>
      </c>
      <c r="U140" s="317">
        <f t="shared" si="50"/>
        <v>0.43796824904777365</v>
      </c>
      <c r="V140" s="317">
        <f t="shared" si="50"/>
        <v>0.43796824904777365</v>
      </c>
      <c r="W140" s="317">
        <f t="shared" si="50"/>
        <v>0.35873498362532047</v>
      </c>
      <c r="X140" s="317">
        <f t="shared" si="50"/>
        <v>0.35873498362532047</v>
      </c>
      <c r="Y140" s="317">
        <f t="shared" si="50"/>
        <v>0.35873498362532047</v>
      </c>
      <c r="Z140" s="317">
        <f t="shared" si="50"/>
        <v>0.35873498362532047</v>
      </c>
      <c r="AA140" s="317">
        <f t="shared" si="50"/>
        <v>0.35873498362532047</v>
      </c>
      <c r="AB140" s="317">
        <f t="shared" si="50"/>
        <v>0.19144243987677639</v>
      </c>
      <c r="AC140" s="317">
        <f t="shared" si="50"/>
        <v>0.19144243987677639</v>
      </c>
      <c r="AD140" s="317">
        <f t="shared" si="50"/>
        <v>0.19144243987677639</v>
      </c>
      <c r="AE140" s="317">
        <f t="shared" si="50"/>
        <v>0.19144243987677639</v>
      </c>
      <c r="AF140" s="317">
        <f t="shared" si="50"/>
        <v>0.19144243987677639</v>
      </c>
      <c r="AG140" s="317">
        <f t="shared" si="50"/>
        <v>1.4911120158842195</v>
      </c>
      <c r="AH140" s="317">
        <f t="shared" si="50"/>
        <v>-0.74351973429330243</v>
      </c>
      <c r="AI140" s="317">
        <f t="shared" si="50"/>
        <v>-0.61941219953210536</v>
      </c>
      <c r="AJ140" s="317">
        <f t="shared" si="50"/>
        <v>-0.74351973429330243</v>
      </c>
      <c r="AK140" s="257"/>
      <c r="AL140" s="317">
        <f t="shared" si="50"/>
        <v>-0.61941219953210536</v>
      </c>
      <c r="AM140" s="257"/>
      <c r="AN140" s="317">
        <f t="shared" si="50"/>
        <v>-0.32210732776295514</v>
      </c>
      <c r="AO140" s="257"/>
      <c r="AP140" s="256"/>
      <c r="AQ140" s="256"/>
    </row>
    <row r="141" spans="3:43" x14ac:dyDescent="0.25">
      <c r="C141" s="78"/>
      <c r="F141" t="s">
        <v>158</v>
      </c>
      <c r="G141" t="s">
        <v>269</v>
      </c>
      <c r="H141" s="268"/>
      <c r="I141" s="256"/>
      <c r="J141" s="317">
        <f t="shared" si="48"/>
        <v>7.0513721605652308E-2</v>
      </c>
      <c r="K141" s="317">
        <f t="shared" ref="K141:AN141" si="51">K112 * (1 - K86) + K46</f>
        <v>7.0513721605652308E-2</v>
      </c>
      <c r="L141" s="317">
        <f t="shared" si="51"/>
        <v>6.5373700310838945E-2</v>
      </c>
      <c r="M141" s="317">
        <f t="shared" si="51"/>
        <v>6.5373700310838945E-2</v>
      </c>
      <c r="N141" s="317">
        <f t="shared" si="51"/>
        <v>6.5373700310838945E-2</v>
      </c>
      <c r="O141" s="317">
        <f t="shared" si="51"/>
        <v>6.5373700310838945E-2</v>
      </c>
      <c r="P141" s="317">
        <f t="shared" si="51"/>
        <v>6.5373700310838945E-2</v>
      </c>
      <c r="Q141" s="317">
        <f t="shared" si="51"/>
        <v>6.5373700310838945E-2</v>
      </c>
      <c r="R141" s="317">
        <f t="shared" si="51"/>
        <v>4.8684103326290654E-2</v>
      </c>
      <c r="S141" s="317">
        <f t="shared" si="51"/>
        <v>4.8684103326290654E-2</v>
      </c>
      <c r="T141" s="317">
        <f t="shared" si="51"/>
        <v>4.8684103326290654E-2</v>
      </c>
      <c r="U141" s="317">
        <f t="shared" si="51"/>
        <v>4.8684103326290654E-2</v>
      </c>
      <c r="V141" s="317">
        <f t="shared" si="51"/>
        <v>4.8684103326290654E-2</v>
      </c>
      <c r="W141" s="317">
        <f t="shared" si="51"/>
        <v>3.3273110836952086E-2</v>
      </c>
      <c r="X141" s="317">
        <f t="shared" si="51"/>
        <v>3.3273110836952086E-2</v>
      </c>
      <c r="Y141" s="317">
        <f t="shared" si="51"/>
        <v>3.3273110836952086E-2</v>
      </c>
      <c r="Z141" s="317">
        <f t="shared" si="51"/>
        <v>3.3273110836952086E-2</v>
      </c>
      <c r="AA141" s="317">
        <f t="shared" si="51"/>
        <v>3.3273110836952086E-2</v>
      </c>
      <c r="AB141" s="317">
        <f t="shared" si="51"/>
        <v>1.5726318729989554E-2</v>
      </c>
      <c r="AC141" s="317">
        <f t="shared" si="51"/>
        <v>1.5726318729989554E-2</v>
      </c>
      <c r="AD141" s="317">
        <f t="shared" si="51"/>
        <v>1.5726318729989554E-2</v>
      </c>
      <c r="AE141" s="317">
        <f t="shared" si="51"/>
        <v>1.5726318729989554E-2</v>
      </c>
      <c r="AF141" s="317">
        <f t="shared" si="51"/>
        <v>1.5726318729989554E-2</v>
      </c>
      <c r="AG141" s="317">
        <f t="shared" si="51"/>
        <v>1.0449168025328717</v>
      </c>
      <c r="AH141" s="317">
        <f t="shared" si="51"/>
        <v>-8.749920882707235E-2</v>
      </c>
      <c r="AI141" s="317">
        <f t="shared" si="51"/>
        <v>-7.0442298160749872E-2</v>
      </c>
      <c r="AJ141" s="317">
        <f t="shared" si="51"/>
        <v>-8.749920882707235E-2</v>
      </c>
      <c r="AK141" s="257"/>
      <c r="AL141" s="317">
        <f t="shared" si="51"/>
        <v>-7.0442298160749872E-2</v>
      </c>
      <c r="AM141" s="257"/>
      <c r="AN141" s="317">
        <f t="shared" si="51"/>
        <v>-2.9593486029886762E-2</v>
      </c>
      <c r="AO141" s="257"/>
      <c r="AP141" s="256"/>
      <c r="AQ141" s="256"/>
    </row>
    <row r="142" spans="3:43" x14ac:dyDescent="0.25">
      <c r="C142" s="78"/>
      <c r="F142" t="s">
        <v>159</v>
      </c>
      <c r="G142" t="s">
        <v>270</v>
      </c>
      <c r="H142" s="41"/>
      <c r="J142" s="318">
        <f t="shared" si="48"/>
        <v>7.7104391595937196</v>
      </c>
      <c r="K142" s="318">
        <f t="shared" ref="K142:AN142" si="52">K113 * (1 - K87) + K47</f>
        <v>0</v>
      </c>
      <c r="L142" s="318">
        <f t="shared" si="52"/>
        <v>5.434365323442961</v>
      </c>
      <c r="M142" s="318">
        <f t="shared" si="52"/>
        <v>7.4406177908290152</v>
      </c>
      <c r="N142" s="318">
        <f t="shared" si="52"/>
        <v>15.425555376137529</v>
      </c>
      <c r="O142" s="318">
        <f t="shared" si="52"/>
        <v>29.3131476922361</v>
      </c>
      <c r="P142" s="318">
        <f t="shared" si="52"/>
        <v>84.505926679897925</v>
      </c>
      <c r="Q142" s="318">
        <f t="shared" si="52"/>
        <v>0</v>
      </c>
      <c r="R142" s="318">
        <f t="shared" si="52"/>
        <v>7.4482879369639292</v>
      </c>
      <c r="S142" s="318">
        <f t="shared" si="52"/>
        <v>138.2813585527245</v>
      </c>
      <c r="T142" s="318">
        <f t="shared" si="52"/>
        <v>253.11906414557319</v>
      </c>
      <c r="U142" s="318">
        <f t="shared" si="52"/>
        <v>398.09972880639111</v>
      </c>
      <c r="V142" s="318">
        <f t="shared" si="52"/>
        <v>685.47327143741779</v>
      </c>
      <c r="W142" s="318">
        <f t="shared" si="52"/>
        <v>8.9956309068705984</v>
      </c>
      <c r="X142" s="318">
        <f t="shared" si="52"/>
        <v>212.16221011991948</v>
      </c>
      <c r="Y142" s="318">
        <f t="shared" si="52"/>
        <v>390.49008777475854</v>
      </c>
      <c r="Z142" s="318">
        <f t="shared" si="52"/>
        <v>615.62602284486525</v>
      </c>
      <c r="AA142" s="318">
        <f t="shared" si="52"/>
        <v>1061.87940005214</v>
      </c>
      <c r="AB142" s="318">
        <f t="shared" si="52"/>
        <v>93.926876931635206</v>
      </c>
      <c r="AC142" s="318">
        <f t="shared" si="52"/>
        <v>1149.986210458904</v>
      </c>
      <c r="AD142" s="318">
        <f t="shared" si="52"/>
        <v>3407.0227512882593</v>
      </c>
      <c r="AE142" s="318">
        <f t="shared" si="52"/>
        <v>7490.1413601109216</v>
      </c>
      <c r="AF142" s="318">
        <f t="shared" si="52"/>
        <v>23134.034678673634</v>
      </c>
      <c r="AG142" s="318">
        <f t="shared" si="52"/>
        <v>0</v>
      </c>
      <c r="AH142" s="318">
        <f t="shared" si="52"/>
        <v>0</v>
      </c>
      <c r="AI142" s="318">
        <f t="shared" si="52"/>
        <v>0</v>
      </c>
      <c r="AJ142" s="318">
        <f t="shared" si="52"/>
        <v>0</v>
      </c>
      <c r="AK142" s="69"/>
      <c r="AL142" s="318">
        <f t="shared" si="52"/>
        <v>0</v>
      </c>
      <c r="AM142" s="69"/>
      <c r="AN142" s="318">
        <f t="shared" si="52"/>
        <v>0</v>
      </c>
      <c r="AO142" s="69"/>
    </row>
    <row r="143" spans="3:43" x14ac:dyDescent="0.25">
      <c r="C143" s="78"/>
      <c r="F143" t="s">
        <v>160</v>
      </c>
      <c r="G143" t="s">
        <v>271</v>
      </c>
      <c r="H143" s="41"/>
      <c r="J143" s="318">
        <f t="shared" si="48"/>
        <v>0</v>
      </c>
      <c r="K143" s="318">
        <f t="shared" ref="K143:AN143" si="53">K114 * (1 - K88) + K48</f>
        <v>0</v>
      </c>
      <c r="L143" s="318">
        <f t="shared" si="53"/>
        <v>0</v>
      </c>
      <c r="M143" s="318">
        <f t="shared" si="53"/>
        <v>0</v>
      </c>
      <c r="N143" s="318">
        <f t="shared" si="53"/>
        <v>0</v>
      </c>
      <c r="O143" s="318">
        <f t="shared" si="53"/>
        <v>0</v>
      </c>
      <c r="P143" s="318">
        <f t="shared" si="53"/>
        <v>0</v>
      </c>
      <c r="Q143" s="318">
        <f t="shared" si="53"/>
        <v>0</v>
      </c>
      <c r="R143" s="318">
        <f t="shared" si="53"/>
        <v>2.5355270209395258</v>
      </c>
      <c r="S143" s="318">
        <f t="shared" si="53"/>
        <v>2.5355270209395258</v>
      </c>
      <c r="T143" s="318">
        <f t="shared" si="53"/>
        <v>2.5355270209395258</v>
      </c>
      <c r="U143" s="318">
        <f t="shared" si="53"/>
        <v>2.5355270209395258</v>
      </c>
      <c r="V143" s="318">
        <f t="shared" si="53"/>
        <v>2.5355270209395258</v>
      </c>
      <c r="W143" s="318">
        <f t="shared" si="53"/>
        <v>4.2710159335437012</v>
      </c>
      <c r="X143" s="318">
        <f t="shared" si="53"/>
        <v>4.2710159335437012</v>
      </c>
      <c r="Y143" s="318">
        <f t="shared" si="53"/>
        <v>4.2710159335437012</v>
      </c>
      <c r="Z143" s="318">
        <f t="shared" si="53"/>
        <v>4.2710159335437012</v>
      </c>
      <c r="AA143" s="318">
        <f t="shared" si="53"/>
        <v>4.2710159335437012</v>
      </c>
      <c r="AB143" s="318">
        <f t="shared" si="53"/>
        <v>5.1774074400084542</v>
      </c>
      <c r="AC143" s="318">
        <f t="shared" si="53"/>
        <v>5.1774074400084542</v>
      </c>
      <c r="AD143" s="318">
        <f t="shared" si="53"/>
        <v>5.1774074400084542</v>
      </c>
      <c r="AE143" s="318">
        <f t="shared" si="53"/>
        <v>5.1774074400084542</v>
      </c>
      <c r="AF143" s="318">
        <f t="shared" si="53"/>
        <v>5.1774074400084542</v>
      </c>
      <c r="AG143" s="318">
        <f t="shared" si="53"/>
        <v>0</v>
      </c>
      <c r="AH143" s="318">
        <f t="shared" si="53"/>
        <v>0</v>
      </c>
      <c r="AI143" s="318">
        <f t="shared" si="53"/>
        <v>0</v>
      </c>
      <c r="AJ143" s="318">
        <f t="shared" si="53"/>
        <v>0</v>
      </c>
      <c r="AK143" s="69"/>
      <c r="AL143" s="318">
        <f t="shared" si="53"/>
        <v>0</v>
      </c>
      <c r="AM143" s="69"/>
      <c r="AN143" s="318">
        <f t="shared" si="53"/>
        <v>0</v>
      </c>
      <c r="AO143" s="69"/>
    </row>
    <row r="144" spans="3:43" x14ac:dyDescent="0.25">
      <c r="C144" s="78"/>
      <c r="F144" t="s">
        <v>161</v>
      </c>
      <c r="G144" t="s">
        <v>271</v>
      </c>
      <c r="H144" s="41"/>
      <c r="J144" s="318">
        <f t="shared" si="48"/>
        <v>0</v>
      </c>
      <c r="K144" s="318">
        <f t="shared" ref="K144:AN144" si="54">K115 * (1 - K89) + K49</f>
        <v>0</v>
      </c>
      <c r="L144" s="318">
        <f t="shared" si="54"/>
        <v>0</v>
      </c>
      <c r="M144" s="318">
        <f t="shared" si="54"/>
        <v>0</v>
      </c>
      <c r="N144" s="318">
        <f t="shared" si="54"/>
        <v>0</v>
      </c>
      <c r="O144" s="318">
        <f t="shared" si="54"/>
        <v>0</v>
      </c>
      <c r="P144" s="318">
        <f t="shared" si="54"/>
        <v>0</v>
      </c>
      <c r="Q144" s="318">
        <f t="shared" si="54"/>
        <v>0</v>
      </c>
      <c r="R144" s="318">
        <f t="shared" si="54"/>
        <v>4.4510034271124725</v>
      </c>
      <c r="S144" s="318">
        <f t="shared" si="54"/>
        <v>4.4510034271124725</v>
      </c>
      <c r="T144" s="318">
        <f t="shared" si="54"/>
        <v>4.4510034271124725</v>
      </c>
      <c r="U144" s="318">
        <f t="shared" si="54"/>
        <v>4.4510034271124725</v>
      </c>
      <c r="V144" s="318">
        <f t="shared" si="54"/>
        <v>4.4510034271124725</v>
      </c>
      <c r="W144" s="318">
        <f t="shared" si="54"/>
        <v>5.8054632298378044</v>
      </c>
      <c r="X144" s="318">
        <f t="shared" si="54"/>
        <v>5.8054632298378044</v>
      </c>
      <c r="Y144" s="318">
        <f t="shared" si="54"/>
        <v>5.8054632298378044</v>
      </c>
      <c r="Z144" s="318">
        <f t="shared" si="54"/>
        <v>5.8054632298378044</v>
      </c>
      <c r="AA144" s="318">
        <f t="shared" si="54"/>
        <v>5.8054632298378044</v>
      </c>
      <c r="AB144" s="318">
        <f t="shared" si="54"/>
        <v>6.7374007129275828</v>
      </c>
      <c r="AC144" s="318">
        <f t="shared" si="54"/>
        <v>6.7374007129275828</v>
      </c>
      <c r="AD144" s="318">
        <f t="shared" si="54"/>
        <v>6.7374007129275828</v>
      </c>
      <c r="AE144" s="318">
        <f t="shared" si="54"/>
        <v>6.7374007129275828</v>
      </c>
      <c r="AF144" s="318">
        <f t="shared" si="54"/>
        <v>6.7374007129275828</v>
      </c>
      <c r="AG144" s="318">
        <f t="shared" si="54"/>
        <v>0</v>
      </c>
      <c r="AH144" s="318">
        <f t="shared" si="54"/>
        <v>0</v>
      </c>
      <c r="AI144" s="318">
        <f t="shared" si="54"/>
        <v>0</v>
      </c>
      <c r="AJ144" s="318">
        <f t="shared" si="54"/>
        <v>0</v>
      </c>
      <c r="AK144" s="69"/>
      <c r="AL144" s="318">
        <f t="shared" si="54"/>
        <v>0</v>
      </c>
      <c r="AM144" s="69"/>
      <c r="AN144" s="318">
        <f t="shared" si="54"/>
        <v>0</v>
      </c>
      <c r="AO144" s="69"/>
    </row>
    <row r="145" spans="1:43" x14ac:dyDescent="0.2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5.9288691387717904E-2</v>
      </c>
      <c r="S145" s="273">
        <f t="shared" si="55"/>
        <v>5.9288691387717904E-2</v>
      </c>
      <c r="T145" s="273">
        <f t="shared" si="55"/>
        <v>5.9288691387717904E-2</v>
      </c>
      <c r="U145" s="273">
        <f t="shared" si="55"/>
        <v>5.9288691387717904E-2</v>
      </c>
      <c r="V145" s="273">
        <f t="shared" si="55"/>
        <v>5.9288691387717904E-2</v>
      </c>
      <c r="W145" s="273">
        <f t="shared" si="55"/>
        <v>5.5709309139519506E-2</v>
      </c>
      <c r="X145" s="273">
        <f t="shared" si="55"/>
        <v>5.5709309139519506E-2</v>
      </c>
      <c r="Y145" s="273">
        <f t="shared" si="55"/>
        <v>5.5709309139519506E-2</v>
      </c>
      <c r="Z145" s="273">
        <f t="shared" si="55"/>
        <v>5.5709309139519506E-2</v>
      </c>
      <c r="AA145" s="273">
        <f t="shared" si="55"/>
        <v>5.5709309139519506E-2</v>
      </c>
      <c r="AB145" s="273">
        <f t="shared" si="55"/>
        <v>2.7854169932253873E-2</v>
      </c>
      <c r="AC145" s="273">
        <f t="shared" si="55"/>
        <v>2.7854169932253873E-2</v>
      </c>
      <c r="AD145" s="273">
        <f t="shared" si="55"/>
        <v>2.7854169932253873E-2</v>
      </c>
      <c r="AE145" s="273">
        <f t="shared" si="55"/>
        <v>2.7854169932253873E-2</v>
      </c>
      <c r="AF145" s="273">
        <f t="shared" si="55"/>
        <v>2.7854169932253873E-2</v>
      </c>
      <c r="AG145" s="273">
        <f t="shared" si="55"/>
        <v>0</v>
      </c>
      <c r="AH145" s="273">
        <f t="shared" si="55"/>
        <v>0</v>
      </c>
      <c r="AI145" s="273">
        <f t="shared" si="55"/>
        <v>0</v>
      </c>
      <c r="AJ145" s="273">
        <f t="shared" si="55"/>
        <v>0.13197133789973453</v>
      </c>
      <c r="AK145" s="259"/>
      <c r="AL145" s="273">
        <f t="shared" si="55"/>
        <v>0.10133750175642738</v>
      </c>
      <c r="AM145" s="259"/>
      <c r="AN145" s="273">
        <f t="shared" si="55"/>
        <v>7.8373162303441601E-2</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control'!$H$36:$H$59,MATCH($A$1,'Version control'!$F$36:$F$59,0),1)&amp;"-H: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25">
      <c r="E150" s="78"/>
      <c r="F150" s="19" t="s">
        <v>156</v>
      </c>
      <c r="G150" s="19" t="s">
        <v>269</v>
      </c>
      <c r="H150" s="267"/>
      <c r="I150" s="255"/>
      <c r="J150" s="260">
        <f t="shared" ref="J150" si="56">ROUND(J121, $H95)</f>
        <v>6.5549999999999997</v>
      </c>
      <c r="K150" s="260">
        <f t="shared" ref="K150:AO150" si="57">ROUND(K121, $H95)</f>
        <v>6.5549999999999997</v>
      </c>
      <c r="L150" s="260">
        <f t="shared" si="57"/>
        <v>6.077</v>
      </c>
      <c r="M150" s="260">
        <f t="shared" si="57"/>
        <v>6.077</v>
      </c>
      <c r="N150" s="260">
        <f t="shared" si="57"/>
        <v>6.077</v>
      </c>
      <c r="O150" s="260">
        <f t="shared" si="57"/>
        <v>6.077</v>
      </c>
      <c r="P150" s="260">
        <f t="shared" si="57"/>
        <v>6.077</v>
      </c>
      <c r="Q150" s="260">
        <f t="shared" si="57"/>
        <v>6.077</v>
      </c>
      <c r="R150" s="260">
        <f t="shared" si="57"/>
        <v>4.7450000000000001</v>
      </c>
      <c r="S150" s="260">
        <f t="shared" si="57"/>
        <v>4.7450000000000001</v>
      </c>
      <c r="T150" s="260">
        <f t="shared" si="57"/>
        <v>4.7450000000000001</v>
      </c>
      <c r="U150" s="260">
        <f t="shared" si="57"/>
        <v>4.7450000000000001</v>
      </c>
      <c r="V150" s="260">
        <f t="shared" si="57"/>
        <v>4.7450000000000001</v>
      </c>
      <c r="W150" s="260">
        <f t="shared" si="57"/>
        <v>2.4340000000000002</v>
      </c>
      <c r="X150" s="260">
        <f t="shared" si="57"/>
        <v>2.4340000000000002</v>
      </c>
      <c r="Y150" s="260">
        <f t="shared" si="57"/>
        <v>2.4340000000000002</v>
      </c>
      <c r="Z150" s="260">
        <f t="shared" si="57"/>
        <v>2.4340000000000002</v>
      </c>
      <c r="AA150" s="260">
        <f t="shared" si="57"/>
        <v>2.4340000000000002</v>
      </c>
      <c r="AB150" s="260">
        <f t="shared" si="57"/>
        <v>1.1830000000000001</v>
      </c>
      <c r="AC150" s="260">
        <f t="shared" si="57"/>
        <v>1.1830000000000001</v>
      </c>
      <c r="AD150" s="260">
        <f t="shared" si="57"/>
        <v>1.1830000000000001</v>
      </c>
      <c r="AE150" s="260">
        <f t="shared" si="57"/>
        <v>1.1830000000000001</v>
      </c>
      <c r="AF150" s="260">
        <f t="shared" si="57"/>
        <v>1.1830000000000001</v>
      </c>
      <c r="AG150" s="260">
        <f t="shared" si="57"/>
        <v>20.481999999999999</v>
      </c>
      <c r="AH150" s="260">
        <f t="shared" si="57"/>
        <v>-4.1870000000000003</v>
      </c>
      <c r="AI150" s="260">
        <f t="shared" si="57"/>
        <v>-3.468</v>
      </c>
      <c r="AJ150" s="260">
        <f t="shared" si="57"/>
        <v>-4.1870000000000003</v>
      </c>
      <c r="AK150" s="260">
        <f t="shared" si="57"/>
        <v>-4.1870000000000003</v>
      </c>
      <c r="AL150" s="260">
        <f t="shared" si="57"/>
        <v>-3.468</v>
      </c>
      <c r="AM150" s="260">
        <f t="shared" si="57"/>
        <v>-3.468</v>
      </c>
      <c r="AN150" s="260">
        <f t="shared" si="57"/>
        <v>-1.752</v>
      </c>
      <c r="AO150" s="260">
        <f t="shared" si="57"/>
        <v>-1.752</v>
      </c>
      <c r="AP150" s="256"/>
      <c r="AQ150" s="256"/>
    </row>
    <row r="151" spans="1:43" x14ac:dyDescent="0.25">
      <c r="E151" s="78"/>
      <c r="F151" t="s">
        <v>157</v>
      </c>
      <c r="G151" t="s">
        <v>269</v>
      </c>
      <c r="H151" s="268"/>
      <c r="I151" s="256"/>
      <c r="J151" s="261">
        <f t="shared" ref="J151:J156" si="58">ROUND(J122, $H96)</f>
        <v>1.1639999999999999</v>
      </c>
      <c r="K151" s="261">
        <f t="shared" ref="K151:AO151" si="59">ROUND(K122, $H96)</f>
        <v>1.1639999999999999</v>
      </c>
      <c r="L151" s="261">
        <f t="shared" si="59"/>
        <v>1.079</v>
      </c>
      <c r="M151" s="261">
        <f t="shared" si="59"/>
        <v>1.079</v>
      </c>
      <c r="N151" s="261">
        <f t="shared" si="59"/>
        <v>1.079</v>
      </c>
      <c r="O151" s="261">
        <f t="shared" si="59"/>
        <v>1.079</v>
      </c>
      <c r="P151" s="261">
        <f t="shared" si="59"/>
        <v>1.079</v>
      </c>
      <c r="Q151" s="261">
        <f t="shared" si="59"/>
        <v>1.079</v>
      </c>
      <c r="R151" s="261">
        <f t="shared" si="59"/>
        <v>0.85099999999999998</v>
      </c>
      <c r="S151" s="261">
        <f t="shared" si="59"/>
        <v>0.85099999999999998</v>
      </c>
      <c r="T151" s="261">
        <f t="shared" si="59"/>
        <v>0.85099999999999998</v>
      </c>
      <c r="U151" s="261">
        <f t="shared" si="59"/>
        <v>0.85099999999999998</v>
      </c>
      <c r="V151" s="261">
        <f t="shared" si="59"/>
        <v>0.85099999999999998</v>
      </c>
      <c r="W151" s="261">
        <f t="shared" si="59"/>
        <v>0.44900000000000001</v>
      </c>
      <c r="X151" s="261">
        <f t="shared" si="59"/>
        <v>0.44900000000000001</v>
      </c>
      <c r="Y151" s="261">
        <f t="shared" si="59"/>
        <v>0.44900000000000001</v>
      </c>
      <c r="Z151" s="261">
        <f t="shared" si="59"/>
        <v>0.44900000000000001</v>
      </c>
      <c r="AA151" s="261">
        <f t="shared" si="59"/>
        <v>0.44900000000000001</v>
      </c>
      <c r="AB151" s="261">
        <f t="shared" si="59"/>
        <v>0.20799999999999999</v>
      </c>
      <c r="AC151" s="261">
        <f t="shared" si="59"/>
        <v>0.20799999999999999</v>
      </c>
      <c r="AD151" s="261">
        <f t="shared" si="59"/>
        <v>0.20799999999999999</v>
      </c>
      <c r="AE151" s="261">
        <f t="shared" si="59"/>
        <v>0.20799999999999999</v>
      </c>
      <c r="AF151" s="261">
        <f t="shared" si="59"/>
        <v>0.20799999999999999</v>
      </c>
      <c r="AG151" s="261">
        <f t="shared" si="59"/>
        <v>2.8969999999999998</v>
      </c>
      <c r="AH151" s="261">
        <f t="shared" si="59"/>
        <v>-0.74399999999999999</v>
      </c>
      <c r="AI151" s="261">
        <f t="shared" si="59"/>
        <v>-0.61899999999999999</v>
      </c>
      <c r="AJ151" s="261">
        <f t="shared" si="59"/>
        <v>-0.74399999999999999</v>
      </c>
      <c r="AK151" s="261">
        <f t="shared" si="59"/>
        <v>-0.74399999999999999</v>
      </c>
      <c r="AL151" s="261">
        <f t="shared" si="59"/>
        <v>-0.61899999999999999</v>
      </c>
      <c r="AM151" s="261">
        <f t="shared" si="59"/>
        <v>-0.61899999999999999</v>
      </c>
      <c r="AN151" s="261">
        <f t="shared" si="59"/>
        <v>-0.32200000000000001</v>
      </c>
      <c r="AO151" s="261">
        <f t="shared" si="59"/>
        <v>-0.32200000000000001</v>
      </c>
      <c r="AP151" s="256"/>
      <c r="AQ151" s="256"/>
    </row>
    <row r="152" spans="1:43" x14ac:dyDescent="0.25">
      <c r="E152" s="78"/>
      <c r="F152" t="s">
        <v>158</v>
      </c>
      <c r="G152" t="s">
        <v>269</v>
      </c>
      <c r="H152" s="268"/>
      <c r="I152" s="256"/>
      <c r="J152" s="261">
        <f t="shared" si="58"/>
        <v>0.13700000000000001</v>
      </c>
      <c r="K152" s="261">
        <f t="shared" ref="K152:AO152" si="60">ROUND(K123, $H97)</f>
        <v>0.13700000000000001</v>
      </c>
      <c r="L152" s="261">
        <f t="shared" si="60"/>
        <v>0.127</v>
      </c>
      <c r="M152" s="261">
        <f t="shared" si="60"/>
        <v>0.127</v>
      </c>
      <c r="N152" s="261">
        <f t="shared" si="60"/>
        <v>0.127</v>
      </c>
      <c r="O152" s="261">
        <f t="shared" si="60"/>
        <v>0.127</v>
      </c>
      <c r="P152" s="261">
        <f t="shared" si="60"/>
        <v>0.127</v>
      </c>
      <c r="Q152" s="261">
        <f t="shared" si="60"/>
        <v>0.127</v>
      </c>
      <c r="R152" s="261">
        <f t="shared" si="60"/>
        <v>9.5000000000000001E-2</v>
      </c>
      <c r="S152" s="261">
        <f t="shared" si="60"/>
        <v>9.5000000000000001E-2</v>
      </c>
      <c r="T152" s="261">
        <f t="shared" si="60"/>
        <v>9.5000000000000001E-2</v>
      </c>
      <c r="U152" s="261">
        <f t="shared" si="60"/>
        <v>9.5000000000000001E-2</v>
      </c>
      <c r="V152" s="261">
        <f t="shared" si="60"/>
        <v>9.5000000000000001E-2</v>
      </c>
      <c r="W152" s="261">
        <f t="shared" si="60"/>
        <v>4.2000000000000003E-2</v>
      </c>
      <c r="X152" s="261">
        <f t="shared" si="60"/>
        <v>4.2000000000000003E-2</v>
      </c>
      <c r="Y152" s="261">
        <f t="shared" si="60"/>
        <v>4.2000000000000003E-2</v>
      </c>
      <c r="Z152" s="261">
        <f t="shared" si="60"/>
        <v>4.2000000000000003E-2</v>
      </c>
      <c r="AA152" s="261">
        <f t="shared" si="60"/>
        <v>4.2000000000000003E-2</v>
      </c>
      <c r="AB152" s="261">
        <f t="shared" si="60"/>
        <v>1.7000000000000001E-2</v>
      </c>
      <c r="AC152" s="261">
        <f t="shared" si="60"/>
        <v>1.7000000000000001E-2</v>
      </c>
      <c r="AD152" s="261">
        <f t="shared" si="60"/>
        <v>1.7000000000000001E-2</v>
      </c>
      <c r="AE152" s="261">
        <f t="shared" si="60"/>
        <v>1.7000000000000001E-2</v>
      </c>
      <c r="AF152" s="261">
        <f t="shared" si="60"/>
        <v>1.7000000000000001E-2</v>
      </c>
      <c r="AG152" s="261">
        <f t="shared" si="60"/>
        <v>2.0299999999999998</v>
      </c>
      <c r="AH152" s="261">
        <f t="shared" si="60"/>
        <v>-8.6999999999999994E-2</v>
      </c>
      <c r="AI152" s="261">
        <f t="shared" si="60"/>
        <v>-7.0000000000000007E-2</v>
      </c>
      <c r="AJ152" s="261">
        <f t="shared" si="60"/>
        <v>-8.6999999999999994E-2</v>
      </c>
      <c r="AK152" s="261">
        <f t="shared" si="60"/>
        <v>-8.6999999999999994E-2</v>
      </c>
      <c r="AL152" s="261">
        <f t="shared" si="60"/>
        <v>-7.0000000000000007E-2</v>
      </c>
      <c r="AM152" s="261">
        <f t="shared" si="60"/>
        <v>-7.0000000000000007E-2</v>
      </c>
      <c r="AN152" s="261">
        <f t="shared" si="60"/>
        <v>-0.03</v>
      </c>
      <c r="AO152" s="261">
        <f t="shared" si="60"/>
        <v>-0.03</v>
      </c>
      <c r="AP152" s="256"/>
      <c r="AQ152" s="256"/>
    </row>
    <row r="153" spans="1:43" x14ac:dyDescent="0.25">
      <c r="E153" s="78"/>
      <c r="F153" t="s">
        <v>159</v>
      </c>
      <c r="G153" t="s">
        <v>270</v>
      </c>
      <c r="H153" s="41"/>
      <c r="J153" s="111">
        <f t="shared" si="58"/>
        <v>14.74</v>
      </c>
      <c r="K153" s="111">
        <f t="shared" ref="K153:AO153" si="61">ROUND(K124, $H98)</f>
        <v>0</v>
      </c>
      <c r="L153" s="111">
        <f t="shared" si="61"/>
        <v>10.41</v>
      </c>
      <c r="M153" s="111">
        <f t="shared" si="61"/>
        <v>14.31</v>
      </c>
      <c r="N153" s="111">
        <f t="shared" si="61"/>
        <v>29.82</v>
      </c>
      <c r="O153" s="111">
        <f t="shared" si="61"/>
        <v>56.8</v>
      </c>
      <c r="P153" s="111">
        <f t="shared" si="61"/>
        <v>164.03</v>
      </c>
      <c r="Q153" s="111">
        <f t="shared" si="61"/>
        <v>0</v>
      </c>
      <c r="R153" s="111">
        <f t="shared" si="61"/>
        <v>14.32</v>
      </c>
      <c r="S153" s="111">
        <f t="shared" si="61"/>
        <v>268.51</v>
      </c>
      <c r="T153" s="111">
        <f t="shared" si="61"/>
        <v>491.62</v>
      </c>
      <c r="U153" s="111">
        <f t="shared" si="61"/>
        <v>773.3</v>
      </c>
      <c r="V153" s="111">
        <f t="shared" si="61"/>
        <v>1331.62</v>
      </c>
      <c r="W153" s="111">
        <f t="shared" si="61"/>
        <v>11.22</v>
      </c>
      <c r="X153" s="111">
        <f t="shared" si="61"/>
        <v>265.39999999999998</v>
      </c>
      <c r="Y153" s="111">
        <f t="shared" si="61"/>
        <v>488.52</v>
      </c>
      <c r="Z153" s="111">
        <f t="shared" si="61"/>
        <v>770.19</v>
      </c>
      <c r="AA153" s="111">
        <f t="shared" si="61"/>
        <v>1328.51</v>
      </c>
      <c r="AB153" s="111">
        <f t="shared" si="61"/>
        <v>102.26</v>
      </c>
      <c r="AC153" s="111">
        <f t="shared" si="61"/>
        <v>1252.1500000000001</v>
      </c>
      <c r="AD153" s="111">
        <f t="shared" si="61"/>
        <v>3709.74</v>
      </c>
      <c r="AE153" s="111">
        <f t="shared" si="61"/>
        <v>8155.65</v>
      </c>
      <c r="AF153" s="111">
        <f t="shared" si="61"/>
        <v>25189.56</v>
      </c>
      <c r="AG153" s="111">
        <f t="shared" si="61"/>
        <v>0</v>
      </c>
      <c r="AH153" s="111">
        <f t="shared" si="61"/>
        <v>0</v>
      </c>
      <c r="AI153" s="111">
        <f t="shared" si="61"/>
        <v>0</v>
      </c>
      <c r="AJ153" s="111">
        <f t="shared" si="61"/>
        <v>0</v>
      </c>
      <c r="AK153" s="111">
        <f t="shared" si="61"/>
        <v>0</v>
      </c>
      <c r="AL153" s="111">
        <f t="shared" si="61"/>
        <v>0</v>
      </c>
      <c r="AM153" s="111">
        <f t="shared" si="61"/>
        <v>0</v>
      </c>
      <c r="AN153" s="111">
        <f t="shared" si="61"/>
        <v>63.9</v>
      </c>
      <c r="AO153" s="111">
        <f t="shared" si="61"/>
        <v>63.9</v>
      </c>
    </row>
    <row r="154" spans="1:43" x14ac:dyDescent="0.2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4.93</v>
      </c>
      <c r="S154" s="111">
        <f t="shared" si="62"/>
        <v>4.93</v>
      </c>
      <c r="T154" s="111">
        <f t="shared" si="62"/>
        <v>4.93</v>
      </c>
      <c r="U154" s="111">
        <f t="shared" si="62"/>
        <v>4.93</v>
      </c>
      <c r="V154" s="111">
        <f t="shared" si="62"/>
        <v>4.93</v>
      </c>
      <c r="W154" s="111">
        <f t="shared" si="62"/>
        <v>5.34</v>
      </c>
      <c r="X154" s="111">
        <f t="shared" si="62"/>
        <v>5.34</v>
      </c>
      <c r="Y154" s="111">
        <f t="shared" si="62"/>
        <v>5.34</v>
      </c>
      <c r="Z154" s="111">
        <f t="shared" si="62"/>
        <v>5.34</v>
      </c>
      <c r="AA154" s="111">
        <f t="shared" si="62"/>
        <v>5.34</v>
      </c>
      <c r="AB154" s="111">
        <f t="shared" si="62"/>
        <v>5.64</v>
      </c>
      <c r="AC154" s="111">
        <f t="shared" si="62"/>
        <v>5.64</v>
      </c>
      <c r="AD154" s="111">
        <f t="shared" si="62"/>
        <v>5.64</v>
      </c>
      <c r="AE154" s="111">
        <f t="shared" si="62"/>
        <v>5.64</v>
      </c>
      <c r="AF154" s="111">
        <f t="shared" si="62"/>
        <v>5.64</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8.65</v>
      </c>
      <c r="S155" s="111">
        <f t="shared" si="63"/>
        <v>8.65</v>
      </c>
      <c r="T155" s="111">
        <f t="shared" si="63"/>
        <v>8.65</v>
      </c>
      <c r="U155" s="111">
        <f t="shared" si="63"/>
        <v>8.65</v>
      </c>
      <c r="V155" s="111">
        <f t="shared" si="63"/>
        <v>8.65</v>
      </c>
      <c r="W155" s="111">
        <f t="shared" si="63"/>
        <v>7.26</v>
      </c>
      <c r="X155" s="111">
        <f t="shared" si="63"/>
        <v>7.26</v>
      </c>
      <c r="Y155" s="111">
        <f t="shared" si="63"/>
        <v>7.26</v>
      </c>
      <c r="Z155" s="111">
        <f t="shared" si="63"/>
        <v>7.26</v>
      </c>
      <c r="AA155" s="111">
        <f t="shared" si="63"/>
        <v>7.26</v>
      </c>
      <c r="AB155" s="111">
        <f t="shared" si="63"/>
        <v>7.34</v>
      </c>
      <c r="AC155" s="111">
        <f t="shared" si="63"/>
        <v>7.34</v>
      </c>
      <c r="AD155" s="111">
        <f t="shared" si="63"/>
        <v>7.34</v>
      </c>
      <c r="AE155" s="111">
        <f t="shared" si="63"/>
        <v>7.34</v>
      </c>
      <c r="AF155" s="111">
        <f t="shared" si="63"/>
        <v>7.34</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0.115</v>
      </c>
      <c r="S156" s="262">
        <f t="shared" si="64"/>
        <v>0.115</v>
      </c>
      <c r="T156" s="262">
        <f t="shared" si="64"/>
        <v>0.115</v>
      </c>
      <c r="U156" s="262">
        <f t="shared" si="64"/>
        <v>0.115</v>
      </c>
      <c r="V156" s="262">
        <f t="shared" si="64"/>
        <v>0.115</v>
      </c>
      <c r="W156" s="262">
        <f t="shared" si="64"/>
        <v>7.0000000000000007E-2</v>
      </c>
      <c r="X156" s="262">
        <f t="shared" si="64"/>
        <v>7.0000000000000007E-2</v>
      </c>
      <c r="Y156" s="262">
        <f t="shared" si="64"/>
        <v>7.0000000000000007E-2</v>
      </c>
      <c r="Z156" s="262">
        <f t="shared" si="64"/>
        <v>7.0000000000000007E-2</v>
      </c>
      <c r="AA156" s="262">
        <f t="shared" si="64"/>
        <v>7.0000000000000007E-2</v>
      </c>
      <c r="AB156" s="262">
        <f t="shared" si="64"/>
        <v>0.03</v>
      </c>
      <c r="AC156" s="262">
        <f t="shared" si="64"/>
        <v>0.03</v>
      </c>
      <c r="AD156" s="262">
        <f t="shared" si="64"/>
        <v>0.03</v>
      </c>
      <c r="AE156" s="262">
        <f t="shared" si="64"/>
        <v>0.03</v>
      </c>
      <c r="AF156" s="262">
        <f t="shared" si="64"/>
        <v>0.03</v>
      </c>
      <c r="AG156" s="262">
        <f t="shared" si="64"/>
        <v>0</v>
      </c>
      <c r="AH156" s="262">
        <f t="shared" si="64"/>
        <v>0</v>
      </c>
      <c r="AI156" s="262">
        <f t="shared" si="64"/>
        <v>0</v>
      </c>
      <c r="AJ156" s="262">
        <f t="shared" si="64"/>
        <v>0.13200000000000001</v>
      </c>
      <c r="AK156" s="262">
        <f t="shared" si="64"/>
        <v>0</v>
      </c>
      <c r="AL156" s="262">
        <f t="shared" si="64"/>
        <v>0.10100000000000001</v>
      </c>
      <c r="AM156" s="262">
        <f t="shared" si="64"/>
        <v>0</v>
      </c>
      <c r="AN156" s="262">
        <f t="shared" si="64"/>
        <v>7.8E-2</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25">
      <c r="E159" s="78"/>
      <c r="F159" s="19" t="s">
        <v>156</v>
      </c>
      <c r="G159" s="19" t="s">
        <v>269</v>
      </c>
      <c r="H159" s="267"/>
      <c r="I159" s="255"/>
      <c r="J159" s="260">
        <f>ROUND(J130, $H95)</f>
        <v>4.3410000000000002</v>
      </c>
      <c r="K159" s="260">
        <f t="shared" ref="K159:AO159" si="65">ROUND(K130, $H95)</f>
        <v>4.3410000000000002</v>
      </c>
      <c r="L159" s="260">
        <f t="shared" si="65"/>
        <v>4.024</v>
      </c>
      <c r="M159" s="260">
        <f t="shared" si="65"/>
        <v>4.024</v>
      </c>
      <c r="N159" s="260">
        <f t="shared" si="65"/>
        <v>4.024</v>
      </c>
      <c r="O159" s="260">
        <f t="shared" si="65"/>
        <v>4.024</v>
      </c>
      <c r="P159" s="260">
        <f t="shared" si="65"/>
        <v>4.024</v>
      </c>
      <c r="Q159" s="260">
        <f t="shared" si="65"/>
        <v>4.024</v>
      </c>
      <c r="R159" s="260">
        <f t="shared" si="65"/>
        <v>3.1419999999999999</v>
      </c>
      <c r="S159" s="260">
        <f t="shared" si="65"/>
        <v>3.1419999999999999</v>
      </c>
      <c r="T159" s="260">
        <f t="shared" si="65"/>
        <v>3.1419999999999999</v>
      </c>
      <c r="U159" s="260">
        <f t="shared" si="65"/>
        <v>3.1419999999999999</v>
      </c>
      <c r="V159" s="260">
        <f t="shared" si="65"/>
        <v>3.1419999999999999</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13.561999999999999</v>
      </c>
      <c r="AH159" s="260">
        <f t="shared" si="65"/>
        <v>-4.1870000000000003</v>
      </c>
      <c r="AI159" s="269">
        <f t="shared" si="65"/>
        <v>0</v>
      </c>
      <c r="AJ159" s="260">
        <f t="shared" si="65"/>
        <v>-4.1870000000000003</v>
      </c>
      <c r="AK159" s="269">
        <f t="shared" si="65"/>
        <v>0</v>
      </c>
      <c r="AL159" s="269">
        <f t="shared" si="65"/>
        <v>0</v>
      </c>
      <c r="AM159" s="269">
        <f t="shared" si="65"/>
        <v>0</v>
      </c>
      <c r="AN159" s="269">
        <f t="shared" si="65"/>
        <v>0</v>
      </c>
      <c r="AO159" s="269">
        <f t="shared" si="65"/>
        <v>0</v>
      </c>
      <c r="AP159" s="256"/>
      <c r="AQ159" s="256"/>
    </row>
    <row r="160" spans="1:43" x14ac:dyDescent="0.25">
      <c r="E160" s="78"/>
      <c r="F160" t="s">
        <v>157</v>
      </c>
      <c r="G160" t="s">
        <v>269</v>
      </c>
      <c r="H160" s="268"/>
      <c r="I160" s="256"/>
      <c r="J160" s="261">
        <f t="shared" ref="J160:J165" si="66">ROUND(J131, $H96)</f>
        <v>0.77100000000000002</v>
      </c>
      <c r="K160" s="261">
        <f t="shared" ref="K160:AO160" si="67">ROUND(K131, $H96)</f>
        <v>0.77100000000000002</v>
      </c>
      <c r="L160" s="261">
        <f t="shared" si="67"/>
        <v>0.71499999999999997</v>
      </c>
      <c r="M160" s="261">
        <f t="shared" si="67"/>
        <v>0.71499999999999997</v>
      </c>
      <c r="N160" s="261">
        <f t="shared" si="67"/>
        <v>0.71499999999999997</v>
      </c>
      <c r="O160" s="261">
        <f t="shared" si="67"/>
        <v>0.71499999999999997</v>
      </c>
      <c r="P160" s="261">
        <f t="shared" si="67"/>
        <v>0.71499999999999997</v>
      </c>
      <c r="Q160" s="261">
        <f t="shared" si="67"/>
        <v>0.71499999999999997</v>
      </c>
      <c r="R160" s="261">
        <f t="shared" si="67"/>
        <v>0.56299999999999994</v>
      </c>
      <c r="S160" s="261">
        <f t="shared" si="67"/>
        <v>0.56299999999999994</v>
      </c>
      <c r="T160" s="261">
        <f t="shared" si="67"/>
        <v>0.56299999999999994</v>
      </c>
      <c r="U160" s="261">
        <f t="shared" si="67"/>
        <v>0.56299999999999994</v>
      </c>
      <c r="V160" s="261">
        <f t="shared" si="67"/>
        <v>0.56299999999999994</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1.9179999999999999</v>
      </c>
      <c r="AH160" s="261">
        <f t="shared" si="67"/>
        <v>-0.74399999999999999</v>
      </c>
      <c r="AI160" s="257">
        <f t="shared" si="67"/>
        <v>0</v>
      </c>
      <c r="AJ160" s="261">
        <f t="shared" si="67"/>
        <v>-0.74399999999999999</v>
      </c>
      <c r="AK160" s="257">
        <f t="shared" si="67"/>
        <v>0</v>
      </c>
      <c r="AL160" s="257">
        <f t="shared" si="67"/>
        <v>0</v>
      </c>
      <c r="AM160" s="257">
        <f t="shared" si="67"/>
        <v>0</v>
      </c>
      <c r="AN160" s="257">
        <f t="shared" si="67"/>
        <v>0</v>
      </c>
      <c r="AO160" s="257">
        <f t="shared" si="67"/>
        <v>0</v>
      </c>
      <c r="AP160" s="256"/>
      <c r="AQ160" s="256"/>
    </row>
    <row r="161" spans="2:43" x14ac:dyDescent="0.25">
      <c r="E161" s="78"/>
      <c r="F161" t="s">
        <v>158</v>
      </c>
      <c r="G161" t="s">
        <v>269</v>
      </c>
      <c r="H161" s="268"/>
      <c r="I161" s="256"/>
      <c r="J161" s="261">
        <f t="shared" si="66"/>
        <v>9.0999999999999998E-2</v>
      </c>
      <c r="K161" s="261">
        <f t="shared" ref="K161:AO161" si="68">ROUND(K132, $H97)</f>
        <v>9.0999999999999998E-2</v>
      </c>
      <c r="L161" s="261">
        <f t="shared" si="68"/>
        <v>8.4000000000000005E-2</v>
      </c>
      <c r="M161" s="261">
        <f t="shared" si="68"/>
        <v>8.4000000000000005E-2</v>
      </c>
      <c r="N161" s="261">
        <f t="shared" si="68"/>
        <v>8.4000000000000005E-2</v>
      </c>
      <c r="O161" s="261">
        <f t="shared" si="68"/>
        <v>8.4000000000000005E-2</v>
      </c>
      <c r="P161" s="261">
        <f t="shared" si="68"/>
        <v>8.4000000000000005E-2</v>
      </c>
      <c r="Q161" s="261">
        <f t="shared" si="68"/>
        <v>8.4000000000000005E-2</v>
      </c>
      <c r="R161" s="261">
        <f t="shared" si="68"/>
        <v>6.3E-2</v>
      </c>
      <c r="S161" s="261">
        <f t="shared" si="68"/>
        <v>6.3E-2</v>
      </c>
      <c r="T161" s="261">
        <f t="shared" si="68"/>
        <v>6.3E-2</v>
      </c>
      <c r="U161" s="261">
        <f t="shared" si="68"/>
        <v>6.3E-2</v>
      </c>
      <c r="V161" s="261">
        <f t="shared" si="68"/>
        <v>6.3E-2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1.3440000000000001</v>
      </c>
      <c r="AH161" s="261">
        <f t="shared" si="68"/>
        <v>-8.6999999999999994E-2</v>
      </c>
      <c r="AI161" s="257">
        <f t="shared" si="68"/>
        <v>0</v>
      </c>
      <c r="AJ161" s="261">
        <f t="shared" si="68"/>
        <v>-8.6999999999999994E-2</v>
      </c>
      <c r="AK161" s="257">
        <f t="shared" si="68"/>
        <v>0</v>
      </c>
      <c r="AL161" s="257">
        <f t="shared" si="68"/>
        <v>0</v>
      </c>
      <c r="AM161" s="257">
        <f t="shared" si="68"/>
        <v>0</v>
      </c>
      <c r="AN161" s="257">
        <f t="shared" si="68"/>
        <v>0</v>
      </c>
      <c r="AO161" s="257">
        <f t="shared" si="68"/>
        <v>0</v>
      </c>
      <c r="AP161" s="256"/>
      <c r="AQ161" s="256"/>
    </row>
    <row r="162" spans="2:43" x14ac:dyDescent="0.25">
      <c r="E162" s="78"/>
      <c r="F162" t="s">
        <v>159</v>
      </c>
      <c r="G162" t="s">
        <v>270</v>
      </c>
      <c r="H162" s="41"/>
      <c r="J162" s="111">
        <f t="shared" si="66"/>
        <v>9.85</v>
      </c>
      <c r="K162" s="111">
        <f t="shared" ref="K162:AO162" si="69">ROUND(K133, $H98)</f>
        <v>0</v>
      </c>
      <c r="L162" s="111">
        <f t="shared" si="69"/>
        <v>6.95</v>
      </c>
      <c r="M162" s="111">
        <f t="shared" si="69"/>
        <v>9.5299999999999994</v>
      </c>
      <c r="N162" s="111">
        <f t="shared" si="69"/>
        <v>19.8</v>
      </c>
      <c r="O162" s="111">
        <f t="shared" si="69"/>
        <v>37.67</v>
      </c>
      <c r="P162" s="111">
        <f t="shared" si="69"/>
        <v>108.67</v>
      </c>
      <c r="Q162" s="111">
        <f t="shared" si="69"/>
        <v>0</v>
      </c>
      <c r="R162" s="111">
        <f t="shared" si="69"/>
        <v>9.5399999999999991</v>
      </c>
      <c r="S162" s="111">
        <f t="shared" si="69"/>
        <v>177.85</v>
      </c>
      <c r="T162" s="111">
        <f t="shared" si="69"/>
        <v>325.58</v>
      </c>
      <c r="U162" s="111">
        <f t="shared" si="69"/>
        <v>512.09</v>
      </c>
      <c r="V162" s="111">
        <f t="shared" si="69"/>
        <v>881.78</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3.26</v>
      </c>
      <c r="S163" s="111">
        <f t="shared" si="70"/>
        <v>3.26</v>
      </c>
      <c r="T163" s="111">
        <f t="shared" si="70"/>
        <v>3.26</v>
      </c>
      <c r="U163" s="111">
        <f t="shared" si="70"/>
        <v>3.26</v>
      </c>
      <c r="V163" s="111">
        <f t="shared" si="70"/>
        <v>3.26</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5.73</v>
      </c>
      <c r="S164" s="111">
        <f t="shared" si="71"/>
        <v>5.73</v>
      </c>
      <c r="T164" s="111">
        <f t="shared" si="71"/>
        <v>5.73</v>
      </c>
      <c r="U164" s="111">
        <f t="shared" si="71"/>
        <v>5.73</v>
      </c>
      <c r="V164" s="111">
        <f t="shared" si="71"/>
        <v>5.73</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7.5999999999999998E-2</v>
      </c>
      <c r="S165" s="262">
        <f t="shared" si="72"/>
        <v>7.5999999999999998E-2</v>
      </c>
      <c r="T165" s="262">
        <f t="shared" si="72"/>
        <v>7.5999999999999998E-2</v>
      </c>
      <c r="U165" s="262">
        <f t="shared" si="72"/>
        <v>7.5999999999999998E-2</v>
      </c>
      <c r="V165" s="262">
        <f t="shared" si="72"/>
        <v>7.5999999999999998E-2</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0.13200000000000001</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25">
      <c r="C168" s="78"/>
      <c r="F168" s="19" t="s">
        <v>156</v>
      </c>
      <c r="G168" s="19" t="s">
        <v>269</v>
      </c>
      <c r="H168" s="267"/>
      <c r="I168" s="255"/>
      <c r="J168" s="260">
        <f t="shared" ref="J168" si="73">ROUND( J139, $H95)</f>
        <v>3.3740000000000001</v>
      </c>
      <c r="K168" s="260">
        <f t="shared" ref="K168:AO168" si="74">ROUND( K139, $H95)</f>
        <v>3.3740000000000001</v>
      </c>
      <c r="L168" s="260">
        <f t="shared" si="74"/>
        <v>3.1280000000000001</v>
      </c>
      <c r="M168" s="260">
        <f t="shared" si="74"/>
        <v>3.1280000000000001</v>
      </c>
      <c r="N168" s="260">
        <f t="shared" si="74"/>
        <v>3.1280000000000001</v>
      </c>
      <c r="O168" s="260">
        <f t="shared" si="74"/>
        <v>3.1280000000000001</v>
      </c>
      <c r="P168" s="260">
        <f t="shared" si="74"/>
        <v>3.1280000000000001</v>
      </c>
      <c r="Q168" s="260">
        <f t="shared" si="74"/>
        <v>3.1280000000000001</v>
      </c>
      <c r="R168" s="260">
        <f t="shared" si="74"/>
        <v>2.4420000000000002</v>
      </c>
      <c r="S168" s="260">
        <f t="shared" si="74"/>
        <v>2.4420000000000002</v>
      </c>
      <c r="T168" s="260">
        <f t="shared" si="74"/>
        <v>2.4420000000000002</v>
      </c>
      <c r="U168" s="260">
        <f t="shared" si="74"/>
        <v>2.4420000000000002</v>
      </c>
      <c r="V168" s="260">
        <f t="shared" si="74"/>
        <v>2.4420000000000002</v>
      </c>
      <c r="W168" s="260">
        <f t="shared" si="74"/>
        <v>1.946</v>
      </c>
      <c r="X168" s="260">
        <f t="shared" si="74"/>
        <v>1.946</v>
      </c>
      <c r="Y168" s="260">
        <f t="shared" si="74"/>
        <v>1.946</v>
      </c>
      <c r="Z168" s="260">
        <f t="shared" si="74"/>
        <v>1.946</v>
      </c>
      <c r="AA168" s="260">
        <f t="shared" si="74"/>
        <v>1.946</v>
      </c>
      <c r="AB168" s="260">
        <f t="shared" si="74"/>
        <v>1.087</v>
      </c>
      <c r="AC168" s="260">
        <f t="shared" si="74"/>
        <v>1.087</v>
      </c>
      <c r="AD168" s="260">
        <f t="shared" si="74"/>
        <v>1.087</v>
      </c>
      <c r="AE168" s="260">
        <f t="shared" si="74"/>
        <v>1.087</v>
      </c>
      <c r="AF168" s="260">
        <f t="shared" si="74"/>
        <v>1.087</v>
      </c>
      <c r="AG168" s="260">
        <f t="shared" si="74"/>
        <v>10.542</v>
      </c>
      <c r="AH168" s="260">
        <f t="shared" si="74"/>
        <v>-4.1870000000000003</v>
      </c>
      <c r="AI168" s="260">
        <f t="shared" si="74"/>
        <v>-3.468</v>
      </c>
      <c r="AJ168" s="260">
        <f t="shared" si="74"/>
        <v>-4.1870000000000003</v>
      </c>
      <c r="AK168" s="269">
        <f t="shared" si="74"/>
        <v>0</v>
      </c>
      <c r="AL168" s="260">
        <f t="shared" si="74"/>
        <v>-3.468</v>
      </c>
      <c r="AM168" s="269">
        <f t="shared" si="74"/>
        <v>0</v>
      </c>
      <c r="AN168" s="260">
        <f t="shared" si="74"/>
        <v>-1.752</v>
      </c>
      <c r="AO168" s="269">
        <f t="shared" si="74"/>
        <v>0</v>
      </c>
      <c r="AP168" s="256"/>
      <c r="AQ168" s="256"/>
    </row>
    <row r="169" spans="2:43" x14ac:dyDescent="0.25">
      <c r="C169" s="78"/>
      <c r="F169" t="s">
        <v>157</v>
      </c>
      <c r="G169" t="s">
        <v>269</v>
      </c>
      <c r="H169" s="268"/>
      <c r="I169" s="256"/>
      <c r="J169" s="261">
        <f t="shared" ref="J169:J174" si="75">ROUND( J140, $H96)</f>
        <v>0.59899999999999998</v>
      </c>
      <c r="K169" s="261">
        <f t="shared" ref="K169:AO169" si="76">ROUND( K140, $H96)</f>
        <v>0.59899999999999998</v>
      </c>
      <c r="L169" s="261">
        <f t="shared" si="76"/>
        <v>0.55600000000000005</v>
      </c>
      <c r="M169" s="261">
        <f t="shared" si="76"/>
        <v>0.55600000000000005</v>
      </c>
      <c r="N169" s="261">
        <f t="shared" si="76"/>
        <v>0.55600000000000005</v>
      </c>
      <c r="O169" s="261">
        <f t="shared" si="76"/>
        <v>0.55600000000000005</v>
      </c>
      <c r="P169" s="261">
        <f t="shared" si="76"/>
        <v>0.55600000000000005</v>
      </c>
      <c r="Q169" s="261">
        <f t="shared" si="76"/>
        <v>0.55600000000000005</v>
      </c>
      <c r="R169" s="261">
        <f t="shared" si="76"/>
        <v>0.438</v>
      </c>
      <c r="S169" s="261">
        <f t="shared" si="76"/>
        <v>0.438</v>
      </c>
      <c r="T169" s="261">
        <f t="shared" si="76"/>
        <v>0.438</v>
      </c>
      <c r="U169" s="261">
        <f t="shared" si="76"/>
        <v>0.438</v>
      </c>
      <c r="V169" s="261">
        <f t="shared" si="76"/>
        <v>0.438</v>
      </c>
      <c r="W169" s="261">
        <f t="shared" si="76"/>
        <v>0.35899999999999999</v>
      </c>
      <c r="X169" s="261">
        <f t="shared" si="76"/>
        <v>0.35899999999999999</v>
      </c>
      <c r="Y169" s="261">
        <f t="shared" si="76"/>
        <v>0.35899999999999999</v>
      </c>
      <c r="Z169" s="261">
        <f t="shared" si="76"/>
        <v>0.35899999999999999</v>
      </c>
      <c r="AA169" s="261">
        <f t="shared" si="76"/>
        <v>0.35899999999999999</v>
      </c>
      <c r="AB169" s="261">
        <f t="shared" si="76"/>
        <v>0.191</v>
      </c>
      <c r="AC169" s="261">
        <f t="shared" si="76"/>
        <v>0.191</v>
      </c>
      <c r="AD169" s="261">
        <f t="shared" si="76"/>
        <v>0.191</v>
      </c>
      <c r="AE169" s="261">
        <f t="shared" si="76"/>
        <v>0.191</v>
      </c>
      <c r="AF169" s="261">
        <f t="shared" si="76"/>
        <v>0.191</v>
      </c>
      <c r="AG169" s="261">
        <f t="shared" si="76"/>
        <v>1.4910000000000001</v>
      </c>
      <c r="AH169" s="261">
        <f t="shared" si="76"/>
        <v>-0.74399999999999999</v>
      </c>
      <c r="AI169" s="261">
        <f t="shared" si="76"/>
        <v>-0.61899999999999999</v>
      </c>
      <c r="AJ169" s="261">
        <f t="shared" si="76"/>
        <v>-0.74399999999999999</v>
      </c>
      <c r="AK169" s="257">
        <f t="shared" si="76"/>
        <v>0</v>
      </c>
      <c r="AL169" s="261">
        <f t="shared" si="76"/>
        <v>-0.61899999999999999</v>
      </c>
      <c r="AM169" s="257">
        <f t="shared" si="76"/>
        <v>0</v>
      </c>
      <c r="AN169" s="261">
        <f t="shared" si="76"/>
        <v>-0.32200000000000001</v>
      </c>
      <c r="AO169" s="257">
        <f t="shared" si="76"/>
        <v>0</v>
      </c>
      <c r="AP169" s="256"/>
      <c r="AQ169" s="256"/>
    </row>
    <row r="170" spans="2:43" x14ac:dyDescent="0.25">
      <c r="C170" s="78"/>
      <c r="F170" t="s">
        <v>158</v>
      </c>
      <c r="G170" t="s">
        <v>269</v>
      </c>
      <c r="H170" s="268"/>
      <c r="I170" s="256"/>
      <c r="J170" s="261">
        <f t="shared" si="75"/>
        <v>7.0999999999999994E-2</v>
      </c>
      <c r="K170" s="261">
        <f t="shared" ref="K170:AO170" si="77">ROUND( K141, $H97)</f>
        <v>7.0999999999999994E-2</v>
      </c>
      <c r="L170" s="261">
        <f t="shared" si="77"/>
        <v>6.5000000000000002E-2</v>
      </c>
      <c r="M170" s="261">
        <f t="shared" si="77"/>
        <v>6.5000000000000002E-2</v>
      </c>
      <c r="N170" s="261">
        <f t="shared" si="77"/>
        <v>6.5000000000000002E-2</v>
      </c>
      <c r="O170" s="261">
        <f t="shared" si="77"/>
        <v>6.5000000000000002E-2</v>
      </c>
      <c r="P170" s="261">
        <f t="shared" si="77"/>
        <v>6.5000000000000002E-2</v>
      </c>
      <c r="Q170" s="261">
        <f t="shared" si="77"/>
        <v>6.5000000000000002E-2</v>
      </c>
      <c r="R170" s="261">
        <f t="shared" si="77"/>
        <v>4.9000000000000002E-2</v>
      </c>
      <c r="S170" s="261">
        <f t="shared" si="77"/>
        <v>4.9000000000000002E-2</v>
      </c>
      <c r="T170" s="261">
        <f t="shared" si="77"/>
        <v>4.9000000000000002E-2</v>
      </c>
      <c r="U170" s="261">
        <f t="shared" si="77"/>
        <v>4.9000000000000002E-2</v>
      </c>
      <c r="V170" s="261">
        <f t="shared" si="77"/>
        <v>4.9000000000000002E-2</v>
      </c>
      <c r="W170" s="261">
        <f t="shared" si="77"/>
        <v>3.3000000000000002E-2</v>
      </c>
      <c r="X170" s="261">
        <f t="shared" si="77"/>
        <v>3.3000000000000002E-2</v>
      </c>
      <c r="Y170" s="261">
        <f t="shared" si="77"/>
        <v>3.3000000000000002E-2</v>
      </c>
      <c r="Z170" s="261">
        <f t="shared" si="77"/>
        <v>3.3000000000000002E-2</v>
      </c>
      <c r="AA170" s="261">
        <f t="shared" si="77"/>
        <v>3.3000000000000002E-2</v>
      </c>
      <c r="AB170" s="261">
        <f t="shared" si="77"/>
        <v>1.6E-2</v>
      </c>
      <c r="AC170" s="261">
        <f t="shared" si="77"/>
        <v>1.6E-2</v>
      </c>
      <c r="AD170" s="261">
        <f t="shared" si="77"/>
        <v>1.6E-2</v>
      </c>
      <c r="AE170" s="261">
        <f t="shared" si="77"/>
        <v>1.6E-2</v>
      </c>
      <c r="AF170" s="261">
        <f t="shared" si="77"/>
        <v>1.6E-2</v>
      </c>
      <c r="AG170" s="261">
        <f t="shared" si="77"/>
        <v>1.0449999999999999</v>
      </c>
      <c r="AH170" s="261">
        <f t="shared" si="77"/>
        <v>-8.6999999999999994E-2</v>
      </c>
      <c r="AI170" s="261">
        <f t="shared" si="77"/>
        <v>-7.0000000000000007E-2</v>
      </c>
      <c r="AJ170" s="261">
        <f t="shared" si="77"/>
        <v>-8.6999999999999994E-2</v>
      </c>
      <c r="AK170" s="257">
        <f t="shared" si="77"/>
        <v>0</v>
      </c>
      <c r="AL170" s="261">
        <f t="shared" si="77"/>
        <v>-7.0000000000000007E-2</v>
      </c>
      <c r="AM170" s="257">
        <f t="shared" si="77"/>
        <v>0</v>
      </c>
      <c r="AN170" s="261">
        <f t="shared" si="77"/>
        <v>-0.03</v>
      </c>
      <c r="AO170" s="257">
        <f t="shared" si="77"/>
        <v>0</v>
      </c>
      <c r="AP170" s="256"/>
      <c r="AQ170" s="256"/>
    </row>
    <row r="171" spans="2:43" x14ac:dyDescent="0.25">
      <c r="C171" s="78"/>
      <c r="F171" t="s">
        <v>159</v>
      </c>
      <c r="G171" t="s">
        <v>270</v>
      </c>
      <c r="H171" s="41"/>
      <c r="J171" s="111">
        <f t="shared" si="75"/>
        <v>7.71</v>
      </c>
      <c r="K171" s="111">
        <f t="shared" ref="K171:AO171" si="78">ROUND( K142, $H98)</f>
        <v>0</v>
      </c>
      <c r="L171" s="111">
        <f t="shared" si="78"/>
        <v>5.43</v>
      </c>
      <c r="M171" s="111">
        <f t="shared" si="78"/>
        <v>7.44</v>
      </c>
      <c r="N171" s="111">
        <f t="shared" si="78"/>
        <v>15.43</v>
      </c>
      <c r="O171" s="111">
        <f t="shared" si="78"/>
        <v>29.31</v>
      </c>
      <c r="P171" s="111">
        <f t="shared" si="78"/>
        <v>84.51</v>
      </c>
      <c r="Q171" s="111">
        <f t="shared" si="78"/>
        <v>0</v>
      </c>
      <c r="R171" s="111">
        <f t="shared" si="78"/>
        <v>7.45</v>
      </c>
      <c r="S171" s="111">
        <f t="shared" si="78"/>
        <v>138.28</v>
      </c>
      <c r="T171" s="111">
        <f t="shared" si="78"/>
        <v>253.12</v>
      </c>
      <c r="U171" s="111">
        <f t="shared" si="78"/>
        <v>398.1</v>
      </c>
      <c r="V171" s="111">
        <f t="shared" si="78"/>
        <v>685.47</v>
      </c>
      <c r="W171" s="111">
        <f t="shared" si="78"/>
        <v>9</v>
      </c>
      <c r="X171" s="111">
        <f t="shared" si="78"/>
        <v>212.16</v>
      </c>
      <c r="Y171" s="111">
        <f t="shared" si="78"/>
        <v>390.49</v>
      </c>
      <c r="Z171" s="111">
        <f t="shared" si="78"/>
        <v>615.63</v>
      </c>
      <c r="AA171" s="111">
        <f t="shared" si="78"/>
        <v>1061.8800000000001</v>
      </c>
      <c r="AB171" s="111">
        <f t="shared" si="78"/>
        <v>93.93</v>
      </c>
      <c r="AC171" s="111">
        <f t="shared" si="78"/>
        <v>1149.99</v>
      </c>
      <c r="AD171" s="111">
        <f t="shared" si="78"/>
        <v>3407.02</v>
      </c>
      <c r="AE171" s="111">
        <f t="shared" si="78"/>
        <v>7490.14</v>
      </c>
      <c r="AF171" s="111">
        <f t="shared" si="78"/>
        <v>23134.03</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2.54</v>
      </c>
      <c r="S172" s="111">
        <f t="shared" si="79"/>
        <v>2.54</v>
      </c>
      <c r="T172" s="111">
        <f t="shared" si="79"/>
        <v>2.54</v>
      </c>
      <c r="U172" s="111">
        <f t="shared" si="79"/>
        <v>2.54</v>
      </c>
      <c r="V172" s="111">
        <f t="shared" si="79"/>
        <v>2.54</v>
      </c>
      <c r="W172" s="111">
        <f t="shared" si="79"/>
        <v>4.2699999999999996</v>
      </c>
      <c r="X172" s="111">
        <f t="shared" si="79"/>
        <v>4.2699999999999996</v>
      </c>
      <c r="Y172" s="111">
        <f t="shared" si="79"/>
        <v>4.2699999999999996</v>
      </c>
      <c r="Z172" s="111">
        <f t="shared" si="79"/>
        <v>4.2699999999999996</v>
      </c>
      <c r="AA172" s="111">
        <f t="shared" si="79"/>
        <v>4.2699999999999996</v>
      </c>
      <c r="AB172" s="111">
        <f t="shared" si="79"/>
        <v>5.18</v>
      </c>
      <c r="AC172" s="111">
        <f t="shared" si="79"/>
        <v>5.18</v>
      </c>
      <c r="AD172" s="111">
        <f t="shared" si="79"/>
        <v>5.18</v>
      </c>
      <c r="AE172" s="111">
        <f t="shared" si="79"/>
        <v>5.18</v>
      </c>
      <c r="AF172" s="111">
        <f t="shared" si="79"/>
        <v>5.18</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4.45</v>
      </c>
      <c r="S173" s="111">
        <f t="shared" si="80"/>
        <v>4.45</v>
      </c>
      <c r="T173" s="111">
        <f t="shared" si="80"/>
        <v>4.45</v>
      </c>
      <c r="U173" s="111">
        <f t="shared" si="80"/>
        <v>4.45</v>
      </c>
      <c r="V173" s="111">
        <f t="shared" si="80"/>
        <v>4.45</v>
      </c>
      <c r="W173" s="111">
        <f t="shared" si="80"/>
        <v>5.81</v>
      </c>
      <c r="X173" s="111">
        <f t="shared" si="80"/>
        <v>5.81</v>
      </c>
      <c r="Y173" s="111">
        <f t="shared" si="80"/>
        <v>5.81</v>
      </c>
      <c r="Z173" s="111">
        <f t="shared" si="80"/>
        <v>5.81</v>
      </c>
      <c r="AA173" s="111">
        <f t="shared" si="80"/>
        <v>5.81</v>
      </c>
      <c r="AB173" s="111">
        <f t="shared" si="80"/>
        <v>6.74</v>
      </c>
      <c r="AC173" s="111">
        <f t="shared" si="80"/>
        <v>6.74</v>
      </c>
      <c r="AD173" s="111">
        <f t="shared" si="80"/>
        <v>6.74</v>
      </c>
      <c r="AE173" s="111">
        <f t="shared" si="80"/>
        <v>6.74</v>
      </c>
      <c r="AF173" s="111">
        <f t="shared" si="80"/>
        <v>6.74</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5.8999999999999997E-2</v>
      </c>
      <c r="S174" s="262">
        <f t="shared" si="81"/>
        <v>5.8999999999999997E-2</v>
      </c>
      <c r="T174" s="262">
        <f t="shared" si="81"/>
        <v>5.8999999999999997E-2</v>
      </c>
      <c r="U174" s="262">
        <f t="shared" si="81"/>
        <v>5.8999999999999997E-2</v>
      </c>
      <c r="V174" s="262">
        <f t="shared" si="81"/>
        <v>5.8999999999999997E-2</v>
      </c>
      <c r="W174" s="262">
        <f t="shared" si="81"/>
        <v>5.6000000000000001E-2</v>
      </c>
      <c r="X174" s="262">
        <f t="shared" si="81"/>
        <v>5.6000000000000001E-2</v>
      </c>
      <c r="Y174" s="262">
        <f t="shared" si="81"/>
        <v>5.6000000000000001E-2</v>
      </c>
      <c r="Z174" s="262">
        <f t="shared" si="81"/>
        <v>5.6000000000000001E-2</v>
      </c>
      <c r="AA174" s="262">
        <f t="shared" si="81"/>
        <v>5.6000000000000001E-2</v>
      </c>
      <c r="AB174" s="262">
        <f t="shared" si="81"/>
        <v>2.8000000000000001E-2</v>
      </c>
      <c r="AC174" s="262">
        <f t="shared" si="81"/>
        <v>2.8000000000000001E-2</v>
      </c>
      <c r="AD174" s="262">
        <f t="shared" si="81"/>
        <v>2.8000000000000001E-2</v>
      </c>
      <c r="AE174" s="262">
        <f t="shared" si="81"/>
        <v>2.8000000000000001E-2</v>
      </c>
      <c r="AF174" s="262">
        <f t="shared" si="81"/>
        <v>2.8000000000000001E-2</v>
      </c>
      <c r="AG174" s="262">
        <f t="shared" si="81"/>
        <v>0</v>
      </c>
      <c r="AH174" s="262">
        <f t="shared" si="81"/>
        <v>0</v>
      </c>
      <c r="AI174" s="262">
        <f t="shared" si="81"/>
        <v>0</v>
      </c>
      <c r="AJ174" s="262">
        <f t="shared" si="81"/>
        <v>0.13200000000000001</v>
      </c>
      <c r="AK174" s="259">
        <f t="shared" si="81"/>
        <v>0</v>
      </c>
      <c r="AL174" s="262">
        <f t="shared" si="81"/>
        <v>0.10100000000000001</v>
      </c>
      <c r="AM174" s="259">
        <f t="shared" si="81"/>
        <v>0</v>
      </c>
      <c r="AN174" s="262">
        <f t="shared" si="81"/>
        <v>7.8E-2</v>
      </c>
      <c r="AO174" s="259">
        <f t="shared" si="81"/>
        <v>0</v>
      </c>
      <c r="AP174" s="256"/>
      <c r="AQ174" s="256"/>
    </row>
    <row r="175" spans="2:43" x14ac:dyDescent="0.25">
      <c r="C175" s="78"/>
    </row>
    <row r="176" spans="2:43" x14ac:dyDescent="0.2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232</v>
      </c>
      <c r="G178" s="6" t="s">
        <v>55</v>
      </c>
      <c r="H178" s="93">
        <f t="array" ref="H178">SUM(IF(ISERROR(H20:AO174), 1))</f>
        <v>0</v>
      </c>
    </row>
    <row r="180" spans="2:43" x14ac:dyDescent="0.2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control'!$H$36:$H$59,MATCH($A$1,'Version control'!$F$36:$F$59,0),1)&amp;"-A: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65" t="s">
        <v>1005</v>
      </c>
      <c r="G15" s="365"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1:43" x14ac:dyDescent="0.25">
      <c r="C17" s="41"/>
      <c r="D17" s="41"/>
      <c r="E17" s="365" t="s">
        <v>939</v>
      </c>
      <c r="G17" s="365"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1:43" x14ac:dyDescent="0.25">
      <c r="D18" s="27"/>
    </row>
    <row r="19" spans="1:43" x14ac:dyDescent="0.25">
      <c r="A19" s="309"/>
      <c r="E19" s="27" t="s">
        <v>245</v>
      </c>
      <c r="I19" t="s">
        <v>154</v>
      </c>
      <c r="AQ19" t="s">
        <v>246</v>
      </c>
    </row>
    <row r="20" spans="1:43" x14ac:dyDescent="0.25">
      <c r="A20" s="309"/>
      <c r="E20" s="27"/>
      <c r="F20" s="24" t="s">
        <v>1034</v>
      </c>
    </row>
    <row r="21" spans="1:43" x14ac:dyDescent="0.25">
      <c r="A21" s="309"/>
      <c r="E21" s="27"/>
      <c r="F21" s="24" t="s">
        <v>1030</v>
      </c>
    </row>
    <row r="22" spans="1:43" x14ac:dyDescent="0.25">
      <c r="A22" s="309"/>
      <c r="F22" s="68" t="s">
        <v>247</v>
      </c>
      <c r="G22" s="68" t="s">
        <v>207</v>
      </c>
      <c r="H22" s="313">
        <v>0</v>
      </c>
      <c r="I22" s="19"/>
      <c r="J22" s="183">
        <f>INDEX('Volume adjustments'!$J$527:$Y$567,J$17 + 1 + $H22*$H$28, J$15)</f>
        <v>958695.14576306345</v>
      </c>
      <c r="K22" s="183">
        <f>INDEX('Volume adjustments'!$J$527:$Y$567,K$17 + 1 + $H22*$H$28, K$15)</f>
        <v>97.101998282967941</v>
      </c>
      <c r="L22" s="183">
        <f>INDEX('Volume adjustments'!$J$527:$Y$567,L$17 + 1 + $H22*$H$28, L$15)</f>
        <v>0.84541270469587915</v>
      </c>
      <c r="M22" s="183">
        <f>INDEX('Volume adjustments'!$J$527:$Y$567,M$17 + 1 + $H22*$H$28, M$15)</f>
        <v>11787.636265875673</v>
      </c>
      <c r="N22" s="183">
        <f>INDEX('Volume adjustments'!$J$527:$Y$567,N$17 + 1 + $H22*$H$28, N$15)</f>
        <v>44194.853232625021</v>
      </c>
      <c r="O22" s="183">
        <f>INDEX('Volume adjustments'!$J$527:$Y$567,O$17 + 1 + $H22*$H$28, O$15)</f>
        <v>55088.643756714708</v>
      </c>
      <c r="P22" s="183">
        <f>INDEX('Volume adjustments'!$J$527:$Y$567,P$17 + 1 + $H22*$H$28, P$15)</f>
        <v>183892.94247197083</v>
      </c>
      <c r="Q22" s="183">
        <f>INDEX('Volume adjustments'!$J$527:$Y$567,Q$17 + 1 + $H22*$H$28, Q$15)</f>
        <v>113.60366930781993</v>
      </c>
      <c r="R22" s="183">
        <f>INDEX('Volume adjustments'!$J$527:$Y$567,R$17 + 1 + $H22*$H$28, R$15)</f>
        <v>113.67037138779294</v>
      </c>
      <c r="S22" s="183">
        <f>INDEX('Volume adjustments'!$J$527:$Y$567,S$17 + 1 + $H22*$H$28, S$15)</f>
        <v>58853.594994802042</v>
      </c>
      <c r="T22" s="183">
        <f>INDEX('Volume adjustments'!$J$527:$Y$567,T$17 + 1 + $H22*$H$28, T$15)</f>
        <v>88857.46042767688</v>
      </c>
      <c r="U22" s="183">
        <f>INDEX('Volume adjustments'!$J$527:$Y$567,U$17 + 1 + $H22*$H$28, U$15)</f>
        <v>48807.429834632159</v>
      </c>
      <c r="V22" s="183">
        <f>INDEX('Volume adjustments'!$J$527:$Y$567,V$17 + 1 + $H22*$H$28, V$15)</f>
        <v>48155.848578831639</v>
      </c>
      <c r="W22" s="183">
        <f>INDEX('Volume adjustments'!$J$527:$Y$567,W$17 + 1 + $H22*$H$28, W$15)</f>
        <v>0.92942754552445628</v>
      </c>
      <c r="X22" s="183">
        <f>INDEX('Volume adjustments'!$J$527:$Y$567,X$17 + 1 + $H22*$H$28, X$15)</f>
        <v>538.63355047049492</v>
      </c>
      <c r="Y22" s="183">
        <f>INDEX('Volume adjustments'!$J$527:$Y$567,Y$17 + 1 + $H22*$H$28, Y$15)</f>
        <v>814.71725366006797</v>
      </c>
      <c r="Z22" s="183">
        <f>INDEX('Volume adjustments'!$J$527:$Y$567,Z$17 + 1 + $H22*$H$28, Z$15)</f>
        <v>1468.3723943988352</v>
      </c>
      <c r="AA22" s="183">
        <f>INDEX('Volume adjustments'!$J$527:$Y$567,AA$17 + 1 + $H22*$H$28, AA$15)</f>
        <v>16738.581298928457</v>
      </c>
      <c r="AB22" s="183">
        <f>INDEX('Volume adjustments'!$J$527:$Y$567,AB$17 + 1 + $H22*$H$28, AB$15)</f>
        <v>514.89001982790273</v>
      </c>
      <c r="AC22" s="183">
        <f>INDEX('Volume adjustments'!$J$527:$Y$567,AC$17 + 1 + $H22*$H$28, AC$15)</f>
        <v>99223.692366436182</v>
      </c>
      <c r="AD22" s="183">
        <f>INDEX('Volume adjustments'!$J$527:$Y$567,AD$17 + 1 + $H22*$H$28, AD$15)</f>
        <v>171679.60936146666</v>
      </c>
      <c r="AE22" s="183">
        <f>INDEX('Volume adjustments'!$J$527:$Y$567,AE$17 + 1 + $H22*$H$28, AE$15)</f>
        <v>93822.760463445258</v>
      </c>
      <c r="AF22" s="183">
        <f>INDEX('Volume adjustments'!$J$527:$Y$567,AF$17 + 1 + $H22*$H$28, AF$15)</f>
        <v>294231.95653909474</v>
      </c>
      <c r="AG22" s="183">
        <f>INDEX('Volume adjustments'!$J$527:$Y$567,AG$17 + 1 + $H22*$H$28, AG$15)</f>
        <v>10812.469000907027</v>
      </c>
      <c r="AH22" s="183">
        <f>INDEX('Volume adjustments'!$J$527:$Y$567,AH$17 + 1 + $H22*$H$28, AH$15)</f>
        <v>402.74853197386807</v>
      </c>
      <c r="AI22" s="183">
        <f>INDEX('Volume adjustments'!$J$527:$Y$567,AI$17 + 1 + $H22*$H$28, AI$15)</f>
        <v>0</v>
      </c>
      <c r="AJ22" s="183">
        <f>INDEX('Volume adjustments'!$J$527:$Y$567,AJ$17 + 1 + $H22*$H$28, AJ$15)</f>
        <v>4581.0802139008056</v>
      </c>
      <c r="AK22" s="183">
        <f>INDEX('Volume adjustments'!$J$527:$Y$567,AK$17 + 1 + $H22*$H$28, AK$15)</f>
        <v>0</v>
      </c>
      <c r="AL22" s="183">
        <f>INDEX('Volume adjustments'!$J$527:$Y$567,AL$17 + 1 + $H22*$H$28, AL$15)</f>
        <v>1000.7714870643234</v>
      </c>
      <c r="AM22" s="183">
        <f>INDEX('Volume adjustments'!$J$527:$Y$567,AM$17 + 1 + $H22*$H$28, AM$15)</f>
        <v>0</v>
      </c>
      <c r="AN22" s="183">
        <f>INDEX('Volume adjustments'!$J$527:$Y$567,AN$17 + 1 + $H22*$H$28, AN$15)</f>
        <v>112513.35249750761</v>
      </c>
      <c r="AO22" s="183">
        <f>INDEX('Volume adjustments'!$J$527:$Y$567,AO$17 + 1 + $H22*$H$28, AO$15)</f>
        <v>0</v>
      </c>
    </row>
    <row r="23" spans="1:43" x14ac:dyDescent="0.25">
      <c r="A23" s="309"/>
      <c r="E23" s="23"/>
      <c r="F23" s="62" t="s">
        <v>248</v>
      </c>
      <c r="G23" s="62" t="s">
        <v>207</v>
      </c>
      <c r="H23" s="363">
        <v>1</v>
      </c>
      <c r="J23" s="327">
        <f>INDEX('Volume adjustments'!$J$527:$Y$567,J$17 + 1 + $H23*$H$28, J$15)</f>
        <v>2724925.6197538478</v>
      </c>
      <c r="K23" s="327">
        <f>INDEX('Volume adjustments'!$J$527:$Y$567,K$17 + 1 + $H23*$H$28, K$15)</f>
        <v>2610.0714903095482</v>
      </c>
      <c r="L23" s="327">
        <f>INDEX('Volume adjustments'!$J$527:$Y$567,L$17 + 1 + $H23*$H$28, L$15)</f>
        <v>3.4947301543468345</v>
      </c>
      <c r="M23" s="327">
        <f>INDEX('Volume adjustments'!$J$527:$Y$567,M$17 + 1 + $H23*$H$28, M$15)</f>
        <v>48727.216515686261</v>
      </c>
      <c r="N23" s="327">
        <f>INDEX('Volume adjustments'!$J$527:$Y$567,N$17 + 1 + $H23*$H$28, N$15)</f>
        <v>182690.75612549187</v>
      </c>
      <c r="O23" s="327">
        <f>INDEX('Volume adjustments'!$J$527:$Y$567,O$17 + 1 + $H23*$H$28, O$15)</f>
        <v>227723.03211118252</v>
      </c>
      <c r="P23" s="327">
        <f>INDEX('Volume adjustments'!$J$527:$Y$567,P$17 + 1 + $H23*$H$28, P$15)</f>
        <v>760168.6225658831</v>
      </c>
      <c r="Q23" s="327">
        <f>INDEX('Volume adjustments'!$J$527:$Y$567,Q$17 + 1 + $H23*$H$28, Q$15)</f>
        <v>928.08494967695549</v>
      </c>
      <c r="R23" s="327">
        <f>INDEX('Volume adjustments'!$J$527:$Y$567,R$17 + 1 + $H23*$H$28, R$15)</f>
        <v>490.41477022151486</v>
      </c>
      <c r="S23" s="327">
        <f>INDEX('Volume adjustments'!$J$527:$Y$567,S$17 + 1 + $H23*$H$28, S$15)</f>
        <v>253915.52709561662</v>
      </c>
      <c r="T23" s="327">
        <f>INDEX('Volume adjustments'!$J$527:$Y$567,T$17 + 1 + $H23*$H$28, T$15)</f>
        <v>383362.96878490044</v>
      </c>
      <c r="U23" s="327">
        <f>INDEX('Volume adjustments'!$J$527:$Y$567,U$17 + 1 + $H23*$H$28, U$15)</f>
        <v>210572.76575436888</v>
      </c>
      <c r="V23" s="327">
        <f>INDEX('Volume adjustments'!$J$527:$Y$567,V$17 + 1 + $H23*$H$28, V$15)</f>
        <v>207761.61041157588</v>
      </c>
      <c r="W23" s="327">
        <f>INDEX('Volume adjustments'!$J$527:$Y$567,W$17 + 1 + $H23*$H$28, W$15)</f>
        <v>3.5167763112993287</v>
      </c>
      <c r="X23" s="327">
        <f>INDEX('Volume adjustments'!$J$527:$Y$567,X$17 + 1 + $H23*$H$28, X$15)</f>
        <v>2038.0864757960242</v>
      </c>
      <c r="Y23" s="327">
        <f>INDEX('Volume adjustments'!$J$527:$Y$567,Y$17 + 1 + $H23*$H$28, Y$15)</f>
        <v>3082.7344765877519</v>
      </c>
      <c r="Z23" s="327">
        <f>INDEX('Volume adjustments'!$J$527:$Y$567,Z$17 + 1 + $H23*$H$28, Z$15)</f>
        <v>5556.0406807975533</v>
      </c>
      <c r="AA23" s="327">
        <f>INDEX('Volume adjustments'!$J$527:$Y$567,AA$17 + 1 + $H23*$H$28, AA$15)</f>
        <v>63335.594560641948</v>
      </c>
      <c r="AB23" s="327">
        <f>INDEX('Volume adjustments'!$J$527:$Y$567,AB$17 + 1 + $H23*$H$28, AB$15)</f>
        <v>2048.4044602273625</v>
      </c>
      <c r="AC23" s="327">
        <f>INDEX('Volume adjustments'!$J$527:$Y$567,AC$17 + 1 + $H23*$H$28, AC$15)</f>
        <v>394744.98665087757</v>
      </c>
      <c r="AD23" s="327">
        <f>INDEX('Volume adjustments'!$J$527:$Y$567,AD$17 + 1 + $H23*$H$28, AD$15)</f>
        <v>682998.82305674069</v>
      </c>
      <c r="AE23" s="327">
        <f>INDEX('Volume adjustments'!$J$527:$Y$567,AE$17 + 1 + $H23*$H$28, AE$15)</f>
        <v>373258.27575450274</v>
      </c>
      <c r="AF23" s="327">
        <f>INDEX('Volume adjustments'!$J$527:$Y$567,AF$17 + 1 + $H23*$H$28, AF$15)</f>
        <v>1170552.9897774169</v>
      </c>
      <c r="AG23" s="327">
        <f>INDEX('Volume adjustments'!$J$527:$Y$567,AG$17 + 1 + $H23*$H$28, AG$15)</f>
        <v>46845.820756552697</v>
      </c>
      <c r="AH23" s="327">
        <f>INDEX('Volume adjustments'!$J$527:$Y$567,AH$17 + 1 + $H23*$H$28, AH$15)</f>
        <v>1815.0091331557703</v>
      </c>
      <c r="AI23" s="327">
        <f>INDEX('Volume adjustments'!$J$527:$Y$567,AI$17 + 1 + $H23*$H$28, AI$15)</f>
        <v>0</v>
      </c>
      <c r="AJ23" s="327">
        <f>INDEX('Volume adjustments'!$J$527:$Y$567,AJ$17 + 1 + $H23*$H$28, AJ$15)</f>
        <v>20492.431913765191</v>
      </c>
      <c r="AK23" s="327">
        <f>INDEX('Volume adjustments'!$J$527:$Y$567,AK$17 + 1 + $H23*$H$28, AK$15)</f>
        <v>0</v>
      </c>
      <c r="AL23" s="327">
        <f>INDEX('Volume adjustments'!$J$527:$Y$567,AL$17 + 1 + $H23*$H$28, AL$15)</f>
        <v>3996.1654558994287</v>
      </c>
      <c r="AM23" s="327">
        <f>INDEX('Volume adjustments'!$J$527:$Y$567,AM$17 + 1 + $H23*$H$28, AM$15)</f>
        <v>0</v>
      </c>
      <c r="AN23" s="327">
        <f>INDEX('Volume adjustments'!$J$527:$Y$567,AN$17 + 1 + $H23*$H$28, AN$15)</f>
        <v>328224.9176967626</v>
      </c>
      <c r="AO23" s="327">
        <f>INDEX('Volume adjustments'!$J$527:$Y$567,AO$17 + 1 + $H23*$H$28, AO$15)</f>
        <v>0</v>
      </c>
    </row>
    <row r="24" spans="1:43" x14ac:dyDescent="0.25">
      <c r="A24" s="309"/>
      <c r="E24" s="23"/>
      <c r="F24" s="62" t="s">
        <v>249</v>
      </c>
      <c r="G24" s="62" t="s">
        <v>207</v>
      </c>
      <c r="H24" s="363">
        <v>2</v>
      </c>
      <c r="J24" s="327">
        <f>INDEX('Volume adjustments'!$J$527:$Y$567,J$17 + 1 + $H24*$H$28, J$15)</f>
        <v>4883727.7493747445</v>
      </c>
      <c r="K24" s="327">
        <f>INDEX('Volume adjustments'!$J$527:$Y$567,K$17 + 1 + $H24*$H$28, K$15)</f>
        <v>10855.114741116735</v>
      </c>
      <c r="L24" s="327">
        <f>INDEX('Volume adjustments'!$J$527:$Y$567,L$17 + 1 + $H24*$H$28, L$15)</f>
        <v>3.8443571409572863</v>
      </c>
      <c r="M24" s="327">
        <f>INDEX('Volume adjustments'!$J$527:$Y$567,M$17 + 1 + $H24*$H$28, M$15)</f>
        <v>53602.084995904734</v>
      </c>
      <c r="N24" s="327">
        <f>INDEX('Volume adjustments'!$J$527:$Y$567,N$17 + 1 + $H24*$H$28, N$15)</f>
        <v>200967.88074591302</v>
      </c>
      <c r="O24" s="327">
        <f>INDEX('Volume adjustments'!$J$527:$Y$567,O$17 + 1 + $H24*$H$28, O$15)</f>
        <v>250505.36836675779</v>
      </c>
      <c r="P24" s="327">
        <f>INDEX('Volume adjustments'!$J$527:$Y$567,P$17 + 1 + $H24*$H$28, P$15)</f>
        <v>836218.97640878276</v>
      </c>
      <c r="Q24" s="327">
        <f>INDEX('Volume adjustments'!$J$527:$Y$567,Q$17 + 1 + $H24*$H$28, Q$15)</f>
        <v>2405.8570016096082</v>
      </c>
      <c r="R24" s="327">
        <f>INDEX('Volume adjustments'!$J$527:$Y$567,R$17 + 1 + $H24*$H$28, R$15)</f>
        <v>704.50795839069224</v>
      </c>
      <c r="S24" s="327">
        <f>INDEX('Volume adjustments'!$J$527:$Y$567,S$17 + 1 + $H24*$H$28, S$15)</f>
        <v>364763.70709028357</v>
      </c>
      <c r="T24" s="327">
        <f>INDEX('Volume adjustments'!$J$527:$Y$567,T$17 + 1 + $H24*$H$28, T$15)</f>
        <v>550722.12107162236</v>
      </c>
      <c r="U24" s="327">
        <f>INDEX('Volume adjustments'!$J$527:$Y$567,U$17 + 1 + $H24*$H$28, U$15)</f>
        <v>302499.43171019055</v>
      </c>
      <c r="V24" s="327">
        <f>INDEX('Volume adjustments'!$J$527:$Y$567,V$17 + 1 + $H24*$H$28, V$15)</f>
        <v>298461.05148282577</v>
      </c>
      <c r="W24" s="327">
        <f>INDEX('Volume adjustments'!$J$527:$Y$567,W$17 + 1 + $H24*$H$28, W$15)</f>
        <v>4.3330961431762152</v>
      </c>
      <c r="X24" s="327">
        <f>INDEX('Volume adjustments'!$J$527:$Y$567,X$17 + 1 + $H24*$H$28, X$15)</f>
        <v>2511.1704202956603</v>
      </c>
      <c r="Y24" s="327">
        <f>INDEX('Volume adjustments'!$J$527:$Y$567,Y$17 + 1 + $H24*$H$28, Y$15)</f>
        <v>3798.303812505917</v>
      </c>
      <c r="Z24" s="327">
        <f>INDEX('Volume adjustments'!$J$527:$Y$567,Z$17 + 1 + $H24*$H$28, Z$15)</f>
        <v>6845.7178717742199</v>
      </c>
      <c r="AA24" s="327">
        <f>INDEX('Volume adjustments'!$J$527:$Y$567,AA$17 + 1 + $H24*$H$28, AA$15)</f>
        <v>78037.155685655249</v>
      </c>
      <c r="AB24" s="327">
        <f>INDEX('Volume adjustments'!$J$527:$Y$567,AB$17 + 1 + $H24*$H$28, AB$15)</f>
        <v>2865.4108199447342</v>
      </c>
      <c r="AC24" s="327">
        <f>INDEX('Volume adjustments'!$J$527:$Y$567,AC$17 + 1 + $H24*$H$28, AC$15)</f>
        <v>552189.07097225182</v>
      </c>
      <c r="AD24" s="327">
        <f>INDEX('Volume adjustments'!$J$527:$Y$567,AD$17 + 1 + $H24*$H$28, AD$15)</f>
        <v>955412.98390801146</v>
      </c>
      <c r="AE24" s="327">
        <f>INDEX('Volume adjustments'!$J$527:$Y$567,AE$17 + 1 + $H24*$H$28, AE$15)</f>
        <v>522132.38290945435</v>
      </c>
      <c r="AF24" s="327">
        <f>INDEX('Volume adjustments'!$J$527:$Y$567,AF$17 + 1 + $H24*$H$28, AF$15)</f>
        <v>1637428.1873290681</v>
      </c>
      <c r="AG24" s="327">
        <f>INDEX('Volume adjustments'!$J$527:$Y$567,AG$17 + 1 + $H24*$H$28, AG$15)</f>
        <v>180165.70596262455</v>
      </c>
      <c r="AH24" s="327">
        <f>INDEX('Volume adjustments'!$J$527:$Y$567,AH$17 + 1 + $H24*$H$28, AH$15)</f>
        <v>1012.3643348703615</v>
      </c>
      <c r="AI24" s="327">
        <f>INDEX('Volume adjustments'!$J$527:$Y$567,AI$17 + 1 + $H24*$H$28, AI$15)</f>
        <v>0</v>
      </c>
      <c r="AJ24" s="327">
        <f>INDEX('Volume adjustments'!$J$527:$Y$567,AJ$17 + 1 + $H24*$H$28, AJ$15)</f>
        <v>19151.771205667341</v>
      </c>
      <c r="AK24" s="327">
        <f>INDEX('Volume adjustments'!$J$527:$Y$567,AK$17 + 1 + $H24*$H$28, AK$15)</f>
        <v>0</v>
      </c>
      <c r="AL24" s="327">
        <f>INDEX('Volume adjustments'!$J$527:$Y$567,AL$17 + 1 + $H24*$H$28, AL$15)</f>
        <v>6019.197723702915</v>
      </c>
      <c r="AM24" s="327">
        <f>INDEX('Volume adjustments'!$J$527:$Y$567,AM$17 + 1 + $H24*$H$28, AM$15)</f>
        <v>0</v>
      </c>
      <c r="AN24" s="327">
        <f>INDEX('Volume adjustments'!$J$527:$Y$567,AN$17 + 1 + $H24*$H$28, AN$15)</f>
        <v>370994.99213906302</v>
      </c>
      <c r="AO24" s="327">
        <f>INDEX('Volume adjustments'!$J$527:$Y$567,AO$17 + 1 + $H24*$H$28, AO$15)</f>
        <v>0</v>
      </c>
    </row>
    <row r="25" spans="1:43" x14ac:dyDescent="0.25">
      <c r="A25" s="309"/>
      <c r="E25" s="23"/>
      <c r="F25" s="62" t="s">
        <v>212</v>
      </c>
      <c r="G25" s="62" t="s">
        <v>212</v>
      </c>
      <c r="H25" s="363">
        <v>3</v>
      </c>
      <c r="J25" s="327">
        <f>INDEX('Volume adjustments'!$J$527:$Y$567,J$17 + 1 + $H25*$H$28, J$15)</f>
        <v>2324955.1193078361</v>
      </c>
      <c r="K25" s="327">
        <f>INDEX('Volume adjustments'!$J$527:$Y$567,K$17 + 1 + $H25*$H$28, K$15)</f>
        <v>0</v>
      </c>
      <c r="L25" s="327">
        <f>INDEX('Volume adjustments'!$J$527:$Y$567,L$17 + 1 + $H25*$H$28, L$15)</f>
        <v>8.1844999999999999</v>
      </c>
      <c r="M25" s="327">
        <f>INDEX('Volume adjustments'!$J$527:$Y$567,M$17 + 1 + $H25*$H$28, M$15)</f>
        <v>71117.063271156148</v>
      </c>
      <c r="N25" s="327">
        <f>INDEX('Volume adjustments'!$J$527:$Y$567,N$17 + 1 + $H25*$H$28, N$15)</f>
        <v>53541.100272907279</v>
      </c>
      <c r="O25" s="327">
        <f>INDEX('Volume adjustments'!$J$527:$Y$567,O$17 + 1 + $H25*$H$28, O$15)</f>
        <v>27924.327256355347</v>
      </c>
      <c r="P25" s="327">
        <f>INDEX('Volume adjustments'!$J$527:$Y$567,P$17 + 1 + $H25*$H$28, P$15)</f>
        <v>28149.945828907057</v>
      </c>
      <c r="Q25" s="327">
        <f>INDEX('Volume adjustments'!$J$527:$Y$567,Q$17 + 1 + $H25*$H$28, Q$15)</f>
        <v>0</v>
      </c>
      <c r="R25" s="327">
        <f>INDEX('Volume adjustments'!$J$527:$Y$567,R$17 + 1 + $H25*$H$28, R$15)</f>
        <v>29</v>
      </c>
      <c r="S25" s="327">
        <f>INDEX('Volume adjustments'!$J$527:$Y$567,S$17 + 1 + $H25*$H$28, S$15)</f>
        <v>6538.8255358917031</v>
      </c>
      <c r="T25" s="327">
        <f>INDEX('Volume adjustments'!$J$527:$Y$567,T$17 + 1 + $H25*$H$28, T$15)</f>
        <v>5249.4268633032916</v>
      </c>
      <c r="U25" s="327">
        <f>INDEX('Volume adjustments'!$J$527:$Y$567,U$17 + 1 + $H25*$H$28, U$15)</f>
        <v>1823.7623385197005</v>
      </c>
      <c r="V25" s="327">
        <f>INDEX('Volume adjustments'!$J$527:$Y$567,V$17 + 1 + $H25*$H$28, V$15)</f>
        <v>1095.576983747472</v>
      </c>
      <c r="W25" s="327">
        <f>INDEX('Volume adjustments'!$J$527:$Y$567,W$17 + 1 + $H25*$H$28, W$15)</f>
        <v>1</v>
      </c>
      <c r="X25" s="327">
        <f>INDEX('Volume adjustments'!$J$527:$Y$567,X$17 + 1 + $H25*$H$28, X$15)</f>
        <v>23.028329792128428</v>
      </c>
      <c r="Y25" s="327">
        <f>INDEX('Volume adjustments'!$J$527:$Y$567,Y$17 + 1 + $H25*$H$28, Y$15)</f>
        <v>26.318091191003916</v>
      </c>
      <c r="Z25" s="327">
        <f>INDEX('Volume adjustments'!$J$527:$Y$567,Z$17 + 1 + $H25*$H$28, Z$15)</f>
        <v>30.801026855796401</v>
      </c>
      <c r="AA25" s="327">
        <f>INDEX('Volume adjustments'!$J$527:$Y$567,AA$17 + 1 + $H25*$H$28, AA$15)</f>
        <v>235.76623358607674</v>
      </c>
      <c r="AB25" s="327">
        <f>INDEX('Volume adjustments'!$J$527:$Y$567,AB$17 + 1 + $H25*$H$28, AB$15)</f>
        <v>76</v>
      </c>
      <c r="AC25" s="327">
        <f>INDEX('Volume adjustments'!$J$527:$Y$567,AC$17 + 1 + $H25*$H$28, AC$15)</f>
        <v>2209.8996249966858</v>
      </c>
      <c r="AD25" s="327">
        <f>INDEX('Volume adjustments'!$J$527:$Y$567,AD$17 + 1 + $H25*$H$28, AD$15)</f>
        <v>1219.1562048469793</v>
      </c>
      <c r="AE25" s="327">
        <f>INDEX('Volume adjustments'!$J$527:$Y$567,AE$17 + 1 + $H25*$H$28, AE$15)</f>
        <v>298.4485717855971</v>
      </c>
      <c r="AF25" s="327">
        <f>INDEX('Volume adjustments'!$J$527:$Y$567,AF$17 + 1 + $H25*$H$28, AF$15)</f>
        <v>300.46365168995504</v>
      </c>
      <c r="AG25" s="327">
        <f>INDEX('Volume adjustments'!$J$527:$Y$567,AG$17 + 1 + $H25*$H$28, AG$15)</f>
        <v>2294</v>
      </c>
      <c r="AH25" s="327">
        <f>INDEX('Volume adjustments'!$J$527:$Y$567,AH$17 + 1 + $H25*$H$28, AH$15)</f>
        <v>0</v>
      </c>
      <c r="AI25" s="327">
        <f>INDEX('Volume adjustments'!$J$527:$Y$567,AI$17 + 1 + $H25*$H$28, AI$15)</f>
        <v>0</v>
      </c>
      <c r="AJ25" s="327">
        <f>INDEX('Volume adjustments'!$J$527:$Y$567,AJ$17 + 1 + $H25*$H$28, AJ$15)</f>
        <v>633.94808743169403</v>
      </c>
      <c r="AK25" s="327">
        <f>INDEX('Volume adjustments'!$J$527:$Y$567,AK$17 + 1 + $H25*$H$28, AK$15)</f>
        <v>0</v>
      </c>
      <c r="AL25" s="327">
        <f>INDEX('Volume adjustments'!$J$527:$Y$567,AL$17 + 1 + $H25*$H$28, AL$15)</f>
        <v>35.618169398907106</v>
      </c>
      <c r="AM25" s="327">
        <f>INDEX('Volume adjustments'!$J$527:$Y$567,AM$17 + 1 + $H25*$H$28, AM$15)</f>
        <v>0</v>
      </c>
      <c r="AN25" s="327">
        <f>INDEX('Volume adjustments'!$J$527:$Y$567,AN$17 + 1 + $H25*$H$28, AN$15)</f>
        <v>338.62978142076497</v>
      </c>
      <c r="AO25" s="327">
        <f>INDEX('Volume adjustments'!$J$527:$Y$567,AO$17 + 1 + $H25*$H$28, AO$15)</f>
        <v>0</v>
      </c>
    </row>
    <row r="26" spans="1:43" x14ac:dyDescent="0.25">
      <c r="A26" s="309"/>
      <c r="E26" s="23"/>
      <c r="F26" s="62" t="s">
        <v>250</v>
      </c>
      <c r="G26" s="62" t="s">
        <v>251</v>
      </c>
      <c r="H26" s="363">
        <v>4</v>
      </c>
      <c r="J26" s="327">
        <f>INDEX('Volume adjustments'!$J$527:$Y$567,J$17 + 1 + $H26*$H$28, J$15)</f>
        <v>0</v>
      </c>
      <c r="K26" s="327">
        <f>INDEX('Volume adjustments'!$J$527:$Y$567,K$17 + 1 + $H26*$H$28, K$15)</f>
        <v>0</v>
      </c>
      <c r="L26" s="327">
        <f>INDEX('Volume adjustments'!$J$527:$Y$567,L$17 + 1 + $H26*$H$28, L$15)</f>
        <v>0</v>
      </c>
      <c r="M26" s="327">
        <f>INDEX('Volume adjustments'!$J$527:$Y$567,M$17 + 1 + $H26*$H$28, M$15)</f>
        <v>0</v>
      </c>
      <c r="N26" s="327">
        <f>INDEX('Volume adjustments'!$J$527:$Y$567,N$17 + 1 + $H26*$H$28, N$15)</f>
        <v>0</v>
      </c>
      <c r="O26" s="327">
        <f>INDEX('Volume adjustments'!$J$527:$Y$567,O$17 + 1 + $H26*$H$28, O$15)</f>
        <v>0</v>
      </c>
      <c r="P26" s="327">
        <f>INDEX('Volume adjustments'!$J$527:$Y$567,P$17 + 1 + $H26*$H$28, P$15)</f>
        <v>0</v>
      </c>
      <c r="Q26" s="327">
        <f>INDEX('Volume adjustments'!$J$527:$Y$567,Q$17 + 1 + $H26*$H$28, Q$15)</f>
        <v>0</v>
      </c>
      <c r="R26" s="327">
        <f>INDEX('Volume adjustments'!$J$527:$Y$567,R$17 + 1 + $H26*$H$28, R$15)</f>
        <v>1856</v>
      </c>
      <c r="S26" s="327">
        <f>INDEX('Volume adjustments'!$J$527:$Y$567,S$17 + 1 + $H26*$H$28, S$15)</f>
        <v>312045.96920039039</v>
      </c>
      <c r="T26" s="327">
        <f>INDEX('Volume adjustments'!$J$527:$Y$567,T$17 + 1 + $H26*$H$28, T$15)</f>
        <v>606600.18946620962</v>
      </c>
      <c r="U26" s="327">
        <f>INDEX('Volume adjustments'!$J$527:$Y$567,U$17 + 1 + $H26*$H$28, U$15)</f>
        <v>336712.69569263258</v>
      </c>
      <c r="V26" s="327">
        <f>INDEX('Volume adjustments'!$J$527:$Y$567,V$17 + 1 + $H26*$H$28, V$15)</f>
        <v>341121.31598836888</v>
      </c>
      <c r="W26" s="327">
        <f>INDEX('Volume adjustments'!$J$527:$Y$567,W$17 + 1 + $H26*$H$28, W$15)</f>
        <v>220</v>
      </c>
      <c r="X26" s="327">
        <f>INDEX('Volume adjustments'!$J$527:$Y$567,X$17 + 1 + $H26*$H$28, X$15)</f>
        <v>5384.0083047754661</v>
      </c>
      <c r="Y26" s="327">
        <f>INDEX('Volume adjustments'!$J$527:$Y$567,Y$17 + 1 + $H26*$H$28, Y$15)</f>
        <v>3069.2205346557857</v>
      </c>
      <c r="Z26" s="327">
        <f>INDEX('Volume adjustments'!$J$527:$Y$567,Z$17 + 1 + $H26*$H$28, Z$15)</f>
        <v>5579.2821262040925</v>
      </c>
      <c r="AA26" s="327">
        <f>INDEX('Volume adjustments'!$J$527:$Y$567,AA$17 + 1 + $H26*$H$28, AA$15)</f>
        <v>112225.79140230623</v>
      </c>
      <c r="AB26" s="327">
        <f>INDEX('Volume adjustments'!$J$527:$Y$567,AB$17 + 1 + $H26*$H$28, AB$15)</f>
        <v>16548</v>
      </c>
      <c r="AC26" s="327">
        <f>INDEX('Volume adjustments'!$J$527:$Y$567,AC$17 + 1 + $H26*$H$28, AC$15)</f>
        <v>484069.27424646</v>
      </c>
      <c r="AD26" s="327">
        <f>INDEX('Volume adjustments'!$J$527:$Y$567,AD$17 + 1 + $H26*$H$28, AD$15)</f>
        <v>777723.01505323185</v>
      </c>
      <c r="AE26" s="327">
        <f>INDEX('Volume adjustments'!$J$527:$Y$567,AE$17 + 1 + $H26*$H$28, AE$15)</f>
        <v>407078.88999769877</v>
      </c>
      <c r="AF26" s="327">
        <f>INDEX('Volume adjustments'!$J$527:$Y$567,AF$17 + 1 + $H26*$H$28, AF$15)</f>
        <v>1202874.0697539097</v>
      </c>
      <c r="AG26" s="327">
        <f>INDEX('Volume adjustments'!$J$527:$Y$567,AG$17 + 1 + $H26*$H$28, AG$15)</f>
        <v>0</v>
      </c>
      <c r="AH26" s="327">
        <f>INDEX('Volume adjustments'!$J$527:$Y$567,AH$17 + 1 + $H26*$H$28, AH$15)</f>
        <v>0</v>
      </c>
      <c r="AI26" s="327">
        <f>INDEX('Volume adjustments'!$J$527:$Y$567,AI$17 + 1 + $H26*$H$28, AI$15)</f>
        <v>0</v>
      </c>
      <c r="AJ26" s="327">
        <f>INDEX('Volume adjustments'!$J$527:$Y$567,AJ$17 + 1 + $H26*$H$28, AJ$15)</f>
        <v>0</v>
      </c>
      <c r="AK26" s="327">
        <f>INDEX('Volume adjustments'!$J$527:$Y$567,AK$17 + 1 + $H26*$H$28, AK$15)</f>
        <v>0</v>
      </c>
      <c r="AL26" s="327">
        <f>INDEX('Volume adjustments'!$J$527:$Y$567,AL$17 + 1 + $H26*$H$28, AL$15)</f>
        <v>0</v>
      </c>
      <c r="AM26" s="327">
        <f>INDEX('Volume adjustments'!$J$527:$Y$567,AM$17 + 1 + $H26*$H$28, AM$15)</f>
        <v>0</v>
      </c>
      <c r="AN26" s="327">
        <f>INDEX('Volume adjustments'!$J$527:$Y$567,AN$17 + 1 + $H26*$H$28, AN$15)</f>
        <v>0</v>
      </c>
      <c r="AO26" s="327">
        <f>INDEX('Volume adjustments'!$J$527:$Y$567,AO$17 + 1 + $H26*$H$28, AO$15)</f>
        <v>0</v>
      </c>
    </row>
    <row r="27" spans="1:43" x14ac:dyDescent="0.25">
      <c r="A27" s="309"/>
      <c r="E27" s="23"/>
      <c r="F27" s="62" t="s">
        <v>252</v>
      </c>
      <c r="G27" s="62" t="s">
        <v>251</v>
      </c>
      <c r="H27" s="363">
        <v>5</v>
      </c>
      <c r="J27" s="327">
        <f>INDEX('Volume adjustments'!$J$527:$Y$567,J$17 + 1 + $H27*$H$28, J$15)</f>
        <v>0</v>
      </c>
      <c r="K27" s="327">
        <f>INDEX('Volume adjustments'!$J$527:$Y$567,K$17 + 1 + $H27*$H$28, K$15)</f>
        <v>0</v>
      </c>
      <c r="L27" s="327">
        <f>INDEX('Volume adjustments'!$J$527:$Y$567,L$17 + 1 + $H27*$H$28, L$15)</f>
        <v>0</v>
      </c>
      <c r="M27" s="327">
        <f>INDEX('Volume adjustments'!$J$527:$Y$567,M$17 + 1 + $H27*$H$28, M$15)</f>
        <v>0</v>
      </c>
      <c r="N27" s="327">
        <f>INDEX('Volume adjustments'!$J$527:$Y$567,N$17 + 1 + $H27*$H$28, N$15)</f>
        <v>0</v>
      </c>
      <c r="O27" s="327">
        <f>INDEX('Volume adjustments'!$J$527:$Y$567,O$17 + 1 + $H27*$H$28, O$15)</f>
        <v>0</v>
      </c>
      <c r="P27" s="327">
        <f>INDEX('Volume adjustments'!$J$527:$Y$567,P$17 + 1 + $H27*$H$28, P$15)</f>
        <v>0</v>
      </c>
      <c r="Q27" s="327">
        <f>INDEX('Volume adjustments'!$J$527:$Y$567,Q$17 + 1 + $H27*$H$28, Q$15)</f>
        <v>0</v>
      </c>
      <c r="R27" s="327">
        <f>INDEX('Volume adjustments'!$J$527:$Y$567,R$17 + 1 + $H27*$H$28, R$15)</f>
        <v>0</v>
      </c>
      <c r="S27" s="327">
        <f>INDEX('Volume adjustments'!$J$527:$Y$567,S$17 + 1 + $H27*$H$28, S$15)</f>
        <v>5259.5206196415666</v>
      </c>
      <c r="T27" s="327">
        <f>INDEX('Volume adjustments'!$J$527:$Y$567,T$17 + 1 + $H27*$H$28, T$15)</f>
        <v>10216.002573144408</v>
      </c>
      <c r="U27" s="327">
        <f>INDEX('Volume adjustments'!$J$527:$Y$567,U$17 + 1 + $H27*$H$28, U$15)</f>
        <v>5674.7776906022964</v>
      </c>
      <c r="V27" s="327">
        <f>INDEX('Volume adjustments'!$J$527:$Y$567,V$17 + 1 + $H27*$H$28, V$15)</f>
        <v>5752.8548351043901</v>
      </c>
      <c r="W27" s="327">
        <f>INDEX('Volume adjustments'!$J$527:$Y$567,W$17 + 1 + $H27*$H$28, W$15)</f>
        <v>0</v>
      </c>
      <c r="X27" s="327">
        <f>INDEX('Volume adjustments'!$J$527:$Y$567,X$17 + 1 + $H27*$H$28, X$15)</f>
        <v>25.002841793920606</v>
      </c>
      <c r="Y27" s="327">
        <f>INDEX('Volume adjustments'!$J$527:$Y$567,Y$17 + 1 + $H27*$H$28, Y$15)</f>
        <v>14.253179251336862</v>
      </c>
      <c r="Z27" s="327">
        <f>INDEX('Volume adjustments'!$J$527:$Y$567,Z$17 + 1 + $H27*$H$28, Z$15)</f>
        <v>26.931335412536932</v>
      </c>
      <c r="AA27" s="327">
        <f>INDEX('Volume adjustments'!$J$527:$Y$567,AA$17 + 1 + $H27*$H$28, AA$15)</f>
        <v>521.16630376305068</v>
      </c>
      <c r="AB27" s="327">
        <f>INDEX('Volume adjustments'!$J$527:$Y$567,AB$17 + 1 + $H27*$H$28, AB$15)</f>
        <v>0</v>
      </c>
      <c r="AC27" s="327">
        <f>INDEX('Volume adjustments'!$J$527:$Y$567,AC$17 + 1 + $H27*$H$28, AC$15)</f>
        <v>7362.9204162581991</v>
      </c>
      <c r="AD27" s="327">
        <f>INDEX('Volume adjustments'!$J$527:$Y$567,AD$17 + 1 + $H27*$H$28, AD$15)</f>
        <v>11531.55661425686</v>
      </c>
      <c r="AE27" s="327">
        <f>INDEX('Volume adjustments'!$J$527:$Y$567,AE$17 + 1 + $H27*$H$28, AE$15)</f>
        <v>6046.0846332229867</v>
      </c>
      <c r="AF27" s="327">
        <f>INDEX('Volume adjustments'!$J$527:$Y$567,AF$17 + 1 + $H27*$H$28, AF$15)</f>
        <v>17799.936822194777</v>
      </c>
      <c r="AG27" s="327">
        <f>INDEX('Volume adjustments'!$J$527:$Y$567,AG$17 + 1 + $H27*$H$28, AG$15)</f>
        <v>0</v>
      </c>
      <c r="AH27" s="327">
        <f>INDEX('Volume adjustments'!$J$527:$Y$567,AH$17 + 1 + $H27*$H$28, AH$15)</f>
        <v>0</v>
      </c>
      <c r="AI27" s="327">
        <f>INDEX('Volume adjustments'!$J$527:$Y$567,AI$17 + 1 + $H27*$H$28, AI$15)</f>
        <v>0</v>
      </c>
      <c r="AJ27" s="327">
        <f>INDEX('Volume adjustments'!$J$527:$Y$567,AJ$17 + 1 + $H27*$H$28, AJ$15)</f>
        <v>0</v>
      </c>
      <c r="AK27" s="327">
        <f>INDEX('Volume adjustments'!$J$527:$Y$567,AK$17 + 1 + $H27*$H$28, AK$15)</f>
        <v>0</v>
      </c>
      <c r="AL27" s="327">
        <f>INDEX('Volume adjustments'!$J$527:$Y$567,AL$17 + 1 + $H27*$H$28, AL$15)</f>
        <v>0</v>
      </c>
      <c r="AM27" s="327">
        <f>INDEX('Volume adjustments'!$J$527:$Y$567,AM$17 + 1 + $H27*$H$28, AM$15)</f>
        <v>0</v>
      </c>
      <c r="AN27" s="327">
        <f>INDEX('Volume adjustments'!$J$527:$Y$567,AN$17 + 1 + $H27*$H$28, AN$15)</f>
        <v>0</v>
      </c>
      <c r="AO27" s="327">
        <f>INDEX('Volume adjustments'!$J$527:$Y$567,AO$17 + 1 + $H27*$H$28, AO$15)</f>
        <v>0</v>
      </c>
    </row>
    <row r="28" spans="1:43" x14ac:dyDescent="0.25">
      <c r="A28" s="309"/>
      <c r="E28" s="23"/>
      <c r="F28" s="70" t="s">
        <v>253</v>
      </c>
      <c r="G28" s="70" t="s">
        <v>254</v>
      </c>
      <c r="H28" s="314">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288.15313798253834</v>
      </c>
      <c r="S28" s="185">
        <f>INDEX('Volume adjustments'!$J$527:$Y$567,S$17 + 1 + $H28*$H$28, S$15)</f>
        <v>56304.879713602466</v>
      </c>
      <c r="T28" s="185">
        <f>INDEX('Volume adjustments'!$J$527:$Y$567,T$17 + 1 + $H28*$H$28, T$15)</f>
        <v>85351.832172338283</v>
      </c>
      <c r="U28" s="185">
        <f>INDEX('Volume adjustments'!$J$527:$Y$567,U$17 + 1 + $H28*$H$28, U$15)</f>
        <v>46867.455293587234</v>
      </c>
      <c r="V28" s="185">
        <f>INDEX('Volume adjustments'!$J$527:$Y$567,V$17 + 1 + $H28*$H$28, V$15)</f>
        <v>46264.229682489466</v>
      </c>
      <c r="W28" s="185">
        <f>INDEX('Volume adjustments'!$J$527:$Y$567,W$17 + 1 + $H28*$H$28, W$15)</f>
        <v>192.90741538233189</v>
      </c>
      <c r="X28" s="185">
        <f>INDEX('Volume adjustments'!$J$527:$Y$567,X$17 + 1 + $H28*$H$28, X$15)</f>
        <v>115.60675829683933</v>
      </c>
      <c r="Y28" s="185">
        <f>INDEX('Volume adjustments'!$J$527:$Y$567,Y$17 + 1 + $H28*$H$28, Y$15)</f>
        <v>418.73357936061552</v>
      </c>
      <c r="Z28" s="185">
        <f>INDEX('Volume adjustments'!$J$527:$Y$567,Z$17 + 1 + $H28*$H$28, Z$15)</f>
        <v>761.73334007584276</v>
      </c>
      <c r="AA28" s="185">
        <f>INDEX('Volume adjustments'!$J$527:$Y$567,AA$17 + 1 + $H28*$H$28, AA$15)</f>
        <v>8829.7904068843709</v>
      </c>
      <c r="AB28" s="185">
        <f>INDEX('Volume adjustments'!$J$527:$Y$567,AB$17 + 1 + $H28*$H$28, AB$15)</f>
        <v>374.50654211740863</v>
      </c>
      <c r="AC28" s="185">
        <f>INDEX('Volume adjustments'!$J$527:$Y$567,AC$17 + 1 + $H28*$H$28, AC$15)</f>
        <v>113635.47324864614</v>
      </c>
      <c r="AD28" s="185">
        <f>INDEX('Volume adjustments'!$J$527:$Y$567,AD$17 + 1 + $H28*$H$28, AD$15)</f>
        <v>196244.90669001723</v>
      </c>
      <c r="AE28" s="185">
        <f>INDEX('Volume adjustments'!$J$527:$Y$567,AE$17 + 1 + $H28*$H$28, AE$15)</f>
        <v>107247.67455511968</v>
      </c>
      <c r="AF28" s="185">
        <f>INDEX('Volume adjustments'!$J$527:$Y$567,AF$17 + 1 + $H28*$H$28, AF$15)</f>
        <v>336333.02796409954</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3761.82</v>
      </c>
      <c r="AK28" s="185">
        <f>INDEX('Volume adjustments'!$J$527:$Y$567,AK$17 + 1 + $H28*$H$28, AK$15)</f>
        <v>0</v>
      </c>
      <c r="AL28" s="185">
        <f>INDEX('Volume adjustments'!$J$527:$Y$567,AL$17 + 1 + $H28*$H$28, AL$15)</f>
        <v>310.738</v>
      </c>
      <c r="AM28" s="185">
        <f>INDEX('Volume adjustments'!$J$527:$Y$567,AM$17 + 1 + $H28*$H$28, AM$15)</f>
        <v>0</v>
      </c>
      <c r="AN28" s="185">
        <f>INDEX('Volume adjustments'!$J$527:$Y$567,AN$17 + 1 + $H28*$H$28, AN$15)</f>
        <v>36884.22</v>
      </c>
      <c r="AO28" s="185">
        <f>INDEX('Volume adjustments'!$J$527:$Y$567,AO$17 + 1 + $H28*$H$28, AO$15)</f>
        <v>0</v>
      </c>
    </row>
    <row r="29" spans="1:43" s="249" customFormat="1" x14ac:dyDescent="0.25">
      <c r="A29" s="364"/>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1:43" x14ac:dyDescent="0.25">
      <c r="A30" s="309"/>
      <c r="E30" s="27" t="s">
        <v>255</v>
      </c>
      <c r="F30" s="340"/>
      <c r="G30" s="340"/>
      <c r="H30" s="300"/>
      <c r="I30" s="300" t="s">
        <v>154</v>
      </c>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Q30" t="s">
        <v>246</v>
      </c>
    </row>
    <row r="31" spans="1:43" x14ac:dyDescent="0.25">
      <c r="A31" s="309"/>
      <c r="E31" s="27"/>
      <c r="F31" s="392" t="s">
        <v>1034</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row>
    <row r="32" spans="1:43" x14ac:dyDescent="0.25">
      <c r="A32" s="309"/>
      <c r="E32" s="27"/>
      <c r="F32" s="391" t="s">
        <v>1030</v>
      </c>
      <c r="G32" s="28"/>
    </row>
    <row r="33" spans="1:43" x14ac:dyDescent="0.25">
      <c r="A33" s="309"/>
      <c r="F33" s="62" t="s">
        <v>247</v>
      </c>
      <c r="G33" s="62" t="s">
        <v>207</v>
      </c>
      <c r="H33" s="313">
        <v>0</v>
      </c>
      <c r="I33" s="19"/>
      <c r="J33" s="183">
        <f>INDEX('Volume adjustments'!$J$571:$Y$611,J$17 + 1 + $H33*$H$39, J$15)</f>
        <v>15700.93913512329</v>
      </c>
      <c r="K33" s="183">
        <f>INDEX('Volume adjustments'!$J$571:$Y$611,K$17 + 1 + $H33*$H$39, K$15)</f>
        <v>0</v>
      </c>
      <c r="L33" s="183">
        <f>INDEX('Volume adjustments'!$J$571:$Y$611,L$17 + 1 + $H33*$H$39, L$15)</f>
        <v>0</v>
      </c>
      <c r="M33" s="183">
        <f>INDEX('Volume adjustments'!$J$571:$Y$611,M$17 + 1 + $H33*$H$39, M$15)</f>
        <v>32.41484239613461</v>
      </c>
      <c r="N33" s="183">
        <f>INDEX('Volume adjustments'!$J$571:$Y$611,N$17 + 1 + $H33*$H$39, N$15)</f>
        <v>121.52279159569919</v>
      </c>
      <c r="O33" s="183">
        <f>INDEX('Volume adjustments'!$J$571:$Y$611,O$17 + 1 + $H33*$H$39, O$15)</f>
        <v>151.47749760134965</v>
      </c>
      <c r="P33" s="183">
        <f>INDEX('Volume adjustments'!$J$571:$Y$611,P$17 + 1 + $H33*$H$39, P$15)</f>
        <v>505.65127134406521</v>
      </c>
      <c r="Q33" s="183">
        <f>INDEX('Volume adjustments'!$J$571:$Y$611,Q$17 + 1 + $H33*$H$39, Q$15)</f>
        <v>0</v>
      </c>
      <c r="R33" s="183">
        <f>INDEX('Volume adjustments'!$J$571:$Y$611,R$17 + 1 + $H33*$H$39, R$15)</f>
        <v>0</v>
      </c>
      <c r="S33" s="183">
        <f>INDEX('Volume adjustments'!$J$571:$Y$611,S$17 + 1 + $H33*$H$39, S$15)</f>
        <v>668.45656969807692</v>
      </c>
      <c r="T33" s="183">
        <f>INDEX('Volume adjustments'!$J$571:$Y$611,T$17 + 1 + $H33*$H$39, T$15)</f>
        <v>1008.9891900732774</v>
      </c>
      <c r="U33" s="183">
        <f>INDEX('Volume adjustments'!$J$571:$Y$611,U$17 + 1 + $H33*$H$39, U$15)</f>
        <v>554.17349706479604</v>
      </c>
      <c r="V33" s="183">
        <f>INDEX('Volume adjustments'!$J$571:$Y$611,V$17 + 1 + $H33*$H$39, V$15)</f>
        <v>546.80831043502201</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5.2803435811820503</v>
      </c>
      <c r="AH33" s="183">
        <f>INDEX('Volume adjustments'!$J$571:$Y$611,AH$17 + 1 + $H33*$H$39, AH$15)</f>
        <v>4.2797216354836163</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1:43" x14ac:dyDescent="0.25">
      <c r="A34" s="309"/>
      <c r="E34" s="23"/>
      <c r="F34" s="62" t="s">
        <v>248</v>
      </c>
      <c r="G34" s="62" t="s">
        <v>207</v>
      </c>
      <c r="H34" s="363">
        <v>1</v>
      </c>
      <c r="J34" s="327">
        <f>INDEX('Volume adjustments'!$J$571:$Y$611,J$17 + 1 + $H34*$H$39, J$15)</f>
        <v>43000</v>
      </c>
      <c r="K34" s="327">
        <f>INDEX('Volume adjustments'!$J$571:$Y$611,K$17 + 1 + $H34*$H$39, K$15)</f>
        <v>0</v>
      </c>
      <c r="L34" s="327">
        <f>INDEX('Volume adjustments'!$J$571:$Y$611,L$17 + 1 + $H34*$H$39, L$15)</f>
        <v>0</v>
      </c>
      <c r="M34" s="327">
        <f>INDEX('Volume adjustments'!$J$571:$Y$611,M$17 + 1 + $H34*$H$39, M$15)</f>
        <v>139.32841347950537</v>
      </c>
      <c r="N34" s="327">
        <f>INDEX('Volume adjustments'!$J$571:$Y$611,N$17 + 1 + $H34*$H$39, N$15)</f>
        <v>522.34027695437408</v>
      </c>
      <c r="O34" s="327">
        <f>INDEX('Volume adjustments'!$J$571:$Y$611,O$17 + 1 + $H34*$H$39, O$15)</f>
        <v>651.09430922787283</v>
      </c>
      <c r="P34" s="327">
        <f>INDEX('Volume adjustments'!$J$571:$Y$611,P$17 + 1 + $H34*$H$39, P$15)</f>
        <v>2173.4361237759613</v>
      </c>
      <c r="Q34" s="327">
        <f>INDEX('Volume adjustments'!$J$571:$Y$611,Q$17 + 1 + $H34*$H$39, Q$15)</f>
        <v>0</v>
      </c>
      <c r="R34" s="327">
        <f>INDEX('Volume adjustments'!$J$571:$Y$611,R$17 + 1 + $H34*$H$39, R$15)</f>
        <v>0</v>
      </c>
      <c r="S34" s="327">
        <f>INDEX('Volume adjustments'!$J$571:$Y$611,S$17 + 1 + $H34*$H$39, S$15)</f>
        <v>3440.4096256757143</v>
      </c>
      <c r="T34" s="327">
        <f>INDEX('Volume adjustments'!$J$571:$Y$611,T$17 + 1 + $H34*$H$39, T$15)</f>
        <v>5193.0615676329608</v>
      </c>
      <c r="U34" s="327">
        <f>INDEX('Volume adjustments'!$J$571:$Y$611,U$17 + 1 + $H34*$H$39, U$15)</f>
        <v>2852.2179600347808</v>
      </c>
      <c r="V34" s="327">
        <f>INDEX('Volume adjustments'!$J$571:$Y$611,V$17 + 1 + $H34*$H$39, V$15)</f>
        <v>2814.3108466565441</v>
      </c>
      <c r="W34" s="327">
        <f>INDEX('Volume adjustments'!$J$571:$Y$611,W$17 + 1 + $H34*$H$39, W$15)</f>
        <v>0</v>
      </c>
      <c r="X34" s="327">
        <f>INDEX('Volume adjustments'!$J$571:$Y$611,X$17 + 1 + $H34*$H$39, X$15)</f>
        <v>0</v>
      </c>
      <c r="Y34" s="327">
        <f>INDEX('Volume adjustments'!$J$571:$Y$611,Y$17 + 1 + $H34*$H$39, Y$15)</f>
        <v>0</v>
      </c>
      <c r="Z34" s="327">
        <f>INDEX('Volume adjustments'!$J$571:$Y$611,Z$17 + 1 + $H34*$H$39, Z$15)</f>
        <v>0</v>
      </c>
      <c r="AA34" s="327">
        <f>INDEX('Volume adjustments'!$J$571:$Y$611,AA$17 + 1 + $H34*$H$39, AA$15)</f>
        <v>0</v>
      </c>
      <c r="AB34" s="327">
        <f>INDEX('Volume adjustments'!$J$571:$Y$611,AB$17 + 1 + $H34*$H$39, AB$15)</f>
        <v>0</v>
      </c>
      <c r="AC34" s="327">
        <f>INDEX('Volume adjustments'!$J$571:$Y$611,AC$17 + 1 + $H34*$H$39, AC$15)</f>
        <v>0</v>
      </c>
      <c r="AD34" s="327">
        <f>INDEX('Volume adjustments'!$J$571:$Y$611,AD$17 + 1 + $H34*$H$39, AD$15)</f>
        <v>0</v>
      </c>
      <c r="AE34" s="327">
        <f>INDEX('Volume adjustments'!$J$571:$Y$611,AE$17 + 1 + $H34*$H$39, AE$15)</f>
        <v>0</v>
      </c>
      <c r="AF34" s="327">
        <f>INDEX('Volume adjustments'!$J$571:$Y$611,AF$17 + 1 + $H34*$H$39, AF$15)</f>
        <v>0</v>
      </c>
      <c r="AG34" s="327">
        <f>INDEX('Volume adjustments'!$J$571:$Y$611,AG$17 + 1 + $H34*$H$39, AG$15)</f>
        <v>261.68480590474331</v>
      </c>
      <c r="AH34" s="327">
        <f>INDEX('Volume adjustments'!$J$571:$Y$611,AH$17 + 1 + $H34*$H$39, AH$15)</f>
        <v>18.271397198392478</v>
      </c>
      <c r="AI34" s="327">
        <f>INDEX('Volume adjustments'!$J$571:$Y$611,AI$17 + 1 + $H34*$H$39, AI$15)</f>
        <v>0</v>
      </c>
      <c r="AJ34" s="327">
        <f>INDEX('Volume adjustments'!$J$571:$Y$611,AJ$17 + 1 + $H34*$H$39, AJ$15)</f>
        <v>0</v>
      </c>
      <c r="AK34" s="327">
        <f>INDEX('Volume adjustments'!$J$571:$Y$611,AK$17 + 1 + $H34*$H$39, AK$15)</f>
        <v>0</v>
      </c>
      <c r="AL34" s="327">
        <f>INDEX('Volume adjustments'!$J$571:$Y$611,AL$17 + 1 + $H34*$H$39, AL$15)</f>
        <v>0</v>
      </c>
      <c r="AM34" s="327">
        <f>INDEX('Volume adjustments'!$J$571:$Y$611,AM$17 + 1 + $H34*$H$39, AM$15)</f>
        <v>0</v>
      </c>
      <c r="AN34" s="327">
        <f>INDEX('Volume adjustments'!$J$571:$Y$611,AN$17 + 1 + $H34*$H$39, AN$15)</f>
        <v>0</v>
      </c>
      <c r="AO34" s="327">
        <f>INDEX('Volume adjustments'!$J$571:$Y$611,AO$17 + 1 + $H34*$H$39, AO$15)</f>
        <v>0</v>
      </c>
    </row>
    <row r="35" spans="1:43" x14ac:dyDescent="0.25">
      <c r="A35" s="309"/>
      <c r="E35" s="23"/>
      <c r="F35" s="62" t="s">
        <v>249</v>
      </c>
      <c r="G35" s="62" t="s">
        <v>207</v>
      </c>
      <c r="H35" s="363">
        <v>2</v>
      </c>
      <c r="J35" s="327">
        <f>INDEX('Volume adjustments'!$J$571:$Y$611,J$17 + 1 + $H35*$H$39, J$15)</f>
        <v>56000</v>
      </c>
      <c r="K35" s="327">
        <f>INDEX('Volume adjustments'!$J$571:$Y$611,K$17 + 1 + $H35*$H$39, K$15)</f>
        <v>0</v>
      </c>
      <c r="L35" s="327">
        <f>INDEX('Volume adjustments'!$J$571:$Y$611,L$17 + 1 + $H35*$H$39, L$15)</f>
        <v>0</v>
      </c>
      <c r="M35" s="327">
        <f>INDEX('Volume adjustments'!$J$571:$Y$611,M$17 + 1 + $H35*$H$39, M$15)</f>
        <v>137.96965750332501</v>
      </c>
      <c r="N35" s="327">
        <f>INDEX('Volume adjustments'!$J$571:$Y$611,N$17 + 1 + $H35*$H$39, N$15)</f>
        <v>517.2463197694251</v>
      </c>
      <c r="O35" s="327">
        <f>INDEX('Volume adjustments'!$J$571:$Y$611,O$17 + 1 + $H35*$H$39, O$15)</f>
        <v>644.74471935150109</v>
      </c>
      <c r="P35" s="327">
        <f>INDEX('Volume adjustments'!$J$571:$Y$611,P$17 + 1 + $H35*$H$39, P$15)</f>
        <v>2152.2403802210306</v>
      </c>
      <c r="Q35" s="327">
        <f>INDEX('Volume adjustments'!$J$571:$Y$611,Q$17 + 1 + $H35*$H$39, Q$15)</f>
        <v>0</v>
      </c>
      <c r="R35" s="327">
        <f>INDEX('Volume adjustments'!$J$571:$Y$611,R$17 + 1 + $H35*$H$39, R$15)</f>
        <v>0</v>
      </c>
      <c r="S35" s="327">
        <f>INDEX('Volume adjustments'!$J$571:$Y$611,S$17 + 1 + $H35*$H$39, S$15)</f>
        <v>4811.7617142317686</v>
      </c>
      <c r="T35" s="327">
        <f>INDEX('Volume adjustments'!$J$571:$Y$611,T$17 + 1 + $H35*$H$39, T$15)</f>
        <v>7263.0231715146301</v>
      </c>
      <c r="U35" s="327">
        <f>INDEX('Volume adjustments'!$J$571:$Y$611,U$17 + 1 + $H35*$H$39, U$15)</f>
        <v>3989.1160280206727</v>
      </c>
      <c r="V35" s="327">
        <f>INDEX('Volume adjustments'!$J$571:$Y$611,V$17 + 1 + $H35*$H$39, V$15)</f>
        <v>3936.0990862329286</v>
      </c>
      <c r="W35" s="327">
        <f>INDEX('Volume adjustments'!$J$571:$Y$611,W$17 + 1 + $H35*$H$39, W$15)</f>
        <v>0</v>
      </c>
      <c r="X35" s="327">
        <f>INDEX('Volume adjustments'!$J$571:$Y$611,X$17 + 1 + $H35*$H$39, X$15)</f>
        <v>0</v>
      </c>
      <c r="Y35" s="327">
        <f>INDEX('Volume adjustments'!$J$571:$Y$611,Y$17 + 1 + $H35*$H$39, Y$15)</f>
        <v>0</v>
      </c>
      <c r="Z35" s="327">
        <f>INDEX('Volume adjustments'!$J$571:$Y$611,Z$17 + 1 + $H35*$H$39, Z$15)</f>
        <v>0</v>
      </c>
      <c r="AA35" s="327">
        <f>INDEX('Volume adjustments'!$J$571:$Y$611,AA$17 + 1 + $H35*$H$39, AA$15)</f>
        <v>0</v>
      </c>
      <c r="AB35" s="327">
        <f>INDEX('Volume adjustments'!$J$571:$Y$611,AB$17 + 1 + $H35*$H$39, AB$15)</f>
        <v>0</v>
      </c>
      <c r="AC35" s="327">
        <f>INDEX('Volume adjustments'!$J$571:$Y$611,AC$17 + 1 + $H35*$H$39, AC$15)</f>
        <v>0</v>
      </c>
      <c r="AD35" s="327">
        <f>INDEX('Volume adjustments'!$J$571:$Y$611,AD$17 + 1 + $H35*$H$39, AD$15)</f>
        <v>0</v>
      </c>
      <c r="AE35" s="327">
        <f>INDEX('Volume adjustments'!$J$571:$Y$611,AE$17 + 1 + $H35*$H$39, AE$15)</f>
        <v>0</v>
      </c>
      <c r="AF35" s="327">
        <f>INDEX('Volume adjustments'!$J$571:$Y$611,AF$17 + 1 + $H35*$H$39, AF$15)</f>
        <v>0</v>
      </c>
      <c r="AG35" s="327">
        <f>INDEX('Volume adjustments'!$J$571:$Y$611,AG$17 + 1 + $H35*$H$39, AG$15)</f>
        <v>406.83426130782453</v>
      </c>
      <c r="AH35" s="327">
        <f>INDEX('Volume adjustments'!$J$571:$Y$611,AH$17 + 1 + $H35*$H$39, AH$15)</f>
        <v>10.408381166123906</v>
      </c>
      <c r="AI35" s="327">
        <f>INDEX('Volume adjustments'!$J$571:$Y$611,AI$17 + 1 + $H35*$H$39, AI$15)</f>
        <v>0</v>
      </c>
      <c r="AJ35" s="327">
        <f>INDEX('Volume adjustments'!$J$571:$Y$611,AJ$17 + 1 + $H35*$H$39, AJ$15)</f>
        <v>0</v>
      </c>
      <c r="AK35" s="327">
        <f>INDEX('Volume adjustments'!$J$571:$Y$611,AK$17 + 1 + $H35*$H$39, AK$15)</f>
        <v>0</v>
      </c>
      <c r="AL35" s="327">
        <f>INDEX('Volume adjustments'!$J$571:$Y$611,AL$17 + 1 + $H35*$H$39, AL$15)</f>
        <v>0</v>
      </c>
      <c r="AM35" s="327">
        <f>INDEX('Volume adjustments'!$J$571:$Y$611,AM$17 + 1 + $H35*$H$39, AM$15)</f>
        <v>0</v>
      </c>
      <c r="AN35" s="327">
        <f>INDEX('Volume adjustments'!$J$571:$Y$611,AN$17 + 1 + $H35*$H$39, AN$15)</f>
        <v>0</v>
      </c>
      <c r="AO35" s="327">
        <f>INDEX('Volume adjustments'!$J$571:$Y$611,AO$17 + 1 + $H35*$H$39, AO$15)</f>
        <v>0</v>
      </c>
    </row>
    <row r="36" spans="1:43" x14ac:dyDescent="0.25">
      <c r="A36" s="309"/>
      <c r="E36" s="23"/>
      <c r="F36" s="62" t="s">
        <v>212</v>
      </c>
      <c r="G36" s="62" t="s">
        <v>212</v>
      </c>
      <c r="H36" s="363">
        <v>3</v>
      </c>
      <c r="J36" s="327">
        <f>INDEX('Volume adjustments'!$J$571:$Y$611,J$17 + 1 + $H36*$H$39, J$15)</f>
        <v>37574.316939890712</v>
      </c>
      <c r="K36" s="327">
        <f>INDEX('Volume adjustments'!$J$571:$Y$611,K$17 + 1 + $H36*$H$39, K$15)</f>
        <v>0</v>
      </c>
      <c r="L36" s="327">
        <f>INDEX('Volume adjustments'!$J$571:$Y$611,L$17 + 1 + $H36*$H$39, L$15)</f>
        <v>0</v>
      </c>
      <c r="M36" s="327">
        <f>INDEX('Volume adjustments'!$J$571:$Y$611,M$17 + 1 + $H36*$H$39, M$15)</f>
        <v>172.96524592468162</v>
      </c>
      <c r="N36" s="327">
        <f>INDEX('Volume adjustments'!$J$571:$Y$611,N$17 + 1 + $H36*$H$39, N$15)</f>
        <v>130.20340689114636</v>
      </c>
      <c r="O36" s="327">
        <f>INDEX('Volume adjustments'!$J$571:$Y$611,O$17 + 1 + $H36*$H$39, O$15)</f>
        <v>67.907505176178901</v>
      </c>
      <c r="P36" s="327">
        <f>INDEX('Volume adjustments'!$J$571:$Y$611,P$17 + 1 + $H36*$H$39, P$15)</f>
        <v>68.456173519832916</v>
      </c>
      <c r="Q36" s="327">
        <f>INDEX('Volume adjustments'!$J$571:$Y$611,Q$17 + 1 + $H36*$H$39, Q$15)</f>
        <v>0</v>
      </c>
      <c r="R36" s="327">
        <f>INDEX('Volume adjustments'!$J$571:$Y$611,R$17 + 1 + $H36*$H$39, R$15)</f>
        <v>0</v>
      </c>
      <c r="S36" s="327">
        <f>INDEX('Volume adjustments'!$J$571:$Y$611,S$17 + 1 + $H36*$H$39, S$15)</f>
        <v>53.908180822924486</v>
      </c>
      <c r="T36" s="327">
        <f>INDEX('Volume adjustments'!$J$571:$Y$611,T$17 + 1 + $H36*$H$39, T$15)</f>
        <v>43.279355249648667</v>
      </c>
      <c r="U36" s="327">
        <f>INDEX('Volume adjustments'!$J$571:$Y$611,U$17 + 1 + $H36*$H$39, U$15)</f>
        <v>15.043353766649165</v>
      </c>
      <c r="V36" s="327">
        <f>INDEX('Volume adjustments'!$J$571:$Y$611,V$17 + 1 + $H36*$H$39, V$15)</f>
        <v>9.0582722737103047</v>
      </c>
      <c r="W36" s="327">
        <f>INDEX('Volume adjustments'!$J$571:$Y$611,W$17 + 1 + $H36*$H$39, W$15)</f>
        <v>0</v>
      </c>
      <c r="X36" s="327">
        <f>INDEX('Volume adjustments'!$J$571:$Y$611,X$17 + 1 + $H36*$H$39, X$15)</f>
        <v>0</v>
      </c>
      <c r="Y36" s="327">
        <f>INDEX('Volume adjustments'!$J$571:$Y$611,Y$17 + 1 + $H36*$H$39, Y$15)</f>
        <v>0</v>
      </c>
      <c r="Z36" s="327">
        <f>INDEX('Volume adjustments'!$J$571:$Y$611,Z$17 + 1 + $H36*$H$39, Z$15)</f>
        <v>0</v>
      </c>
      <c r="AA36" s="327">
        <f>INDEX('Volume adjustments'!$J$571:$Y$611,AA$17 + 1 + $H36*$H$39, AA$15)</f>
        <v>0</v>
      </c>
      <c r="AB36" s="327">
        <f>INDEX('Volume adjustments'!$J$571:$Y$611,AB$17 + 1 + $H36*$H$39, AB$15)</f>
        <v>0</v>
      </c>
      <c r="AC36" s="327">
        <f>INDEX('Volume adjustments'!$J$571:$Y$611,AC$17 + 1 + $H36*$H$39, AC$15)</f>
        <v>0</v>
      </c>
      <c r="AD36" s="327">
        <f>INDEX('Volume adjustments'!$J$571:$Y$611,AD$17 + 1 + $H36*$H$39, AD$15)</f>
        <v>0</v>
      </c>
      <c r="AE36" s="327">
        <f>INDEX('Volume adjustments'!$J$571:$Y$611,AE$17 + 1 + $H36*$H$39, AE$15)</f>
        <v>0</v>
      </c>
      <c r="AF36" s="327">
        <f>INDEX('Volume adjustments'!$J$571:$Y$611,AF$17 + 1 + $H36*$H$39, AF$15)</f>
        <v>0</v>
      </c>
      <c r="AG36" s="327">
        <f>INDEX('Volume adjustments'!$J$571:$Y$611,AG$17 + 1 + $H36*$H$39, AG$15)</f>
        <v>0</v>
      </c>
      <c r="AH36" s="327">
        <f>INDEX('Volume adjustments'!$J$571:$Y$611,AH$17 + 1 + $H36*$H$39, AH$15)</f>
        <v>0</v>
      </c>
      <c r="AI36" s="327">
        <f>INDEX('Volume adjustments'!$J$571:$Y$611,AI$17 + 1 + $H36*$H$39, AI$15)</f>
        <v>0</v>
      </c>
      <c r="AJ36" s="327">
        <f>INDEX('Volume adjustments'!$J$571:$Y$611,AJ$17 + 1 + $H36*$H$39, AJ$15)</f>
        <v>0</v>
      </c>
      <c r="AK36" s="327">
        <f>INDEX('Volume adjustments'!$J$571:$Y$611,AK$17 + 1 + $H36*$H$39, AK$15)</f>
        <v>0</v>
      </c>
      <c r="AL36" s="327">
        <f>INDEX('Volume adjustments'!$J$571:$Y$611,AL$17 + 1 + $H36*$H$39, AL$15)</f>
        <v>0</v>
      </c>
      <c r="AM36" s="327">
        <f>INDEX('Volume adjustments'!$J$571:$Y$611,AM$17 + 1 + $H36*$H$39, AM$15)</f>
        <v>0</v>
      </c>
      <c r="AN36" s="327">
        <f>INDEX('Volume adjustments'!$J$571:$Y$611,AN$17 + 1 + $H36*$H$39, AN$15)</f>
        <v>0</v>
      </c>
      <c r="AO36" s="327">
        <f>INDEX('Volume adjustments'!$J$571:$Y$611,AO$17 + 1 + $H36*$H$39, AO$15)</f>
        <v>0</v>
      </c>
    </row>
    <row r="37" spans="1:43" x14ac:dyDescent="0.25">
      <c r="A37" s="309"/>
      <c r="E37" s="23"/>
      <c r="F37" s="62" t="s">
        <v>250</v>
      </c>
      <c r="G37" s="62" t="s">
        <v>251</v>
      </c>
      <c r="H37" s="363">
        <v>4</v>
      </c>
      <c r="J37" s="327">
        <f>INDEX('Volume adjustments'!$J$571:$Y$611,J$17 + 1 + $H37*$H$39, J$15)</f>
        <v>0</v>
      </c>
      <c r="K37" s="327">
        <f>INDEX('Volume adjustments'!$J$571:$Y$611,K$17 + 1 + $H37*$H$39, K$15)</f>
        <v>0</v>
      </c>
      <c r="L37" s="327">
        <f>INDEX('Volume adjustments'!$J$571:$Y$611,L$17 + 1 + $H37*$H$39, L$15)</f>
        <v>0</v>
      </c>
      <c r="M37" s="327">
        <f>INDEX('Volume adjustments'!$J$571:$Y$611,M$17 + 1 + $H37*$H$39, M$15)</f>
        <v>0</v>
      </c>
      <c r="N37" s="327">
        <f>INDEX('Volume adjustments'!$J$571:$Y$611,N$17 + 1 + $H37*$H$39, N$15)</f>
        <v>0</v>
      </c>
      <c r="O37" s="327">
        <f>INDEX('Volume adjustments'!$J$571:$Y$611,O$17 + 1 + $H37*$H$39, O$15)</f>
        <v>0</v>
      </c>
      <c r="P37" s="327">
        <f>INDEX('Volume adjustments'!$J$571:$Y$611,P$17 + 1 + $H37*$H$39, P$15)</f>
        <v>0</v>
      </c>
      <c r="Q37" s="327">
        <f>INDEX('Volume adjustments'!$J$571:$Y$611,Q$17 + 1 + $H37*$H$39, Q$15)</f>
        <v>0</v>
      </c>
      <c r="R37" s="327">
        <f>INDEX('Volume adjustments'!$J$571:$Y$611,R$17 + 1 + $H37*$H$39, R$15)</f>
        <v>0</v>
      </c>
      <c r="S37" s="327">
        <f>INDEX('Volume adjustments'!$J$571:$Y$611,S$17 + 1 + $H37*$H$39, S$15)</f>
        <v>4295.3339766001109</v>
      </c>
      <c r="T37" s="327">
        <f>INDEX('Volume adjustments'!$J$571:$Y$611,T$17 + 1 + $H37*$H$39, T$15)</f>
        <v>8343.1829877400141</v>
      </c>
      <c r="U37" s="327">
        <f>INDEX('Volume adjustments'!$J$571:$Y$611,U$17 + 1 + $H37*$H$39, U$15)</f>
        <v>4634.465227319045</v>
      </c>
      <c r="V37" s="327">
        <f>INDEX('Volume adjustments'!$J$571:$Y$611,V$17 + 1 + $H37*$H$39, V$15)</f>
        <v>4698.2291016013014</v>
      </c>
      <c r="W37" s="327">
        <f>INDEX('Volume adjustments'!$J$571:$Y$611,W$17 + 1 + $H37*$H$39, W$15)</f>
        <v>0</v>
      </c>
      <c r="X37" s="327">
        <f>INDEX('Volume adjustments'!$J$571:$Y$611,X$17 + 1 + $H37*$H$39, X$15)</f>
        <v>0</v>
      </c>
      <c r="Y37" s="327">
        <f>INDEX('Volume adjustments'!$J$571:$Y$611,Y$17 + 1 + $H37*$H$39, Y$15)</f>
        <v>0</v>
      </c>
      <c r="Z37" s="327">
        <f>INDEX('Volume adjustments'!$J$571:$Y$611,Z$17 + 1 + $H37*$H$39, Z$15)</f>
        <v>0</v>
      </c>
      <c r="AA37" s="327">
        <f>INDEX('Volume adjustments'!$J$571:$Y$611,AA$17 + 1 + $H37*$H$39, AA$15)</f>
        <v>0</v>
      </c>
      <c r="AB37" s="327">
        <f>INDEX('Volume adjustments'!$J$571:$Y$611,AB$17 + 1 + $H37*$H$39, AB$15)</f>
        <v>0</v>
      </c>
      <c r="AC37" s="327">
        <f>INDEX('Volume adjustments'!$J$571:$Y$611,AC$17 + 1 + $H37*$H$39, AC$15)</f>
        <v>0</v>
      </c>
      <c r="AD37" s="327">
        <f>INDEX('Volume adjustments'!$J$571:$Y$611,AD$17 + 1 + $H37*$H$39, AD$15)</f>
        <v>0</v>
      </c>
      <c r="AE37" s="327">
        <f>INDEX('Volume adjustments'!$J$571:$Y$611,AE$17 + 1 + $H37*$H$39, AE$15)</f>
        <v>0</v>
      </c>
      <c r="AF37" s="327">
        <f>INDEX('Volume adjustments'!$J$571:$Y$611,AF$17 + 1 + $H37*$H$39, AF$15)</f>
        <v>0</v>
      </c>
      <c r="AG37" s="327">
        <f>INDEX('Volume adjustments'!$J$571:$Y$611,AG$17 + 1 + $H37*$H$39, AG$15)</f>
        <v>0</v>
      </c>
      <c r="AH37" s="327">
        <f>INDEX('Volume adjustments'!$J$571:$Y$611,AH$17 + 1 + $H37*$H$39, AH$15)</f>
        <v>0</v>
      </c>
      <c r="AI37" s="327">
        <f>INDEX('Volume adjustments'!$J$571:$Y$611,AI$17 + 1 + $H37*$H$39, AI$15)</f>
        <v>0</v>
      </c>
      <c r="AJ37" s="327">
        <f>INDEX('Volume adjustments'!$J$571:$Y$611,AJ$17 + 1 + $H37*$H$39, AJ$15)</f>
        <v>0</v>
      </c>
      <c r="AK37" s="327">
        <f>INDEX('Volume adjustments'!$J$571:$Y$611,AK$17 + 1 + $H37*$H$39, AK$15)</f>
        <v>0</v>
      </c>
      <c r="AL37" s="327">
        <f>INDEX('Volume adjustments'!$J$571:$Y$611,AL$17 + 1 + $H37*$H$39, AL$15)</f>
        <v>0</v>
      </c>
      <c r="AM37" s="327">
        <f>INDEX('Volume adjustments'!$J$571:$Y$611,AM$17 + 1 + $H37*$H$39, AM$15)</f>
        <v>0</v>
      </c>
      <c r="AN37" s="327">
        <f>INDEX('Volume adjustments'!$J$571:$Y$611,AN$17 + 1 + $H37*$H$39, AN$15)</f>
        <v>0</v>
      </c>
      <c r="AO37" s="327">
        <f>INDEX('Volume adjustments'!$J$571:$Y$611,AO$17 + 1 + $H37*$H$39, AO$15)</f>
        <v>0</v>
      </c>
    </row>
    <row r="38" spans="1:43" x14ac:dyDescent="0.25">
      <c r="A38" s="309"/>
      <c r="E38" s="23"/>
      <c r="F38" s="62" t="s">
        <v>252</v>
      </c>
      <c r="G38" s="62" t="s">
        <v>251</v>
      </c>
      <c r="H38" s="363">
        <v>5</v>
      </c>
      <c r="J38" s="327">
        <f>INDEX('Volume adjustments'!$J$571:$Y$611,J$17 + 1 + $H38*$H$39, J$15)</f>
        <v>0</v>
      </c>
      <c r="K38" s="327">
        <f>INDEX('Volume adjustments'!$J$571:$Y$611,K$17 + 1 + $H38*$H$39, K$15)</f>
        <v>0</v>
      </c>
      <c r="L38" s="327">
        <f>INDEX('Volume adjustments'!$J$571:$Y$611,L$17 + 1 + $H38*$H$39, L$15)</f>
        <v>0</v>
      </c>
      <c r="M38" s="327">
        <f>INDEX('Volume adjustments'!$J$571:$Y$611,M$17 + 1 + $H38*$H$39, M$15)</f>
        <v>0</v>
      </c>
      <c r="N38" s="327">
        <f>INDEX('Volume adjustments'!$J$571:$Y$611,N$17 + 1 + $H38*$H$39, N$15)</f>
        <v>0</v>
      </c>
      <c r="O38" s="327">
        <f>INDEX('Volume adjustments'!$J$571:$Y$611,O$17 + 1 + $H38*$H$39, O$15)</f>
        <v>0</v>
      </c>
      <c r="P38" s="327">
        <f>INDEX('Volume adjustments'!$J$571:$Y$611,P$17 + 1 + $H38*$H$39, P$15)</f>
        <v>0</v>
      </c>
      <c r="Q38" s="327">
        <f>INDEX('Volume adjustments'!$J$571:$Y$611,Q$17 + 1 + $H38*$H$39, Q$15)</f>
        <v>0</v>
      </c>
      <c r="R38" s="327">
        <f>INDEX('Volume adjustments'!$J$571:$Y$611,R$17 + 1 + $H38*$H$39, R$15)</f>
        <v>0</v>
      </c>
      <c r="S38" s="327">
        <f>INDEX('Volume adjustments'!$J$571:$Y$611,S$17 + 1 + $H38*$H$39, S$15)</f>
        <v>5.4947726800825611</v>
      </c>
      <c r="T38" s="327">
        <f>INDEX('Volume adjustments'!$J$571:$Y$611,T$17 + 1 + $H38*$H$39, T$15)</f>
        <v>10.672952137298129</v>
      </c>
      <c r="U38" s="327">
        <f>INDEX('Volume adjustments'!$J$571:$Y$611,U$17 + 1 + $H38*$H$39, U$15)</f>
        <v>5.9286037026675853</v>
      </c>
      <c r="V38" s="327">
        <f>INDEX('Volume adjustments'!$J$571:$Y$611,V$17 + 1 + $H38*$H$39, V$15)</f>
        <v>6.0101731443666662</v>
      </c>
      <c r="W38" s="327">
        <f>INDEX('Volume adjustments'!$J$571:$Y$611,W$17 + 1 + $H38*$H$39, W$15)</f>
        <v>0</v>
      </c>
      <c r="X38" s="327">
        <f>INDEX('Volume adjustments'!$J$571:$Y$611,X$17 + 1 + $H38*$H$39, X$15)</f>
        <v>0</v>
      </c>
      <c r="Y38" s="327">
        <f>INDEX('Volume adjustments'!$J$571:$Y$611,Y$17 + 1 + $H38*$H$39, Y$15)</f>
        <v>0</v>
      </c>
      <c r="Z38" s="327">
        <f>INDEX('Volume adjustments'!$J$571:$Y$611,Z$17 + 1 + $H38*$H$39, Z$15)</f>
        <v>0</v>
      </c>
      <c r="AA38" s="327">
        <f>INDEX('Volume adjustments'!$J$571:$Y$611,AA$17 + 1 + $H38*$H$39, AA$15)</f>
        <v>0</v>
      </c>
      <c r="AB38" s="327">
        <f>INDEX('Volume adjustments'!$J$571:$Y$611,AB$17 + 1 + $H38*$H$39, AB$15)</f>
        <v>0</v>
      </c>
      <c r="AC38" s="327">
        <f>INDEX('Volume adjustments'!$J$571:$Y$611,AC$17 + 1 + $H38*$H$39, AC$15)</f>
        <v>0</v>
      </c>
      <c r="AD38" s="327">
        <f>INDEX('Volume adjustments'!$J$571:$Y$611,AD$17 + 1 + $H38*$H$39, AD$15)</f>
        <v>0</v>
      </c>
      <c r="AE38" s="327">
        <f>INDEX('Volume adjustments'!$J$571:$Y$611,AE$17 + 1 + $H38*$H$39, AE$15)</f>
        <v>0</v>
      </c>
      <c r="AF38" s="327">
        <f>INDEX('Volume adjustments'!$J$571:$Y$611,AF$17 + 1 + $H38*$H$39, AF$15)</f>
        <v>0</v>
      </c>
      <c r="AG38" s="327">
        <f>INDEX('Volume adjustments'!$J$571:$Y$611,AG$17 + 1 + $H38*$H$39, AG$15)</f>
        <v>0</v>
      </c>
      <c r="AH38" s="327">
        <f>INDEX('Volume adjustments'!$J$571:$Y$611,AH$17 + 1 + $H38*$H$39, AH$15)</f>
        <v>0</v>
      </c>
      <c r="AI38" s="327">
        <f>INDEX('Volume adjustments'!$J$571:$Y$611,AI$17 + 1 + $H38*$H$39, AI$15)</f>
        <v>0</v>
      </c>
      <c r="AJ38" s="327">
        <f>INDEX('Volume adjustments'!$J$571:$Y$611,AJ$17 + 1 + $H38*$H$39, AJ$15)</f>
        <v>0</v>
      </c>
      <c r="AK38" s="327">
        <f>INDEX('Volume adjustments'!$J$571:$Y$611,AK$17 + 1 + $H38*$H$39, AK$15)</f>
        <v>0</v>
      </c>
      <c r="AL38" s="327">
        <f>INDEX('Volume adjustments'!$J$571:$Y$611,AL$17 + 1 + $H38*$H$39, AL$15)</f>
        <v>0</v>
      </c>
      <c r="AM38" s="327">
        <f>INDEX('Volume adjustments'!$J$571:$Y$611,AM$17 + 1 + $H38*$H$39, AM$15)</f>
        <v>0</v>
      </c>
      <c r="AN38" s="327">
        <f>INDEX('Volume adjustments'!$J$571:$Y$611,AN$17 + 1 + $H38*$H$39, AN$15)</f>
        <v>0</v>
      </c>
      <c r="AO38" s="327">
        <f>INDEX('Volume adjustments'!$J$571:$Y$611,AO$17 + 1 + $H38*$H$39, AO$15)</f>
        <v>0</v>
      </c>
    </row>
    <row r="39" spans="1:43" x14ac:dyDescent="0.25">
      <c r="A39" s="309"/>
      <c r="E39" s="23"/>
      <c r="F39" s="70" t="s">
        <v>253</v>
      </c>
      <c r="G39" s="70" t="s">
        <v>254</v>
      </c>
      <c r="H39" s="314">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v>
      </c>
      <c r="S39" s="185">
        <f>INDEX('Volume adjustments'!$J$571:$Y$611,S$17 + 1 + $H39*$H$39, S$15)</f>
        <v>522.97973469705812</v>
      </c>
      <c r="T39" s="185">
        <f>INDEX('Volume adjustments'!$J$571:$Y$611,T$17 + 1 + $H39*$H$39, T$15)</f>
        <v>789.40191907315807</v>
      </c>
      <c r="U39" s="185">
        <f>INDEX('Volume adjustments'!$J$571:$Y$611,U$17 + 1 + $H39*$H$39, U$15)</f>
        <v>433.56819516635488</v>
      </c>
      <c r="V39" s="185">
        <f>INDEX('Volume adjustments'!$J$571:$Y$611,V$17 + 1 + $H39*$H$39, V$15)</f>
        <v>427.80590106342868</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1:43" s="249" customFormat="1" x14ac:dyDescent="0.25">
      <c r="A40" s="364"/>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1:43" x14ac:dyDescent="0.25">
      <c r="A41" s="309"/>
      <c r="E41" s="27" t="s">
        <v>256</v>
      </c>
      <c r="F41" s="340"/>
      <c r="G41" s="340"/>
      <c r="H41" s="300"/>
      <c r="I41" s="300" t="s">
        <v>154</v>
      </c>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00"/>
      <c r="AQ41" t="s">
        <v>246</v>
      </c>
    </row>
    <row r="42" spans="1:43" x14ac:dyDescent="0.25">
      <c r="A42" s="309"/>
      <c r="E42" s="27"/>
      <c r="F42" s="392" t="s">
        <v>1034</v>
      </c>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row>
    <row r="43" spans="1:43" x14ac:dyDescent="0.25">
      <c r="A43" s="309"/>
      <c r="E43" s="27"/>
      <c r="F43" s="391" t="s">
        <v>1030</v>
      </c>
      <c r="G43" s="28"/>
    </row>
    <row r="44" spans="1:43" x14ac:dyDescent="0.25">
      <c r="A44" s="309"/>
      <c r="E44" s="23"/>
      <c r="F44" s="62" t="s">
        <v>247</v>
      </c>
      <c r="G44" s="62" t="s">
        <v>207</v>
      </c>
      <c r="H44" s="313">
        <v>0</v>
      </c>
      <c r="I44" s="19"/>
      <c r="J44" s="183">
        <f>INDEX('Volume adjustments'!$J$615:$Y$655,J$17 + 1 + $H44*$H$50, J$15)</f>
        <v>25738.399300986101</v>
      </c>
      <c r="K44" s="183">
        <f>INDEX('Volume adjustments'!$J$615:$Y$655,K$17 + 1 + $H44*$H$50, K$15)</f>
        <v>0</v>
      </c>
      <c r="L44" s="183">
        <f>INDEX('Volume adjustments'!$J$615:$Y$655,L$17 + 1 + $H44*$H$50, L$15)</f>
        <v>0</v>
      </c>
      <c r="M44" s="183">
        <f>INDEX('Volume adjustments'!$J$615:$Y$655,M$17 + 1 + $H44*$H$50, M$15)</f>
        <v>181.44733020302431</v>
      </c>
      <c r="N44" s="183">
        <f>INDEX('Volume adjustments'!$J$615:$Y$655,N$17 + 1 + $H44*$H$50, N$15)</f>
        <v>680.24350772371929</v>
      </c>
      <c r="O44" s="183">
        <f>INDEX('Volume adjustments'!$J$615:$Y$655,O$17 + 1 + $H44*$H$50, O$15)</f>
        <v>847.91982603862527</v>
      </c>
      <c r="P44" s="183">
        <f>INDEX('Volume adjustments'!$J$615:$Y$655,P$17 + 1 + $H44*$H$50, P$15)</f>
        <v>2830.4648863597899</v>
      </c>
      <c r="Q44" s="183">
        <f>INDEX('Volume adjustments'!$J$615:$Y$655,Q$17 + 1 + $H44*$H$50, Q$15)</f>
        <v>0</v>
      </c>
      <c r="R44" s="183">
        <f>INDEX('Volume adjustments'!$J$615:$Y$655,R$17 + 1 + $H44*$H$50, R$15)</f>
        <v>0</v>
      </c>
      <c r="S44" s="183">
        <f>INDEX('Volume adjustments'!$J$615:$Y$655,S$17 + 1 + $H44*$H$50, S$15)</f>
        <v>3680.9977113873028</v>
      </c>
      <c r="T44" s="183">
        <f>INDEX('Volume adjustments'!$J$615:$Y$655,T$17 + 1 + $H44*$H$50, T$15)</f>
        <v>5556.2127262086915</v>
      </c>
      <c r="U44" s="183">
        <f>INDEX('Volume adjustments'!$J$615:$Y$655,U$17 + 1 + $H44*$H$50, U$15)</f>
        <v>3051.6737614358149</v>
      </c>
      <c r="V44" s="183">
        <f>INDEX('Volume adjustments'!$J$615:$Y$655,V$17 + 1 + $H44*$H$50, V$15)</f>
        <v>3011.1158009681903</v>
      </c>
      <c r="W44" s="183">
        <f>INDEX('Volume adjustments'!$J$615:$Y$655,W$17 + 1 + $H44*$H$50, W$15)</f>
        <v>0</v>
      </c>
      <c r="X44" s="183">
        <f>INDEX('Volume adjustments'!$J$615:$Y$655,X$17 + 1 + $H44*$H$50, X$15)</f>
        <v>54.267953996519928</v>
      </c>
      <c r="Y44" s="183">
        <f>INDEX('Volume adjustments'!$J$615:$Y$655,Y$17 + 1 + $H44*$H$50, Y$15)</f>
        <v>82.083706822895948</v>
      </c>
      <c r="Z44" s="183">
        <f>INDEX('Volume adjustments'!$J$615:$Y$655,Z$17 + 1 + $H44*$H$50, Z$15)</f>
        <v>148.03386014597541</v>
      </c>
      <c r="AA44" s="183">
        <f>INDEX('Volume adjustments'!$J$615:$Y$655,AA$17 + 1 + $H44*$H$50, AA$15)</f>
        <v>1686.4314506658579</v>
      </c>
      <c r="AB44" s="183">
        <f>INDEX('Volume adjustments'!$J$615:$Y$655,AB$17 + 1 + $H44*$H$50, AB$15)</f>
        <v>0</v>
      </c>
      <c r="AC44" s="183">
        <f>INDEX('Volume adjustments'!$J$615:$Y$655,AC$17 + 1 + $H44*$H$50, AC$15)</f>
        <v>1208.7761184082235</v>
      </c>
      <c r="AD44" s="183">
        <f>INDEX('Volume adjustments'!$J$615:$Y$655,AD$17 + 1 + $H44*$H$50, AD$15)</f>
        <v>2081.7527440737172</v>
      </c>
      <c r="AE44" s="183">
        <f>INDEX('Volume adjustments'!$J$615:$Y$655,AE$17 + 1 + $H44*$H$50, AE$15)</f>
        <v>1137.8265710157095</v>
      </c>
      <c r="AF44" s="183">
        <f>INDEX('Volume adjustments'!$J$615:$Y$655,AF$17 + 1 + $H44*$H$50, AF$15)</f>
        <v>3567.4085163790546</v>
      </c>
      <c r="AG44" s="183">
        <f>INDEX('Volume adjustments'!$J$615:$Y$655,AG$17 + 1 + $H44*$H$50, AG$15)</f>
        <v>6.2084614434936132</v>
      </c>
      <c r="AH44" s="183">
        <f>INDEX('Volume adjustments'!$J$615:$Y$655,AH$17 + 1 + $H44*$H$50, AH$15)</f>
        <v>7.3769179825496217E-2</v>
      </c>
      <c r="AI44" s="183">
        <f>INDEX('Volume adjustments'!$J$615:$Y$655,AI$17 + 1 + $H44*$H$50, AI$15)</f>
        <v>0</v>
      </c>
      <c r="AJ44" s="183">
        <f>INDEX('Volume adjustments'!$J$615:$Y$655,AJ$17 + 1 + $H44*$H$50, AJ$15)</f>
        <v>7.4176971777605809</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7.2257999999999996</v>
      </c>
      <c r="AO44" s="183">
        <f>INDEX('Volume adjustments'!$J$615:$Y$655,AO$17 + 1 + $H44*$H$50, AO$15)</f>
        <v>0</v>
      </c>
    </row>
    <row r="45" spans="1:43" x14ac:dyDescent="0.25">
      <c r="A45" s="309"/>
      <c r="E45" s="23"/>
      <c r="F45" s="62" t="s">
        <v>248</v>
      </c>
      <c r="G45" s="62" t="s">
        <v>207</v>
      </c>
      <c r="H45" s="363">
        <v>1</v>
      </c>
      <c r="J45" s="327">
        <f>INDEX('Volume adjustments'!$J$615:$Y$655,J$17 + 1 + $H45*$H$50, J$15)</f>
        <v>74000</v>
      </c>
      <c r="K45" s="327">
        <f>INDEX('Volume adjustments'!$J$615:$Y$655,K$17 + 1 + $H45*$H$50, K$15)</f>
        <v>0</v>
      </c>
      <c r="L45" s="327">
        <f>INDEX('Volume adjustments'!$J$615:$Y$655,L$17 + 1 + $H45*$H$50, L$15)</f>
        <v>0</v>
      </c>
      <c r="M45" s="327">
        <f>INDEX('Volume adjustments'!$J$615:$Y$655,M$17 + 1 + $H45*$H$50, M$15)</f>
        <v>434.39647959469193</v>
      </c>
      <c r="N45" s="327">
        <f>INDEX('Volume adjustments'!$J$615:$Y$655,N$17 + 1 + $H45*$H$50, N$15)</f>
        <v>1628.5463373403941</v>
      </c>
      <c r="O45" s="327">
        <f>INDEX('Volume adjustments'!$J$615:$Y$655,O$17 + 1 + $H45*$H$50, O$15)</f>
        <v>2029.9741362829</v>
      </c>
      <c r="P45" s="327">
        <f>INDEX('Volume adjustments'!$J$615:$Y$655,P$17 + 1 + $H45*$H$50, P$15)</f>
        <v>6776.3134396925334</v>
      </c>
      <c r="Q45" s="327">
        <f>INDEX('Volume adjustments'!$J$615:$Y$655,Q$17 + 1 + $H45*$H$50, Q$15)</f>
        <v>0</v>
      </c>
      <c r="R45" s="327">
        <f>INDEX('Volume adjustments'!$J$615:$Y$655,R$17 + 1 + $H45*$H$50, R$15)</f>
        <v>0</v>
      </c>
      <c r="S45" s="327">
        <f>INDEX('Volume adjustments'!$J$615:$Y$655,S$17 + 1 + $H45*$H$50, S$15)</f>
        <v>14194.697056983716</v>
      </c>
      <c r="T45" s="327">
        <f>INDEX('Volume adjustments'!$J$615:$Y$655,T$17 + 1 + $H45*$H$50, T$15)</f>
        <v>21425.918355968159</v>
      </c>
      <c r="U45" s="327">
        <f>INDEX('Volume adjustments'!$J$615:$Y$655,U$17 + 1 + $H45*$H$50, U$15)</f>
        <v>11767.892282660985</v>
      </c>
      <c r="V45" s="327">
        <f>INDEX('Volume adjustments'!$J$615:$Y$655,V$17 + 1 + $H45*$H$50, V$15)</f>
        <v>11611.49230438714</v>
      </c>
      <c r="W45" s="327">
        <f>INDEX('Volume adjustments'!$J$615:$Y$655,W$17 + 1 + $H45*$H$50, W$15)</f>
        <v>0</v>
      </c>
      <c r="X45" s="327">
        <f>INDEX('Volume adjustments'!$J$615:$Y$655,X$17 + 1 + $H45*$H$50, X$15)</f>
        <v>289.12553786860451</v>
      </c>
      <c r="Y45" s="327">
        <f>INDEX('Volume adjustments'!$J$615:$Y$655,Y$17 + 1 + $H45*$H$50, Y$15)</f>
        <v>437.32063101071657</v>
      </c>
      <c r="Z45" s="327">
        <f>INDEX('Volume adjustments'!$J$615:$Y$655,Z$17 + 1 + $H45*$H$50, Z$15)</f>
        <v>788.68588707463721</v>
      </c>
      <c r="AA45" s="327">
        <f>INDEX('Volume adjustments'!$J$615:$Y$655,AA$17 + 1 + $H45*$H$50, AA$15)</f>
        <v>8984.8679440460419</v>
      </c>
      <c r="AB45" s="327">
        <f>INDEX('Volume adjustments'!$J$615:$Y$655,AB$17 + 1 + $H45*$H$50, AB$15)</f>
        <v>0</v>
      </c>
      <c r="AC45" s="327">
        <f>INDEX('Volume adjustments'!$J$615:$Y$655,AC$17 + 1 + $H45*$H$50, AC$15)</f>
        <v>5403.7507943713044</v>
      </c>
      <c r="AD45" s="327">
        <f>INDEX('Volume adjustments'!$J$615:$Y$655,AD$17 + 1 + $H45*$H$50, AD$15)</f>
        <v>9306.3329703159543</v>
      </c>
      <c r="AE45" s="327">
        <f>INDEX('Volume adjustments'!$J$615:$Y$655,AE$17 + 1 + $H45*$H$50, AE$15)</f>
        <v>5086.5757052510344</v>
      </c>
      <c r="AF45" s="327">
        <f>INDEX('Volume adjustments'!$J$615:$Y$655,AF$17 + 1 + $H45*$H$50, AF$15)</f>
        <v>15947.85528160144</v>
      </c>
      <c r="AG45" s="327">
        <f>INDEX('Volume adjustments'!$J$615:$Y$655,AG$17 + 1 + $H45*$H$50, AG$15)</f>
        <v>417.76530632165333</v>
      </c>
      <c r="AH45" s="327">
        <f>INDEX('Volume adjustments'!$J$615:$Y$655,AH$17 + 1 + $H45*$H$50, AH$15)</f>
        <v>0.31437484563728435</v>
      </c>
      <c r="AI45" s="327">
        <f>INDEX('Volume adjustments'!$J$615:$Y$655,AI$17 + 1 + $H45*$H$50, AI$15)</f>
        <v>0</v>
      </c>
      <c r="AJ45" s="327">
        <f>INDEX('Volume adjustments'!$J$615:$Y$655,AJ$17 + 1 + $H45*$H$50, AJ$15)</f>
        <v>33.173331568660394</v>
      </c>
      <c r="AK45" s="327">
        <f>INDEX('Volume adjustments'!$J$615:$Y$655,AK$17 + 1 + $H45*$H$50, AK$15)</f>
        <v>0</v>
      </c>
      <c r="AL45" s="327">
        <f>INDEX('Volume adjustments'!$J$615:$Y$655,AL$17 + 1 + $H45*$H$50, AL$15)</f>
        <v>0</v>
      </c>
      <c r="AM45" s="327">
        <f>INDEX('Volume adjustments'!$J$615:$Y$655,AM$17 + 1 + $H45*$H$50, AM$15)</f>
        <v>0</v>
      </c>
      <c r="AN45" s="327">
        <f>INDEX('Volume adjustments'!$J$615:$Y$655,AN$17 + 1 + $H45*$H$50, AN$15)</f>
        <v>0.19575000000000001</v>
      </c>
      <c r="AO45" s="327">
        <f>INDEX('Volume adjustments'!$J$615:$Y$655,AO$17 + 1 + $H45*$H$50, AO$15)</f>
        <v>0</v>
      </c>
    </row>
    <row r="46" spans="1:43" x14ac:dyDescent="0.25">
      <c r="A46" s="309"/>
      <c r="E46" s="23"/>
      <c r="F46" s="62" t="s">
        <v>249</v>
      </c>
      <c r="G46" s="62" t="s">
        <v>207</v>
      </c>
      <c r="H46" s="363">
        <v>2</v>
      </c>
      <c r="J46" s="327">
        <f>INDEX('Volume adjustments'!$J$615:$Y$655,J$17 + 1 + $H46*$H$50, J$15)</f>
        <v>105509.59147079231</v>
      </c>
      <c r="K46" s="327">
        <f>INDEX('Volume adjustments'!$J$615:$Y$655,K$17 + 1 + $H46*$H$50, K$15)</f>
        <v>0</v>
      </c>
      <c r="L46" s="327">
        <f>INDEX('Volume adjustments'!$J$615:$Y$655,L$17 + 1 + $H46*$H$50, L$15)</f>
        <v>0</v>
      </c>
      <c r="M46" s="327">
        <f>INDEX('Volume adjustments'!$J$615:$Y$655,M$17 + 1 + $H46*$H$50, M$15)</f>
        <v>400.03868430666529</v>
      </c>
      <c r="N46" s="327">
        <f>INDEX('Volume adjustments'!$J$615:$Y$655,N$17 + 1 + $H46*$H$50, N$15)</f>
        <v>1499.7394424787844</v>
      </c>
      <c r="O46" s="327">
        <f>INDEX('Volume adjustments'!$J$615:$Y$655,O$17 + 1 + $H46*$H$50, O$15)</f>
        <v>1869.4170436483748</v>
      </c>
      <c r="P46" s="327">
        <f>INDEX('Volume adjustments'!$J$615:$Y$655,P$17 + 1 + $H46*$H$50, P$15)</f>
        <v>6240.353318225415</v>
      </c>
      <c r="Q46" s="327">
        <f>INDEX('Volume adjustments'!$J$615:$Y$655,Q$17 + 1 + $H46*$H$50, Q$15)</f>
        <v>0</v>
      </c>
      <c r="R46" s="327">
        <f>INDEX('Volume adjustments'!$J$615:$Y$655,R$17 + 1 + $H46*$H$50, R$15)</f>
        <v>0</v>
      </c>
      <c r="S46" s="327">
        <f>INDEX('Volume adjustments'!$J$615:$Y$655,S$17 + 1 + $H46*$H$50, S$15)</f>
        <v>16313.843669269236</v>
      </c>
      <c r="T46" s="327">
        <f>INDEX('Volume adjustments'!$J$615:$Y$655,T$17 + 1 + $H46*$H$50, T$15)</f>
        <v>24624.624331649207</v>
      </c>
      <c r="U46" s="327">
        <f>INDEX('Volume adjustments'!$J$615:$Y$655,U$17 + 1 + $H46*$H$50, U$15)</f>
        <v>13524.737741527091</v>
      </c>
      <c r="V46" s="327">
        <f>INDEX('Volume adjustments'!$J$615:$Y$655,V$17 + 1 + $H46*$H$50, V$15)</f>
        <v>13344.988586952404</v>
      </c>
      <c r="W46" s="327">
        <f>INDEX('Volume adjustments'!$J$615:$Y$655,W$17 + 1 + $H46*$H$50, W$15)</f>
        <v>0</v>
      </c>
      <c r="X46" s="327">
        <f>INDEX('Volume adjustments'!$J$615:$Y$655,X$17 + 1 + $H46*$H$50, X$15)</f>
        <v>357.9649516468437</v>
      </c>
      <c r="Y46" s="327">
        <f>INDEX('Volume adjustments'!$J$615:$Y$655,Y$17 + 1 + $H46*$H$50, Y$15)</f>
        <v>541.44459077517286</v>
      </c>
      <c r="Z46" s="327">
        <f>INDEX('Volume adjustments'!$J$615:$Y$655,Z$17 + 1 + $H46*$H$50, Z$15)</f>
        <v>976.46824114002698</v>
      </c>
      <c r="AA46" s="327">
        <f>INDEX('Volume adjustments'!$J$615:$Y$655,AA$17 + 1 + $H46*$H$50, AA$15)</f>
        <v>11124.122216437956</v>
      </c>
      <c r="AB46" s="327">
        <f>INDEX('Volume adjustments'!$J$615:$Y$655,AB$17 + 1 + $H46*$H$50, AB$15)</f>
        <v>0</v>
      </c>
      <c r="AC46" s="327">
        <f>INDEX('Volume adjustments'!$J$615:$Y$655,AC$17 + 1 + $H46*$H$50, AC$15)</f>
        <v>7263.1009479187333</v>
      </c>
      <c r="AD46" s="327">
        <f>INDEX('Volume adjustments'!$J$615:$Y$655,AD$17 + 1 + $H46*$H$50, AD$15)</f>
        <v>12508.503517363481</v>
      </c>
      <c r="AE46" s="327">
        <f>INDEX('Volume adjustments'!$J$615:$Y$655,AE$17 + 1 + $H46*$H$50, AE$15)</f>
        <v>6836.7906353030567</v>
      </c>
      <c r="AF46" s="327">
        <f>INDEX('Volume adjustments'!$J$615:$Y$655,AF$17 + 1 + $H46*$H$50, AF$15)</f>
        <v>21435.274723202045</v>
      </c>
      <c r="AG46" s="327">
        <f>INDEX('Volume adjustments'!$J$615:$Y$655,AG$17 + 1 + $H46*$H$50, AG$15)</f>
        <v>689.63075465360259</v>
      </c>
      <c r="AH46" s="327">
        <f>INDEX('Volume adjustments'!$J$615:$Y$655,AH$17 + 1 + $H46*$H$50, AH$15)</f>
        <v>0.19335597453721937</v>
      </c>
      <c r="AI46" s="327">
        <f>INDEX('Volume adjustments'!$J$615:$Y$655,AI$17 + 1 + $H46*$H$50, AI$15)</f>
        <v>0</v>
      </c>
      <c r="AJ46" s="327">
        <f>INDEX('Volume adjustments'!$J$615:$Y$655,AJ$17 + 1 + $H46*$H$50, AJ$15)</f>
        <v>74.160171253579037</v>
      </c>
      <c r="AK46" s="327">
        <f>INDEX('Volume adjustments'!$J$615:$Y$655,AK$17 + 1 + $H46*$H$50, AK$15)</f>
        <v>0</v>
      </c>
      <c r="AL46" s="327">
        <f>INDEX('Volume adjustments'!$J$615:$Y$655,AL$17 + 1 + $H46*$H$50, AL$15)</f>
        <v>0</v>
      </c>
      <c r="AM46" s="327">
        <f>INDEX('Volume adjustments'!$J$615:$Y$655,AM$17 + 1 + $H46*$H$50, AM$15)</f>
        <v>0</v>
      </c>
      <c r="AN46" s="327">
        <f>INDEX('Volume adjustments'!$J$615:$Y$655,AN$17 + 1 + $H46*$H$50, AN$15)</f>
        <v>9.5E-4</v>
      </c>
      <c r="AO46" s="327">
        <f>INDEX('Volume adjustments'!$J$615:$Y$655,AO$17 + 1 + $H46*$H$50, AO$15)</f>
        <v>0</v>
      </c>
    </row>
    <row r="47" spans="1:43" x14ac:dyDescent="0.25">
      <c r="A47" s="309"/>
      <c r="E47" s="23"/>
      <c r="F47" s="62" t="s">
        <v>212</v>
      </c>
      <c r="G47" s="62" t="s">
        <v>212</v>
      </c>
      <c r="H47" s="363">
        <v>3</v>
      </c>
      <c r="J47" s="327">
        <f>INDEX('Volume adjustments'!$J$615:$Y$655,J$17 + 1 + $H47*$H$50, J$15)</f>
        <v>77790.633879781424</v>
      </c>
      <c r="K47" s="327">
        <f>INDEX('Volume adjustments'!$J$615:$Y$655,K$17 + 1 + $H47*$H$50, K$15)</f>
        <v>0</v>
      </c>
      <c r="L47" s="327">
        <f>INDEX('Volume adjustments'!$J$615:$Y$655,L$17 + 1 + $H47*$H$50, L$15)</f>
        <v>0</v>
      </c>
      <c r="M47" s="327">
        <f>INDEX('Volume adjustments'!$J$615:$Y$655,M$17 + 1 + $H47*$H$50, M$15)</f>
        <v>831.62906930409486</v>
      </c>
      <c r="N47" s="327">
        <f>INDEX('Volume adjustments'!$J$615:$Y$655,N$17 + 1 + $H47*$H$50, N$15)</f>
        <v>626.02713923384226</v>
      </c>
      <c r="O47" s="327">
        <f>INDEX('Volume adjustments'!$J$615:$Y$655,O$17 + 1 + $H47*$H$50, O$15)</f>
        <v>326.50406170624831</v>
      </c>
      <c r="P47" s="327">
        <f>INDEX('Volume adjustments'!$J$615:$Y$655,P$17 + 1 + $H47*$H$50, P$15)</f>
        <v>329.14209769752659</v>
      </c>
      <c r="Q47" s="327">
        <f>INDEX('Volume adjustments'!$J$615:$Y$655,Q$17 + 1 + $H47*$H$50, Q$15)</f>
        <v>0</v>
      </c>
      <c r="R47" s="327">
        <f>INDEX('Volume adjustments'!$J$615:$Y$655,R$17 + 1 + $H47*$H$50, R$15)</f>
        <v>0</v>
      </c>
      <c r="S47" s="327">
        <f>INDEX('Volume adjustments'!$J$615:$Y$655,S$17 + 1 + $H47*$H$50, S$15)</f>
        <v>299.76418401943096</v>
      </c>
      <c r="T47" s="327">
        <f>INDEX('Volume adjustments'!$J$615:$Y$655,T$17 + 1 + $H47*$H$50, T$15)</f>
        <v>240.6610724615841</v>
      </c>
      <c r="U47" s="327">
        <f>INDEX('Volume adjustments'!$J$615:$Y$655,U$17 + 1 + $H47*$H$50, U$15)</f>
        <v>83.650729776760883</v>
      </c>
      <c r="V47" s="327">
        <f>INDEX('Volume adjustments'!$J$615:$Y$655,V$17 + 1 + $H47*$H$50, V$15)</f>
        <v>50.369824306887061</v>
      </c>
      <c r="W47" s="327">
        <f>INDEX('Volume adjustments'!$J$615:$Y$655,W$17 + 1 + $H47*$H$50, W$15)</f>
        <v>0</v>
      </c>
      <c r="X47" s="327">
        <f>INDEX('Volume adjustments'!$J$615:$Y$655,X$17 + 1 + $H47*$H$50, X$15)</f>
        <v>2.2252963866356574</v>
      </c>
      <c r="Y47" s="327">
        <f>INDEX('Volume adjustments'!$J$615:$Y$655,Y$17 + 1 + $H47*$H$50, Y$15)</f>
        <v>2.5431958704407509</v>
      </c>
      <c r="Z47" s="327">
        <f>INDEX('Volume adjustments'!$J$615:$Y$655,Z$17 + 1 + $H47*$H$50, Z$15)</f>
        <v>3.0730283434492409</v>
      </c>
      <c r="AA47" s="327">
        <f>INDEX('Volume adjustments'!$J$615:$Y$655,AA$17 + 1 + $H47*$H$50, AA$15)</f>
        <v>22.78279633936506</v>
      </c>
      <c r="AB47" s="327">
        <f>INDEX('Volume adjustments'!$J$615:$Y$655,AB$17 + 1 + $H47*$H$50, AB$15)</f>
        <v>0</v>
      </c>
      <c r="AC47" s="327">
        <f>INDEX('Volume adjustments'!$J$615:$Y$655,AC$17 + 1 + $H47*$H$50, AC$15)</f>
        <v>29.491740654989822</v>
      </c>
      <c r="AD47" s="327">
        <f>INDEX('Volume adjustments'!$J$615:$Y$655,AD$17 + 1 + $H47*$H$50, AD$15)</f>
        <v>15.79539846468316</v>
      </c>
      <c r="AE47" s="327">
        <f>INDEX('Volume adjustments'!$J$615:$Y$655,AE$17 + 1 + $H47*$H$50, AE$15)</f>
        <v>3.8701350058816715</v>
      </c>
      <c r="AF47" s="327">
        <f>INDEX('Volume adjustments'!$J$615:$Y$655,AF$17 + 1 + $H47*$H$50, AF$15)</f>
        <v>3.883254107596525</v>
      </c>
      <c r="AG47" s="327">
        <f>INDEX('Volume adjustments'!$J$615:$Y$655,AG$17 + 1 + $H47*$H$50, AG$15)</f>
        <v>0</v>
      </c>
      <c r="AH47" s="327">
        <f>INDEX('Volume adjustments'!$J$615:$Y$655,AH$17 + 1 + $H47*$H$50, AH$15)</f>
        <v>0</v>
      </c>
      <c r="AI47" s="327">
        <f>INDEX('Volume adjustments'!$J$615:$Y$655,AI$17 + 1 + $H47*$H$50, AI$15)</f>
        <v>0</v>
      </c>
      <c r="AJ47" s="327">
        <f>INDEX('Volume adjustments'!$J$615:$Y$655,AJ$17 + 1 + $H47*$H$50, AJ$15)</f>
        <v>3</v>
      </c>
      <c r="AK47" s="327">
        <f>INDEX('Volume adjustments'!$J$615:$Y$655,AK$17 + 1 + $H47*$H$50, AK$15)</f>
        <v>0</v>
      </c>
      <c r="AL47" s="327">
        <f>INDEX('Volume adjustments'!$J$615:$Y$655,AL$17 + 1 + $H47*$H$50, AL$15)</f>
        <v>0</v>
      </c>
      <c r="AM47" s="327">
        <f>INDEX('Volume adjustments'!$J$615:$Y$655,AM$17 + 1 + $H47*$H$50, AM$15)</f>
        <v>0</v>
      </c>
      <c r="AN47" s="327">
        <f>INDEX('Volume adjustments'!$J$615:$Y$655,AN$17 + 1 + $H47*$H$50, AN$15)</f>
        <v>2</v>
      </c>
      <c r="AO47" s="327">
        <f>INDEX('Volume adjustments'!$J$615:$Y$655,AO$17 + 1 + $H47*$H$50, AO$15)</f>
        <v>0</v>
      </c>
    </row>
    <row r="48" spans="1:43" x14ac:dyDescent="0.25">
      <c r="A48" s="309"/>
      <c r="E48" s="23"/>
      <c r="F48" s="62" t="s">
        <v>250</v>
      </c>
      <c r="G48" s="62" t="s">
        <v>251</v>
      </c>
      <c r="H48" s="363">
        <v>4</v>
      </c>
      <c r="J48" s="327">
        <f>INDEX('Volume adjustments'!$J$615:$Y$655,J$17 + 1 + $H48*$H$50, J$15)</f>
        <v>0</v>
      </c>
      <c r="K48" s="327">
        <f>INDEX('Volume adjustments'!$J$615:$Y$655,K$17 + 1 + $H48*$H$50, K$15)</f>
        <v>0</v>
      </c>
      <c r="L48" s="327">
        <f>INDEX('Volume adjustments'!$J$615:$Y$655,L$17 + 1 + $H48*$H$50, L$15)</f>
        <v>0</v>
      </c>
      <c r="M48" s="327">
        <f>INDEX('Volume adjustments'!$J$615:$Y$655,M$17 + 1 + $H48*$H$50, M$15)</f>
        <v>0</v>
      </c>
      <c r="N48" s="327">
        <f>INDEX('Volume adjustments'!$J$615:$Y$655,N$17 + 1 + $H48*$H$50, N$15)</f>
        <v>0</v>
      </c>
      <c r="O48" s="327">
        <f>INDEX('Volume adjustments'!$J$615:$Y$655,O$17 + 1 + $H48*$H$50, O$15)</f>
        <v>0</v>
      </c>
      <c r="P48" s="327">
        <f>INDEX('Volume adjustments'!$J$615:$Y$655,P$17 + 1 + $H48*$H$50, P$15)</f>
        <v>0</v>
      </c>
      <c r="Q48" s="327">
        <f>INDEX('Volume adjustments'!$J$615:$Y$655,Q$17 + 1 + $H48*$H$50, Q$15)</f>
        <v>0</v>
      </c>
      <c r="R48" s="327">
        <f>INDEX('Volume adjustments'!$J$615:$Y$655,R$17 + 1 + $H48*$H$50, R$15)</f>
        <v>0</v>
      </c>
      <c r="S48" s="327">
        <f>INDEX('Volume adjustments'!$J$615:$Y$655,S$17 + 1 + $H48*$H$50, S$15)</f>
        <v>28626.04191477604</v>
      </c>
      <c r="T48" s="327">
        <f>INDEX('Volume adjustments'!$J$615:$Y$655,T$17 + 1 + $H48*$H$50, T$15)</f>
        <v>55602.732455913749</v>
      </c>
      <c r="U48" s="327">
        <f>INDEX('Volume adjustments'!$J$615:$Y$655,U$17 + 1 + $H48*$H$50, U$15)</f>
        <v>30886.165446631134</v>
      </c>
      <c r="V48" s="327">
        <f>INDEX('Volume adjustments'!$J$615:$Y$655,V$17 + 1 + $H48*$H$50, V$15)</f>
        <v>31311.11664898145</v>
      </c>
      <c r="W48" s="327">
        <f>INDEX('Volume adjustments'!$J$615:$Y$655,W$17 + 1 + $H48*$H$50, W$15)</f>
        <v>0</v>
      </c>
      <c r="X48" s="327">
        <f>INDEX('Volume adjustments'!$J$615:$Y$655,X$17 + 1 + $H48*$H$50, X$15)</f>
        <v>743.2573085348148</v>
      </c>
      <c r="Y48" s="327">
        <f>INDEX('Volume adjustments'!$J$615:$Y$655,Y$17 + 1 + $H48*$H$50, Y$15)</f>
        <v>423.70302286953483</v>
      </c>
      <c r="Z48" s="327">
        <f>INDEX('Volume adjustments'!$J$615:$Y$655,Z$17 + 1 + $H48*$H$50, Z$15)</f>
        <v>800.58547100184524</v>
      </c>
      <c r="AA48" s="327">
        <f>INDEX('Volume adjustments'!$J$615:$Y$655,AA$17 + 1 + $H48*$H$50, AA$15)</f>
        <v>15492.665490854277</v>
      </c>
      <c r="AB48" s="327">
        <f>INDEX('Volume adjustments'!$J$615:$Y$655,AB$17 + 1 + $H48*$H$50, AB$15)</f>
        <v>0</v>
      </c>
      <c r="AC48" s="327">
        <f>INDEX('Volume adjustments'!$J$615:$Y$655,AC$17 + 1 + $H48*$H$50, AC$15)</f>
        <v>10782.319617154546</v>
      </c>
      <c r="AD48" s="327">
        <f>INDEX('Volume adjustments'!$J$615:$Y$655,AD$17 + 1 + $H48*$H$50, AD$15)</f>
        <v>16886.903846424768</v>
      </c>
      <c r="AE48" s="327">
        <f>INDEX('Volume adjustments'!$J$615:$Y$655,AE$17 + 1 + $H48*$H$50, AE$15)</f>
        <v>8853.9347517362585</v>
      </c>
      <c r="AF48" s="327">
        <f>INDEX('Volume adjustments'!$J$615:$Y$655,AF$17 + 1 + $H48*$H$50, AF$15)</f>
        <v>26066.370017835598</v>
      </c>
      <c r="AG48" s="327">
        <f>INDEX('Volume adjustments'!$J$615:$Y$655,AG$17 + 1 + $H48*$H$50, AG$15)</f>
        <v>0</v>
      </c>
      <c r="AH48" s="327">
        <f>INDEX('Volume adjustments'!$J$615:$Y$655,AH$17 + 1 + $H48*$H$50, AH$15)</f>
        <v>0</v>
      </c>
      <c r="AI48" s="327">
        <f>INDEX('Volume adjustments'!$J$615:$Y$655,AI$17 + 1 + $H48*$H$50, AI$15)</f>
        <v>0</v>
      </c>
      <c r="AJ48" s="327">
        <f>INDEX('Volume adjustments'!$J$615:$Y$655,AJ$17 + 1 + $H48*$H$50, AJ$15)</f>
        <v>0</v>
      </c>
      <c r="AK48" s="327">
        <f>INDEX('Volume adjustments'!$J$615:$Y$655,AK$17 + 1 + $H48*$H$50, AK$15)</f>
        <v>0</v>
      </c>
      <c r="AL48" s="327">
        <f>INDEX('Volume adjustments'!$J$615:$Y$655,AL$17 + 1 + $H48*$H$50, AL$15)</f>
        <v>0</v>
      </c>
      <c r="AM48" s="327">
        <f>INDEX('Volume adjustments'!$J$615:$Y$655,AM$17 + 1 + $H48*$H$50, AM$15)</f>
        <v>0</v>
      </c>
      <c r="AN48" s="327">
        <f>INDEX('Volume adjustments'!$J$615:$Y$655,AN$17 + 1 + $H48*$H$50, AN$15)</f>
        <v>0</v>
      </c>
      <c r="AO48" s="327">
        <f>INDEX('Volume adjustments'!$J$615:$Y$655,AO$17 + 1 + $H48*$H$50, AO$15)</f>
        <v>0</v>
      </c>
    </row>
    <row r="49" spans="1:43" x14ac:dyDescent="0.25">
      <c r="A49" s="309"/>
      <c r="E49" s="23"/>
      <c r="F49" s="62" t="s">
        <v>252</v>
      </c>
      <c r="G49" s="62" t="s">
        <v>251</v>
      </c>
      <c r="H49" s="363">
        <v>5</v>
      </c>
      <c r="J49" s="327">
        <f>INDEX('Volume adjustments'!$J$615:$Y$655,J$17 + 1 + $H49*$H$50, J$15)</f>
        <v>0</v>
      </c>
      <c r="K49" s="327">
        <f>INDEX('Volume adjustments'!$J$615:$Y$655,K$17 + 1 + $H49*$H$50, K$15)</f>
        <v>0</v>
      </c>
      <c r="L49" s="327">
        <f>INDEX('Volume adjustments'!$J$615:$Y$655,L$17 + 1 + $H49*$H$50, L$15)</f>
        <v>0</v>
      </c>
      <c r="M49" s="327">
        <f>INDEX('Volume adjustments'!$J$615:$Y$655,M$17 + 1 + $H49*$H$50, M$15)</f>
        <v>0</v>
      </c>
      <c r="N49" s="327">
        <f>INDEX('Volume adjustments'!$J$615:$Y$655,N$17 + 1 + $H49*$H$50, N$15)</f>
        <v>0</v>
      </c>
      <c r="O49" s="327">
        <f>INDEX('Volume adjustments'!$J$615:$Y$655,O$17 + 1 + $H49*$H$50, O$15)</f>
        <v>0</v>
      </c>
      <c r="P49" s="327">
        <f>INDEX('Volume adjustments'!$J$615:$Y$655,P$17 + 1 + $H49*$H$50, P$15)</f>
        <v>0</v>
      </c>
      <c r="Q49" s="327">
        <f>INDEX('Volume adjustments'!$J$615:$Y$655,Q$17 + 1 + $H49*$H$50, Q$15)</f>
        <v>0</v>
      </c>
      <c r="R49" s="327">
        <f>INDEX('Volume adjustments'!$J$615:$Y$655,R$17 + 1 + $H49*$H$50, R$15)</f>
        <v>0</v>
      </c>
      <c r="S49" s="327">
        <f>INDEX('Volume adjustments'!$J$615:$Y$655,S$17 + 1 + $H49*$H$50, S$15)</f>
        <v>71.801972487517077</v>
      </c>
      <c r="T49" s="327">
        <f>INDEX('Volume adjustments'!$J$615:$Y$655,T$17 + 1 + $H49*$H$50, T$15)</f>
        <v>139.46691889560614</v>
      </c>
      <c r="U49" s="327">
        <f>INDEX('Volume adjustments'!$J$615:$Y$655,U$17 + 1 + $H49*$H$50, U$15)</f>
        <v>77.470982829071971</v>
      </c>
      <c r="V49" s="327">
        <f>INDEX('Volume adjustments'!$J$615:$Y$655,V$17 + 1 + $H49*$H$50, V$15)</f>
        <v>78.536877116187682</v>
      </c>
      <c r="W49" s="327">
        <f>INDEX('Volume adjustments'!$J$615:$Y$655,W$17 + 1 + $H49*$H$50, W$15)</f>
        <v>0</v>
      </c>
      <c r="X49" s="327">
        <f>INDEX('Volume adjustments'!$J$615:$Y$655,X$17 + 1 + $H49*$H$50, X$15)</f>
        <v>4.6167300992256761</v>
      </c>
      <c r="Y49" s="327">
        <f>INDEX('Volume adjustments'!$J$615:$Y$655,Y$17 + 1 + $H49*$H$50, Y$15)</f>
        <v>2.6318241023028701</v>
      </c>
      <c r="Z49" s="327">
        <f>INDEX('Volume adjustments'!$J$615:$Y$655,Z$17 + 1 + $H49*$H$50, Z$15)</f>
        <v>4.9728230029289451</v>
      </c>
      <c r="AA49" s="327">
        <f>INDEX('Volume adjustments'!$J$615:$Y$655,AA$17 + 1 + $H49*$H$50, AA$15)</f>
        <v>96.232427542300513</v>
      </c>
      <c r="AB49" s="327">
        <f>INDEX('Volume adjustments'!$J$615:$Y$655,AB$17 + 1 + $H49*$H$50, AB$15)</f>
        <v>0</v>
      </c>
      <c r="AC49" s="327">
        <f>INDEX('Volume adjustments'!$J$615:$Y$655,AC$17 + 1 + $H49*$H$50, AC$15)</f>
        <v>120.84775639698513</v>
      </c>
      <c r="AD49" s="327">
        <f>INDEX('Volume adjustments'!$J$615:$Y$655,AD$17 + 1 + $H49*$H$50, AD$15)</f>
        <v>189.2676636189907</v>
      </c>
      <c r="AE49" s="327">
        <f>INDEX('Volume adjustments'!$J$615:$Y$655,AE$17 + 1 + $H49*$H$50, AE$15)</f>
        <v>99.234505006724291</v>
      </c>
      <c r="AF49" s="327">
        <f>INDEX('Volume adjustments'!$J$615:$Y$655,AF$17 + 1 + $H49*$H$50, AF$15)</f>
        <v>292.15071022911991</v>
      </c>
      <c r="AG49" s="327">
        <f>INDEX('Volume adjustments'!$J$615:$Y$655,AG$17 + 1 + $H49*$H$50, AG$15)</f>
        <v>0</v>
      </c>
      <c r="AH49" s="327">
        <f>INDEX('Volume adjustments'!$J$615:$Y$655,AH$17 + 1 + $H49*$H$50, AH$15)</f>
        <v>0</v>
      </c>
      <c r="AI49" s="327">
        <f>INDEX('Volume adjustments'!$J$615:$Y$655,AI$17 + 1 + $H49*$H$50, AI$15)</f>
        <v>0</v>
      </c>
      <c r="AJ49" s="327">
        <f>INDEX('Volume adjustments'!$J$615:$Y$655,AJ$17 + 1 + $H49*$H$50, AJ$15)</f>
        <v>0</v>
      </c>
      <c r="AK49" s="327">
        <f>INDEX('Volume adjustments'!$J$615:$Y$655,AK$17 + 1 + $H49*$H$50, AK$15)</f>
        <v>0</v>
      </c>
      <c r="AL49" s="327">
        <f>INDEX('Volume adjustments'!$J$615:$Y$655,AL$17 + 1 + $H49*$H$50, AL$15)</f>
        <v>0</v>
      </c>
      <c r="AM49" s="327">
        <f>INDEX('Volume adjustments'!$J$615:$Y$655,AM$17 + 1 + $H49*$H$50, AM$15)</f>
        <v>0</v>
      </c>
      <c r="AN49" s="327">
        <f>INDEX('Volume adjustments'!$J$615:$Y$655,AN$17 + 1 + $H49*$H$50, AN$15)</f>
        <v>0</v>
      </c>
      <c r="AO49" s="327">
        <f>INDEX('Volume adjustments'!$J$615:$Y$655,AO$17 + 1 + $H49*$H$50, AO$15)</f>
        <v>0</v>
      </c>
    </row>
    <row r="50" spans="1:43" x14ac:dyDescent="0.25">
      <c r="A50" s="309"/>
      <c r="E50" s="23"/>
      <c r="F50" s="70" t="s">
        <v>253</v>
      </c>
      <c r="G50" s="70" t="s">
        <v>254</v>
      </c>
      <c r="H50" s="314">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2466.8641386709055</v>
      </c>
      <c r="T50" s="185">
        <f>INDEX('Volume adjustments'!$J$615:$Y$655,T$17 + 1 + $H50*$H$50, T$15)</f>
        <v>3723.5616525133405</v>
      </c>
      <c r="U50" s="185">
        <f>INDEX('Volume adjustments'!$J$615:$Y$655,U$17 + 1 + $H50*$H$50, U$15)</f>
        <v>2045.1152527806842</v>
      </c>
      <c r="V50" s="185">
        <f>INDEX('Volume adjustments'!$J$615:$Y$655,V$17 + 1 + $H50*$H$50, V$15)</f>
        <v>2017.9348560350672</v>
      </c>
      <c r="W50" s="185">
        <f>INDEX('Volume adjustments'!$J$615:$Y$655,W$17 + 1 + $H50*$H$50, W$15)</f>
        <v>0</v>
      </c>
      <c r="X50" s="185">
        <f>INDEX('Volume adjustments'!$J$615:$Y$655,X$17 + 1 + $H50*$H$50, X$15)</f>
        <v>41.931984146569206</v>
      </c>
      <c r="Y50" s="185">
        <f>INDEX('Volume adjustments'!$J$615:$Y$655,Y$17 + 1 + $H50*$H$50, Y$15)</f>
        <v>63.424773548861452</v>
      </c>
      <c r="Z50" s="185">
        <f>INDEX('Volume adjustments'!$J$615:$Y$655,Z$17 + 1 + $H50*$H$50, Z$15)</f>
        <v>114.38340714290698</v>
      </c>
      <c r="AA50" s="185">
        <f>INDEX('Volume adjustments'!$J$615:$Y$655,AA$17 + 1 + $H50*$H$50, AA$15)</f>
        <v>1303.0787351616623</v>
      </c>
      <c r="AB50" s="185">
        <f>INDEX('Volume adjustments'!$J$615:$Y$655,AB$17 + 1 + $H50*$H$50, AB$15)</f>
        <v>0</v>
      </c>
      <c r="AC50" s="185">
        <f>INDEX('Volume adjustments'!$J$615:$Y$655,AC$17 + 1 + $H50*$H$50, AC$15)</f>
        <v>176.83311188776653</v>
      </c>
      <c r="AD50" s="185">
        <f>INDEX('Volume adjustments'!$J$615:$Y$655,AD$17 + 1 + $H50*$H$50, AD$15)</f>
        <v>304.54176775118219</v>
      </c>
      <c r="AE50" s="185">
        <f>INDEX('Volume adjustments'!$J$615:$Y$655,AE$17 + 1 + $H50*$H$50, AE$15)</f>
        <v>166.45382902356806</v>
      </c>
      <c r="AF50" s="185">
        <f>INDEX('Volume adjustments'!$J$615:$Y$655,AF$17 + 1 + $H50*$H$50, AF$15)</f>
        <v>521.8798913374834</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5.0198499999999999</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3.266</v>
      </c>
      <c r="AO50" s="185">
        <f>INDEX('Volume adjustments'!$J$615:$Y$655,AO$17 + 1 + $H50*$H$50, AO$15)</f>
        <v>0</v>
      </c>
    </row>
    <row r="51" spans="1:43" x14ac:dyDescent="0.25">
      <c r="A51" s="309"/>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1:43" x14ac:dyDescent="0.25">
      <c r="C52" s="26" t="str">
        <f ca="1">INDEX('Version control'!$H$36:$H$59,MATCH($A$1,'Version control'!$F$36:$F$59,0),1)&amp;"-B: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1: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1:43" x14ac:dyDescent="0.2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1:43" x14ac:dyDescent="0.25">
      <c r="F55" s="19" t="s">
        <v>156</v>
      </c>
      <c r="G55" s="75" t="s">
        <v>269</v>
      </c>
      <c r="H55" s="267"/>
      <c r="I55" s="255"/>
      <c r="J55" s="267">
        <f>Rounding!J150</f>
        <v>6.5549999999999997</v>
      </c>
      <c r="K55" s="267">
        <f>Rounding!K150</f>
        <v>6.5549999999999997</v>
      </c>
      <c r="L55" s="267">
        <f>Rounding!L150</f>
        <v>6.077</v>
      </c>
      <c r="M55" s="267">
        <f>Rounding!M150</f>
        <v>6.077</v>
      </c>
      <c r="N55" s="267">
        <f>Rounding!N150</f>
        <v>6.077</v>
      </c>
      <c r="O55" s="267">
        <f>Rounding!O150</f>
        <v>6.077</v>
      </c>
      <c r="P55" s="267">
        <f>Rounding!P150</f>
        <v>6.077</v>
      </c>
      <c r="Q55" s="267">
        <f>Rounding!Q150</f>
        <v>6.077</v>
      </c>
      <c r="R55" s="267">
        <f>Rounding!R150</f>
        <v>4.7450000000000001</v>
      </c>
      <c r="S55" s="267">
        <f>Rounding!S150</f>
        <v>4.7450000000000001</v>
      </c>
      <c r="T55" s="267">
        <f>Rounding!T150</f>
        <v>4.7450000000000001</v>
      </c>
      <c r="U55" s="267">
        <f>Rounding!U150</f>
        <v>4.7450000000000001</v>
      </c>
      <c r="V55" s="267">
        <f>Rounding!V150</f>
        <v>4.7450000000000001</v>
      </c>
      <c r="W55" s="267">
        <f>Rounding!W150</f>
        <v>2.4340000000000002</v>
      </c>
      <c r="X55" s="267">
        <f>Rounding!X150</f>
        <v>2.4340000000000002</v>
      </c>
      <c r="Y55" s="267">
        <f>Rounding!Y150</f>
        <v>2.4340000000000002</v>
      </c>
      <c r="Z55" s="267">
        <f>Rounding!Z150</f>
        <v>2.4340000000000002</v>
      </c>
      <c r="AA55" s="267">
        <f>Rounding!AA150</f>
        <v>2.4340000000000002</v>
      </c>
      <c r="AB55" s="267">
        <f>Rounding!AB150</f>
        <v>1.1830000000000001</v>
      </c>
      <c r="AC55" s="267">
        <f>Rounding!AC150</f>
        <v>1.1830000000000001</v>
      </c>
      <c r="AD55" s="267">
        <f>Rounding!AD150</f>
        <v>1.1830000000000001</v>
      </c>
      <c r="AE55" s="267">
        <f>Rounding!AE150</f>
        <v>1.1830000000000001</v>
      </c>
      <c r="AF55" s="267">
        <f>Rounding!AF150</f>
        <v>1.1830000000000001</v>
      </c>
      <c r="AG55" s="267">
        <f>Rounding!AG150</f>
        <v>20.481999999999999</v>
      </c>
      <c r="AH55" s="267">
        <f>Rounding!AH150</f>
        <v>-4.1870000000000003</v>
      </c>
      <c r="AI55" s="267">
        <f>Rounding!AI150</f>
        <v>-3.468</v>
      </c>
      <c r="AJ55" s="267">
        <f>Rounding!AJ150</f>
        <v>-4.1870000000000003</v>
      </c>
      <c r="AK55" s="267">
        <f>Rounding!AK150</f>
        <v>-4.1870000000000003</v>
      </c>
      <c r="AL55" s="267">
        <f>Rounding!AL150</f>
        <v>-3.468</v>
      </c>
      <c r="AM55" s="267">
        <f>Rounding!AM150</f>
        <v>-3.468</v>
      </c>
      <c r="AN55" s="267">
        <f>Rounding!AN150</f>
        <v>-1.752</v>
      </c>
      <c r="AO55" s="267">
        <f>Rounding!AO150</f>
        <v>-1.752</v>
      </c>
      <c r="AP55" s="256"/>
      <c r="AQ55" s="256"/>
    </row>
    <row r="56" spans="1:43" x14ac:dyDescent="0.25">
      <c r="E56" s="23"/>
      <c r="F56" t="s">
        <v>157</v>
      </c>
      <c r="G56" s="12" t="s">
        <v>269</v>
      </c>
      <c r="H56" s="268"/>
      <c r="I56" s="256"/>
      <c r="J56" s="268">
        <f>Rounding!J151</f>
        <v>1.1639999999999999</v>
      </c>
      <c r="K56" s="268">
        <f>Rounding!K151</f>
        <v>1.1639999999999999</v>
      </c>
      <c r="L56" s="268">
        <f>Rounding!L151</f>
        <v>1.079</v>
      </c>
      <c r="M56" s="268">
        <f>Rounding!M151</f>
        <v>1.079</v>
      </c>
      <c r="N56" s="268">
        <f>Rounding!N151</f>
        <v>1.079</v>
      </c>
      <c r="O56" s="268">
        <f>Rounding!O151</f>
        <v>1.079</v>
      </c>
      <c r="P56" s="268">
        <f>Rounding!P151</f>
        <v>1.079</v>
      </c>
      <c r="Q56" s="268">
        <f>Rounding!Q151</f>
        <v>1.079</v>
      </c>
      <c r="R56" s="268">
        <f>Rounding!R151</f>
        <v>0.85099999999999998</v>
      </c>
      <c r="S56" s="268">
        <f>Rounding!S151</f>
        <v>0.85099999999999998</v>
      </c>
      <c r="T56" s="268">
        <f>Rounding!T151</f>
        <v>0.85099999999999998</v>
      </c>
      <c r="U56" s="268">
        <f>Rounding!U151</f>
        <v>0.85099999999999998</v>
      </c>
      <c r="V56" s="268">
        <f>Rounding!V151</f>
        <v>0.85099999999999998</v>
      </c>
      <c r="W56" s="268">
        <f>Rounding!W151</f>
        <v>0.44900000000000001</v>
      </c>
      <c r="X56" s="268">
        <f>Rounding!X151</f>
        <v>0.44900000000000001</v>
      </c>
      <c r="Y56" s="268">
        <f>Rounding!Y151</f>
        <v>0.44900000000000001</v>
      </c>
      <c r="Z56" s="268">
        <f>Rounding!Z151</f>
        <v>0.44900000000000001</v>
      </c>
      <c r="AA56" s="268">
        <f>Rounding!AA151</f>
        <v>0.44900000000000001</v>
      </c>
      <c r="AB56" s="268">
        <f>Rounding!AB151</f>
        <v>0.20799999999999999</v>
      </c>
      <c r="AC56" s="268">
        <f>Rounding!AC151</f>
        <v>0.20799999999999999</v>
      </c>
      <c r="AD56" s="268">
        <f>Rounding!AD151</f>
        <v>0.20799999999999999</v>
      </c>
      <c r="AE56" s="268">
        <f>Rounding!AE151</f>
        <v>0.20799999999999999</v>
      </c>
      <c r="AF56" s="268">
        <f>Rounding!AF151</f>
        <v>0.20799999999999999</v>
      </c>
      <c r="AG56" s="268">
        <f>Rounding!AG151</f>
        <v>2.8969999999999998</v>
      </c>
      <c r="AH56" s="268">
        <f>Rounding!AH151</f>
        <v>-0.74399999999999999</v>
      </c>
      <c r="AI56" s="268">
        <f>Rounding!AI151</f>
        <v>-0.61899999999999999</v>
      </c>
      <c r="AJ56" s="268">
        <f>Rounding!AJ151</f>
        <v>-0.74399999999999999</v>
      </c>
      <c r="AK56" s="268">
        <f>Rounding!AK151</f>
        <v>-0.74399999999999999</v>
      </c>
      <c r="AL56" s="268">
        <f>Rounding!AL151</f>
        <v>-0.61899999999999999</v>
      </c>
      <c r="AM56" s="268">
        <f>Rounding!AM151</f>
        <v>-0.61899999999999999</v>
      </c>
      <c r="AN56" s="268">
        <f>Rounding!AN151</f>
        <v>-0.32200000000000001</v>
      </c>
      <c r="AO56" s="268">
        <f>Rounding!AO151</f>
        <v>-0.32200000000000001</v>
      </c>
      <c r="AP56" s="256"/>
      <c r="AQ56" s="256"/>
    </row>
    <row r="57" spans="1:43" x14ac:dyDescent="0.25">
      <c r="E57" s="23"/>
      <c r="F57" t="s">
        <v>158</v>
      </c>
      <c r="G57" s="12" t="s">
        <v>269</v>
      </c>
      <c r="H57" s="268"/>
      <c r="I57" s="256"/>
      <c r="J57" s="268">
        <f>Rounding!J152</f>
        <v>0.13700000000000001</v>
      </c>
      <c r="K57" s="268">
        <f>Rounding!K152</f>
        <v>0.13700000000000001</v>
      </c>
      <c r="L57" s="268">
        <f>Rounding!L152</f>
        <v>0.127</v>
      </c>
      <c r="M57" s="268">
        <f>Rounding!M152</f>
        <v>0.127</v>
      </c>
      <c r="N57" s="268">
        <f>Rounding!N152</f>
        <v>0.127</v>
      </c>
      <c r="O57" s="268">
        <f>Rounding!O152</f>
        <v>0.127</v>
      </c>
      <c r="P57" s="268">
        <f>Rounding!P152</f>
        <v>0.127</v>
      </c>
      <c r="Q57" s="268">
        <f>Rounding!Q152</f>
        <v>0.127</v>
      </c>
      <c r="R57" s="268">
        <f>Rounding!R152</f>
        <v>9.5000000000000001E-2</v>
      </c>
      <c r="S57" s="268">
        <f>Rounding!S152</f>
        <v>9.5000000000000001E-2</v>
      </c>
      <c r="T57" s="268">
        <f>Rounding!T152</f>
        <v>9.5000000000000001E-2</v>
      </c>
      <c r="U57" s="268">
        <f>Rounding!U152</f>
        <v>9.5000000000000001E-2</v>
      </c>
      <c r="V57" s="268">
        <f>Rounding!V152</f>
        <v>9.5000000000000001E-2</v>
      </c>
      <c r="W57" s="268">
        <f>Rounding!W152</f>
        <v>4.2000000000000003E-2</v>
      </c>
      <c r="X57" s="268">
        <f>Rounding!X152</f>
        <v>4.2000000000000003E-2</v>
      </c>
      <c r="Y57" s="268">
        <f>Rounding!Y152</f>
        <v>4.2000000000000003E-2</v>
      </c>
      <c r="Z57" s="268">
        <f>Rounding!Z152</f>
        <v>4.2000000000000003E-2</v>
      </c>
      <c r="AA57" s="268">
        <f>Rounding!AA152</f>
        <v>4.2000000000000003E-2</v>
      </c>
      <c r="AB57" s="268">
        <f>Rounding!AB152</f>
        <v>1.7000000000000001E-2</v>
      </c>
      <c r="AC57" s="268">
        <f>Rounding!AC152</f>
        <v>1.7000000000000001E-2</v>
      </c>
      <c r="AD57" s="268">
        <f>Rounding!AD152</f>
        <v>1.7000000000000001E-2</v>
      </c>
      <c r="AE57" s="268">
        <f>Rounding!AE152</f>
        <v>1.7000000000000001E-2</v>
      </c>
      <c r="AF57" s="268">
        <f>Rounding!AF152</f>
        <v>1.7000000000000001E-2</v>
      </c>
      <c r="AG57" s="268">
        <f>Rounding!AG152</f>
        <v>2.0299999999999998</v>
      </c>
      <c r="AH57" s="268">
        <f>Rounding!AH152</f>
        <v>-8.6999999999999994E-2</v>
      </c>
      <c r="AI57" s="268">
        <f>Rounding!AI152</f>
        <v>-7.0000000000000007E-2</v>
      </c>
      <c r="AJ57" s="268">
        <f>Rounding!AJ152</f>
        <v>-8.6999999999999994E-2</v>
      </c>
      <c r="AK57" s="268">
        <f>Rounding!AK152</f>
        <v>-8.6999999999999994E-2</v>
      </c>
      <c r="AL57" s="268">
        <f>Rounding!AL152</f>
        <v>-7.0000000000000007E-2</v>
      </c>
      <c r="AM57" s="268">
        <f>Rounding!AM152</f>
        <v>-7.0000000000000007E-2</v>
      </c>
      <c r="AN57" s="268">
        <f>Rounding!AN152</f>
        <v>-0.03</v>
      </c>
      <c r="AO57" s="268">
        <f>Rounding!AO152</f>
        <v>-0.03</v>
      </c>
      <c r="AP57" s="256"/>
      <c r="AQ57" s="256"/>
    </row>
    <row r="58" spans="1:43" x14ac:dyDescent="0.25">
      <c r="E58" s="23"/>
      <c r="F58" t="s">
        <v>159</v>
      </c>
      <c r="G58" s="12" t="s">
        <v>270</v>
      </c>
      <c r="H58" s="41"/>
      <c r="J58" s="110">
        <f>Rounding!J153</f>
        <v>14.74</v>
      </c>
      <c r="K58" s="110">
        <f>Rounding!K153</f>
        <v>0</v>
      </c>
      <c r="L58" s="110">
        <f>Rounding!L153</f>
        <v>10.41</v>
      </c>
      <c r="M58" s="110">
        <f>Rounding!M153</f>
        <v>14.31</v>
      </c>
      <c r="N58" s="110">
        <f>Rounding!N153</f>
        <v>29.82</v>
      </c>
      <c r="O58" s="110">
        <f>Rounding!O153</f>
        <v>56.8</v>
      </c>
      <c r="P58" s="110">
        <f>Rounding!P153</f>
        <v>164.03</v>
      </c>
      <c r="Q58" s="110">
        <f>Rounding!Q153</f>
        <v>0</v>
      </c>
      <c r="R58" s="110">
        <f>Rounding!R153</f>
        <v>14.32</v>
      </c>
      <c r="S58" s="110">
        <f>Rounding!S153</f>
        <v>268.51</v>
      </c>
      <c r="T58" s="110">
        <f>Rounding!T153</f>
        <v>491.62</v>
      </c>
      <c r="U58" s="110">
        <f>Rounding!U153</f>
        <v>773.3</v>
      </c>
      <c r="V58" s="110">
        <f>Rounding!V153</f>
        <v>1331.62</v>
      </c>
      <c r="W58" s="110">
        <f>Rounding!W153</f>
        <v>11.22</v>
      </c>
      <c r="X58" s="110">
        <f>Rounding!X153</f>
        <v>265.39999999999998</v>
      </c>
      <c r="Y58" s="110">
        <f>Rounding!Y153</f>
        <v>488.52</v>
      </c>
      <c r="Z58" s="110">
        <f>Rounding!Z153</f>
        <v>770.19</v>
      </c>
      <c r="AA58" s="110">
        <f>Rounding!AA153</f>
        <v>1328.51</v>
      </c>
      <c r="AB58" s="110">
        <f>Rounding!AB153</f>
        <v>102.26</v>
      </c>
      <c r="AC58" s="110">
        <f>Rounding!AC153</f>
        <v>1252.1500000000001</v>
      </c>
      <c r="AD58" s="110">
        <f>Rounding!AD153</f>
        <v>3709.74</v>
      </c>
      <c r="AE58" s="110">
        <f>Rounding!AE153</f>
        <v>8155.65</v>
      </c>
      <c r="AF58" s="110">
        <f>Rounding!AF153</f>
        <v>25189.56</v>
      </c>
      <c r="AG58" s="110">
        <f>Rounding!AG153</f>
        <v>0</v>
      </c>
      <c r="AH58" s="110">
        <f>Rounding!AH153</f>
        <v>0</v>
      </c>
      <c r="AI58" s="110">
        <f>Rounding!AI153</f>
        <v>0</v>
      </c>
      <c r="AJ58" s="110">
        <f>Rounding!AJ153</f>
        <v>0</v>
      </c>
      <c r="AK58" s="110">
        <f>Rounding!AK153</f>
        <v>0</v>
      </c>
      <c r="AL58" s="110">
        <f>Rounding!AL153</f>
        <v>0</v>
      </c>
      <c r="AM58" s="110">
        <f>Rounding!AM153</f>
        <v>0</v>
      </c>
      <c r="AN58" s="110">
        <f>Rounding!AN153</f>
        <v>63.9</v>
      </c>
      <c r="AO58" s="110">
        <f>Rounding!AO153</f>
        <v>63.9</v>
      </c>
    </row>
    <row r="59" spans="1:43" x14ac:dyDescent="0.2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4.93</v>
      </c>
      <c r="S59" s="110">
        <f>Rounding!S154</f>
        <v>4.93</v>
      </c>
      <c r="T59" s="110">
        <f>Rounding!T154</f>
        <v>4.93</v>
      </c>
      <c r="U59" s="110">
        <f>Rounding!U154</f>
        <v>4.93</v>
      </c>
      <c r="V59" s="110">
        <f>Rounding!V154</f>
        <v>4.93</v>
      </c>
      <c r="W59" s="110">
        <f>Rounding!W154</f>
        <v>5.34</v>
      </c>
      <c r="X59" s="110">
        <f>Rounding!X154</f>
        <v>5.34</v>
      </c>
      <c r="Y59" s="110">
        <f>Rounding!Y154</f>
        <v>5.34</v>
      </c>
      <c r="Z59" s="110">
        <f>Rounding!Z154</f>
        <v>5.34</v>
      </c>
      <c r="AA59" s="110">
        <f>Rounding!AA154</f>
        <v>5.34</v>
      </c>
      <c r="AB59" s="110">
        <f>Rounding!AB154</f>
        <v>5.64</v>
      </c>
      <c r="AC59" s="110">
        <f>Rounding!AC154</f>
        <v>5.64</v>
      </c>
      <c r="AD59" s="110">
        <f>Rounding!AD154</f>
        <v>5.64</v>
      </c>
      <c r="AE59" s="110">
        <f>Rounding!AE154</f>
        <v>5.64</v>
      </c>
      <c r="AF59" s="110">
        <f>Rounding!AF154</f>
        <v>5.64</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1:43" x14ac:dyDescent="0.2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8.65</v>
      </c>
      <c r="S60" s="110">
        <f>Rounding!S155</f>
        <v>8.65</v>
      </c>
      <c r="T60" s="110">
        <f>Rounding!T155</f>
        <v>8.65</v>
      </c>
      <c r="U60" s="110">
        <f>Rounding!U155</f>
        <v>8.65</v>
      </c>
      <c r="V60" s="110">
        <f>Rounding!V155</f>
        <v>8.65</v>
      </c>
      <c r="W60" s="110">
        <f>Rounding!W155</f>
        <v>7.26</v>
      </c>
      <c r="X60" s="110">
        <f>Rounding!X155</f>
        <v>7.26</v>
      </c>
      <c r="Y60" s="110">
        <f>Rounding!Y155</f>
        <v>7.26</v>
      </c>
      <c r="Z60" s="110">
        <f>Rounding!Z155</f>
        <v>7.26</v>
      </c>
      <c r="AA60" s="110">
        <f>Rounding!AA155</f>
        <v>7.26</v>
      </c>
      <c r="AB60" s="110">
        <f>Rounding!AB155</f>
        <v>7.34</v>
      </c>
      <c r="AC60" s="110">
        <f>Rounding!AC155</f>
        <v>7.34</v>
      </c>
      <c r="AD60" s="110">
        <f>Rounding!AD155</f>
        <v>7.34</v>
      </c>
      <c r="AE60" s="110">
        <f>Rounding!AE155</f>
        <v>7.34</v>
      </c>
      <c r="AF60" s="110">
        <f>Rounding!AF155</f>
        <v>7.34</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1:43" x14ac:dyDescent="0.2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0.115</v>
      </c>
      <c r="S61" s="272">
        <f>Rounding!S156</f>
        <v>0.115</v>
      </c>
      <c r="T61" s="272">
        <f>Rounding!T156</f>
        <v>0.115</v>
      </c>
      <c r="U61" s="272">
        <f>Rounding!U156</f>
        <v>0.115</v>
      </c>
      <c r="V61" s="272">
        <f>Rounding!V156</f>
        <v>0.115</v>
      </c>
      <c r="W61" s="272">
        <f>Rounding!W156</f>
        <v>7.0000000000000007E-2</v>
      </c>
      <c r="X61" s="272">
        <f>Rounding!X156</f>
        <v>7.0000000000000007E-2</v>
      </c>
      <c r="Y61" s="272">
        <f>Rounding!Y156</f>
        <v>7.0000000000000007E-2</v>
      </c>
      <c r="Z61" s="272">
        <f>Rounding!Z156</f>
        <v>7.0000000000000007E-2</v>
      </c>
      <c r="AA61" s="272">
        <f>Rounding!AA156</f>
        <v>7.0000000000000007E-2</v>
      </c>
      <c r="AB61" s="272">
        <f>Rounding!AB156</f>
        <v>0.03</v>
      </c>
      <c r="AC61" s="272">
        <f>Rounding!AC156</f>
        <v>0.03</v>
      </c>
      <c r="AD61" s="272">
        <f>Rounding!AD156</f>
        <v>0.03</v>
      </c>
      <c r="AE61" s="272">
        <f>Rounding!AE156</f>
        <v>0.03</v>
      </c>
      <c r="AF61" s="272">
        <f>Rounding!AF156</f>
        <v>0.03</v>
      </c>
      <c r="AG61" s="272">
        <f>Rounding!AG156</f>
        <v>0</v>
      </c>
      <c r="AH61" s="272">
        <f>Rounding!AH156</f>
        <v>0</v>
      </c>
      <c r="AI61" s="272">
        <f>Rounding!AI156</f>
        <v>0</v>
      </c>
      <c r="AJ61" s="272">
        <f>Rounding!AJ156</f>
        <v>0.13200000000000001</v>
      </c>
      <c r="AK61" s="272">
        <f>Rounding!AK156</f>
        <v>0</v>
      </c>
      <c r="AL61" s="272">
        <f>Rounding!AL156</f>
        <v>0.10100000000000001</v>
      </c>
      <c r="AM61" s="272">
        <f>Rounding!AM156</f>
        <v>0</v>
      </c>
      <c r="AN61" s="272">
        <f>Rounding!AN156</f>
        <v>7.8E-2</v>
      </c>
      <c r="AO61" s="272">
        <f>Rounding!AO156</f>
        <v>0</v>
      </c>
      <c r="AP61" s="256"/>
      <c r="AQ61" s="256"/>
    </row>
    <row r="62" spans="1: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1:43" x14ac:dyDescent="0.2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1:43" x14ac:dyDescent="0.25">
      <c r="F64" s="19" t="s">
        <v>156</v>
      </c>
      <c r="G64" s="75" t="s">
        <v>269</v>
      </c>
      <c r="H64" s="267"/>
      <c r="I64" s="255"/>
      <c r="J64" s="267">
        <f>Rounding!J159</f>
        <v>4.3410000000000002</v>
      </c>
      <c r="K64" s="267">
        <f>Rounding!K159</f>
        <v>4.3410000000000002</v>
      </c>
      <c r="L64" s="267">
        <f>Rounding!L159</f>
        <v>4.024</v>
      </c>
      <c r="M64" s="267">
        <f>Rounding!M159</f>
        <v>4.024</v>
      </c>
      <c r="N64" s="267">
        <f>Rounding!N159</f>
        <v>4.024</v>
      </c>
      <c r="O64" s="267">
        <f>Rounding!O159</f>
        <v>4.024</v>
      </c>
      <c r="P64" s="267">
        <f>Rounding!P159</f>
        <v>4.024</v>
      </c>
      <c r="Q64" s="267">
        <f>Rounding!Q159</f>
        <v>4.024</v>
      </c>
      <c r="R64" s="267">
        <f>Rounding!R159</f>
        <v>3.1419999999999999</v>
      </c>
      <c r="S64" s="267">
        <f>Rounding!S159</f>
        <v>3.1419999999999999</v>
      </c>
      <c r="T64" s="267">
        <f>Rounding!T159</f>
        <v>3.1419999999999999</v>
      </c>
      <c r="U64" s="267">
        <f>Rounding!U159</f>
        <v>3.1419999999999999</v>
      </c>
      <c r="V64" s="267">
        <f>Rounding!V159</f>
        <v>3.1419999999999999</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13.561999999999999</v>
      </c>
      <c r="AH64" s="267">
        <f>Rounding!AH159</f>
        <v>-4.1870000000000003</v>
      </c>
      <c r="AI64" s="267">
        <f>Rounding!AI159</f>
        <v>0</v>
      </c>
      <c r="AJ64" s="267">
        <f>Rounding!AJ159</f>
        <v>-4.1870000000000003</v>
      </c>
      <c r="AK64" s="267">
        <f>Rounding!AK159</f>
        <v>0</v>
      </c>
      <c r="AL64" s="267">
        <f>Rounding!AL159</f>
        <v>0</v>
      </c>
      <c r="AM64" s="267">
        <f>Rounding!AM159</f>
        <v>0</v>
      </c>
      <c r="AN64" s="267">
        <f>Rounding!AN159</f>
        <v>0</v>
      </c>
      <c r="AO64" s="267">
        <f>Rounding!AO159</f>
        <v>0</v>
      </c>
      <c r="AP64" s="256"/>
      <c r="AQ64" s="256"/>
    </row>
    <row r="65" spans="3:43" x14ac:dyDescent="0.25">
      <c r="E65" s="23"/>
      <c r="F65" t="s">
        <v>157</v>
      </c>
      <c r="G65" s="12" t="s">
        <v>269</v>
      </c>
      <c r="H65" s="268"/>
      <c r="I65" s="256"/>
      <c r="J65" s="268">
        <f>Rounding!J160</f>
        <v>0.77100000000000002</v>
      </c>
      <c r="K65" s="268">
        <f>Rounding!K160</f>
        <v>0.77100000000000002</v>
      </c>
      <c r="L65" s="268">
        <f>Rounding!L160</f>
        <v>0.71499999999999997</v>
      </c>
      <c r="M65" s="268">
        <f>Rounding!M160</f>
        <v>0.71499999999999997</v>
      </c>
      <c r="N65" s="268">
        <f>Rounding!N160</f>
        <v>0.71499999999999997</v>
      </c>
      <c r="O65" s="268">
        <f>Rounding!O160</f>
        <v>0.71499999999999997</v>
      </c>
      <c r="P65" s="268">
        <f>Rounding!P160</f>
        <v>0.71499999999999997</v>
      </c>
      <c r="Q65" s="268">
        <f>Rounding!Q160</f>
        <v>0.71499999999999997</v>
      </c>
      <c r="R65" s="268">
        <f>Rounding!R160</f>
        <v>0.56299999999999994</v>
      </c>
      <c r="S65" s="268">
        <f>Rounding!S160</f>
        <v>0.56299999999999994</v>
      </c>
      <c r="T65" s="268">
        <f>Rounding!T160</f>
        <v>0.56299999999999994</v>
      </c>
      <c r="U65" s="268">
        <f>Rounding!U160</f>
        <v>0.56299999999999994</v>
      </c>
      <c r="V65" s="268">
        <f>Rounding!V160</f>
        <v>0.56299999999999994</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1.9179999999999999</v>
      </c>
      <c r="AH65" s="268">
        <f>Rounding!AH160</f>
        <v>-0.74399999999999999</v>
      </c>
      <c r="AI65" s="268">
        <f>Rounding!AI160</f>
        <v>0</v>
      </c>
      <c r="AJ65" s="268">
        <f>Rounding!AJ160</f>
        <v>-0.74399999999999999</v>
      </c>
      <c r="AK65" s="268">
        <f>Rounding!AK160</f>
        <v>0</v>
      </c>
      <c r="AL65" s="268">
        <f>Rounding!AL160</f>
        <v>0</v>
      </c>
      <c r="AM65" s="268">
        <f>Rounding!AM160</f>
        <v>0</v>
      </c>
      <c r="AN65" s="268">
        <f>Rounding!AN160</f>
        <v>0</v>
      </c>
      <c r="AO65" s="268">
        <f>Rounding!AO160</f>
        <v>0</v>
      </c>
      <c r="AP65" s="256"/>
      <c r="AQ65" s="256"/>
    </row>
    <row r="66" spans="3:43" x14ac:dyDescent="0.25">
      <c r="E66" s="23"/>
      <c r="F66" t="s">
        <v>158</v>
      </c>
      <c r="G66" s="12" t="s">
        <v>269</v>
      </c>
      <c r="H66" s="268"/>
      <c r="I66" s="256"/>
      <c r="J66" s="268">
        <f>Rounding!J161</f>
        <v>9.0999999999999998E-2</v>
      </c>
      <c r="K66" s="268">
        <f>Rounding!K161</f>
        <v>9.0999999999999998E-2</v>
      </c>
      <c r="L66" s="268">
        <f>Rounding!L161</f>
        <v>8.4000000000000005E-2</v>
      </c>
      <c r="M66" s="268">
        <f>Rounding!M161</f>
        <v>8.4000000000000005E-2</v>
      </c>
      <c r="N66" s="268">
        <f>Rounding!N161</f>
        <v>8.4000000000000005E-2</v>
      </c>
      <c r="O66" s="268">
        <f>Rounding!O161</f>
        <v>8.4000000000000005E-2</v>
      </c>
      <c r="P66" s="268">
        <f>Rounding!P161</f>
        <v>8.4000000000000005E-2</v>
      </c>
      <c r="Q66" s="268">
        <f>Rounding!Q161</f>
        <v>8.4000000000000005E-2</v>
      </c>
      <c r="R66" s="268">
        <f>Rounding!R161</f>
        <v>6.3E-2</v>
      </c>
      <c r="S66" s="268">
        <f>Rounding!S161</f>
        <v>6.3E-2</v>
      </c>
      <c r="T66" s="268">
        <f>Rounding!T161</f>
        <v>6.3E-2</v>
      </c>
      <c r="U66" s="268">
        <f>Rounding!U161</f>
        <v>6.3E-2</v>
      </c>
      <c r="V66" s="268">
        <f>Rounding!V161</f>
        <v>6.3E-2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1.3440000000000001</v>
      </c>
      <c r="AH66" s="268">
        <f>Rounding!AH161</f>
        <v>-8.6999999999999994E-2</v>
      </c>
      <c r="AI66" s="268">
        <f>Rounding!AI161</f>
        <v>0</v>
      </c>
      <c r="AJ66" s="268">
        <f>Rounding!AJ161</f>
        <v>-8.6999999999999994E-2</v>
      </c>
      <c r="AK66" s="268">
        <f>Rounding!AK161</f>
        <v>0</v>
      </c>
      <c r="AL66" s="268">
        <f>Rounding!AL161</f>
        <v>0</v>
      </c>
      <c r="AM66" s="268">
        <f>Rounding!AM161</f>
        <v>0</v>
      </c>
      <c r="AN66" s="268">
        <f>Rounding!AN161</f>
        <v>0</v>
      </c>
      <c r="AO66" s="268">
        <f>Rounding!AO161</f>
        <v>0</v>
      </c>
      <c r="AP66" s="256"/>
      <c r="AQ66" s="256"/>
    </row>
    <row r="67" spans="3:43" x14ac:dyDescent="0.25">
      <c r="E67" s="23"/>
      <c r="F67" t="s">
        <v>159</v>
      </c>
      <c r="G67" s="12" t="s">
        <v>270</v>
      </c>
      <c r="H67" s="41"/>
      <c r="J67" s="110">
        <f>Rounding!J162</f>
        <v>9.85</v>
      </c>
      <c r="K67" s="110">
        <f>Rounding!K162</f>
        <v>0</v>
      </c>
      <c r="L67" s="110">
        <f>Rounding!L162</f>
        <v>6.95</v>
      </c>
      <c r="M67" s="110">
        <f>Rounding!M162</f>
        <v>9.5299999999999994</v>
      </c>
      <c r="N67" s="110">
        <f>Rounding!N162</f>
        <v>19.8</v>
      </c>
      <c r="O67" s="110">
        <f>Rounding!O162</f>
        <v>37.67</v>
      </c>
      <c r="P67" s="110">
        <f>Rounding!P162</f>
        <v>108.67</v>
      </c>
      <c r="Q67" s="110">
        <f>Rounding!Q162</f>
        <v>0</v>
      </c>
      <c r="R67" s="110">
        <f>Rounding!R162</f>
        <v>9.5399999999999991</v>
      </c>
      <c r="S67" s="110">
        <f>Rounding!S162</f>
        <v>177.85</v>
      </c>
      <c r="T67" s="110">
        <f>Rounding!T162</f>
        <v>325.58</v>
      </c>
      <c r="U67" s="110">
        <f>Rounding!U162</f>
        <v>512.09</v>
      </c>
      <c r="V67" s="110">
        <f>Rounding!V162</f>
        <v>881.78</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3.26</v>
      </c>
      <c r="S68" s="110">
        <f>Rounding!S163</f>
        <v>3.26</v>
      </c>
      <c r="T68" s="110">
        <f>Rounding!T163</f>
        <v>3.26</v>
      </c>
      <c r="U68" s="110">
        <f>Rounding!U163</f>
        <v>3.26</v>
      </c>
      <c r="V68" s="110">
        <f>Rounding!V163</f>
        <v>3.26</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5.73</v>
      </c>
      <c r="S69" s="110">
        <f>Rounding!S164</f>
        <v>5.73</v>
      </c>
      <c r="T69" s="110">
        <f>Rounding!T164</f>
        <v>5.73</v>
      </c>
      <c r="U69" s="110">
        <f>Rounding!U164</f>
        <v>5.73</v>
      </c>
      <c r="V69" s="110">
        <f>Rounding!V164</f>
        <v>5.73</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7.5999999999999998E-2</v>
      </c>
      <c r="S70" s="272">
        <f>Rounding!S165</f>
        <v>7.5999999999999998E-2</v>
      </c>
      <c r="T70" s="272">
        <f>Rounding!T165</f>
        <v>7.5999999999999998E-2</v>
      </c>
      <c r="U70" s="272">
        <f>Rounding!U165</f>
        <v>7.5999999999999998E-2</v>
      </c>
      <c r="V70" s="272">
        <f>Rounding!V165</f>
        <v>7.5999999999999998E-2</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0.13200000000000001</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25">
      <c r="C73" s="78"/>
      <c r="F73" s="19" t="s">
        <v>156</v>
      </c>
      <c r="G73" s="75" t="s">
        <v>269</v>
      </c>
      <c r="H73" s="267"/>
      <c r="I73" s="255"/>
      <c r="J73" s="267">
        <f>Rounding!J168</f>
        <v>3.3740000000000001</v>
      </c>
      <c r="K73" s="267">
        <f>Rounding!K168</f>
        <v>3.3740000000000001</v>
      </c>
      <c r="L73" s="267">
        <f>Rounding!L168</f>
        <v>3.1280000000000001</v>
      </c>
      <c r="M73" s="267">
        <f>Rounding!M168</f>
        <v>3.1280000000000001</v>
      </c>
      <c r="N73" s="267">
        <f>Rounding!N168</f>
        <v>3.1280000000000001</v>
      </c>
      <c r="O73" s="267">
        <f>Rounding!O168</f>
        <v>3.1280000000000001</v>
      </c>
      <c r="P73" s="267">
        <f>Rounding!P168</f>
        <v>3.1280000000000001</v>
      </c>
      <c r="Q73" s="267">
        <f>Rounding!Q168</f>
        <v>3.1280000000000001</v>
      </c>
      <c r="R73" s="267">
        <f>Rounding!R168</f>
        <v>2.4420000000000002</v>
      </c>
      <c r="S73" s="267">
        <f>Rounding!S168</f>
        <v>2.4420000000000002</v>
      </c>
      <c r="T73" s="267">
        <f>Rounding!T168</f>
        <v>2.4420000000000002</v>
      </c>
      <c r="U73" s="267">
        <f>Rounding!U168</f>
        <v>2.4420000000000002</v>
      </c>
      <c r="V73" s="267">
        <f>Rounding!V168</f>
        <v>2.4420000000000002</v>
      </c>
      <c r="W73" s="267">
        <f>Rounding!W168</f>
        <v>1.946</v>
      </c>
      <c r="X73" s="267">
        <f>Rounding!X168</f>
        <v>1.946</v>
      </c>
      <c r="Y73" s="267">
        <f>Rounding!Y168</f>
        <v>1.946</v>
      </c>
      <c r="Z73" s="267">
        <f>Rounding!Z168</f>
        <v>1.946</v>
      </c>
      <c r="AA73" s="267">
        <f>Rounding!AA168</f>
        <v>1.946</v>
      </c>
      <c r="AB73" s="267">
        <f>Rounding!AB168</f>
        <v>1.087</v>
      </c>
      <c r="AC73" s="267">
        <f>Rounding!AC168</f>
        <v>1.087</v>
      </c>
      <c r="AD73" s="267">
        <f>Rounding!AD168</f>
        <v>1.087</v>
      </c>
      <c r="AE73" s="267">
        <f>Rounding!AE168</f>
        <v>1.087</v>
      </c>
      <c r="AF73" s="267">
        <f>Rounding!AF168</f>
        <v>1.087</v>
      </c>
      <c r="AG73" s="267">
        <f>Rounding!AG168</f>
        <v>10.542</v>
      </c>
      <c r="AH73" s="267">
        <f>Rounding!AH168</f>
        <v>-4.1870000000000003</v>
      </c>
      <c r="AI73" s="267">
        <f>Rounding!AI168</f>
        <v>-3.468</v>
      </c>
      <c r="AJ73" s="267">
        <f>Rounding!AJ168</f>
        <v>-4.1870000000000003</v>
      </c>
      <c r="AK73" s="267">
        <f>Rounding!AK168</f>
        <v>0</v>
      </c>
      <c r="AL73" s="267">
        <f>Rounding!AL168</f>
        <v>-3.468</v>
      </c>
      <c r="AM73" s="267">
        <f>Rounding!AM168</f>
        <v>0</v>
      </c>
      <c r="AN73" s="267">
        <f>Rounding!AN168</f>
        <v>-1.752</v>
      </c>
      <c r="AO73" s="267">
        <f>Rounding!AO168</f>
        <v>0</v>
      </c>
      <c r="AP73" s="256"/>
      <c r="AQ73" s="256"/>
    </row>
    <row r="74" spans="3:43" x14ac:dyDescent="0.25">
      <c r="C74" s="78"/>
      <c r="F74" t="s">
        <v>157</v>
      </c>
      <c r="G74" s="12" t="s">
        <v>269</v>
      </c>
      <c r="H74" s="268"/>
      <c r="I74" s="256"/>
      <c r="J74" s="268">
        <f>Rounding!J169</f>
        <v>0.59899999999999998</v>
      </c>
      <c r="K74" s="268">
        <f>Rounding!K169</f>
        <v>0.59899999999999998</v>
      </c>
      <c r="L74" s="268">
        <f>Rounding!L169</f>
        <v>0.55600000000000005</v>
      </c>
      <c r="M74" s="268">
        <f>Rounding!M169</f>
        <v>0.55600000000000005</v>
      </c>
      <c r="N74" s="268">
        <f>Rounding!N169</f>
        <v>0.55600000000000005</v>
      </c>
      <c r="O74" s="268">
        <f>Rounding!O169</f>
        <v>0.55600000000000005</v>
      </c>
      <c r="P74" s="268">
        <f>Rounding!P169</f>
        <v>0.55600000000000005</v>
      </c>
      <c r="Q74" s="268">
        <f>Rounding!Q169</f>
        <v>0.55600000000000005</v>
      </c>
      <c r="R74" s="268">
        <f>Rounding!R169</f>
        <v>0.438</v>
      </c>
      <c r="S74" s="268">
        <f>Rounding!S169</f>
        <v>0.438</v>
      </c>
      <c r="T74" s="268">
        <f>Rounding!T169</f>
        <v>0.438</v>
      </c>
      <c r="U74" s="268">
        <f>Rounding!U169</f>
        <v>0.438</v>
      </c>
      <c r="V74" s="268">
        <f>Rounding!V169</f>
        <v>0.438</v>
      </c>
      <c r="W74" s="268">
        <f>Rounding!W169</f>
        <v>0.35899999999999999</v>
      </c>
      <c r="X74" s="268">
        <f>Rounding!X169</f>
        <v>0.35899999999999999</v>
      </c>
      <c r="Y74" s="268">
        <f>Rounding!Y169</f>
        <v>0.35899999999999999</v>
      </c>
      <c r="Z74" s="268">
        <f>Rounding!Z169</f>
        <v>0.35899999999999999</v>
      </c>
      <c r="AA74" s="268">
        <f>Rounding!AA169</f>
        <v>0.35899999999999999</v>
      </c>
      <c r="AB74" s="268">
        <f>Rounding!AB169</f>
        <v>0.191</v>
      </c>
      <c r="AC74" s="268">
        <f>Rounding!AC169</f>
        <v>0.191</v>
      </c>
      <c r="AD74" s="268">
        <f>Rounding!AD169</f>
        <v>0.191</v>
      </c>
      <c r="AE74" s="268">
        <f>Rounding!AE169</f>
        <v>0.191</v>
      </c>
      <c r="AF74" s="268">
        <f>Rounding!AF169</f>
        <v>0.191</v>
      </c>
      <c r="AG74" s="268">
        <f>Rounding!AG169</f>
        <v>1.4910000000000001</v>
      </c>
      <c r="AH74" s="268">
        <f>Rounding!AH169</f>
        <v>-0.74399999999999999</v>
      </c>
      <c r="AI74" s="268">
        <f>Rounding!AI169</f>
        <v>-0.61899999999999999</v>
      </c>
      <c r="AJ74" s="268">
        <f>Rounding!AJ169</f>
        <v>-0.74399999999999999</v>
      </c>
      <c r="AK74" s="268">
        <f>Rounding!AK169</f>
        <v>0</v>
      </c>
      <c r="AL74" s="268">
        <f>Rounding!AL169</f>
        <v>-0.61899999999999999</v>
      </c>
      <c r="AM74" s="268">
        <f>Rounding!AM169</f>
        <v>0</v>
      </c>
      <c r="AN74" s="268">
        <f>Rounding!AN169</f>
        <v>-0.32200000000000001</v>
      </c>
      <c r="AO74" s="268">
        <f>Rounding!AO169</f>
        <v>0</v>
      </c>
      <c r="AP74" s="256"/>
      <c r="AQ74" s="256"/>
    </row>
    <row r="75" spans="3:43" x14ac:dyDescent="0.25">
      <c r="C75" s="78"/>
      <c r="F75" t="s">
        <v>158</v>
      </c>
      <c r="G75" s="12" t="s">
        <v>269</v>
      </c>
      <c r="H75" s="268"/>
      <c r="I75" s="256"/>
      <c r="J75" s="268">
        <f>Rounding!J170</f>
        <v>7.0999999999999994E-2</v>
      </c>
      <c r="K75" s="268">
        <f>Rounding!K170</f>
        <v>7.0999999999999994E-2</v>
      </c>
      <c r="L75" s="268">
        <f>Rounding!L170</f>
        <v>6.5000000000000002E-2</v>
      </c>
      <c r="M75" s="268">
        <f>Rounding!M170</f>
        <v>6.5000000000000002E-2</v>
      </c>
      <c r="N75" s="268">
        <f>Rounding!N170</f>
        <v>6.5000000000000002E-2</v>
      </c>
      <c r="O75" s="268">
        <f>Rounding!O170</f>
        <v>6.5000000000000002E-2</v>
      </c>
      <c r="P75" s="268">
        <f>Rounding!P170</f>
        <v>6.5000000000000002E-2</v>
      </c>
      <c r="Q75" s="268">
        <f>Rounding!Q170</f>
        <v>6.5000000000000002E-2</v>
      </c>
      <c r="R75" s="268">
        <f>Rounding!R170</f>
        <v>4.9000000000000002E-2</v>
      </c>
      <c r="S75" s="268">
        <f>Rounding!S170</f>
        <v>4.9000000000000002E-2</v>
      </c>
      <c r="T75" s="268">
        <f>Rounding!T170</f>
        <v>4.9000000000000002E-2</v>
      </c>
      <c r="U75" s="268">
        <f>Rounding!U170</f>
        <v>4.9000000000000002E-2</v>
      </c>
      <c r="V75" s="268">
        <f>Rounding!V170</f>
        <v>4.9000000000000002E-2</v>
      </c>
      <c r="W75" s="268">
        <f>Rounding!W170</f>
        <v>3.3000000000000002E-2</v>
      </c>
      <c r="X75" s="268">
        <f>Rounding!X170</f>
        <v>3.3000000000000002E-2</v>
      </c>
      <c r="Y75" s="268">
        <f>Rounding!Y170</f>
        <v>3.3000000000000002E-2</v>
      </c>
      <c r="Z75" s="268">
        <f>Rounding!Z170</f>
        <v>3.3000000000000002E-2</v>
      </c>
      <c r="AA75" s="268">
        <f>Rounding!AA170</f>
        <v>3.3000000000000002E-2</v>
      </c>
      <c r="AB75" s="268">
        <f>Rounding!AB170</f>
        <v>1.6E-2</v>
      </c>
      <c r="AC75" s="268">
        <f>Rounding!AC170</f>
        <v>1.6E-2</v>
      </c>
      <c r="AD75" s="268">
        <f>Rounding!AD170</f>
        <v>1.6E-2</v>
      </c>
      <c r="AE75" s="268">
        <f>Rounding!AE170</f>
        <v>1.6E-2</v>
      </c>
      <c r="AF75" s="268">
        <f>Rounding!AF170</f>
        <v>1.6E-2</v>
      </c>
      <c r="AG75" s="268">
        <f>Rounding!AG170</f>
        <v>1.0449999999999999</v>
      </c>
      <c r="AH75" s="268">
        <f>Rounding!AH170</f>
        <v>-8.6999999999999994E-2</v>
      </c>
      <c r="AI75" s="268">
        <f>Rounding!AI170</f>
        <v>-7.0000000000000007E-2</v>
      </c>
      <c r="AJ75" s="268">
        <f>Rounding!AJ170</f>
        <v>-8.6999999999999994E-2</v>
      </c>
      <c r="AK75" s="268">
        <f>Rounding!AK170</f>
        <v>0</v>
      </c>
      <c r="AL75" s="268">
        <f>Rounding!AL170</f>
        <v>-7.0000000000000007E-2</v>
      </c>
      <c r="AM75" s="268">
        <f>Rounding!AM170</f>
        <v>0</v>
      </c>
      <c r="AN75" s="268">
        <f>Rounding!AN170</f>
        <v>-0.03</v>
      </c>
      <c r="AO75" s="268">
        <f>Rounding!AO170</f>
        <v>0</v>
      </c>
      <c r="AP75" s="256"/>
      <c r="AQ75" s="256"/>
    </row>
    <row r="76" spans="3:43" x14ac:dyDescent="0.25">
      <c r="C76" s="78"/>
      <c r="F76" t="s">
        <v>159</v>
      </c>
      <c r="G76" s="12" t="s">
        <v>270</v>
      </c>
      <c r="H76" s="41"/>
      <c r="J76" s="110">
        <f>Rounding!J171</f>
        <v>7.71</v>
      </c>
      <c r="K76" s="110">
        <f>Rounding!K171</f>
        <v>0</v>
      </c>
      <c r="L76" s="110">
        <f>Rounding!L171</f>
        <v>5.43</v>
      </c>
      <c r="M76" s="110">
        <f>Rounding!M171</f>
        <v>7.44</v>
      </c>
      <c r="N76" s="110">
        <f>Rounding!N171</f>
        <v>15.43</v>
      </c>
      <c r="O76" s="110">
        <f>Rounding!O171</f>
        <v>29.31</v>
      </c>
      <c r="P76" s="110">
        <f>Rounding!P171</f>
        <v>84.51</v>
      </c>
      <c r="Q76" s="110">
        <f>Rounding!Q171</f>
        <v>0</v>
      </c>
      <c r="R76" s="110">
        <f>Rounding!R171</f>
        <v>7.45</v>
      </c>
      <c r="S76" s="110">
        <f>Rounding!S171</f>
        <v>138.28</v>
      </c>
      <c r="T76" s="110">
        <f>Rounding!T171</f>
        <v>253.12</v>
      </c>
      <c r="U76" s="110">
        <f>Rounding!U171</f>
        <v>398.1</v>
      </c>
      <c r="V76" s="110">
        <f>Rounding!V171</f>
        <v>685.47</v>
      </c>
      <c r="W76" s="110">
        <f>Rounding!W171</f>
        <v>9</v>
      </c>
      <c r="X76" s="110">
        <f>Rounding!X171</f>
        <v>212.16</v>
      </c>
      <c r="Y76" s="110">
        <f>Rounding!Y171</f>
        <v>390.49</v>
      </c>
      <c r="Z76" s="110">
        <f>Rounding!Z171</f>
        <v>615.63</v>
      </c>
      <c r="AA76" s="110">
        <f>Rounding!AA171</f>
        <v>1061.8800000000001</v>
      </c>
      <c r="AB76" s="110">
        <f>Rounding!AB171</f>
        <v>93.93</v>
      </c>
      <c r="AC76" s="110">
        <f>Rounding!AC171</f>
        <v>1149.99</v>
      </c>
      <c r="AD76" s="110">
        <f>Rounding!AD171</f>
        <v>3407.02</v>
      </c>
      <c r="AE76" s="110">
        <f>Rounding!AE171</f>
        <v>7490.14</v>
      </c>
      <c r="AF76" s="110">
        <f>Rounding!AF171</f>
        <v>23134.03</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2.54</v>
      </c>
      <c r="S77" s="110">
        <f>Rounding!S172</f>
        <v>2.54</v>
      </c>
      <c r="T77" s="110">
        <f>Rounding!T172</f>
        <v>2.54</v>
      </c>
      <c r="U77" s="110">
        <f>Rounding!U172</f>
        <v>2.54</v>
      </c>
      <c r="V77" s="110">
        <f>Rounding!V172</f>
        <v>2.54</v>
      </c>
      <c r="W77" s="110">
        <f>Rounding!W172</f>
        <v>4.2699999999999996</v>
      </c>
      <c r="X77" s="110">
        <f>Rounding!X172</f>
        <v>4.2699999999999996</v>
      </c>
      <c r="Y77" s="110">
        <f>Rounding!Y172</f>
        <v>4.2699999999999996</v>
      </c>
      <c r="Z77" s="110">
        <f>Rounding!Z172</f>
        <v>4.2699999999999996</v>
      </c>
      <c r="AA77" s="110">
        <f>Rounding!AA172</f>
        <v>4.2699999999999996</v>
      </c>
      <c r="AB77" s="110">
        <f>Rounding!AB172</f>
        <v>5.18</v>
      </c>
      <c r="AC77" s="110">
        <f>Rounding!AC172</f>
        <v>5.18</v>
      </c>
      <c r="AD77" s="110">
        <f>Rounding!AD172</f>
        <v>5.18</v>
      </c>
      <c r="AE77" s="110">
        <f>Rounding!AE172</f>
        <v>5.18</v>
      </c>
      <c r="AF77" s="110">
        <f>Rounding!AF172</f>
        <v>5.18</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4.45</v>
      </c>
      <c r="S78" s="110">
        <f>Rounding!S173</f>
        <v>4.45</v>
      </c>
      <c r="T78" s="110">
        <f>Rounding!T173</f>
        <v>4.45</v>
      </c>
      <c r="U78" s="110">
        <f>Rounding!U173</f>
        <v>4.45</v>
      </c>
      <c r="V78" s="110">
        <f>Rounding!V173</f>
        <v>4.45</v>
      </c>
      <c r="W78" s="110">
        <f>Rounding!W173</f>
        <v>5.81</v>
      </c>
      <c r="X78" s="110">
        <f>Rounding!X173</f>
        <v>5.81</v>
      </c>
      <c r="Y78" s="110">
        <f>Rounding!Y173</f>
        <v>5.81</v>
      </c>
      <c r="Z78" s="110">
        <f>Rounding!Z173</f>
        <v>5.81</v>
      </c>
      <c r="AA78" s="110">
        <f>Rounding!AA173</f>
        <v>5.81</v>
      </c>
      <c r="AB78" s="110">
        <f>Rounding!AB173</f>
        <v>6.74</v>
      </c>
      <c r="AC78" s="110">
        <f>Rounding!AC173</f>
        <v>6.74</v>
      </c>
      <c r="AD78" s="110">
        <f>Rounding!AD173</f>
        <v>6.74</v>
      </c>
      <c r="AE78" s="110">
        <f>Rounding!AE173</f>
        <v>6.74</v>
      </c>
      <c r="AF78" s="110">
        <f>Rounding!AF173</f>
        <v>6.74</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5.8999999999999997E-2</v>
      </c>
      <c r="S79" s="272">
        <f>Rounding!S174</f>
        <v>5.8999999999999997E-2</v>
      </c>
      <c r="T79" s="272">
        <f>Rounding!T174</f>
        <v>5.8999999999999997E-2</v>
      </c>
      <c r="U79" s="272">
        <f>Rounding!U174</f>
        <v>5.8999999999999997E-2</v>
      </c>
      <c r="V79" s="272">
        <f>Rounding!V174</f>
        <v>5.8999999999999997E-2</v>
      </c>
      <c r="W79" s="272">
        <f>Rounding!W174</f>
        <v>5.6000000000000001E-2</v>
      </c>
      <c r="X79" s="272">
        <f>Rounding!X174</f>
        <v>5.6000000000000001E-2</v>
      </c>
      <c r="Y79" s="272">
        <f>Rounding!Y174</f>
        <v>5.6000000000000001E-2</v>
      </c>
      <c r="Z79" s="272">
        <f>Rounding!Z174</f>
        <v>5.6000000000000001E-2</v>
      </c>
      <c r="AA79" s="272">
        <f>Rounding!AA174</f>
        <v>5.6000000000000001E-2</v>
      </c>
      <c r="AB79" s="272">
        <f>Rounding!AB174</f>
        <v>2.8000000000000001E-2</v>
      </c>
      <c r="AC79" s="272">
        <f>Rounding!AC174</f>
        <v>2.8000000000000001E-2</v>
      </c>
      <c r="AD79" s="272">
        <f>Rounding!AD174</f>
        <v>2.8000000000000001E-2</v>
      </c>
      <c r="AE79" s="272">
        <f>Rounding!AE174</f>
        <v>2.8000000000000001E-2</v>
      </c>
      <c r="AF79" s="272">
        <f>Rounding!AF174</f>
        <v>2.8000000000000001E-2</v>
      </c>
      <c r="AG79" s="272">
        <f>Rounding!AG174</f>
        <v>0</v>
      </c>
      <c r="AH79" s="272">
        <f>Rounding!AH174</f>
        <v>0</v>
      </c>
      <c r="AI79" s="272">
        <f>Rounding!AI174</f>
        <v>0</v>
      </c>
      <c r="AJ79" s="272">
        <f>Rounding!AJ174</f>
        <v>0.13200000000000001</v>
      </c>
      <c r="AK79" s="272">
        <f>Rounding!AK174</f>
        <v>0</v>
      </c>
      <c r="AL79" s="272">
        <f>Rounding!AL174</f>
        <v>0.10100000000000001</v>
      </c>
      <c r="AM79" s="272">
        <f>Rounding!AM174</f>
        <v>0</v>
      </c>
      <c r="AN79" s="272">
        <f>Rounding!AN174</f>
        <v>7.8E-2</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control'!$H$36:$H$59,MATCH($A$1,'Version control'!$F$36:$F$59,0),1)&amp;"-C: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277</v>
      </c>
      <c r="H83" s="110">
        <f>'General inputs'!$H$88</f>
        <v>529115080.97237021</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277</v>
      </c>
      <c r="H85" s="110">
        <f>'Revenue matching'!H83</f>
        <v>330841750.08271217</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277</v>
      </c>
      <c r="H86" s="114">
        <f>'SoLR &amp; bad debt adders'!H57</f>
        <v>2402314.7350921296</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277</v>
      </c>
      <c r="H87" s="114">
        <f>'SoLR &amp; bad debt adders'!H61</f>
        <v>3243.7474691989869</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277</v>
      </c>
      <c r="H88" s="114">
        <f>'Revenue matching'!H85</f>
        <v>195867772.40709668</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control'!$H$36:$H$59,MATCH($A$1,'Version control'!$F$36:$F$59,0),1)&amp;"-D: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156</v>
      </c>
      <c r="G95" s="75" t="s">
        <v>277</v>
      </c>
      <c r="H95" s="116">
        <f t="shared" ref="H95:H101" si="0">SUM(J95:AO95)</f>
        <v>100673625.83754762</v>
      </c>
      <c r="I95" s="19"/>
      <c r="J95" s="116">
        <f t="shared" ref="J95:AO95" si="1">J22 * thousand * J55 / hundred</f>
        <v>62842466.804768801</v>
      </c>
      <c r="K95" s="116">
        <f t="shared" si="1"/>
        <v>6365.0359874485475</v>
      </c>
      <c r="L95" s="116">
        <f t="shared" si="1"/>
        <v>51.375730064368575</v>
      </c>
      <c r="M95" s="116">
        <f t="shared" si="1"/>
        <v>716334.65587726457</v>
      </c>
      <c r="N95" s="116">
        <f t="shared" si="1"/>
        <v>2685721.2309466223</v>
      </c>
      <c r="O95" s="116">
        <f t="shared" si="1"/>
        <v>3347736.8810955528</v>
      </c>
      <c r="P95" s="116">
        <f t="shared" si="1"/>
        <v>11175174.114021666</v>
      </c>
      <c r="Q95" s="116">
        <f t="shared" si="1"/>
        <v>6903.694983836217</v>
      </c>
      <c r="R95" s="116">
        <f t="shared" si="1"/>
        <v>5393.6591223507749</v>
      </c>
      <c r="S95" s="116">
        <f t="shared" si="1"/>
        <v>2792603.082503357</v>
      </c>
      <c r="T95" s="116">
        <f t="shared" si="1"/>
        <v>4216286.4972932683</v>
      </c>
      <c r="U95" s="116">
        <f t="shared" si="1"/>
        <v>2315912.5456532957</v>
      </c>
      <c r="V95" s="116">
        <f t="shared" si="1"/>
        <v>2284995.0150655615</v>
      </c>
      <c r="W95" s="116">
        <f t="shared" si="1"/>
        <v>22.622266458065269</v>
      </c>
      <c r="X95" s="116">
        <f t="shared" si="1"/>
        <v>13110.340618451848</v>
      </c>
      <c r="Y95" s="116">
        <f t="shared" si="1"/>
        <v>19830.217954086052</v>
      </c>
      <c r="Z95" s="116">
        <f t="shared" si="1"/>
        <v>35740.184079667648</v>
      </c>
      <c r="AA95" s="116">
        <f t="shared" si="1"/>
        <v>407417.06881591864</v>
      </c>
      <c r="AB95" s="116">
        <f t="shared" si="1"/>
        <v>6091.1489345640903</v>
      </c>
      <c r="AC95" s="116">
        <f t="shared" si="1"/>
        <v>1173816.2806949401</v>
      </c>
      <c r="AD95" s="116">
        <f t="shared" si="1"/>
        <v>2030969.7787461504</v>
      </c>
      <c r="AE95" s="116">
        <f t="shared" si="1"/>
        <v>1109923.2562825575</v>
      </c>
      <c r="AF95" s="116">
        <f t="shared" si="1"/>
        <v>3480764.045857491</v>
      </c>
      <c r="AG95" s="116">
        <f t="shared" si="1"/>
        <v>2214609.9007657776</v>
      </c>
      <c r="AH95" s="116">
        <f t="shared" si="1"/>
        <v>-16863.081033745857</v>
      </c>
      <c r="AI95" s="116">
        <f t="shared" si="1"/>
        <v>0</v>
      </c>
      <c r="AJ95" s="116">
        <f t="shared" si="1"/>
        <v>-191809.82855602674</v>
      </c>
      <c r="AK95" s="116">
        <f t="shared" si="1"/>
        <v>0</v>
      </c>
      <c r="AL95" s="116">
        <f t="shared" si="1"/>
        <v>-34706.755171390738</v>
      </c>
      <c r="AM95" s="116">
        <f t="shared" si="1"/>
        <v>0</v>
      </c>
      <c r="AN95" s="116">
        <f t="shared" si="1"/>
        <v>-1971233.9357563334</v>
      </c>
      <c r="AO95" s="116">
        <f t="shared" si="1"/>
        <v>0</v>
      </c>
    </row>
    <row r="96" spans="2:43" x14ac:dyDescent="0.25">
      <c r="E96" s="23"/>
      <c r="F96" t="s">
        <v>157</v>
      </c>
      <c r="G96" s="12" t="s">
        <v>277</v>
      </c>
      <c r="H96" s="88">
        <f t="shared" si="0"/>
        <v>59801319.563585237</v>
      </c>
      <c r="J96" s="88">
        <f t="shared" ref="J96:AO96" si="2">J23 * thousand * J56 / hundred</f>
        <v>31718134.213934783</v>
      </c>
      <c r="K96" s="88">
        <f t="shared" si="2"/>
        <v>30381.23214720314</v>
      </c>
      <c r="L96" s="88">
        <f t="shared" si="2"/>
        <v>37.708138365402348</v>
      </c>
      <c r="M96" s="88">
        <f t="shared" si="2"/>
        <v>525766.66620425473</v>
      </c>
      <c r="N96" s="88">
        <f t="shared" si="2"/>
        <v>1971233.2585940571</v>
      </c>
      <c r="O96" s="88">
        <f t="shared" si="2"/>
        <v>2457131.5164796589</v>
      </c>
      <c r="P96" s="88">
        <f t="shared" si="2"/>
        <v>8202219.4374858774</v>
      </c>
      <c r="Q96" s="88">
        <f t="shared" si="2"/>
        <v>10014.03660701435</v>
      </c>
      <c r="R96" s="88">
        <f t="shared" si="2"/>
        <v>4173.4296945850911</v>
      </c>
      <c r="S96" s="88">
        <f t="shared" si="2"/>
        <v>2160821.1355836974</v>
      </c>
      <c r="T96" s="88">
        <f t="shared" si="2"/>
        <v>3262418.8643595027</v>
      </c>
      <c r="U96" s="88">
        <f t="shared" si="2"/>
        <v>1791974.2365696791</v>
      </c>
      <c r="V96" s="88">
        <f t="shared" si="2"/>
        <v>1768051.3046025105</v>
      </c>
      <c r="W96" s="88">
        <f t="shared" si="2"/>
        <v>15.790325637733988</v>
      </c>
      <c r="X96" s="88">
        <f t="shared" si="2"/>
        <v>9151.008276324148</v>
      </c>
      <c r="Y96" s="88">
        <f t="shared" si="2"/>
        <v>13841.477799879005</v>
      </c>
      <c r="Z96" s="88">
        <f t="shared" si="2"/>
        <v>24946.622656781015</v>
      </c>
      <c r="AA96" s="88">
        <f t="shared" si="2"/>
        <v>284376.81957728235</v>
      </c>
      <c r="AB96" s="88">
        <f t="shared" si="2"/>
        <v>4260.6812772729136</v>
      </c>
      <c r="AC96" s="88">
        <f t="shared" si="2"/>
        <v>821069.57223382534</v>
      </c>
      <c r="AD96" s="88">
        <f t="shared" si="2"/>
        <v>1420637.5519580203</v>
      </c>
      <c r="AE96" s="88">
        <f t="shared" si="2"/>
        <v>776377.21356936556</v>
      </c>
      <c r="AF96" s="88">
        <f t="shared" si="2"/>
        <v>2434750.2187370271</v>
      </c>
      <c r="AG96" s="88">
        <f t="shared" si="2"/>
        <v>1357123.4273173315</v>
      </c>
      <c r="AH96" s="88">
        <f t="shared" si="2"/>
        <v>-13503.667950678931</v>
      </c>
      <c r="AI96" s="88">
        <f t="shared" si="2"/>
        <v>0</v>
      </c>
      <c r="AJ96" s="88">
        <f t="shared" si="2"/>
        <v>-152463.69343841303</v>
      </c>
      <c r="AK96" s="88">
        <f t="shared" si="2"/>
        <v>0</v>
      </c>
      <c r="AL96" s="88">
        <f t="shared" si="2"/>
        <v>-24736.264172017462</v>
      </c>
      <c r="AM96" s="88">
        <f t="shared" si="2"/>
        <v>0</v>
      </c>
      <c r="AN96" s="88">
        <f t="shared" si="2"/>
        <v>-1056884.2349835755</v>
      </c>
      <c r="AO96" s="88">
        <f t="shared" si="2"/>
        <v>0</v>
      </c>
    </row>
    <row r="97" spans="5:41" x14ac:dyDescent="0.25">
      <c r="E97" s="23"/>
      <c r="F97" t="s">
        <v>158</v>
      </c>
      <c r="G97" s="12" t="s">
        <v>277</v>
      </c>
      <c r="H97" s="88">
        <f t="shared" si="0"/>
        <v>14039892.366423598</v>
      </c>
      <c r="J97" s="88">
        <f t="shared" ref="J97:AO97" si="3">J24 * thousand * J57 / hundred</f>
        <v>6690707.0166434003</v>
      </c>
      <c r="K97" s="88">
        <f t="shared" si="3"/>
        <v>14871.507195329927</v>
      </c>
      <c r="L97" s="88">
        <f t="shared" si="3"/>
        <v>4.8823335690157537</v>
      </c>
      <c r="M97" s="88">
        <f t="shared" si="3"/>
        <v>68074.647944799013</v>
      </c>
      <c r="N97" s="88">
        <f t="shared" si="3"/>
        <v>255229.20854730956</v>
      </c>
      <c r="O97" s="88">
        <f t="shared" si="3"/>
        <v>318141.81782578235</v>
      </c>
      <c r="P97" s="88">
        <f t="shared" si="3"/>
        <v>1061998.1000391541</v>
      </c>
      <c r="Q97" s="88">
        <f t="shared" si="3"/>
        <v>3055.4383920442024</v>
      </c>
      <c r="R97" s="88">
        <f t="shared" si="3"/>
        <v>669.28256047115758</v>
      </c>
      <c r="S97" s="88">
        <f t="shared" si="3"/>
        <v>346525.52173576935</v>
      </c>
      <c r="T97" s="88">
        <f t="shared" si="3"/>
        <v>523186.0150180413</v>
      </c>
      <c r="U97" s="88">
        <f t="shared" si="3"/>
        <v>287374.46012468101</v>
      </c>
      <c r="V97" s="88">
        <f t="shared" si="3"/>
        <v>283537.99890868447</v>
      </c>
      <c r="W97" s="88">
        <f t="shared" si="3"/>
        <v>1.8199003801340106</v>
      </c>
      <c r="X97" s="88">
        <f t="shared" si="3"/>
        <v>1054.6915765241774</v>
      </c>
      <c r="Y97" s="88">
        <f t="shared" si="3"/>
        <v>1595.2876012524853</v>
      </c>
      <c r="Z97" s="88">
        <f t="shared" si="3"/>
        <v>2875.201506145173</v>
      </c>
      <c r="AA97" s="88">
        <f t="shared" si="3"/>
        <v>32775.605387975207</v>
      </c>
      <c r="AB97" s="88">
        <f t="shared" si="3"/>
        <v>487.11983939060485</v>
      </c>
      <c r="AC97" s="88">
        <f t="shared" si="3"/>
        <v>93872.142065282795</v>
      </c>
      <c r="AD97" s="88">
        <f t="shared" si="3"/>
        <v>162420.20726436196</v>
      </c>
      <c r="AE97" s="88">
        <f t="shared" si="3"/>
        <v>88762.505094607244</v>
      </c>
      <c r="AF97" s="88">
        <f t="shared" si="3"/>
        <v>278362.79184594163</v>
      </c>
      <c r="AG97" s="88">
        <f t="shared" si="3"/>
        <v>3657363.8310412783</v>
      </c>
      <c r="AH97" s="88">
        <f t="shared" si="3"/>
        <v>-880.75697133721451</v>
      </c>
      <c r="AI97" s="88">
        <f t="shared" si="3"/>
        <v>0</v>
      </c>
      <c r="AJ97" s="88">
        <f t="shared" si="3"/>
        <v>-16662.040948930582</v>
      </c>
      <c r="AK97" s="88">
        <f t="shared" si="3"/>
        <v>0</v>
      </c>
      <c r="AL97" s="88">
        <f t="shared" si="3"/>
        <v>-4213.4384065920412</v>
      </c>
      <c r="AM97" s="88">
        <f t="shared" si="3"/>
        <v>0</v>
      </c>
      <c r="AN97" s="88">
        <f t="shared" si="3"/>
        <v>-111298.49764171889</v>
      </c>
      <c r="AO97" s="88">
        <f t="shared" si="3"/>
        <v>0</v>
      </c>
    </row>
    <row r="98" spans="5:41" x14ac:dyDescent="0.25">
      <c r="E98" s="23"/>
      <c r="F98" s="19" t="s">
        <v>159</v>
      </c>
      <c r="G98" s="75" t="s">
        <v>277</v>
      </c>
      <c r="H98" s="116">
        <f t="shared" si="0"/>
        <v>248776151.79977101</v>
      </c>
      <c r="I98" s="19"/>
      <c r="J98" s="116">
        <f t="shared" ref="J98:AO98" si="4" xml:space="preserve"> J25 * J58 * days_in_year / hundred</f>
        <v>125427608.75846685</v>
      </c>
      <c r="K98" s="116">
        <f t="shared" si="4"/>
        <v>0</v>
      </c>
      <c r="L98" s="116">
        <f t="shared" si="4"/>
        <v>311.83436069999999</v>
      </c>
      <c r="M98" s="116">
        <f t="shared" si="4"/>
        <v>3724727.7420014949</v>
      </c>
      <c r="N98" s="116">
        <f t="shared" si="4"/>
        <v>5843539.9331054278</v>
      </c>
      <c r="O98" s="116">
        <f t="shared" si="4"/>
        <v>5805132.5446691997</v>
      </c>
      <c r="P98" s="116">
        <f t="shared" si="4"/>
        <v>16899814.348395184</v>
      </c>
      <c r="Q98" s="116">
        <f t="shared" si="4"/>
        <v>0</v>
      </c>
      <c r="R98" s="116">
        <f t="shared" si="4"/>
        <v>1519.9248</v>
      </c>
      <c r="S98" s="116">
        <f t="shared" si="4"/>
        <v>6426008.5633907495</v>
      </c>
      <c r="T98" s="116">
        <f t="shared" si="4"/>
        <v>9445447.0384060219</v>
      </c>
      <c r="U98" s="116">
        <f t="shared" si="4"/>
        <v>5161754.4239408607</v>
      </c>
      <c r="V98" s="116">
        <f t="shared" si="4"/>
        <v>5339545.5365379797</v>
      </c>
      <c r="W98" s="116">
        <f t="shared" si="4"/>
        <v>41.065200000000004</v>
      </c>
      <c r="X98" s="116">
        <f t="shared" si="4"/>
        <v>22368.890540201035</v>
      </c>
      <c r="Y98" s="116">
        <f t="shared" si="4"/>
        <v>47056.304905582991</v>
      </c>
      <c r="Z98" s="116">
        <f t="shared" si="4"/>
        <v>86824.872919080954</v>
      </c>
      <c r="AA98" s="116">
        <f t="shared" si="4"/>
        <v>1146377.144272066</v>
      </c>
      <c r="AB98" s="116">
        <f t="shared" si="4"/>
        <v>28444.641600000003</v>
      </c>
      <c r="AC98" s="116">
        <f t="shared" si="4"/>
        <v>10127680.484508937</v>
      </c>
      <c r="AD98" s="116">
        <f t="shared" si="4"/>
        <v>16553274.29409066</v>
      </c>
      <c r="AE98" s="116">
        <f t="shared" si="4"/>
        <v>8908594.065808529</v>
      </c>
      <c r="AF98" s="116">
        <f t="shared" si="4"/>
        <v>27700882.686351404</v>
      </c>
      <c r="AG98" s="116">
        <f t="shared" si="4"/>
        <v>0</v>
      </c>
      <c r="AH98" s="116">
        <f t="shared" si="4"/>
        <v>0</v>
      </c>
      <c r="AI98" s="116">
        <f t="shared" si="4"/>
        <v>0</v>
      </c>
      <c r="AJ98" s="116">
        <f t="shared" si="4"/>
        <v>0</v>
      </c>
      <c r="AK98" s="116">
        <f t="shared" si="4"/>
        <v>0</v>
      </c>
      <c r="AL98" s="116">
        <f t="shared" si="4"/>
        <v>0</v>
      </c>
      <c r="AM98" s="116">
        <f t="shared" si="4"/>
        <v>0</v>
      </c>
      <c r="AN98" s="116">
        <f t="shared" si="4"/>
        <v>79196.701499999981</v>
      </c>
      <c r="AO98" s="116">
        <f t="shared" si="4"/>
        <v>0</v>
      </c>
    </row>
    <row r="99" spans="5:41" x14ac:dyDescent="0.25">
      <c r="E99" s="23"/>
      <c r="F99" t="s">
        <v>160</v>
      </c>
      <c r="G99" s="12" t="s">
        <v>277</v>
      </c>
      <c r="H99" s="88">
        <f t="shared" si="0"/>
        <v>90933305.287534595</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33489.292799999996</v>
      </c>
      <c r="S99" s="88">
        <f t="shared" si="5"/>
        <v>5630495.059058005</v>
      </c>
      <c r="T99" s="88">
        <f t="shared" si="5"/>
        <v>10945372.498690393</v>
      </c>
      <c r="U99" s="88">
        <f t="shared" si="5"/>
        <v>6075576.5385387242</v>
      </c>
      <c r="V99" s="88">
        <f t="shared" si="5"/>
        <v>6155124.8014309295</v>
      </c>
      <c r="W99" s="88">
        <f t="shared" si="5"/>
        <v>4299.768</v>
      </c>
      <c r="X99" s="88">
        <f t="shared" si="5"/>
        <v>105227.21191185361</v>
      </c>
      <c r="Y99" s="88">
        <f t="shared" si="5"/>
        <v>59986.073817526543</v>
      </c>
      <c r="Z99" s="88">
        <f t="shared" si="5"/>
        <v>109043.72158738326</v>
      </c>
      <c r="AA99" s="88">
        <f t="shared" si="5"/>
        <v>2193385.7574832337</v>
      </c>
      <c r="AB99" s="88">
        <f t="shared" si="5"/>
        <v>341590.43520000001</v>
      </c>
      <c r="AC99" s="88">
        <f t="shared" si="5"/>
        <v>9992351.5867051259</v>
      </c>
      <c r="AD99" s="88">
        <f t="shared" si="5"/>
        <v>16054069.565934831</v>
      </c>
      <c r="AE99" s="88">
        <f t="shared" si="5"/>
        <v>8403085.2788884956</v>
      </c>
      <c r="AF99" s="88">
        <f t="shared" si="5"/>
        <v>24830207.697488103</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161</v>
      </c>
      <c r="G100" s="12" t="s">
        <v>277</v>
      </c>
      <c r="H100" s="88">
        <f t="shared" si="0"/>
        <v>2015531.7809351771</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0</v>
      </c>
      <c r="S100" s="88">
        <f t="shared" si="6"/>
        <v>166511.16329723236</v>
      </c>
      <c r="T100" s="88">
        <f t="shared" si="6"/>
        <v>323428.42546317884</v>
      </c>
      <c r="U100" s="88">
        <f t="shared" si="6"/>
        <v>179657.78690677811</v>
      </c>
      <c r="V100" s="88">
        <f t="shared" si="6"/>
        <v>182129.63122456989</v>
      </c>
      <c r="W100" s="88">
        <f t="shared" si="6"/>
        <v>0</v>
      </c>
      <c r="X100" s="88">
        <f t="shared" si="6"/>
        <v>664.36551101134069</v>
      </c>
      <c r="Y100" s="88">
        <f t="shared" si="6"/>
        <v>378.72977779482261</v>
      </c>
      <c r="Z100" s="88">
        <f t="shared" si="6"/>
        <v>715.60867204776628</v>
      </c>
      <c r="AA100" s="88">
        <f t="shared" si="6"/>
        <v>13848.222557070276</v>
      </c>
      <c r="AB100" s="88">
        <f t="shared" si="6"/>
        <v>0</v>
      </c>
      <c r="AC100" s="88">
        <f t="shared" si="6"/>
        <v>197800.43923052677</v>
      </c>
      <c r="AD100" s="88">
        <f t="shared" si="6"/>
        <v>309788.34950804198</v>
      </c>
      <c r="AE100" s="88">
        <f t="shared" si="6"/>
        <v>162424.43602075559</v>
      </c>
      <c r="AF100" s="88">
        <f t="shared" si="6"/>
        <v>478184.62276616937</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162</v>
      </c>
      <c r="G101" s="75" t="s">
        <v>277</v>
      </c>
      <c r="H101" s="116">
        <f t="shared" si="0"/>
        <v>537760.98862999992</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331.37610867991907</v>
      </c>
      <c r="S101" s="116">
        <f t="shared" si="7"/>
        <v>64750.611670642837</v>
      </c>
      <c r="T101" s="116">
        <f t="shared" si="7"/>
        <v>98154.606998189018</v>
      </c>
      <c r="U101" s="116">
        <f t="shared" si="7"/>
        <v>53897.573587625324</v>
      </c>
      <c r="V101" s="116">
        <f t="shared" si="7"/>
        <v>53203.864134862881</v>
      </c>
      <c r="W101" s="116">
        <f t="shared" si="7"/>
        <v>135.03519076763232</v>
      </c>
      <c r="X101" s="116">
        <f t="shared" si="7"/>
        <v>80.92473080778754</v>
      </c>
      <c r="Y101" s="116">
        <f t="shared" si="7"/>
        <v>293.11350555243092</v>
      </c>
      <c r="Z101" s="116">
        <f t="shared" si="7"/>
        <v>533.21333805309007</v>
      </c>
      <c r="AA101" s="116">
        <f t="shared" si="7"/>
        <v>6180.8532848190598</v>
      </c>
      <c r="AB101" s="116">
        <f t="shared" si="7"/>
        <v>112.35196263522259</v>
      </c>
      <c r="AC101" s="116">
        <f t="shared" si="7"/>
        <v>34090.64197459384</v>
      </c>
      <c r="AD101" s="116">
        <f t="shared" si="7"/>
        <v>58873.47200700517</v>
      </c>
      <c r="AE101" s="116">
        <f t="shared" si="7"/>
        <v>32174.3023665359</v>
      </c>
      <c r="AF101" s="116">
        <f t="shared" si="7"/>
        <v>100899.90838922985</v>
      </c>
      <c r="AG101" s="116">
        <f t="shared" si="7"/>
        <v>0</v>
      </c>
      <c r="AH101" s="116">
        <f t="shared" si="7"/>
        <v>0</v>
      </c>
      <c r="AI101" s="116">
        <f t="shared" si="7"/>
        <v>0</v>
      </c>
      <c r="AJ101" s="116">
        <f t="shared" si="7"/>
        <v>4965.6024000000007</v>
      </c>
      <c r="AK101" s="116">
        <f t="shared" si="7"/>
        <v>0</v>
      </c>
      <c r="AL101" s="116">
        <f t="shared" si="7"/>
        <v>313.84537999999998</v>
      </c>
      <c r="AM101" s="116">
        <f t="shared" si="7"/>
        <v>0</v>
      </c>
      <c r="AN101" s="116">
        <f t="shared" si="7"/>
        <v>28769.691600000002</v>
      </c>
      <c r="AO101" s="116">
        <f t="shared" si="7"/>
        <v>0</v>
      </c>
    </row>
    <row r="102" spans="5:41" x14ac:dyDescent="0.25">
      <c r="E102" s="23"/>
      <c r="F102" s="98" t="s">
        <v>100</v>
      </c>
      <c r="G102" s="204" t="s">
        <v>277</v>
      </c>
      <c r="H102" s="143">
        <f>SUM(H95:H101)</f>
        <v>516777587.62442726</v>
      </c>
      <c r="I102" s="44"/>
      <c r="J102" s="143">
        <f t="shared" ref="J102" si="8">SUM(J95:J101)</f>
        <v>226678916.79381382</v>
      </c>
      <c r="K102" s="143">
        <f t="shared" ref="K102:AO102" si="9">SUM(K95:K101)</f>
        <v>51617.775329981618</v>
      </c>
      <c r="L102" s="143">
        <f t="shared" si="9"/>
        <v>405.80056269878668</v>
      </c>
      <c r="M102" s="143">
        <f t="shared" si="9"/>
        <v>5034903.7120278133</v>
      </c>
      <c r="N102" s="143">
        <f t="shared" si="9"/>
        <v>10755723.631193418</v>
      </c>
      <c r="O102" s="143">
        <f t="shared" si="9"/>
        <v>11928142.760070194</v>
      </c>
      <c r="P102" s="143">
        <f t="shared" si="9"/>
        <v>37339205.999941885</v>
      </c>
      <c r="Q102" s="143">
        <f t="shared" si="9"/>
        <v>19973.169982894768</v>
      </c>
      <c r="R102" s="143">
        <f t="shared" si="9"/>
        <v>45576.965086086944</v>
      </c>
      <c r="S102" s="143">
        <f t="shared" si="9"/>
        <v>17587715.137239452</v>
      </c>
      <c r="T102" s="143">
        <f t="shared" si="9"/>
        <v>28814293.946228594</v>
      </c>
      <c r="U102" s="143">
        <f t="shared" si="9"/>
        <v>15866147.565321647</v>
      </c>
      <c r="V102" s="143">
        <f t="shared" si="9"/>
        <v>16066588.151905099</v>
      </c>
      <c r="W102" s="143">
        <f t="shared" si="9"/>
        <v>4516.1008832435655</v>
      </c>
      <c r="X102" s="143">
        <f t="shared" si="9"/>
        <v>151657.43316517392</v>
      </c>
      <c r="Y102" s="143">
        <f t="shared" si="9"/>
        <v>142981.20536167434</v>
      </c>
      <c r="Z102" s="143">
        <f t="shared" si="9"/>
        <v>260679.42475915889</v>
      </c>
      <c r="AA102" s="143">
        <f t="shared" si="9"/>
        <v>4084361.4713783651</v>
      </c>
      <c r="AB102" s="143">
        <f t="shared" si="9"/>
        <v>380986.37881386286</v>
      </c>
      <c r="AC102" s="143">
        <f t="shared" si="9"/>
        <v>22440681.147413231</v>
      </c>
      <c r="AD102" s="143">
        <f t="shared" si="9"/>
        <v>36590033.219509073</v>
      </c>
      <c r="AE102" s="143">
        <f t="shared" si="9"/>
        <v>19481341.058030847</v>
      </c>
      <c r="AF102" s="143">
        <f t="shared" si="9"/>
        <v>59304051.971435361</v>
      </c>
      <c r="AG102" s="143">
        <f t="shared" si="9"/>
        <v>7229097.1591243874</v>
      </c>
      <c r="AH102" s="143">
        <f t="shared" si="9"/>
        <v>-31247.505955762004</v>
      </c>
      <c r="AI102" s="143">
        <f t="shared" si="9"/>
        <v>0</v>
      </c>
      <c r="AJ102" s="143">
        <f t="shared" si="9"/>
        <v>-355969.9605433704</v>
      </c>
      <c r="AK102" s="143">
        <f t="shared" si="9"/>
        <v>0</v>
      </c>
      <c r="AL102" s="143">
        <f t="shared" si="9"/>
        <v>-63342.612370000243</v>
      </c>
      <c r="AM102" s="143">
        <f t="shared" si="9"/>
        <v>0</v>
      </c>
      <c r="AN102" s="143">
        <f t="shared" si="9"/>
        <v>-3031450.2752816277</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156</v>
      </c>
      <c r="G105" s="75" t="s">
        <v>277</v>
      </c>
      <c r="H105" s="116">
        <f t="shared" ref="H105:H111" si="10">SUM(J105:AO105)</f>
        <v>802050.20232515945</v>
      </c>
      <c r="I105" s="19"/>
      <c r="J105" s="116">
        <f t="shared" ref="J105:AO105" si="11">J33 * thousand * J64 / hundred</f>
        <v>681577.76785570208</v>
      </c>
      <c r="K105" s="116">
        <f t="shared" si="11"/>
        <v>0</v>
      </c>
      <c r="L105" s="116">
        <f t="shared" si="11"/>
        <v>0</v>
      </c>
      <c r="M105" s="116">
        <f t="shared" si="11"/>
        <v>1304.3732580204567</v>
      </c>
      <c r="N105" s="116">
        <f t="shared" si="11"/>
        <v>4890.0771338109362</v>
      </c>
      <c r="O105" s="116">
        <f t="shared" si="11"/>
        <v>6095.4545034783105</v>
      </c>
      <c r="P105" s="116">
        <f t="shared" si="11"/>
        <v>20347.407158885184</v>
      </c>
      <c r="Q105" s="116">
        <f t="shared" si="11"/>
        <v>0</v>
      </c>
      <c r="R105" s="116">
        <f t="shared" si="11"/>
        <v>0</v>
      </c>
      <c r="S105" s="116">
        <f t="shared" si="11"/>
        <v>21002.905419913575</v>
      </c>
      <c r="T105" s="116">
        <f t="shared" si="11"/>
        <v>31702.440352102378</v>
      </c>
      <c r="U105" s="116">
        <f t="shared" si="11"/>
        <v>17412.13127777589</v>
      </c>
      <c r="V105" s="116">
        <f t="shared" si="11"/>
        <v>17180.717113868392</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716.12019647990962</v>
      </c>
      <c r="AH105" s="116">
        <f t="shared" si="11"/>
        <v>-179.19194487769903</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157</v>
      </c>
      <c r="G106" s="12" t="s">
        <v>277</v>
      </c>
      <c r="H106" s="88">
        <f t="shared" si="10"/>
        <v>441848.49911467661</v>
      </c>
      <c r="J106" s="88">
        <f t="shared" ref="J106:AO106" si="12">J34 * thousand * J65 / hundred</f>
        <v>331530</v>
      </c>
      <c r="K106" s="88">
        <f t="shared" si="12"/>
        <v>0</v>
      </c>
      <c r="L106" s="88">
        <f t="shared" si="12"/>
        <v>0</v>
      </c>
      <c r="M106" s="88">
        <f t="shared" si="12"/>
        <v>996.1981563784633</v>
      </c>
      <c r="N106" s="88">
        <f t="shared" si="12"/>
        <v>3734.7329802237746</v>
      </c>
      <c r="O106" s="88">
        <f t="shared" si="12"/>
        <v>4655.3243109792911</v>
      </c>
      <c r="P106" s="88">
        <f t="shared" si="12"/>
        <v>15540.068284998124</v>
      </c>
      <c r="Q106" s="88">
        <f t="shared" si="12"/>
        <v>0</v>
      </c>
      <c r="R106" s="88">
        <f t="shared" si="12"/>
        <v>0</v>
      </c>
      <c r="S106" s="88">
        <f t="shared" si="12"/>
        <v>19369.506192554269</v>
      </c>
      <c r="T106" s="88">
        <f t="shared" si="12"/>
        <v>29236.936625773567</v>
      </c>
      <c r="U106" s="88">
        <f t="shared" si="12"/>
        <v>16057.987114995813</v>
      </c>
      <c r="V106" s="88">
        <f t="shared" si="12"/>
        <v>15844.570066676342</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5019.1145772529762</v>
      </c>
      <c r="AH106" s="88">
        <f t="shared" si="12"/>
        <v>-135.93919515604003</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158</v>
      </c>
      <c r="G107" s="12" t="s">
        <v>277</v>
      </c>
      <c r="H107" s="88">
        <f t="shared" si="10"/>
        <v>71918.646084912689</v>
      </c>
      <c r="J107" s="88">
        <f t="shared" ref="J107:AO107" si="13">J35 * thousand * J66 / hundred</f>
        <v>50960</v>
      </c>
      <c r="K107" s="88">
        <f t="shared" si="13"/>
        <v>0</v>
      </c>
      <c r="L107" s="88">
        <f t="shared" si="13"/>
        <v>0</v>
      </c>
      <c r="M107" s="88">
        <f t="shared" si="13"/>
        <v>115.894512302793</v>
      </c>
      <c r="N107" s="88">
        <f t="shared" si="13"/>
        <v>434.48690860631706</v>
      </c>
      <c r="O107" s="88">
        <f t="shared" si="13"/>
        <v>541.58556425526103</v>
      </c>
      <c r="P107" s="88">
        <f t="shared" si="13"/>
        <v>1807.8819193856659</v>
      </c>
      <c r="Q107" s="88">
        <f t="shared" si="13"/>
        <v>0</v>
      </c>
      <c r="R107" s="88">
        <f t="shared" si="13"/>
        <v>0</v>
      </c>
      <c r="S107" s="88">
        <f t="shared" si="13"/>
        <v>3031.4098799660146</v>
      </c>
      <c r="T107" s="88">
        <f t="shared" si="13"/>
        <v>4575.7045980542171</v>
      </c>
      <c r="U107" s="88">
        <f t="shared" si="13"/>
        <v>2513.1430976530237</v>
      </c>
      <c r="V107" s="88">
        <f t="shared" si="13"/>
        <v>2479.7424243267451</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5467.8524719771613</v>
      </c>
      <c r="AH107" s="88">
        <f t="shared" si="13"/>
        <v>-9.055291614527798</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159</v>
      </c>
      <c r="G108" s="75" t="s">
        <v>277</v>
      </c>
      <c r="H108" s="116">
        <f t="shared" si="10"/>
        <v>1550742.1207867004</v>
      </c>
      <c r="I108" s="19"/>
      <c r="J108" s="116">
        <f t="shared" ref="J108:AO108" si="14" xml:space="preserve"> J36 * J67 * days_in_year / hundred</f>
        <v>1354591.7</v>
      </c>
      <c r="K108" s="116">
        <f t="shared" si="14"/>
        <v>0</v>
      </c>
      <c r="L108" s="116">
        <f t="shared" si="14"/>
        <v>0</v>
      </c>
      <c r="M108" s="116">
        <f t="shared" si="14"/>
        <v>6032.9931848037095</v>
      </c>
      <c r="N108" s="116">
        <f t="shared" si="14"/>
        <v>9435.5804905875939</v>
      </c>
      <c r="O108" s="116">
        <f t="shared" si="14"/>
        <v>9362.5571351511735</v>
      </c>
      <c r="P108" s="116">
        <f t="shared" si="14"/>
        <v>27227.224497624888</v>
      </c>
      <c r="Q108" s="116">
        <f t="shared" si="14"/>
        <v>0</v>
      </c>
      <c r="R108" s="116">
        <f t="shared" si="14"/>
        <v>0</v>
      </c>
      <c r="S108" s="116">
        <f t="shared" si="14"/>
        <v>35090.506051247052</v>
      </c>
      <c r="T108" s="116">
        <f t="shared" si="14"/>
        <v>51572.666484781039</v>
      </c>
      <c r="U108" s="116">
        <f t="shared" si="14"/>
        <v>28194.996771129943</v>
      </c>
      <c r="V108" s="116">
        <f t="shared" si="14"/>
        <v>29233.896171374916</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160</v>
      </c>
      <c r="G109" s="12" t="s">
        <v>277</v>
      </c>
      <c r="H109" s="88">
        <f t="shared" si="10"/>
        <v>262151.70466666663</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0</v>
      </c>
      <c r="S109" s="88">
        <f t="shared" si="15"/>
        <v>51250.206875201882</v>
      </c>
      <c r="T109" s="88">
        <f t="shared" si="15"/>
        <v>99547.522136518746</v>
      </c>
      <c r="U109" s="88">
        <f t="shared" si="15"/>
        <v>55296.585306279914</v>
      </c>
      <c r="V109" s="88">
        <f t="shared" si="15"/>
        <v>56057.390348666086</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161</v>
      </c>
      <c r="G110" s="12" t="s">
        <v>277</v>
      </c>
      <c r="H110" s="88">
        <f t="shared" si="10"/>
        <v>589.44393160577727</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115.23527369215546</v>
      </c>
      <c r="T110" s="88">
        <f t="shared" si="16"/>
        <v>223.8310176329889</v>
      </c>
      <c r="U110" s="88">
        <f t="shared" si="16"/>
        <v>124.33349113160408</v>
      </c>
      <c r="V110" s="88">
        <f t="shared" si="16"/>
        <v>126.04414914902885</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162</v>
      </c>
      <c r="G111" s="75" t="s">
        <v>277</v>
      </c>
      <c r="H111" s="116">
        <f t="shared" si="10"/>
        <v>1652.0543699999996</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v>
      </c>
      <c r="S111" s="116">
        <f t="shared" si="17"/>
        <v>397.46459836976413</v>
      </c>
      <c r="T111" s="116">
        <f t="shared" si="17"/>
        <v>599.94545849560006</v>
      </c>
      <c r="U111" s="116">
        <f t="shared" si="17"/>
        <v>329.51182832642968</v>
      </c>
      <c r="V111" s="116">
        <f t="shared" si="17"/>
        <v>325.13248480820579</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100</v>
      </c>
      <c r="G112" s="204" t="s">
        <v>277</v>
      </c>
      <c r="H112" s="143">
        <f>SUM(H105:H111)</f>
        <v>3130952.6712797214</v>
      </c>
      <c r="I112" s="98"/>
      <c r="J112" s="143">
        <f t="shared" ref="J112" si="18">SUM(J105:J111)</f>
        <v>2418659.4678557022</v>
      </c>
      <c r="K112" s="143">
        <f t="shared" ref="K112:AO112" si="19">SUM(K105:K111)</f>
        <v>0</v>
      </c>
      <c r="L112" s="143">
        <f t="shared" si="19"/>
        <v>0</v>
      </c>
      <c r="M112" s="143">
        <f t="shared" si="19"/>
        <v>8449.4591115054227</v>
      </c>
      <c r="N112" s="143">
        <f t="shared" si="19"/>
        <v>18494.877513228621</v>
      </c>
      <c r="O112" s="143">
        <f t="shared" si="19"/>
        <v>20654.921513864036</v>
      </c>
      <c r="P112" s="143">
        <f t="shared" si="19"/>
        <v>64922.581860893857</v>
      </c>
      <c r="Q112" s="143">
        <f t="shared" si="19"/>
        <v>0</v>
      </c>
      <c r="R112" s="143">
        <f t="shared" si="19"/>
        <v>0</v>
      </c>
      <c r="S112" s="143">
        <f t="shared" si="19"/>
        <v>130257.23429094472</v>
      </c>
      <c r="T112" s="143">
        <f t="shared" si="19"/>
        <v>217459.04667335853</v>
      </c>
      <c r="U112" s="143">
        <f t="shared" si="19"/>
        <v>119928.68888729262</v>
      </c>
      <c r="V112" s="143">
        <f t="shared" si="19"/>
        <v>121247.49275886972</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11203.087245710047</v>
      </c>
      <c r="AH112" s="143">
        <f t="shared" si="19"/>
        <v>-324.18643164826682</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156</v>
      </c>
      <c r="G115" s="75" t="s">
        <v>277</v>
      </c>
      <c r="H115" s="116">
        <f t="shared" ref="H115:H121" si="20">SUM(J115:AO115)</f>
        <v>1509533.440325527</v>
      </c>
      <c r="I115" s="19"/>
      <c r="J115" s="116">
        <f t="shared" ref="J115:AO115" si="21">J44 * thousand * J73 / hundred</f>
        <v>868413.59241527109</v>
      </c>
      <c r="K115" s="116">
        <f t="shared" si="21"/>
        <v>0</v>
      </c>
      <c r="L115" s="116">
        <f t="shared" si="21"/>
        <v>0</v>
      </c>
      <c r="M115" s="116">
        <f t="shared" si="21"/>
        <v>5675.6724887506016</v>
      </c>
      <c r="N115" s="116">
        <f t="shared" si="21"/>
        <v>21278.016921597944</v>
      </c>
      <c r="O115" s="116">
        <f t="shared" si="21"/>
        <v>26522.932158488202</v>
      </c>
      <c r="P115" s="116">
        <f t="shared" si="21"/>
        <v>88536.941645334227</v>
      </c>
      <c r="Q115" s="116">
        <f t="shared" si="21"/>
        <v>0</v>
      </c>
      <c r="R115" s="116">
        <f t="shared" si="21"/>
        <v>0</v>
      </c>
      <c r="S115" s="116">
        <f t="shared" si="21"/>
        <v>89889.964112077927</v>
      </c>
      <c r="T115" s="116">
        <f t="shared" si="21"/>
        <v>135682.71477401626</v>
      </c>
      <c r="U115" s="116">
        <f t="shared" si="21"/>
        <v>74521.873254262595</v>
      </c>
      <c r="V115" s="116">
        <f t="shared" si="21"/>
        <v>73531.447859643216</v>
      </c>
      <c r="W115" s="116">
        <f t="shared" si="21"/>
        <v>0</v>
      </c>
      <c r="X115" s="116">
        <f t="shared" si="21"/>
        <v>1056.0543847722779</v>
      </c>
      <c r="Y115" s="116">
        <f t="shared" si="21"/>
        <v>1597.3489347735554</v>
      </c>
      <c r="Z115" s="116">
        <f t="shared" si="21"/>
        <v>2880.7389184406811</v>
      </c>
      <c r="AA115" s="116">
        <f t="shared" si="21"/>
        <v>32817.956029957597</v>
      </c>
      <c r="AB115" s="116">
        <f t="shared" si="21"/>
        <v>0</v>
      </c>
      <c r="AC115" s="116">
        <f t="shared" si="21"/>
        <v>13139.396407097389</v>
      </c>
      <c r="AD115" s="116">
        <f t="shared" si="21"/>
        <v>22628.652328081302</v>
      </c>
      <c r="AE115" s="116">
        <f t="shared" si="21"/>
        <v>12368.174826940762</v>
      </c>
      <c r="AF115" s="116">
        <f t="shared" si="21"/>
        <v>38777.730573040324</v>
      </c>
      <c r="AG115" s="116">
        <f t="shared" si="21"/>
        <v>654.49600537309664</v>
      </c>
      <c r="AH115" s="116">
        <f t="shared" si="21"/>
        <v>-3.0887155592935271</v>
      </c>
      <c r="AI115" s="116">
        <f t="shared" si="21"/>
        <v>0</v>
      </c>
      <c r="AJ115" s="116">
        <f t="shared" si="21"/>
        <v>-310.57898083283555</v>
      </c>
      <c r="AK115" s="116">
        <f t="shared" si="21"/>
        <v>0</v>
      </c>
      <c r="AL115" s="116">
        <f t="shared" si="21"/>
        <v>0</v>
      </c>
      <c r="AM115" s="116">
        <f t="shared" si="21"/>
        <v>0</v>
      </c>
      <c r="AN115" s="116">
        <f t="shared" si="21"/>
        <v>-126.59601599999998</v>
      </c>
      <c r="AO115" s="116">
        <f t="shared" si="21"/>
        <v>0</v>
      </c>
    </row>
    <row r="116" spans="3:43" x14ac:dyDescent="0.25">
      <c r="C116" s="78"/>
      <c r="F116" t="s">
        <v>157</v>
      </c>
      <c r="G116" s="12" t="s">
        <v>277</v>
      </c>
      <c r="H116" s="88">
        <f t="shared" si="20"/>
        <v>874059.04602655699</v>
      </c>
      <c r="J116" s="88">
        <f t="shared" ref="J116:AO116" si="22">J45 * thousand * J74 / hundred</f>
        <v>443260</v>
      </c>
      <c r="K116" s="88">
        <f t="shared" si="22"/>
        <v>0</v>
      </c>
      <c r="L116" s="88">
        <f t="shared" si="22"/>
        <v>0</v>
      </c>
      <c r="M116" s="88">
        <f t="shared" si="22"/>
        <v>2415.2444265464874</v>
      </c>
      <c r="N116" s="88">
        <f t="shared" si="22"/>
        <v>9054.717635612591</v>
      </c>
      <c r="O116" s="88">
        <f t="shared" si="22"/>
        <v>11286.656197732924</v>
      </c>
      <c r="P116" s="88">
        <f t="shared" si="22"/>
        <v>37676.302724690489</v>
      </c>
      <c r="Q116" s="88">
        <f t="shared" si="22"/>
        <v>0</v>
      </c>
      <c r="R116" s="88">
        <f t="shared" si="22"/>
        <v>0</v>
      </c>
      <c r="S116" s="88">
        <f t="shared" si="22"/>
        <v>62172.77310958867</v>
      </c>
      <c r="T116" s="88">
        <f t="shared" si="22"/>
        <v>93845.522399140536</v>
      </c>
      <c r="U116" s="88">
        <f t="shared" si="22"/>
        <v>51543.368198055112</v>
      </c>
      <c r="V116" s="88">
        <f t="shared" si="22"/>
        <v>50858.336293215674</v>
      </c>
      <c r="W116" s="88">
        <f t="shared" si="22"/>
        <v>0</v>
      </c>
      <c r="X116" s="88">
        <f t="shared" si="22"/>
        <v>1037.9606809482902</v>
      </c>
      <c r="Y116" s="88">
        <f t="shared" si="22"/>
        <v>1569.9810653284724</v>
      </c>
      <c r="Z116" s="88">
        <f t="shared" si="22"/>
        <v>2831.3823345979476</v>
      </c>
      <c r="AA116" s="88">
        <f t="shared" si="22"/>
        <v>32255.675919125286</v>
      </c>
      <c r="AB116" s="88">
        <f t="shared" si="22"/>
        <v>0</v>
      </c>
      <c r="AC116" s="88">
        <f t="shared" si="22"/>
        <v>10321.164017249192</v>
      </c>
      <c r="AD116" s="88">
        <f t="shared" si="22"/>
        <v>17775.095973303472</v>
      </c>
      <c r="AE116" s="88">
        <f t="shared" si="22"/>
        <v>9715.3595970294755</v>
      </c>
      <c r="AF116" s="88">
        <f t="shared" si="22"/>
        <v>30460.403587858753</v>
      </c>
      <c r="AG116" s="88">
        <f t="shared" si="22"/>
        <v>6228.8807172558518</v>
      </c>
      <c r="AH116" s="88">
        <f t="shared" si="22"/>
        <v>-2.3389488515413954</v>
      </c>
      <c r="AI116" s="88">
        <f t="shared" si="22"/>
        <v>0</v>
      </c>
      <c r="AJ116" s="88">
        <f t="shared" si="22"/>
        <v>-246.80958687083333</v>
      </c>
      <c r="AK116" s="88">
        <f t="shared" si="22"/>
        <v>0</v>
      </c>
      <c r="AL116" s="88">
        <f t="shared" si="22"/>
        <v>0</v>
      </c>
      <c r="AM116" s="88">
        <f t="shared" si="22"/>
        <v>0</v>
      </c>
      <c r="AN116" s="88">
        <f t="shared" si="22"/>
        <v>-0.63031499999999996</v>
      </c>
      <c r="AO116" s="88">
        <f t="shared" si="22"/>
        <v>0</v>
      </c>
    </row>
    <row r="117" spans="3:43" x14ac:dyDescent="0.25">
      <c r="C117" s="78"/>
      <c r="F117" t="s">
        <v>158</v>
      </c>
      <c r="G117" s="12" t="s">
        <v>277</v>
      </c>
      <c r="H117" s="88">
        <f t="shared" si="20"/>
        <v>133762.97238754373</v>
      </c>
      <c r="J117" s="88">
        <f t="shared" ref="J117:AO117" si="23">J46 * thousand * J75 / hundred</f>
        <v>74911.809944262539</v>
      </c>
      <c r="K117" s="88">
        <f t="shared" si="23"/>
        <v>0</v>
      </c>
      <c r="L117" s="88">
        <f t="shared" si="23"/>
        <v>0</v>
      </c>
      <c r="M117" s="88">
        <f t="shared" si="23"/>
        <v>260.02514479933245</v>
      </c>
      <c r="N117" s="88">
        <f t="shared" si="23"/>
        <v>974.8306376112098</v>
      </c>
      <c r="O117" s="88">
        <f t="shared" si="23"/>
        <v>1215.1210783714437</v>
      </c>
      <c r="P117" s="88">
        <f t="shared" si="23"/>
        <v>4056.2296568465204</v>
      </c>
      <c r="Q117" s="88">
        <f t="shared" si="23"/>
        <v>0</v>
      </c>
      <c r="R117" s="88">
        <f t="shared" si="23"/>
        <v>0</v>
      </c>
      <c r="S117" s="88">
        <f t="shared" si="23"/>
        <v>7993.7833979419256</v>
      </c>
      <c r="T117" s="88">
        <f t="shared" si="23"/>
        <v>12066.065922508111</v>
      </c>
      <c r="U117" s="88">
        <f t="shared" si="23"/>
        <v>6627.1214933482752</v>
      </c>
      <c r="V117" s="88">
        <f t="shared" si="23"/>
        <v>6539.0444076066788</v>
      </c>
      <c r="W117" s="88">
        <f t="shared" si="23"/>
        <v>0</v>
      </c>
      <c r="X117" s="88">
        <f t="shared" si="23"/>
        <v>118.12843404345841</v>
      </c>
      <c r="Y117" s="88">
        <f t="shared" si="23"/>
        <v>178.67671495580703</v>
      </c>
      <c r="Z117" s="88">
        <f t="shared" si="23"/>
        <v>322.23451957620892</v>
      </c>
      <c r="AA117" s="88">
        <f t="shared" si="23"/>
        <v>3670.960331424526</v>
      </c>
      <c r="AB117" s="88">
        <f t="shared" si="23"/>
        <v>0</v>
      </c>
      <c r="AC117" s="88">
        <f t="shared" si="23"/>
        <v>1162.0961516669975</v>
      </c>
      <c r="AD117" s="88">
        <f t="shared" si="23"/>
        <v>2001.3605627781571</v>
      </c>
      <c r="AE117" s="88">
        <f t="shared" si="23"/>
        <v>1093.886501648489</v>
      </c>
      <c r="AF117" s="88">
        <f t="shared" si="23"/>
        <v>3429.6439557123272</v>
      </c>
      <c r="AG117" s="88">
        <f t="shared" si="23"/>
        <v>7206.6413861301471</v>
      </c>
      <c r="AH117" s="88">
        <f t="shared" si="23"/>
        <v>-0.16821969784738083</v>
      </c>
      <c r="AI117" s="88">
        <f t="shared" si="23"/>
        <v>0</v>
      </c>
      <c r="AJ117" s="88">
        <f t="shared" si="23"/>
        <v>-64.519348990613764</v>
      </c>
      <c r="AK117" s="88">
        <f t="shared" si="23"/>
        <v>0</v>
      </c>
      <c r="AL117" s="88">
        <f t="shared" si="23"/>
        <v>0</v>
      </c>
      <c r="AM117" s="88">
        <f t="shared" si="23"/>
        <v>0</v>
      </c>
      <c r="AN117" s="88">
        <f t="shared" si="23"/>
        <v>-2.8499999999999999E-4</v>
      </c>
      <c r="AO117" s="88">
        <f t="shared" si="23"/>
        <v>0</v>
      </c>
    </row>
    <row r="118" spans="3:43" x14ac:dyDescent="0.25">
      <c r="C118" s="78"/>
      <c r="F118" s="19" t="s">
        <v>159</v>
      </c>
      <c r="G118" s="75" t="s">
        <v>277</v>
      </c>
      <c r="H118" s="116">
        <f t="shared" si="20"/>
        <v>3869708.8170345589</v>
      </c>
      <c r="I118" s="19"/>
      <c r="J118" s="116">
        <f t="shared" ref="J118:AO118" si="24" xml:space="preserve"> J47 * J76 * days_in_year / hundred</f>
        <v>2195142.7812000001</v>
      </c>
      <c r="K118" s="116">
        <f t="shared" si="24"/>
        <v>0</v>
      </c>
      <c r="L118" s="116">
        <f t="shared" si="24"/>
        <v>0</v>
      </c>
      <c r="M118" s="116">
        <f t="shared" si="24"/>
        <v>22645.592208778224</v>
      </c>
      <c r="N118" s="116">
        <f t="shared" si="24"/>
        <v>35354.131455664159</v>
      </c>
      <c r="O118" s="116">
        <f t="shared" si="24"/>
        <v>35025.592617913106</v>
      </c>
      <c r="P118" s="116">
        <f t="shared" si="24"/>
        <v>101805.82315568978</v>
      </c>
      <c r="Q118" s="116">
        <f t="shared" si="24"/>
        <v>0</v>
      </c>
      <c r="R118" s="116">
        <f t="shared" si="24"/>
        <v>0</v>
      </c>
      <c r="S118" s="116">
        <f t="shared" si="24"/>
        <v>151712.09240031728</v>
      </c>
      <c r="T118" s="116">
        <f t="shared" si="24"/>
        <v>222953.03822100279</v>
      </c>
      <c r="U118" s="116">
        <f t="shared" si="24"/>
        <v>121882.96121831033</v>
      </c>
      <c r="V118" s="116">
        <f t="shared" si="24"/>
        <v>126368.83269156926</v>
      </c>
      <c r="W118" s="116">
        <f t="shared" si="24"/>
        <v>0</v>
      </c>
      <c r="X118" s="116">
        <f t="shared" si="24"/>
        <v>1727.9551058823531</v>
      </c>
      <c r="Y118" s="116">
        <f t="shared" si="24"/>
        <v>3634.7187529411763</v>
      </c>
      <c r="Z118" s="116">
        <f t="shared" si="24"/>
        <v>6924.1652870242215</v>
      </c>
      <c r="AA118" s="116">
        <f t="shared" si="24"/>
        <v>88544.900543252603</v>
      </c>
      <c r="AB118" s="116">
        <f t="shared" si="24"/>
        <v>0</v>
      </c>
      <c r="AC118" s="116">
        <f t="shared" si="24"/>
        <v>124129.6570191442</v>
      </c>
      <c r="AD118" s="116">
        <f t="shared" si="24"/>
        <v>196963.77282635003</v>
      </c>
      <c r="AE118" s="116">
        <f t="shared" si="24"/>
        <v>106095.54202741363</v>
      </c>
      <c r="AF118" s="116">
        <f t="shared" si="24"/>
        <v>328797.2603033061</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160</v>
      </c>
      <c r="G119" s="12" t="s">
        <v>277</v>
      </c>
      <c r="H119" s="88">
        <f t="shared" si="20"/>
        <v>2820729.2133333329</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266119.136056524</v>
      </c>
      <c r="T119" s="88">
        <f t="shared" si="25"/>
        <v>516905.24200315657</v>
      </c>
      <c r="U119" s="88">
        <f t="shared" si="25"/>
        <v>287130.14845806168</v>
      </c>
      <c r="V119" s="88">
        <f t="shared" si="25"/>
        <v>291080.66481559118</v>
      </c>
      <c r="W119" s="88">
        <f t="shared" si="25"/>
        <v>0</v>
      </c>
      <c r="X119" s="88">
        <f t="shared" si="25"/>
        <v>11615.773869243792</v>
      </c>
      <c r="Y119" s="88">
        <f t="shared" si="25"/>
        <v>6621.7155820096632</v>
      </c>
      <c r="Z119" s="88">
        <f t="shared" si="25"/>
        <v>12511.709857911037</v>
      </c>
      <c r="AA119" s="88">
        <f t="shared" si="25"/>
        <v>242122.47482416881</v>
      </c>
      <c r="AB119" s="88">
        <f t="shared" si="25"/>
        <v>0</v>
      </c>
      <c r="AC119" s="88">
        <f t="shared" si="25"/>
        <v>204419.84115770963</v>
      </c>
      <c r="AD119" s="88">
        <f t="shared" si="25"/>
        <v>320155.43264359783</v>
      </c>
      <c r="AE119" s="88">
        <f t="shared" si="25"/>
        <v>167859.97817121737</v>
      </c>
      <c r="AF119" s="88">
        <f t="shared" si="25"/>
        <v>494187.09589414147</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161</v>
      </c>
      <c r="G120" s="12" t="s">
        <v>277</v>
      </c>
      <c r="H120" s="88">
        <f t="shared" si="20"/>
        <v>25592.961495949276</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1169.4387259041907</v>
      </c>
      <c r="T120" s="88">
        <f t="shared" si="26"/>
        <v>2271.4977080527374</v>
      </c>
      <c r="U120" s="88">
        <f t="shared" si="26"/>
        <v>1261.7698973370952</v>
      </c>
      <c r="V120" s="88">
        <f t="shared" si="26"/>
        <v>1279.1301175913488</v>
      </c>
      <c r="W120" s="88">
        <f t="shared" si="26"/>
        <v>0</v>
      </c>
      <c r="X120" s="88">
        <f t="shared" si="26"/>
        <v>98.172918867994298</v>
      </c>
      <c r="Y120" s="88">
        <f t="shared" si="26"/>
        <v>55.964686805829608</v>
      </c>
      <c r="Z120" s="88">
        <f t="shared" si="26"/>
        <v>105.74509202808284</v>
      </c>
      <c r="AA120" s="88">
        <f t="shared" si="26"/>
        <v>2046.3440787160032</v>
      </c>
      <c r="AB120" s="88">
        <f t="shared" si="26"/>
        <v>0</v>
      </c>
      <c r="AC120" s="88">
        <f t="shared" si="26"/>
        <v>2981.1207939033884</v>
      </c>
      <c r="AD120" s="88">
        <f t="shared" si="26"/>
        <v>4668.9304332187103</v>
      </c>
      <c r="AE120" s="88">
        <f t="shared" si="26"/>
        <v>2447.9564633078776</v>
      </c>
      <c r="AF120" s="88">
        <f t="shared" si="26"/>
        <v>7206.8905802160207</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162</v>
      </c>
      <c r="G121" s="75" t="s">
        <v>277</v>
      </c>
      <c r="H121" s="116">
        <f t="shared" si="20"/>
        <v>7239.0214549999982</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1455.4498418158341</v>
      </c>
      <c r="T121" s="116">
        <f t="shared" si="27"/>
        <v>2196.9013749828709</v>
      </c>
      <c r="U121" s="116">
        <f t="shared" si="27"/>
        <v>1206.6179991406036</v>
      </c>
      <c r="V121" s="116">
        <f t="shared" si="27"/>
        <v>1190.5815650606896</v>
      </c>
      <c r="W121" s="116">
        <f t="shared" si="27"/>
        <v>0</v>
      </c>
      <c r="X121" s="116">
        <f t="shared" si="27"/>
        <v>23.48191112207876</v>
      </c>
      <c r="Y121" s="116">
        <f t="shared" si="27"/>
        <v>35.517873187362412</v>
      </c>
      <c r="Z121" s="116">
        <f t="shared" si="27"/>
        <v>64.054708000027901</v>
      </c>
      <c r="AA121" s="116">
        <f t="shared" si="27"/>
        <v>729.72409169053094</v>
      </c>
      <c r="AB121" s="116">
        <f t="shared" si="27"/>
        <v>0</v>
      </c>
      <c r="AC121" s="116">
        <f t="shared" si="27"/>
        <v>49.513271328574632</v>
      </c>
      <c r="AD121" s="116">
        <f t="shared" si="27"/>
        <v>85.271694970331012</v>
      </c>
      <c r="AE121" s="116">
        <f t="shared" si="27"/>
        <v>46.607072126599057</v>
      </c>
      <c r="AF121" s="116">
        <f t="shared" si="27"/>
        <v>146.12636957449536</v>
      </c>
      <c r="AG121" s="116">
        <f t="shared" si="27"/>
        <v>0</v>
      </c>
      <c r="AH121" s="116">
        <f t="shared" si="27"/>
        <v>0</v>
      </c>
      <c r="AI121" s="116">
        <f t="shared" si="27"/>
        <v>0</v>
      </c>
      <c r="AJ121" s="116">
        <f t="shared" si="27"/>
        <v>6.626202000000001</v>
      </c>
      <c r="AK121" s="116">
        <f t="shared" si="27"/>
        <v>0</v>
      </c>
      <c r="AL121" s="116">
        <f t="shared" si="27"/>
        <v>0</v>
      </c>
      <c r="AM121" s="116">
        <f t="shared" si="27"/>
        <v>0</v>
      </c>
      <c r="AN121" s="116">
        <f t="shared" si="27"/>
        <v>2.5474799999999997</v>
      </c>
      <c r="AO121" s="116">
        <f t="shared" si="27"/>
        <v>0</v>
      </c>
    </row>
    <row r="122" spans="3:43" x14ac:dyDescent="0.25">
      <c r="C122" s="78"/>
      <c r="F122" s="98" t="s">
        <v>100</v>
      </c>
      <c r="G122" s="204" t="s">
        <v>277</v>
      </c>
      <c r="H122" s="143">
        <f>SUM(H115:H121)</f>
        <v>9240625.4720584676</v>
      </c>
      <c r="I122" s="98"/>
      <c r="J122" s="143">
        <f t="shared" ref="J122" si="28">SUM(J115:J121)</f>
        <v>3581728.1835595337</v>
      </c>
      <c r="K122" s="143">
        <f t="shared" ref="K122:AO122" si="29">SUM(K115:K121)</f>
        <v>0</v>
      </c>
      <c r="L122" s="143">
        <f t="shared" si="29"/>
        <v>0</v>
      </c>
      <c r="M122" s="143">
        <f t="shared" si="29"/>
        <v>30996.534268874646</v>
      </c>
      <c r="N122" s="143">
        <f t="shared" si="29"/>
        <v>66661.696650485901</v>
      </c>
      <c r="O122" s="143">
        <f t="shared" si="29"/>
        <v>74050.302052505664</v>
      </c>
      <c r="P122" s="143">
        <f t="shared" si="29"/>
        <v>232075.29718256101</v>
      </c>
      <c r="Q122" s="143">
        <f t="shared" si="29"/>
        <v>0</v>
      </c>
      <c r="R122" s="143">
        <f t="shared" si="29"/>
        <v>0</v>
      </c>
      <c r="S122" s="143">
        <f t="shared" si="29"/>
        <v>580512.63764416985</v>
      </c>
      <c r="T122" s="143">
        <f t="shared" si="29"/>
        <v>985920.98240285995</v>
      </c>
      <c r="U122" s="143">
        <f t="shared" si="29"/>
        <v>544173.86051851569</v>
      </c>
      <c r="V122" s="143">
        <f t="shared" si="29"/>
        <v>550848.03775027802</v>
      </c>
      <c r="W122" s="143">
        <f t="shared" si="29"/>
        <v>0</v>
      </c>
      <c r="X122" s="143">
        <f t="shared" si="29"/>
        <v>15677.527304880246</v>
      </c>
      <c r="Y122" s="143">
        <f t="shared" si="29"/>
        <v>13693.923610001866</v>
      </c>
      <c r="Z122" s="143">
        <f t="shared" si="29"/>
        <v>25640.030717578211</v>
      </c>
      <c r="AA122" s="143">
        <f t="shared" si="29"/>
        <v>402188.03581833543</v>
      </c>
      <c r="AB122" s="143">
        <f t="shared" si="29"/>
        <v>0</v>
      </c>
      <c r="AC122" s="143">
        <f t="shared" si="29"/>
        <v>356202.78881809936</v>
      </c>
      <c r="AD122" s="143">
        <f t="shared" si="29"/>
        <v>564278.51646229986</v>
      </c>
      <c r="AE122" s="143">
        <f t="shared" si="29"/>
        <v>299627.5046596842</v>
      </c>
      <c r="AF122" s="143">
        <f t="shared" si="29"/>
        <v>903005.15126384958</v>
      </c>
      <c r="AG122" s="143">
        <f t="shared" si="29"/>
        <v>14090.018108759095</v>
      </c>
      <c r="AH122" s="143">
        <f t="shared" si="29"/>
        <v>-5.595884108682303</v>
      </c>
      <c r="AI122" s="143">
        <f t="shared" si="29"/>
        <v>0</v>
      </c>
      <c r="AJ122" s="143">
        <f t="shared" si="29"/>
        <v>-615.28171469428264</v>
      </c>
      <c r="AK122" s="143">
        <f t="shared" si="29"/>
        <v>0</v>
      </c>
      <c r="AL122" s="143">
        <f t="shared" si="29"/>
        <v>0</v>
      </c>
      <c r="AM122" s="143">
        <f t="shared" si="29"/>
        <v>0</v>
      </c>
      <c r="AN122" s="143">
        <f t="shared" si="29"/>
        <v>-124.67913599999999</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control'!$H$36:$H$59,MATCH($A$1,'Version control'!$F$36:$F$59,0),1)&amp;"-E: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277</v>
      </c>
      <c r="H126" s="205">
        <f>H83</f>
        <v>529115080.97237021</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s="300" t="s">
        <v>766</v>
      </c>
      <c r="F128" s="300"/>
      <c r="G128" s="387" t="s">
        <v>277</v>
      </c>
      <c r="H128" s="388">
        <f>H85</f>
        <v>330841750.08271217</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s="300" t="s">
        <v>891</v>
      </c>
      <c r="F129" s="300"/>
      <c r="G129" s="387" t="s">
        <v>277</v>
      </c>
      <c r="H129" s="388">
        <f>H86</f>
        <v>2402314.7350921296</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s="300" t="s">
        <v>892</v>
      </c>
      <c r="F130" s="300"/>
      <c r="G130" s="387" t="s">
        <v>277</v>
      </c>
      <c r="H130" s="388">
        <f>H87</f>
        <v>3243.7474691989869</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s="300" t="s">
        <v>1013</v>
      </c>
      <c r="F131" s="300"/>
      <c r="G131" s="387" t="s">
        <v>277</v>
      </c>
      <c r="H131" s="388">
        <f>H88</f>
        <v>195867772.40709668</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277</v>
      </c>
      <c r="H132" s="206">
        <f>SUM(H102,H112,H122) - SUM(H128:H129, H131)</f>
        <v>37328.542864501476</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277</v>
      </c>
      <c r="H133" s="206">
        <f>SUM(H128:H132)</f>
        <v>529152409.51523465</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277</v>
      </c>
      <c r="H135" s="307">
        <f>H133 - H126</f>
        <v>37328.542864441872</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167</v>
      </c>
      <c r="H136" s="308">
        <f>(H133 - H126) / H126</f>
        <v>7.0549005701826006E-5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control'!$H$36:$H$59,MATCH($A$1,'Version control'!$F$36:$F$59,0),1)&amp;"-F: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97.498190357024427</v>
      </c>
      <c r="K140" s="189">
        <f t="shared" si="30"/>
        <v>0</v>
      </c>
      <c r="L140" s="189">
        <f t="shared" si="30"/>
        <v>49.581594807109376</v>
      </c>
      <c r="M140" s="189">
        <f t="shared" si="30"/>
        <v>70.797407548040354</v>
      </c>
      <c r="N140" s="189">
        <f t="shared" si="30"/>
        <v>200.88723571928534</v>
      </c>
      <c r="O140" s="189">
        <f t="shared" si="30"/>
        <v>427.15953908452519</v>
      </c>
      <c r="P140" s="189">
        <f t="shared" si="30"/>
        <v>1326.4397106440758</v>
      </c>
      <c r="Q140" s="189">
        <f t="shared" si="30"/>
        <v>0</v>
      </c>
      <c r="R140" s="189">
        <f t="shared" si="30"/>
        <v>1571.619485727136</v>
      </c>
      <c r="S140" s="189">
        <f t="shared" si="30"/>
        <v>2689.7361063848916</v>
      </c>
      <c r="T140" s="189">
        <f t="shared" si="30"/>
        <v>5489.0361741503921</v>
      </c>
      <c r="U140" s="189">
        <f t="shared" si="30"/>
        <v>8699.6793552606086</v>
      </c>
      <c r="V140" s="189">
        <f t="shared" si="30"/>
        <v>14664.955900176532</v>
      </c>
      <c r="W140" s="189">
        <f t="shared" si="30"/>
        <v>4516.1008832435655</v>
      </c>
      <c r="X140" s="189">
        <f t="shared" si="30"/>
        <v>6585.6896498422411</v>
      </c>
      <c r="Y140" s="189">
        <f t="shared" si="30"/>
        <v>5432.8106215601365</v>
      </c>
      <c r="Z140" s="189">
        <f t="shared" si="30"/>
        <v>8463.3355238317981</v>
      </c>
      <c r="AA140" s="189">
        <f t="shared" si="30"/>
        <v>17323.776222124663</v>
      </c>
      <c r="AB140" s="189">
        <f t="shared" si="30"/>
        <v>5012.9786686034586</v>
      </c>
      <c r="AC140" s="189">
        <f t="shared" si="30"/>
        <v>10154.615573296405</v>
      </c>
      <c r="AD140" s="189">
        <f t="shared" si="30"/>
        <v>30012.588275430728</v>
      </c>
      <c r="AE140" s="189">
        <f t="shared" si="30"/>
        <v>65275.370364399249</v>
      </c>
      <c r="AF140" s="189">
        <f t="shared" si="30"/>
        <v>197375.12886460731</v>
      </c>
      <c r="AG140" s="189">
        <f t="shared" si="30"/>
        <v>3151.3065209783731</v>
      </c>
      <c r="AH140" s="189">
        <f t="shared" si="30"/>
        <v>0</v>
      </c>
      <c r="AI140" s="189">
        <f t="shared" si="30"/>
        <v>0</v>
      </c>
      <c r="AJ140" s="189">
        <f t="shared" si="30"/>
        <v>-561.51279197876761</v>
      </c>
      <c r="AK140" s="189">
        <f t="shared" si="30"/>
        <v>0</v>
      </c>
      <c r="AL140" s="189">
        <f t="shared" si="30"/>
        <v>-1778.379221587503</v>
      </c>
      <c r="AM140" s="189">
        <f t="shared" si="30"/>
        <v>0</v>
      </c>
      <c r="AN140" s="189">
        <f t="shared" si="30"/>
        <v>-8952.107704652517</v>
      </c>
      <c r="AO140" s="189">
        <f t="shared" si="30"/>
        <v>0</v>
      </c>
    </row>
    <row r="141" spans="3:43" x14ac:dyDescent="0.25">
      <c r="E141" t="s">
        <v>773</v>
      </c>
      <c r="G141" s="12" t="s">
        <v>771</v>
      </c>
      <c r="H141" t="s">
        <v>447</v>
      </c>
      <c r="J141" s="88">
        <f t="shared" ref="J141:AO141" si="31" xml:space="preserve"> IF( J36 &lt;&gt; 0, J112 / J36, 0)</f>
        <v>64.370018268726966</v>
      </c>
      <c r="K141" s="88">
        <f t="shared" si="31"/>
        <v>0</v>
      </c>
      <c r="L141" s="88">
        <f t="shared" si="31"/>
        <v>0</v>
      </c>
      <c r="M141" s="88">
        <f t="shared" si="31"/>
        <v>48.850617743085635</v>
      </c>
      <c r="N141" s="88">
        <f t="shared" si="31"/>
        <v>142.04603362407289</v>
      </c>
      <c r="O141" s="88">
        <f t="shared" si="31"/>
        <v>304.16257319830862</v>
      </c>
      <c r="P141" s="88">
        <f t="shared" si="31"/>
        <v>948.38169478001396</v>
      </c>
      <c r="Q141" s="88">
        <f t="shared" si="31"/>
        <v>0</v>
      </c>
      <c r="R141" s="88">
        <f t="shared" si="31"/>
        <v>0</v>
      </c>
      <c r="S141" s="88">
        <f t="shared" si="31"/>
        <v>2416.2795386994908</v>
      </c>
      <c r="T141" s="88">
        <f t="shared" si="31"/>
        <v>5024.5445067050487</v>
      </c>
      <c r="U141" s="88">
        <f t="shared" si="31"/>
        <v>7972.20425362676</v>
      </c>
      <c r="V141" s="88">
        <f t="shared" si="31"/>
        <v>13385.278019381753</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46.043180328042823</v>
      </c>
      <c r="K142" s="88">
        <f t="shared" si="32"/>
        <v>0</v>
      </c>
      <c r="L142" s="88">
        <f t="shared" si="32"/>
        <v>0</v>
      </c>
      <c r="M142" s="88">
        <f t="shared" si="32"/>
        <v>37.272066854051253</v>
      </c>
      <c r="N142" s="88">
        <f t="shared" si="32"/>
        <v>106.48371687538854</v>
      </c>
      <c r="O142" s="88">
        <f t="shared" si="32"/>
        <v>226.79749117218583</v>
      </c>
      <c r="P142" s="88">
        <f t="shared" si="32"/>
        <v>705.09150548050661</v>
      </c>
      <c r="Q142" s="88">
        <f t="shared" si="32"/>
        <v>0</v>
      </c>
      <c r="R142" s="88">
        <f t="shared" si="32"/>
        <v>0</v>
      </c>
      <c r="S142" s="88">
        <f t="shared" si="32"/>
        <v>1936.5643682319985</v>
      </c>
      <c r="T142" s="88">
        <f t="shared" si="32"/>
        <v>4096.7198073142436</v>
      </c>
      <c r="U142" s="88">
        <f t="shared" si="32"/>
        <v>6505.3091822480828</v>
      </c>
      <c r="V142" s="88">
        <f t="shared" si="32"/>
        <v>10936.072248220262</v>
      </c>
      <c r="W142" s="88">
        <f t="shared" si="32"/>
        <v>0</v>
      </c>
      <c r="X142" s="88">
        <f t="shared" si="32"/>
        <v>7045.1412221014361</v>
      </c>
      <c r="Y142" s="88">
        <f t="shared" si="32"/>
        <v>5384.5335977321429</v>
      </c>
      <c r="Z142" s="88">
        <f t="shared" si="32"/>
        <v>8343.5711786501852</v>
      </c>
      <c r="AA142" s="88">
        <f t="shared" si="32"/>
        <v>17653.146252438655</v>
      </c>
      <c r="AB142" s="88">
        <f t="shared" si="32"/>
        <v>0</v>
      </c>
      <c r="AC142" s="88">
        <f t="shared" si="32"/>
        <v>12078.05239389395</v>
      </c>
      <c r="AD142" s="88">
        <f t="shared" si="32"/>
        <v>35724.234353692751</v>
      </c>
      <c r="AE142" s="88">
        <f t="shared" si="32"/>
        <v>77420.426988805993</v>
      </c>
      <c r="AF142" s="88">
        <f t="shared" si="32"/>
        <v>232538.25947093364</v>
      </c>
      <c r="AG142" s="88">
        <f t="shared" si="32"/>
        <v>0</v>
      </c>
      <c r="AH142" s="88">
        <f t="shared" si="32"/>
        <v>0</v>
      </c>
      <c r="AI142" s="88">
        <f t="shared" si="32"/>
        <v>0</v>
      </c>
      <c r="AJ142" s="88">
        <f t="shared" si="32"/>
        <v>-205.09390489809422</v>
      </c>
      <c r="AK142" s="88">
        <f t="shared" si="32"/>
        <v>0</v>
      </c>
      <c r="AL142" s="88">
        <f t="shared" si="32"/>
        <v>0</v>
      </c>
      <c r="AM142" s="88">
        <f t="shared" si="32"/>
        <v>0</v>
      </c>
      <c r="AN142" s="88">
        <f t="shared" si="32"/>
        <v>-62.339567999999993</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control'!$H$36:$H$59,MATCH($A$1,'Version control'!$F$36:$F$59,0),1)&amp;"-G: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1: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1:43" x14ac:dyDescent="0.25">
      <c r="E146" t="s">
        <v>775</v>
      </c>
      <c r="G146" s="12" t="s">
        <v>269</v>
      </c>
      <c r="H146" s="256" t="s">
        <v>772</v>
      </c>
      <c r="I146" s="256"/>
      <c r="J146" s="264">
        <f t="shared" ref="J146:AO146" si="33" xml:space="preserve"> IF( SUM(J$22:J$24) &lt;&gt; 0, J$102 / SUM(J$22:J$24) * hundred / thousand, 0)</f>
        <v>2.6458468031247171</v>
      </c>
      <c r="K146" s="264">
        <f t="shared" si="33"/>
        <v>0.38059783464053548</v>
      </c>
      <c r="L146" s="264">
        <f t="shared" si="33"/>
        <v>4.9581594807109379</v>
      </c>
      <c r="M146" s="264">
        <f t="shared" si="33"/>
        <v>4.41205644848805</v>
      </c>
      <c r="N146" s="264">
        <f t="shared" si="33"/>
        <v>2.513880073428461</v>
      </c>
      <c r="O146" s="264">
        <f t="shared" si="33"/>
        <v>2.23659507773427</v>
      </c>
      <c r="P146" s="264">
        <f t="shared" si="33"/>
        <v>2.0973776396837125</v>
      </c>
      <c r="Q146" s="264">
        <f t="shared" si="33"/>
        <v>0.57934461732956677</v>
      </c>
      <c r="R146" s="264">
        <f t="shared" si="33"/>
        <v>3.4828981664420318</v>
      </c>
      <c r="S146" s="264">
        <f t="shared" si="33"/>
        <v>2.5958469287026533</v>
      </c>
      <c r="T146" s="264">
        <f t="shared" si="33"/>
        <v>2.8168047109022147</v>
      </c>
      <c r="U146" s="264">
        <f t="shared" si="33"/>
        <v>2.8237627410671688</v>
      </c>
      <c r="V146" s="264">
        <f t="shared" si="33"/>
        <v>2.8981260724175981</v>
      </c>
      <c r="W146" s="264">
        <f t="shared" si="33"/>
        <v>51.440329903791486</v>
      </c>
      <c r="X146" s="264">
        <f t="shared" si="33"/>
        <v>2.9807527256733062</v>
      </c>
      <c r="Y146" s="264">
        <f t="shared" si="33"/>
        <v>1.8579229104581461</v>
      </c>
      <c r="Z146" s="264">
        <f t="shared" si="33"/>
        <v>1.8794301636791264</v>
      </c>
      <c r="AA146" s="264">
        <f t="shared" si="33"/>
        <v>2.5832186924629674</v>
      </c>
      <c r="AB146" s="264">
        <f t="shared" si="33"/>
        <v>7.0179970685434503</v>
      </c>
      <c r="AC146" s="264">
        <f t="shared" si="33"/>
        <v>2.1450571051676532</v>
      </c>
      <c r="AD146" s="264">
        <f t="shared" si="33"/>
        <v>2.0214467009501984</v>
      </c>
      <c r="AE146" s="264">
        <f t="shared" si="33"/>
        <v>1.9693769495379052</v>
      </c>
      <c r="AF146" s="264">
        <f t="shared" si="33"/>
        <v>1.9116691670292794</v>
      </c>
      <c r="AG146" s="264">
        <f t="shared" si="33"/>
        <v>3.0396836691083688</v>
      </c>
      <c r="AH146" s="264">
        <f t="shared" si="33"/>
        <v>-0.96737850631530342</v>
      </c>
      <c r="AI146" s="264">
        <f t="shared" si="33"/>
        <v>0</v>
      </c>
      <c r="AJ146" s="264">
        <f t="shared" si="33"/>
        <v>-0.80490148103826809</v>
      </c>
      <c r="AK146" s="264">
        <f t="shared" si="33"/>
        <v>0</v>
      </c>
      <c r="AL146" s="264">
        <f t="shared" si="33"/>
        <v>-0.57499852976258925</v>
      </c>
      <c r="AM146" s="264">
        <f t="shared" si="33"/>
        <v>0</v>
      </c>
      <c r="AN146" s="264">
        <f t="shared" si="33"/>
        <v>-0.37345399233335608</v>
      </c>
      <c r="AO146" s="264">
        <f t="shared" si="33"/>
        <v>0</v>
      </c>
      <c r="AP146" s="256"/>
      <c r="AQ146" s="256"/>
    </row>
    <row r="147" spans="1:43" x14ac:dyDescent="0.25">
      <c r="E147" t="s">
        <v>776</v>
      </c>
      <c r="G147" s="12" t="s">
        <v>269</v>
      </c>
      <c r="H147" s="256" t="s">
        <v>447</v>
      </c>
      <c r="I147" s="256"/>
      <c r="J147" s="271">
        <f t="shared" ref="J147:AO147" si="34" xml:space="preserve"> IF( SUM(J$33:J$35) &lt;&gt; 0, J$112 / SUM(J$33:J$35) * hundred / thousand, 0)</f>
        <v>2.1086657930554549</v>
      </c>
      <c r="K147" s="271">
        <f t="shared" si="34"/>
        <v>0</v>
      </c>
      <c r="L147" s="271">
        <f t="shared" si="34"/>
        <v>0</v>
      </c>
      <c r="M147" s="271">
        <f t="shared" si="34"/>
        <v>2.7281584804850088</v>
      </c>
      <c r="N147" s="271">
        <f t="shared" si="34"/>
        <v>1.5928626276975246</v>
      </c>
      <c r="O147" s="271">
        <f t="shared" si="34"/>
        <v>1.4271184734115927</v>
      </c>
      <c r="P147" s="271">
        <f t="shared" si="34"/>
        <v>1.343783425174683</v>
      </c>
      <c r="Q147" s="271">
        <f t="shared" si="34"/>
        <v>0</v>
      </c>
      <c r="R147" s="271">
        <f t="shared" si="34"/>
        <v>0</v>
      </c>
      <c r="S147" s="271">
        <f t="shared" si="34"/>
        <v>1.4601801085177677</v>
      </c>
      <c r="T147" s="271">
        <f t="shared" si="34"/>
        <v>1.6149859095941956</v>
      </c>
      <c r="U147" s="271">
        <f t="shared" si="34"/>
        <v>1.6216424515638577</v>
      </c>
      <c r="V147" s="271">
        <f t="shared" si="34"/>
        <v>1.6615577157745982</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1.662673945130432</v>
      </c>
      <c r="AH147" s="271">
        <f t="shared" si="34"/>
        <v>-0.98359025970741898</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1:43" x14ac:dyDescent="0.25">
      <c r="E148" t="s">
        <v>777</v>
      </c>
      <c r="G148" s="12" t="s">
        <v>269</v>
      </c>
      <c r="H148" s="256" t="s">
        <v>448</v>
      </c>
      <c r="I148" s="256"/>
      <c r="J148" s="271">
        <f t="shared" ref="J148:AO148" si="35" xml:space="preserve"> IF( SUM(J$44:J$46) &lt;&gt; 0, J$122 / SUM(J$44:J$46) * hundred / thousand, 0)</f>
        <v>1.7450734450999661</v>
      </c>
      <c r="K148" s="271">
        <f t="shared" si="35"/>
        <v>0</v>
      </c>
      <c r="L148" s="271">
        <f t="shared" si="35"/>
        <v>0</v>
      </c>
      <c r="M148" s="271">
        <f t="shared" si="35"/>
        <v>3.0511928740539713</v>
      </c>
      <c r="N148" s="271">
        <f t="shared" si="35"/>
        <v>1.7503264808419843</v>
      </c>
      <c r="O148" s="271">
        <f t="shared" si="35"/>
        <v>1.5598367572586873</v>
      </c>
      <c r="P148" s="271">
        <f t="shared" si="35"/>
        <v>1.4644624806051976</v>
      </c>
      <c r="Q148" s="271">
        <f t="shared" si="35"/>
        <v>0</v>
      </c>
      <c r="R148" s="271">
        <f t="shared" si="35"/>
        <v>0</v>
      </c>
      <c r="S148" s="271">
        <f t="shared" si="35"/>
        <v>1.69792475760675</v>
      </c>
      <c r="T148" s="271">
        <f t="shared" si="35"/>
        <v>1.91044946441008</v>
      </c>
      <c r="U148" s="271">
        <f t="shared" si="35"/>
        <v>1.9198702661185785</v>
      </c>
      <c r="V148" s="271">
        <f t="shared" si="35"/>
        <v>1.969593754553048</v>
      </c>
      <c r="W148" s="271">
        <f t="shared" si="35"/>
        <v>0</v>
      </c>
      <c r="X148" s="271">
        <f t="shared" si="35"/>
        <v>2.2353088424197067</v>
      </c>
      <c r="Y148" s="271">
        <f t="shared" si="35"/>
        <v>1.290845778386212</v>
      </c>
      <c r="Z148" s="271">
        <f t="shared" si="35"/>
        <v>1.3401730971324191</v>
      </c>
      <c r="AA148" s="271">
        <f t="shared" si="35"/>
        <v>1.8452867900136818</v>
      </c>
      <c r="AB148" s="271">
        <f t="shared" si="35"/>
        <v>0</v>
      </c>
      <c r="AC148" s="271">
        <f t="shared" si="35"/>
        <v>2.5671111418822257</v>
      </c>
      <c r="AD148" s="271">
        <f t="shared" si="35"/>
        <v>2.3613349628678453</v>
      </c>
      <c r="AE148" s="271">
        <f t="shared" si="35"/>
        <v>2.2940286288419309</v>
      </c>
      <c r="AF148" s="271">
        <f t="shared" si="35"/>
        <v>2.2051117857625999</v>
      </c>
      <c r="AG148" s="271">
        <f t="shared" si="35"/>
        <v>1.2652622924119927</v>
      </c>
      <c r="AH148" s="271">
        <f t="shared" si="35"/>
        <v>-0.96231884930048217</v>
      </c>
      <c r="AI148" s="271">
        <f t="shared" si="35"/>
        <v>0</v>
      </c>
      <c r="AJ148" s="271">
        <f t="shared" si="35"/>
        <v>-0.53618760822917977</v>
      </c>
      <c r="AK148" s="271">
        <f t="shared" si="35"/>
        <v>0</v>
      </c>
      <c r="AL148" s="271">
        <f t="shared" si="35"/>
        <v>0</v>
      </c>
      <c r="AM148" s="271">
        <f t="shared" si="35"/>
        <v>0</v>
      </c>
      <c r="AN148" s="271">
        <f t="shared" si="35"/>
        <v>-1.6797458538228358</v>
      </c>
      <c r="AO148" s="271">
        <f t="shared" si="35"/>
        <v>0</v>
      </c>
      <c r="AP148" s="256"/>
      <c r="AQ148" s="256"/>
    </row>
    <row r="149" spans="1: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1: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1: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1:43" x14ac:dyDescent="0.25">
      <c r="C152" s="26" t="str">
        <f ca="1">INDEX('Version control'!$H$36:$H$59,MATCH($A$1,'Version control'!$F$36:$F$59,0),1)&amp;"-H: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1: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1:43" x14ac:dyDescent="0.25">
      <c r="A154" s="309"/>
      <c r="B154" s="309"/>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1:43" x14ac:dyDescent="0.25">
      <c r="A155" s="309"/>
      <c r="B155" s="309"/>
      <c r="F155" s="19" t="s">
        <v>156</v>
      </c>
      <c r="G155" s="19" t="s">
        <v>269</v>
      </c>
      <c r="H155" s="383"/>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1:43" x14ac:dyDescent="0.25">
      <c r="A156" s="309"/>
      <c r="B156" s="309"/>
      <c r="E156" s="23"/>
      <c r="F156" t="s">
        <v>157</v>
      </c>
      <c r="G156" t="s">
        <v>269</v>
      </c>
      <c r="H156" s="384"/>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1:43" x14ac:dyDescent="0.25">
      <c r="A157" s="309"/>
      <c r="B157" s="309"/>
      <c r="E157" s="23"/>
      <c r="F157" t="s">
        <v>158</v>
      </c>
      <c r="G157" t="s">
        <v>269</v>
      </c>
      <c r="H157" s="384"/>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1:43" x14ac:dyDescent="0.25">
      <c r="A158" s="309"/>
      <c r="B158" s="309"/>
      <c r="E158" s="23"/>
      <c r="F158" t="s">
        <v>159</v>
      </c>
      <c r="G158" t="s">
        <v>270</v>
      </c>
      <c r="H158" s="384"/>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1:43" x14ac:dyDescent="0.25">
      <c r="A159" s="309"/>
      <c r="B159" s="309"/>
      <c r="E159" s="23"/>
      <c r="F159" t="s">
        <v>160</v>
      </c>
      <c r="G159" t="s">
        <v>271</v>
      </c>
      <c r="H159" s="384"/>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1:43" x14ac:dyDescent="0.25">
      <c r="A160" s="309"/>
      <c r="B160" s="309"/>
      <c r="E160" s="23"/>
      <c r="F160" t="s">
        <v>161</v>
      </c>
      <c r="G160" t="s">
        <v>271</v>
      </c>
      <c r="H160" s="384"/>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1:43" x14ac:dyDescent="0.25">
      <c r="A161" s="309"/>
      <c r="B161" s="309"/>
      <c r="E161" s="23"/>
      <c r="F161" s="28" t="s">
        <v>162</v>
      </c>
      <c r="G161" s="28" t="s">
        <v>272</v>
      </c>
      <c r="H161" s="385"/>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1:43" x14ac:dyDescent="0.25">
      <c r="A162" s="309"/>
      <c r="B162" s="309"/>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1:43" x14ac:dyDescent="0.25">
      <c r="A163" s="309"/>
      <c r="B163" s="309"/>
      <c r="C163" s="26" t="str">
        <f ca="1">INDEX('Version control'!$H$36:$H$59,MATCH($A$1,'Version control'!$F$36:$F$59,0),1)&amp;"-I: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1:43" x14ac:dyDescent="0.25">
      <c r="A164" s="309"/>
      <c r="B164" s="309"/>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1:43" x14ac:dyDescent="0.25">
      <c r="A165" s="309"/>
      <c r="B165" s="309"/>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1:43" x14ac:dyDescent="0.25">
      <c r="A166" s="309"/>
      <c r="B166" s="309"/>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1:43" x14ac:dyDescent="0.25">
      <c r="A167" s="309"/>
      <c r="B167" s="309"/>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1:43" x14ac:dyDescent="0.25">
      <c r="A168" s="309"/>
      <c r="B168" s="309"/>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1: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1:43" x14ac:dyDescent="0.2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1:43" x14ac:dyDescent="0.25">
      <c r="F171" s="3"/>
      <c r="G171" s="202"/>
      <c r="H171" s="3"/>
      <c r="I171" s="3"/>
    </row>
    <row r="172" spans="1:43" x14ac:dyDescent="0.25">
      <c r="E172" t="s">
        <v>784</v>
      </c>
      <c r="G172" s="12" t="s">
        <v>167</v>
      </c>
      <c r="J172" s="414" t="str">
        <f t="shared" ref="J172:AH172" si="37">IF( J170 &lt;&gt; 0, (J102 - J170) / J170, "-")</f>
        <v>-</v>
      </c>
      <c r="K172" s="414" t="str">
        <f t="shared" si="37"/>
        <v>-</v>
      </c>
      <c r="L172" s="414" t="str">
        <f t="shared" si="37"/>
        <v>-</v>
      </c>
      <c r="M172" s="414" t="str">
        <f t="shared" si="37"/>
        <v>-</v>
      </c>
      <c r="N172" s="414" t="str">
        <f t="shared" si="37"/>
        <v>-</v>
      </c>
      <c r="O172" s="414" t="str">
        <f t="shared" si="37"/>
        <v>-</v>
      </c>
      <c r="P172" s="414" t="str">
        <f t="shared" si="37"/>
        <v>-</v>
      </c>
      <c r="Q172" s="414" t="str">
        <f t="shared" si="37"/>
        <v>-</v>
      </c>
      <c r="R172" s="414" t="str">
        <f t="shared" si="37"/>
        <v>-</v>
      </c>
      <c r="S172" s="414" t="str">
        <f t="shared" si="37"/>
        <v>-</v>
      </c>
      <c r="T172" s="414" t="str">
        <f t="shared" si="37"/>
        <v>-</v>
      </c>
      <c r="U172" s="414" t="str">
        <f t="shared" si="37"/>
        <v>-</v>
      </c>
      <c r="V172" s="414" t="str">
        <f t="shared" si="37"/>
        <v>-</v>
      </c>
      <c r="W172" s="414" t="str">
        <f t="shared" si="37"/>
        <v>-</v>
      </c>
      <c r="X172" s="414" t="str">
        <f t="shared" si="37"/>
        <v>-</v>
      </c>
      <c r="Y172" s="414" t="str">
        <f t="shared" si="37"/>
        <v>-</v>
      </c>
      <c r="Z172" s="414" t="str">
        <f t="shared" si="37"/>
        <v>-</v>
      </c>
      <c r="AA172" s="414" t="str">
        <f t="shared" si="37"/>
        <v>-</v>
      </c>
      <c r="AB172" s="414" t="str">
        <f t="shared" si="37"/>
        <v>-</v>
      </c>
      <c r="AC172" s="414" t="str">
        <f t="shared" si="37"/>
        <v>-</v>
      </c>
      <c r="AD172" s="414" t="str">
        <f t="shared" si="37"/>
        <v>-</v>
      </c>
      <c r="AE172" s="414" t="str">
        <f t="shared" si="37"/>
        <v>-</v>
      </c>
      <c r="AF172" s="414" t="str">
        <f t="shared" si="37"/>
        <v>-</v>
      </c>
      <c r="AG172" s="414" t="str">
        <f t="shared" si="37"/>
        <v>-</v>
      </c>
      <c r="AH172" s="414" t="str">
        <f t="shared" si="37"/>
        <v>-</v>
      </c>
      <c r="AI172" s="414" t="str">
        <f>IF( AI170 &lt;&gt; 0, (AI102 - AI170) / AI170, "-")</f>
        <v>-</v>
      </c>
      <c r="AJ172" s="414" t="str">
        <f t="shared" ref="AJ172:AO172" si="38">IF( AJ170 &lt;&gt; 0, (AJ102 - AJ170) / AJ170, "-")</f>
        <v>-</v>
      </c>
      <c r="AK172" s="414" t="str">
        <f t="shared" si="38"/>
        <v>-</v>
      </c>
      <c r="AL172" s="414" t="str">
        <f t="shared" si="38"/>
        <v>-</v>
      </c>
      <c r="AM172" s="414" t="str">
        <f t="shared" si="38"/>
        <v>-</v>
      </c>
      <c r="AN172" s="414" t="str">
        <f t="shared" si="38"/>
        <v>-</v>
      </c>
      <c r="AO172" s="414" t="str">
        <f t="shared" si="38"/>
        <v>-</v>
      </c>
    </row>
    <row r="173" spans="1:43" x14ac:dyDescent="0.25">
      <c r="C173" s="78"/>
      <c r="D173" s="2"/>
      <c r="E173" s="2"/>
      <c r="G173" s="12"/>
    </row>
    <row r="174" spans="1:43" x14ac:dyDescent="0.25">
      <c r="E174" t="s">
        <v>785</v>
      </c>
      <c r="G174" s="12" t="s">
        <v>269</v>
      </c>
      <c r="H174" s="256"/>
      <c r="I174" s="256"/>
      <c r="J174" s="264">
        <f t="shared" ref="J174:AO174" si="39" xml:space="preserve"> IF( SUM(J22:J24) = 0, "-", (J102 - J170) / SUM(J22:J24)/ ten)</f>
        <v>2.6458468031247171</v>
      </c>
      <c r="K174" s="264">
        <f t="shared" si="39"/>
        <v>0.38059783464053548</v>
      </c>
      <c r="L174" s="264">
        <f t="shared" si="39"/>
        <v>4.9581594807109379</v>
      </c>
      <c r="M174" s="264">
        <f t="shared" si="39"/>
        <v>4.41205644848805</v>
      </c>
      <c r="N174" s="264">
        <f t="shared" si="39"/>
        <v>2.513880073428461</v>
      </c>
      <c r="O174" s="264">
        <f t="shared" si="39"/>
        <v>2.23659507773427</v>
      </c>
      <c r="P174" s="264">
        <f t="shared" si="39"/>
        <v>2.0973776396837125</v>
      </c>
      <c r="Q174" s="264">
        <f t="shared" si="39"/>
        <v>0.57934461732956666</v>
      </c>
      <c r="R174" s="264">
        <f t="shared" si="39"/>
        <v>3.4828981664420318</v>
      </c>
      <c r="S174" s="264">
        <f t="shared" si="39"/>
        <v>2.5958469287026533</v>
      </c>
      <c r="T174" s="264">
        <f t="shared" si="39"/>
        <v>2.8168047109022147</v>
      </c>
      <c r="U174" s="264">
        <f t="shared" si="39"/>
        <v>2.8237627410671688</v>
      </c>
      <c r="V174" s="264">
        <f t="shared" si="39"/>
        <v>2.8981260724175981</v>
      </c>
      <c r="W174" s="264">
        <f t="shared" si="39"/>
        <v>51.440329903791486</v>
      </c>
      <c r="X174" s="264">
        <f t="shared" si="39"/>
        <v>2.9807527256733062</v>
      </c>
      <c r="Y174" s="264">
        <f t="shared" si="39"/>
        <v>1.8579229104581461</v>
      </c>
      <c r="Z174" s="264">
        <f t="shared" si="39"/>
        <v>1.8794301636791264</v>
      </c>
      <c r="AA174" s="264">
        <f t="shared" si="39"/>
        <v>2.5832186924629674</v>
      </c>
      <c r="AB174" s="264">
        <f t="shared" si="39"/>
        <v>7.0179970685434494</v>
      </c>
      <c r="AC174" s="264">
        <f t="shared" si="39"/>
        <v>2.1450571051676532</v>
      </c>
      <c r="AD174" s="264">
        <f t="shared" si="39"/>
        <v>2.0214467009501984</v>
      </c>
      <c r="AE174" s="264">
        <f t="shared" si="39"/>
        <v>1.9693769495379052</v>
      </c>
      <c r="AF174" s="264">
        <f t="shared" si="39"/>
        <v>1.9116691670292796</v>
      </c>
      <c r="AG174" s="264">
        <f t="shared" si="39"/>
        <v>3.0396836691083688</v>
      </c>
      <c r="AH174" s="264">
        <f t="shared" si="39"/>
        <v>-0.96737850631530331</v>
      </c>
      <c r="AI174" s="264" t="str">
        <f t="shared" si="39"/>
        <v>-</v>
      </c>
      <c r="AJ174" s="264">
        <f t="shared" si="39"/>
        <v>-0.8049014810382682</v>
      </c>
      <c r="AK174" s="264" t="str">
        <f t="shared" si="39"/>
        <v>-</v>
      </c>
      <c r="AL174" s="264">
        <f t="shared" si="39"/>
        <v>-0.57499852976258925</v>
      </c>
      <c r="AM174" s="264" t="str">
        <f t="shared" si="39"/>
        <v>-</v>
      </c>
      <c r="AN174" s="264">
        <f t="shared" si="39"/>
        <v>-0.37345399233335608</v>
      </c>
      <c r="AO174" s="264" t="str">
        <f t="shared" si="39"/>
        <v>-</v>
      </c>
      <c r="AP174" s="256"/>
      <c r="AQ174" s="256"/>
    </row>
    <row r="175" spans="1:43" x14ac:dyDescent="0.25">
      <c r="C175" s="78"/>
      <c r="D175" s="2"/>
      <c r="E175" s="2"/>
      <c r="G175" s="12"/>
    </row>
    <row r="176" spans="1: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control'!$H$36:$H$59,MATCH($A$1,'Version control'!$F$36:$F$59,0),1)&amp;"-J: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156</v>
      </c>
      <c r="G182" s="75" t="s">
        <v>789</v>
      </c>
      <c r="H182" s="208"/>
      <c r="I182" s="19"/>
      <c r="J182" s="116">
        <f t="shared" ref="J182:AO182" si="40" xml:space="preserve"> IF( J$25 &lt;&gt; 0, J$22 * thousand * J64 / hundred / J$25, 0)</f>
        <v>17.90011167611889</v>
      </c>
      <c r="K182" s="116">
        <f t="shared" si="40"/>
        <v>0</v>
      </c>
      <c r="L182" s="116">
        <f t="shared" si="40"/>
        <v>4.156565121505551</v>
      </c>
      <c r="M182" s="116">
        <f t="shared" si="40"/>
        <v>6.6697703971589473</v>
      </c>
      <c r="N182" s="116">
        <f t="shared" si="40"/>
        <v>33.215620990529629</v>
      </c>
      <c r="O182" s="116">
        <f t="shared" si="40"/>
        <v>79.384796074744528</v>
      </c>
      <c r="P182" s="116">
        <f t="shared" si="40"/>
        <v>262.87269076991367</v>
      </c>
      <c r="Q182" s="116">
        <f t="shared" si="40"/>
        <v>0</v>
      </c>
      <c r="R182" s="116">
        <f t="shared" si="40"/>
        <v>123.15596789670532</v>
      </c>
      <c r="S182" s="116">
        <f t="shared" si="40"/>
        <v>282.80001425126056</v>
      </c>
      <c r="T182" s="116">
        <f t="shared" si="40"/>
        <v>531.84880546764225</v>
      </c>
      <c r="U182" s="116">
        <f t="shared" si="40"/>
        <v>840.86035390382472</v>
      </c>
      <c r="V182" s="116">
        <f t="shared" si="40"/>
        <v>1381.0592818146008</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639.22713422101617</v>
      </c>
      <c r="AH182" s="116">
        <f t="shared" si="40"/>
        <v>0</v>
      </c>
      <c r="AI182" s="116">
        <f t="shared" si="40"/>
        <v>0</v>
      </c>
      <c r="AJ182" s="116">
        <f t="shared" si="40"/>
        <v>-302.56393600476576</v>
      </c>
      <c r="AK182" s="116">
        <f t="shared" si="40"/>
        <v>0</v>
      </c>
      <c r="AL182" s="116">
        <f t="shared" si="40"/>
        <v>0</v>
      </c>
      <c r="AM182" s="116">
        <f t="shared" si="40"/>
        <v>0</v>
      </c>
      <c r="AN182" s="116">
        <f t="shared" si="40"/>
        <v>0</v>
      </c>
      <c r="AO182" s="116">
        <f t="shared" si="40"/>
        <v>0</v>
      </c>
    </row>
    <row r="183" spans="3:43" x14ac:dyDescent="0.25">
      <c r="E183" s="23"/>
      <c r="F183" t="s">
        <v>157</v>
      </c>
      <c r="G183" s="12" t="s">
        <v>789</v>
      </c>
      <c r="H183" s="92"/>
      <c r="J183" s="88">
        <f t="shared" ref="J183:AO183" si="41" xml:space="preserve"> IF( J$25 &lt;&gt; 0, J$23 * thousand * J65 / hundred / J$25, 0)</f>
        <v>9.0363793923715932</v>
      </c>
      <c r="K183" s="88">
        <f t="shared" si="41"/>
        <v>0</v>
      </c>
      <c r="L183" s="88">
        <f t="shared" si="41"/>
        <v>3.0530051443069057</v>
      </c>
      <c r="M183" s="88">
        <f t="shared" si="41"/>
        <v>4.8989592941819575</v>
      </c>
      <c r="N183" s="88">
        <f t="shared" si="41"/>
        <v>24.396938046457109</v>
      </c>
      <c r="O183" s="88">
        <f t="shared" si="41"/>
        <v>58.308286700958412</v>
      </c>
      <c r="P183" s="88">
        <f t="shared" si="41"/>
        <v>193.08050126919514</v>
      </c>
      <c r="Q183" s="88">
        <f t="shared" si="41"/>
        <v>0</v>
      </c>
      <c r="R183" s="88">
        <f t="shared" si="41"/>
        <v>95.208108839556147</v>
      </c>
      <c r="S183" s="88">
        <f t="shared" si="41"/>
        <v>218.62403419414275</v>
      </c>
      <c r="T183" s="88">
        <f t="shared" si="41"/>
        <v>411.15603102256023</v>
      </c>
      <c r="U183" s="88">
        <f t="shared" si="41"/>
        <v>650.04339993080214</v>
      </c>
      <c r="V183" s="88">
        <f t="shared" si="41"/>
        <v>1067.654655007598</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391.67517092880587</v>
      </c>
      <c r="AH183" s="88">
        <f t="shared" si="41"/>
        <v>0</v>
      </c>
      <c r="AI183" s="88">
        <f t="shared" si="41"/>
        <v>0</v>
      </c>
      <c r="AJ183" s="88">
        <f t="shared" si="41"/>
        <v>-240.49870401232266</v>
      </c>
      <c r="AK183" s="88">
        <f t="shared" si="41"/>
        <v>0</v>
      </c>
      <c r="AL183" s="88">
        <f t="shared" si="41"/>
        <v>0</v>
      </c>
      <c r="AM183" s="88">
        <f t="shared" si="41"/>
        <v>0</v>
      </c>
      <c r="AN183" s="88">
        <f t="shared" si="41"/>
        <v>0</v>
      </c>
      <c r="AO183" s="88">
        <f t="shared" si="41"/>
        <v>0</v>
      </c>
    </row>
    <row r="184" spans="3:43" x14ac:dyDescent="0.25">
      <c r="E184" s="23"/>
      <c r="F184" t="s">
        <v>158</v>
      </c>
      <c r="G184" s="12" t="s">
        <v>789</v>
      </c>
      <c r="H184" s="92"/>
      <c r="J184" s="88">
        <f t="shared" ref="J184:AO184" si="42" xml:space="preserve"> IF( J$25 &lt;&gt; 0, J$24 * thousand * J66 / hundred / J$25, 0)</f>
        <v>1.9115174374867505</v>
      </c>
      <c r="K184" s="88">
        <f t="shared" si="42"/>
        <v>0</v>
      </c>
      <c r="L184" s="88">
        <f t="shared" si="42"/>
        <v>0.39455800579193856</v>
      </c>
      <c r="M184" s="88">
        <f t="shared" si="42"/>
        <v>0.63312163530832477</v>
      </c>
      <c r="N184" s="88">
        <f t="shared" si="42"/>
        <v>3.1529613505531424</v>
      </c>
      <c r="O184" s="88">
        <f t="shared" si="42"/>
        <v>7.5355265498897799</v>
      </c>
      <c r="P184" s="88">
        <f t="shared" si="42"/>
        <v>24.952941098098368</v>
      </c>
      <c r="Q184" s="88">
        <f t="shared" si="42"/>
        <v>0</v>
      </c>
      <c r="R184" s="88">
        <f t="shared" si="42"/>
        <v>15.3048280615909</v>
      </c>
      <c r="S184" s="88">
        <f t="shared" si="42"/>
        <v>35.144099533700214</v>
      </c>
      <c r="T184" s="88">
        <f t="shared" si="42"/>
        <v>66.093869923314784</v>
      </c>
      <c r="U184" s="88">
        <f t="shared" si="42"/>
        <v>104.49532702386234</v>
      </c>
      <c r="V184" s="88">
        <f t="shared" si="42"/>
        <v>171.62688265959486</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1055.5479895979399</v>
      </c>
      <c r="AH184" s="88">
        <f t="shared" si="42"/>
        <v>0</v>
      </c>
      <c r="AI184" s="88">
        <f t="shared" si="42"/>
        <v>0</v>
      </c>
      <c r="AJ184" s="88">
        <f t="shared" si="42"/>
        <v>-26.282973762778116</v>
      </c>
      <c r="AK184" s="88">
        <f t="shared" si="42"/>
        <v>0</v>
      </c>
      <c r="AL184" s="88">
        <f t="shared" si="42"/>
        <v>0</v>
      </c>
      <c r="AM184" s="88">
        <f t="shared" si="42"/>
        <v>0</v>
      </c>
      <c r="AN184" s="88">
        <f t="shared" si="42"/>
        <v>0</v>
      </c>
      <c r="AO184" s="88">
        <f t="shared" si="42"/>
        <v>0</v>
      </c>
    </row>
    <row r="185" spans="3:43" x14ac:dyDescent="0.25">
      <c r="E185" s="23"/>
      <c r="F185" s="19" t="s">
        <v>159</v>
      </c>
      <c r="G185" s="75" t="s">
        <v>789</v>
      </c>
      <c r="H185" s="208"/>
      <c r="I185" s="19"/>
      <c r="J185" s="116">
        <f t="shared" ref="J185:AO185" si="43" xml:space="preserve"> IF( J$25 &lt;&gt; 0, J$25 * J67 * days_in_year / hundred / J$25, 0)</f>
        <v>36.051000000000002</v>
      </c>
      <c r="K185" s="116">
        <f t="shared" si="43"/>
        <v>0</v>
      </c>
      <c r="L185" s="116">
        <f t="shared" si="43"/>
        <v>25.436999999999998</v>
      </c>
      <c r="M185" s="116">
        <f t="shared" si="43"/>
        <v>34.879799999999996</v>
      </c>
      <c r="N185" s="116">
        <f t="shared" si="43"/>
        <v>72.468000000000004</v>
      </c>
      <c r="O185" s="116">
        <f t="shared" si="43"/>
        <v>137.87219999999999</v>
      </c>
      <c r="P185" s="116">
        <f t="shared" si="43"/>
        <v>397.73220000000003</v>
      </c>
      <c r="Q185" s="116">
        <f t="shared" si="43"/>
        <v>0</v>
      </c>
      <c r="R185" s="116">
        <f t="shared" si="43"/>
        <v>34.916399999999996</v>
      </c>
      <c r="S185" s="116">
        <f t="shared" si="43"/>
        <v>650.93100000000004</v>
      </c>
      <c r="T185" s="116">
        <f t="shared" si="43"/>
        <v>1191.6227999999996</v>
      </c>
      <c r="U185" s="116">
        <f t="shared" si="43"/>
        <v>1874.2494000000002</v>
      </c>
      <c r="V185" s="116">
        <f t="shared" si="43"/>
        <v>3227.3147999999997</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763.62239999999997</v>
      </c>
      <c r="S186" s="88">
        <f t="shared" si="44"/>
        <v>569.4000651454362</v>
      </c>
      <c r="T186" s="88">
        <f t="shared" si="44"/>
        <v>1378.7621028175583</v>
      </c>
      <c r="U186" s="88">
        <f t="shared" si="44"/>
        <v>2202.8754049100116</v>
      </c>
      <c r="V186" s="88">
        <f t="shared" si="44"/>
        <v>3715.0498360460042</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0</v>
      </c>
      <c r="S187" s="88">
        <f t="shared" si="45"/>
        <v>16.868719608062939</v>
      </c>
      <c r="T187" s="88">
        <f t="shared" si="45"/>
        <v>40.813591339122056</v>
      </c>
      <c r="U187" s="88">
        <f t="shared" si="45"/>
        <v>65.255379090880197</v>
      </c>
      <c r="V187" s="88">
        <f t="shared" si="45"/>
        <v>110.12254074392939</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7.5515994781630731</v>
      </c>
      <c r="S188" s="116">
        <f t="shared" si="46"/>
        <v>6.5442499340980422</v>
      </c>
      <c r="T188" s="116">
        <f t="shared" si="46"/>
        <v>12.357042804889785</v>
      </c>
      <c r="U188" s="116">
        <f t="shared" si="46"/>
        <v>19.530651154929274</v>
      </c>
      <c r="V188" s="116">
        <f t="shared" si="46"/>
        <v>32.093422078312372</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7.83282180109902</v>
      </c>
      <c r="AK188" s="116">
        <f t="shared" si="46"/>
        <v>0</v>
      </c>
      <c r="AL188" s="116">
        <f t="shared" si="46"/>
        <v>0</v>
      </c>
      <c r="AM188" s="116">
        <f t="shared" si="46"/>
        <v>0</v>
      </c>
      <c r="AN188" s="116">
        <f t="shared" si="46"/>
        <v>0</v>
      </c>
      <c r="AO188" s="116">
        <f t="shared" si="46"/>
        <v>0</v>
      </c>
    </row>
    <row r="189" spans="3:43" x14ac:dyDescent="0.25">
      <c r="E189" s="23"/>
      <c r="F189" s="98" t="s">
        <v>100</v>
      </c>
      <c r="G189" s="204" t="s">
        <v>789</v>
      </c>
      <c r="H189" s="209"/>
      <c r="I189" s="98"/>
      <c r="J189" s="143">
        <f t="shared" ref="J189" si="47">SUM(J182:J188)</f>
        <v>64.899008505977235</v>
      </c>
      <c r="K189" s="143">
        <f t="shared" ref="K189:AO189" si="48">SUM(K182:K188)</f>
        <v>0</v>
      </c>
      <c r="L189" s="143">
        <f t="shared" si="48"/>
        <v>33.041128271604393</v>
      </c>
      <c r="M189" s="143">
        <f t="shared" si="48"/>
        <v>47.081651326649222</v>
      </c>
      <c r="N189" s="143">
        <f t="shared" si="48"/>
        <v>133.2335203875399</v>
      </c>
      <c r="O189" s="143">
        <f t="shared" si="48"/>
        <v>283.10080932559271</v>
      </c>
      <c r="P189" s="143">
        <f t="shared" si="48"/>
        <v>878.63833313720716</v>
      </c>
      <c r="Q189" s="143">
        <f t="shared" si="48"/>
        <v>0</v>
      </c>
      <c r="R189" s="143">
        <f t="shared" si="48"/>
        <v>1039.7593042760154</v>
      </c>
      <c r="S189" s="143">
        <f t="shared" si="48"/>
        <v>1780.3121826667007</v>
      </c>
      <c r="T189" s="143">
        <f t="shared" si="48"/>
        <v>3632.6542433750869</v>
      </c>
      <c r="U189" s="143">
        <f t="shared" si="48"/>
        <v>5757.3099160143101</v>
      </c>
      <c r="V189" s="143">
        <f t="shared" si="48"/>
        <v>9704.9214183500389</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2086.4502947477622</v>
      </c>
      <c r="AH189" s="143">
        <f t="shared" si="48"/>
        <v>0</v>
      </c>
      <c r="AI189" s="143">
        <f t="shared" si="48"/>
        <v>0</v>
      </c>
      <c r="AJ189" s="143">
        <f t="shared" si="48"/>
        <v>-561.5127919787675</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156</v>
      </c>
      <c r="G193" s="75" t="s">
        <v>789</v>
      </c>
      <c r="H193" s="208"/>
      <c r="I193" s="19"/>
      <c r="J193" s="116">
        <f t="shared" ref="J193:AO193" si="49" xml:space="preserve"> IF( J$25 &lt;&gt; 0, J$22 * thousand * J73 / hundred / J$25,0)</f>
        <v>13.912687582406159</v>
      </c>
      <c r="K193" s="116">
        <f t="shared" si="49"/>
        <v>0</v>
      </c>
      <c r="L193" s="116">
        <f t="shared" si="49"/>
        <v>3.2310476391822474</v>
      </c>
      <c r="M193" s="116">
        <f t="shared" si="49"/>
        <v>5.1846525353660997</v>
      </c>
      <c r="N193" s="116">
        <f t="shared" si="49"/>
        <v>25.819697430014092</v>
      </c>
      <c r="O193" s="116">
        <f t="shared" si="49"/>
        <v>61.708658578976376</v>
      </c>
      <c r="P193" s="116">
        <f t="shared" si="49"/>
        <v>204.34040177144385</v>
      </c>
      <c r="Q193" s="116">
        <f t="shared" si="49"/>
        <v>0</v>
      </c>
      <c r="R193" s="116">
        <f t="shared" si="49"/>
        <v>95.718292044479455</v>
      </c>
      <c r="S193" s="116">
        <f t="shared" si="49"/>
        <v>219.79555531558827</v>
      </c>
      <c r="T193" s="116">
        <f t="shared" si="49"/>
        <v>413.35925619095559</v>
      </c>
      <c r="U193" s="116">
        <f t="shared" si="49"/>
        <v>653.52672954587536</v>
      </c>
      <c r="V193" s="116">
        <f t="shared" si="49"/>
        <v>1073.3758008247153</v>
      </c>
      <c r="W193" s="116">
        <f t="shared" si="49"/>
        <v>18.086660035905918</v>
      </c>
      <c r="X193" s="116">
        <f t="shared" si="49"/>
        <v>455.17017459680187</v>
      </c>
      <c r="Y193" s="116">
        <f t="shared" si="49"/>
        <v>602.41442440340404</v>
      </c>
      <c r="Z193" s="116">
        <f t="shared" si="49"/>
        <v>927.71344698282144</v>
      </c>
      <c r="AA193" s="116">
        <f t="shared" si="49"/>
        <v>1381.5922115845517</v>
      </c>
      <c r="AB193" s="116">
        <f t="shared" si="49"/>
        <v>73.642822572753985</v>
      </c>
      <c r="AC193" s="116">
        <f t="shared" si="49"/>
        <v>488.05906106472094</v>
      </c>
      <c r="AD193" s="116">
        <f t="shared" si="49"/>
        <v>1530.6958586109731</v>
      </c>
      <c r="AE193" s="116">
        <f t="shared" si="49"/>
        <v>3417.1830682115105</v>
      </c>
      <c r="AF193" s="116">
        <f t="shared" si="49"/>
        <v>10644.553341447936</v>
      </c>
      <c r="AG193" s="116">
        <f t="shared" si="49"/>
        <v>496.88338364237973</v>
      </c>
      <c r="AH193" s="116">
        <f t="shared" si="49"/>
        <v>0</v>
      </c>
      <c r="AI193" s="116">
        <f t="shared" si="49"/>
        <v>0</v>
      </c>
      <c r="AJ193" s="116">
        <f t="shared" si="49"/>
        <v>-302.56393600476576</v>
      </c>
      <c r="AK193" s="116">
        <f t="shared" si="49"/>
        <v>0</v>
      </c>
      <c r="AL193" s="116">
        <f t="shared" si="49"/>
        <v>-974.41153650236913</v>
      </c>
      <c r="AM193" s="116">
        <f t="shared" si="49"/>
        <v>0</v>
      </c>
      <c r="AN193" s="116">
        <f t="shared" si="49"/>
        <v>-5821.2066507729087</v>
      </c>
      <c r="AO193" s="116">
        <f t="shared" si="49"/>
        <v>0</v>
      </c>
    </row>
    <row r="194" spans="3:43" x14ac:dyDescent="0.25">
      <c r="C194" s="78"/>
      <c r="F194" t="s">
        <v>157</v>
      </c>
      <c r="G194" s="12" t="s">
        <v>789</v>
      </c>
      <c r="H194" s="92"/>
      <c r="J194" s="88">
        <f t="shared" ref="J194:AO194" si="50" xml:space="preserve"> IF( J$25 &lt;&gt; 0, J$23 * thousand * J74 / hundred / J$25, 0)</f>
        <v>7.0204815253314958</v>
      </c>
      <c r="K194" s="88">
        <f t="shared" si="50"/>
        <v>0</v>
      </c>
      <c r="L194" s="88">
        <f t="shared" si="50"/>
        <v>2.3740851192092864</v>
      </c>
      <c r="M194" s="88">
        <f t="shared" si="50"/>
        <v>3.8095403742170193</v>
      </c>
      <c r="N194" s="88">
        <f t="shared" si="50"/>
        <v>18.971604970391823</v>
      </c>
      <c r="O194" s="88">
        <f t="shared" si="50"/>
        <v>45.341828539486549</v>
      </c>
      <c r="P194" s="88">
        <f t="shared" si="50"/>
        <v>150.14371846947202</v>
      </c>
      <c r="Q194" s="88">
        <f t="shared" si="50"/>
        <v>0</v>
      </c>
      <c r="R194" s="88">
        <f t="shared" si="50"/>
        <v>74.069541157594315</v>
      </c>
      <c r="S194" s="88">
        <f t="shared" si="50"/>
        <v>170.08406212617143</v>
      </c>
      <c r="T194" s="88">
        <f t="shared" si="50"/>
        <v>319.86916800689414</v>
      </c>
      <c r="U194" s="88">
        <f t="shared" si="50"/>
        <v>505.7176006566454</v>
      </c>
      <c r="V194" s="88">
        <f t="shared" si="50"/>
        <v>830.60877245706558</v>
      </c>
      <c r="W194" s="88">
        <f t="shared" si="50"/>
        <v>12.625226957564589</v>
      </c>
      <c r="X194" s="88">
        <f t="shared" si="50"/>
        <v>317.72736078361794</v>
      </c>
      <c r="Y194" s="88">
        <f t="shared" si="50"/>
        <v>420.50985729287885</v>
      </c>
      <c r="Z194" s="88">
        <f t="shared" si="50"/>
        <v>647.58185295077499</v>
      </c>
      <c r="AA194" s="88">
        <f t="shared" si="50"/>
        <v>964.40775684568723</v>
      </c>
      <c r="AB194" s="88">
        <f t="shared" si="50"/>
        <v>51.479638408345558</v>
      </c>
      <c r="AC194" s="88">
        <f t="shared" si="50"/>
        <v>341.17519002896205</v>
      </c>
      <c r="AD194" s="88">
        <f t="shared" si="50"/>
        <v>1070.0251098686003</v>
      </c>
      <c r="AE194" s="88">
        <f t="shared" si="50"/>
        <v>2388.7643436379321</v>
      </c>
      <c r="AF194" s="88">
        <f t="shared" si="50"/>
        <v>7441.0205623870852</v>
      </c>
      <c r="AG194" s="88">
        <f t="shared" si="50"/>
        <v>304.4774138972104</v>
      </c>
      <c r="AH194" s="88">
        <f t="shared" si="50"/>
        <v>0</v>
      </c>
      <c r="AI194" s="88">
        <f t="shared" si="50"/>
        <v>0</v>
      </c>
      <c r="AJ194" s="88">
        <f t="shared" si="50"/>
        <v>-240.49870401232266</v>
      </c>
      <c r="AK194" s="88">
        <f t="shared" si="50"/>
        <v>0</v>
      </c>
      <c r="AL194" s="88">
        <f t="shared" si="50"/>
        <v>-694.48443278998104</v>
      </c>
      <c r="AM194" s="88">
        <f t="shared" si="50"/>
        <v>0</v>
      </c>
      <c r="AN194" s="88">
        <f t="shared" si="50"/>
        <v>-3121.0610908151116</v>
      </c>
      <c r="AO194" s="88">
        <f t="shared" si="50"/>
        <v>0</v>
      </c>
    </row>
    <row r="195" spans="3:43" x14ac:dyDescent="0.25">
      <c r="C195" s="78"/>
      <c r="F195" t="s">
        <v>158</v>
      </c>
      <c r="G195" s="12" t="s">
        <v>789</v>
      </c>
      <c r="H195" s="92"/>
      <c r="J195" s="88">
        <f t="shared" ref="J195:AO195" si="51" xml:space="preserve"> IF( J$25 &lt;&gt; 0, J$24 * thousand * J75 / hundred / J$25, 0)</f>
        <v>1.4914037149621899</v>
      </c>
      <c r="K195" s="88">
        <f t="shared" si="51"/>
        <v>0</v>
      </c>
      <c r="L195" s="88">
        <f t="shared" si="51"/>
        <v>0.30531274257709529</v>
      </c>
      <c r="M195" s="88">
        <f t="shared" si="51"/>
        <v>0.48991555113144175</v>
      </c>
      <c r="N195" s="88">
        <f t="shared" si="51"/>
        <v>2.4397915212613599</v>
      </c>
      <c r="O195" s="88">
        <f t="shared" si="51"/>
        <v>5.8310622112242347</v>
      </c>
      <c r="P195" s="88">
        <f t="shared" si="51"/>
        <v>19.308823468766587</v>
      </c>
      <c r="Q195" s="88">
        <f t="shared" si="51"/>
        <v>0</v>
      </c>
      <c r="R195" s="88">
        <f t="shared" si="51"/>
        <v>11.903755159015144</v>
      </c>
      <c r="S195" s="88">
        <f t="shared" si="51"/>
        <v>27.334299637322388</v>
      </c>
      <c r="T195" s="88">
        <f t="shared" si="51"/>
        <v>51.406343273689274</v>
      </c>
      <c r="U195" s="88">
        <f t="shared" si="51"/>
        <v>81.274143240781825</v>
      </c>
      <c r="V195" s="88">
        <f t="shared" si="51"/>
        <v>133.48757540190709</v>
      </c>
      <c r="W195" s="88">
        <f t="shared" si="51"/>
        <v>1.429921727248151</v>
      </c>
      <c r="X195" s="88">
        <f t="shared" si="51"/>
        <v>35.985512027052451</v>
      </c>
      <c r="Y195" s="88">
        <f t="shared" si="51"/>
        <v>47.626564139097034</v>
      </c>
      <c r="Z195" s="88">
        <f t="shared" si="51"/>
        <v>73.344531929472296</v>
      </c>
      <c r="AA195" s="88">
        <f t="shared" si="51"/>
        <v>109.22794576885094</v>
      </c>
      <c r="AB195" s="88">
        <f t="shared" si="51"/>
        <v>6.0324438314625981</v>
      </c>
      <c r="AC195" s="88">
        <f t="shared" si="51"/>
        <v>39.979305103367665</v>
      </c>
      <c r="AD195" s="88">
        <f t="shared" si="51"/>
        <v>125.38678539922503</v>
      </c>
      <c r="AE195" s="88">
        <f t="shared" si="51"/>
        <v>279.91818076290872</v>
      </c>
      <c r="AF195" s="88">
        <f t="shared" si="51"/>
        <v>871.9474335717448</v>
      </c>
      <c r="AG195" s="88">
        <f t="shared" si="51"/>
        <v>820.71997703113618</v>
      </c>
      <c r="AH195" s="88">
        <f t="shared" si="51"/>
        <v>0</v>
      </c>
      <c r="AI195" s="88">
        <f t="shared" si="51"/>
        <v>0</v>
      </c>
      <c r="AJ195" s="88">
        <f t="shared" si="51"/>
        <v>-26.282973762778116</v>
      </c>
      <c r="AK195" s="88">
        <f t="shared" si="51"/>
        <v>0</v>
      </c>
      <c r="AL195" s="88">
        <f t="shared" si="51"/>
        <v>-118.29463663344036</v>
      </c>
      <c r="AM195" s="88">
        <f t="shared" si="51"/>
        <v>0</v>
      </c>
      <c r="AN195" s="88">
        <f t="shared" si="51"/>
        <v>-328.67309300071503</v>
      </c>
      <c r="AO195" s="88">
        <f t="shared" si="51"/>
        <v>0</v>
      </c>
    </row>
    <row r="196" spans="3:43" x14ac:dyDescent="0.25">
      <c r="C196" s="78"/>
      <c r="F196" s="19" t="s">
        <v>159</v>
      </c>
      <c r="G196" s="75" t="s">
        <v>789</v>
      </c>
      <c r="H196" s="208"/>
      <c r="I196" s="19"/>
      <c r="J196" s="116">
        <f t="shared" ref="J196:AO196" si="52" xml:space="preserve"> IF( J$25 &lt;&gt; 0, J$25 * J76 * days_in_year / hundred / J$25, 0)</f>
        <v>28.218599999999999</v>
      </c>
      <c r="K196" s="116">
        <f t="shared" si="52"/>
        <v>0</v>
      </c>
      <c r="L196" s="116">
        <f t="shared" si="52"/>
        <v>19.873799999999999</v>
      </c>
      <c r="M196" s="116">
        <f t="shared" si="52"/>
        <v>27.230399999999999</v>
      </c>
      <c r="N196" s="116">
        <f t="shared" si="52"/>
        <v>56.473799999999997</v>
      </c>
      <c r="O196" s="116">
        <f t="shared" si="52"/>
        <v>107.27460000000001</v>
      </c>
      <c r="P196" s="116">
        <f t="shared" si="52"/>
        <v>309.30660000000006</v>
      </c>
      <c r="Q196" s="116">
        <f t="shared" si="52"/>
        <v>0</v>
      </c>
      <c r="R196" s="116">
        <f t="shared" si="52"/>
        <v>27.267000000000003</v>
      </c>
      <c r="S196" s="116">
        <f t="shared" si="52"/>
        <v>506.10480000000001</v>
      </c>
      <c r="T196" s="116">
        <f t="shared" si="52"/>
        <v>926.41919999999993</v>
      </c>
      <c r="U196" s="116">
        <f t="shared" si="52"/>
        <v>1457.046</v>
      </c>
      <c r="V196" s="116">
        <f t="shared" si="52"/>
        <v>2508.8202000000006</v>
      </c>
      <c r="W196" s="116">
        <f t="shared" si="52"/>
        <v>32.94</v>
      </c>
      <c r="X196" s="116">
        <f t="shared" si="52"/>
        <v>776.50560000000007</v>
      </c>
      <c r="Y196" s="116">
        <f t="shared" si="52"/>
        <v>1429.1933999999999</v>
      </c>
      <c r="Z196" s="116">
        <f t="shared" si="52"/>
        <v>2253.2058000000002</v>
      </c>
      <c r="AA196" s="116">
        <f t="shared" si="52"/>
        <v>3886.4808000000003</v>
      </c>
      <c r="AB196" s="116">
        <f t="shared" si="52"/>
        <v>343.78379999999999</v>
      </c>
      <c r="AC196" s="116">
        <f t="shared" si="52"/>
        <v>4208.9633999999996</v>
      </c>
      <c r="AD196" s="116">
        <f t="shared" si="52"/>
        <v>12469.693200000002</v>
      </c>
      <c r="AE196" s="116">
        <f t="shared" si="52"/>
        <v>27413.912400000001</v>
      </c>
      <c r="AF196" s="116">
        <f t="shared" si="52"/>
        <v>84670.549799999993</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594.96960000000001</v>
      </c>
      <c r="S197" s="88">
        <f t="shared" si="53"/>
        <v>443.64299554276329</v>
      </c>
      <c r="T197" s="88">
        <f t="shared" si="53"/>
        <v>1074.25022734865</v>
      </c>
      <c r="U197" s="88">
        <f t="shared" si="53"/>
        <v>1716.3507756047329</v>
      </c>
      <c r="V197" s="88">
        <f t="shared" si="53"/>
        <v>2894.5480317659053</v>
      </c>
      <c r="W197" s="88">
        <f t="shared" si="53"/>
        <v>3438.2039999999997</v>
      </c>
      <c r="X197" s="88">
        <f t="shared" si="53"/>
        <v>3653.8628440805801</v>
      </c>
      <c r="Y197" s="88">
        <f t="shared" si="53"/>
        <v>1822.5634986819821</v>
      </c>
      <c r="Z197" s="88">
        <f t="shared" si="53"/>
        <v>2830.8840913962536</v>
      </c>
      <c r="AA197" s="88">
        <f t="shared" si="53"/>
        <v>7439.0937434778562</v>
      </c>
      <c r="AB197" s="88">
        <f t="shared" si="53"/>
        <v>4128.0292421052627</v>
      </c>
      <c r="AC197" s="88">
        <f t="shared" si="53"/>
        <v>4152.845881675531</v>
      </c>
      <c r="AD197" s="88">
        <f t="shared" si="53"/>
        <v>12094.180416890771</v>
      </c>
      <c r="AE197" s="88">
        <f t="shared" si="53"/>
        <v>25859.487996587635</v>
      </c>
      <c r="AF197" s="88">
        <f t="shared" si="53"/>
        <v>75899.526566303903</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0</v>
      </c>
      <c r="S198" s="88">
        <f t="shared" si="54"/>
        <v>13.100489049891808</v>
      </c>
      <c r="T198" s="88">
        <f t="shared" si="54"/>
        <v>31.696419102808576</v>
      </c>
      <c r="U198" s="88">
        <f t="shared" si="54"/>
        <v>50.678261248589337</v>
      </c>
      <c r="V198" s="88">
        <f t="shared" si="54"/>
        <v>85.522741066402403</v>
      </c>
      <c r="W198" s="88">
        <f t="shared" si="54"/>
        <v>0</v>
      </c>
      <c r="X198" s="88">
        <f t="shared" si="54"/>
        <v>23.087884983857663</v>
      </c>
      <c r="Y198" s="88">
        <f t="shared" si="54"/>
        <v>11.516342629422144</v>
      </c>
      <c r="Z198" s="88">
        <f t="shared" si="54"/>
        <v>18.593018917668331</v>
      </c>
      <c r="AA198" s="88">
        <f t="shared" si="54"/>
        <v>47.005853274377635</v>
      </c>
      <c r="AB198" s="88">
        <f t="shared" si="54"/>
        <v>0</v>
      </c>
      <c r="AC198" s="88">
        <f t="shared" si="54"/>
        <v>82.189916655918779</v>
      </c>
      <c r="AD198" s="88">
        <f t="shared" si="54"/>
        <v>233.32945364358639</v>
      </c>
      <c r="AE198" s="88">
        <f t="shared" si="54"/>
        <v>499.74182578211168</v>
      </c>
      <c r="AF198" s="88">
        <f t="shared" si="54"/>
        <v>1461.3946114111923</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5.862425910679228</v>
      </c>
      <c r="S199" s="116">
        <f t="shared" si="55"/>
        <v>5.0804045541024276</v>
      </c>
      <c r="T199" s="116">
        <f t="shared" si="55"/>
        <v>9.5929674406381213</v>
      </c>
      <c r="U199" s="116">
        <f t="shared" si="55"/>
        <v>15.161952870274041</v>
      </c>
      <c r="V199" s="116">
        <f t="shared" si="55"/>
        <v>24.914630297637231</v>
      </c>
      <c r="W199" s="116">
        <f t="shared" si="55"/>
        <v>108.02815261410586</v>
      </c>
      <c r="X199" s="116">
        <f t="shared" si="55"/>
        <v>2.8113104697831561</v>
      </c>
      <c r="Y199" s="116">
        <f t="shared" si="55"/>
        <v>8.9098712646036677</v>
      </c>
      <c r="Z199" s="116">
        <f t="shared" si="55"/>
        <v>13.849235366066903</v>
      </c>
      <c r="AA199" s="116">
        <f t="shared" si="55"/>
        <v>20.972819358587142</v>
      </c>
      <c r="AB199" s="116">
        <f t="shared" si="55"/>
        <v>1.3797609446430843</v>
      </c>
      <c r="AC199" s="116">
        <f t="shared" si="55"/>
        <v>14.397908461416495</v>
      </c>
      <c r="AD199" s="116">
        <f t="shared" si="55"/>
        <v>45.070987339232396</v>
      </c>
      <c r="AE199" s="116">
        <f t="shared" si="55"/>
        <v>100.61816913972815</v>
      </c>
      <c r="AF199" s="116">
        <f t="shared" si="55"/>
        <v>313.42642379626056</v>
      </c>
      <c r="AG199" s="116">
        <f t="shared" si="55"/>
        <v>0</v>
      </c>
      <c r="AH199" s="116">
        <f t="shared" si="55"/>
        <v>0</v>
      </c>
      <c r="AI199" s="116">
        <f t="shared" si="55"/>
        <v>0</v>
      </c>
      <c r="AJ199" s="116">
        <f t="shared" si="55"/>
        <v>7.83282180109902</v>
      </c>
      <c r="AK199" s="116">
        <f t="shared" si="55"/>
        <v>0</v>
      </c>
      <c r="AL199" s="116">
        <f t="shared" si="55"/>
        <v>8.8113843382874659</v>
      </c>
      <c r="AM199" s="116">
        <f t="shared" si="55"/>
        <v>0</v>
      </c>
      <c r="AN199" s="116">
        <f t="shared" si="55"/>
        <v>84.959129936218389</v>
      </c>
      <c r="AO199" s="116">
        <f t="shared" si="55"/>
        <v>0</v>
      </c>
    </row>
    <row r="200" spans="3:43" x14ac:dyDescent="0.25">
      <c r="C200" s="78"/>
      <c r="F200" s="98" t="s">
        <v>100</v>
      </c>
      <c r="G200" s="204" t="s">
        <v>789</v>
      </c>
      <c r="H200" s="209"/>
      <c r="I200" s="98"/>
      <c r="J200" s="143">
        <f t="shared" ref="J200" si="56">SUM(J193:J199)</f>
        <v>50.643172822699839</v>
      </c>
      <c r="K200" s="143">
        <f t="shared" ref="K200:AO200" si="57">SUM(K193:K199)</f>
        <v>0</v>
      </c>
      <c r="L200" s="143">
        <f t="shared" si="57"/>
        <v>25.78424550096863</v>
      </c>
      <c r="M200" s="143">
        <f t="shared" si="57"/>
        <v>36.714508460714562</v>
      </c>
      <c r="N200" s="143">
        <f t="shared" si="57"/>
        <v>103.70489392166726</v>
      </c>
      <c r="O200" s="143">
        <f t="shared" si="57"/>
        <v>220.15614932968717</v>
      </c>
      <c r="P200" s="143">
        <f t="shared" si="57"/>
        <v>683.09954370968262</v>
      </c>
      <c r="Q200" s="143">
        <f t="shared" si="57"/>
        <v>0</v>
      </c>
      <c r="R200" s="143">
        <f t="shared" si="57"/>
        <v>809.79061427176816</v>
      </c>
      <c r="S200" s="143">
        <f t="shared" si="57"/>
        <v>1385.1426062258397</v>
      </c>
      <c r="T200" s="143">
        <f t="shared" si="57"/>
        <v>2826.5935813636356</v>
      </c>
      <c r="U200" s="143">
        <f t="shared" si="57"/>
        <v>4479.7554631668991</v>
      </c>
      <c r="V200" s="143">
        <f t="shared" si="57"/>
        <v>7551.2777518136327</v>
      </c>
      <c r="W200" s="143">
        <f t="shared" si="57"/>
        <v>3611.3139613348239</v>
      </c>
      <c r="X200" s="143">
        <f t="shared" si="57"/>
        <v>5265.1506869416926</v>
      </c>
      <c r="Y200" s="143">
        <f t="shared" si="57"/>
        <v>4342.7339584113879</v>
      </c>
      <c r="Z200" s="143">
        <f t="shared" si="57"/>
        <v>6765.1719775430574</v>
      </c>
      <c r="AA200" s="143">
        <f t="shared" si="57"/>
        <v>13848.78113030991</v>
      </c>
      <c r="AB200" s="143">
        <f t="shared" si="57"/>
        <v>4604.3477078624674</v>
      </c>
      <c r="AC200" s="143">
        <f t="shared" si="57"/>
        <v>9327.6106629899168</v>
      </c>
      <c r="AD200" s="143">
        <f t="shared" si="57"/>
        <v>27568.381811752392</v>
      </c>
      <c r="AE200" s="143">
        <f t="shared" si="57"/>
        <v>59959.625984121834</v>
      </c>
      <c r="AF200" s="143">
        <f t="shared" si="57"/>
        <v>181302.41873891812</v>
      </c>
      <c r="AG200" s="143">
        <f t="shared" si="57"/>
        <v>1622.0807745707261</v>
      </c>
      <c r="AH200" s="143">
        <f t="shared" si="57"/>
        <v>0</v>
      </c>
      <c r="AI200" s="143">
        <f t="shared" si="57"/>
        <v>0</v>
      </c>
      <c r="AJ200" s="143">
        <f t="shared" si="57"/>
        <v>-561.5127919787675</v>
      </c>
      <c r="AK200" s="143">
        <f t="shared" si="57"/>
        <v>0</v>
      </c>
      <c r="AL200" s="143">
        <f t="shared" si="57"/>
        <v>-1778.379221587503</v>
      </c>
      <c r="AM200" s="143">
        <f t="shared" si="57"/>
        <v>0</v>
      </c>
      <c r="AN200" s="143">
        <f t="shared" si="57"/>
        <v>-9185.9817046525168</v>
      </c>
      <c r="AO200" s="143">
        <f t="shared" si="57"/>
        <v>0</v>
      </c>
    </row>
    <row r="201" spans="3:43" x14ac:dyDescent="0.25">
      <c r="C201" s="78"/>
      <c r="D201" s="2"/>
      <c r="E201" s="2"/>
      <c r="G201" s="12"/>
    </row>
    <row r="202" spans="3:43" x14ac:dyDescent="0.25">
      <c r="C202" s="26" t="str">
        <f ca="1">INDEX('Version control'!$H$36:$H$59,MATCH($A$1,'Version control'!$F$36:$F$59,0),1)&amp;"-K: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167</v>
      </c>
      <c r="J206" s="101">
        <f>IF( AND( ISNUMBER(J$140), J$140 &lt;&gt; 0), ( J$140 - J189 ) / J$140, 0)</f>
        <v>0.33435678889704157</v>
      </c>
      <c r="K206" s="101">
        <f>IF( AND( ISNUMBER(K$140), K$140 &lt;&gt; 0), ( K$140 - K189 ) / K$140, 0)</f>
        <v>0</v>
      </c>
      <c r="L206" s="101">
        <f t="shared" ref="L206:AK206" si="58">IF( AND( ISNUMBER(L$140), L$140 &lt;&gt; 0), ( L$140 - L189 ) / L$140, 0)</f>
        <v>0.33360093800640089</v>
      </c>
      <c r="M206" s="101">
        <f t="shared" si="58"/>
        <v>0.33498057404571696</v>
      </c>
      <c r="N206" s="101">
        <f t="shared" si="58"/>
        <v>0.33677458445534592</v>
      </c>
      <c r="O206" s="101">
        <f t="shared" si="58"/>
        <v>0.33724806911177635</v>
      </c>
      <c r="P206" s="101">
        <f t="shared" si="58"/>
        <v>0.33759648019692573</v>
      </c>
      <c r="Q206" s="101">
        <f t="shared" si="58"/>
        <v>0</v>
      </c>
      <c r="R206" s="101">
        <f t="shared" si="58"/>
        <v>0.33841536471218192</v>
      </c>
      <c r="S206" s="101">
        <f t="shared" si="58"/>
        <v>0.33810897714441274</v>
      </c>
      <c r="T206" s="101">
        <f t="shared" si="58"/>
        <v>0.33819815936313097</v>
      </c>
      <c r="U206" s="101">
        <f t="shared" si="58"/>
        <v>0.33821584900908758</v>
      </c>
      <c r="V206" s="101">
        <f t="shared" si="58"/>
        <v>0.3382236206906552</v>
      </c>
      <c r="W206" s="101">
        <f t="shared" si="58"/>
        <v>1</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0.33790944141479751</v>
      </c>
      <c r="AH206" s="101">
        <f t="shared" si="58"/>
        <v>0</v>
      </c>
      <c r="AI206" s="393"/>
      <c r="AJ206" s="101">
        <f t="shared" si="58"/>
        <v>2.0246526765843448E-16</v>
      </c>
      <c r="AK206" s="101">
        <f t="shared" si="58"/>
        <v>0</v>
      </c>
      <c r="AL206" s="393"/>
      <c r="AM206" s="393"/>
      <c r="AN206" s="393"/>
      <c r="AO206" s="393"/>
    </row>
    <row r="207" spans="3:43" x14ac:dyDescent="0.25">
      <c r="C207" s="78"/>
      <c r="D207" s="2"/>
      <c r="E207" t="s">
        <v>794</v>
      </c>
      <c r="G207" s="23" t="s">
        <v>167</v>
      </c>
      <c r="J207" s="101">
        <f>IF( AND( ISNUMBER(J$140), J$140 &lt;&gt; 0), ( J$140 - J200 ) / J$140, 0)</f>
        <v>0.48057320205378395</v>
      </c>
      <c r="K207" s="101">
        <f>IF( AND( ISNUMBER(K$140), K$140 &lt;&gt; 0), ( K$140 - K200 ) / K$140, 0)</f>
        <v>0</v>
      </c>
      <c r="L207" s="101">
        <f t="shared" ref="L207:AO207" si="59">IF( AND( ISNUMBER(L$140), L$140 &lt;&gt; 0), ( L$140 - L200 ) / L$140, 0)</f>
        <v>0.47996336944628704</v>
      </c>
      <c r="M207" s="101">
        <f t="shared" si="59"/>
        <v>0.48141450750436687</v>
      </c>
      <c r="N207" s="101">
        <f t="shared" si="59"/>
        <v>0.48376563821814039</v>
      </c>
      <c r="O207" s="101">
        <f t="shared" si="59"/>
        <v>0.48460439441076547</v>
      </c>
      <c r="P207" s="101">
        <f t="shared" si="59"/>
        <v>0.48501274635543612</v>
      </c>
      <c r="Q207" s="101">
        <f t="shared" si="59"/>
        <v>0</v>
      </c>
      <c r="R207" s="101">
        <f t="shared" si="59"/>
        <v>0.48474129926105808</v>
      </c>
      <c r="S207" s="101">
        <f t="shared" si="59"/>
        <v>0.485026578281122</v>
      </c>
      <c r="T207" s="101">
        <f t="shared" si="59"/>
        <v>0.48504737595373137</v>
      </c>
      <c r="U207" s="101">
        <f t="shared" si="59"/>
        <v>0.48506660070660695</v>
      </c>
      <c r="V207" s="101">
        <f t="shared" si="59"/>
        <v>0.48508009139511066</v>
      </c>
      <c r="W207" s="101">
        <f t="shared" si="59"/>
        <v>0.20034692432709855</v>
      </c>
      <c r="X207" s="101">
        <f t="shared" si="59"/>
        <v>0.20051642775668632</v>
      </c>
      <c r="Y207" s="101">
        <f t="shared" si="59"/>
        <v>0.20064690987437953</v>
      </c>
      <c r="Z207" s="101">
        <f t="shared" si="59"/>
        <v>0.2006494415241962</v>
      </c>
      <c r="AA207" s="101">
        <f t="shared" si="59"/>
        <v>0.2005910863346724</v>
      </c>
      <c r="AB207" s="101">
        <f t="shared" si="59"/>
        <v>8.1514601947195148E-2</v>
      </c>
      <c r="AC207" s="101">
        <f t="shared" si="59"/>
        <v>8.1441281980310851E-2</v>
      </c>
      <c r="AD207" s="101">
        <f t="shared" si="59"/>
        <v>8.1439376079378081E-2</v>
      </c>
      <c r="AE207" s="101">
        <f t="shared" si="59"/>
        <v>8.1435683177319598E-2</v>
      </c>
      <c r="AF207" s="101">
        <f t="shared" si="59"/>
        <v>8.1432297058635639E-2</v>
      </c>
      <c r="AG207" s="101">
        <f t="shared" si="59"/>
        <v>0.48526721733589867</v>
      </c>
      <c r="AH207" s="101">
        <f t="shared" si="59"/>
        <v>0</v>
      </c>
      <c r="AI207" s="101">
        <f t="shared" si="59"/>
        <v>0</v>
      </c>
      <c r="AJ207" s="101">
        <f t="shared" si="59"/>
        <v>2.0246526765843448E-16</v>
      </c>
      <c r="AK207" s="101">
        <f t="shared" si="59"/>
        <v>0</v>
      </c>
      <c r="AL207" s="101">
        <f t="shared" si="59"/>
        <v>0</v>
      </c>
      <c r="AM207" s="101">
        <f t="shared" si="59"/>
        <v>0</v>
      </c>
      <c r="AN207" s="101">
        <f t="shared" si="59"/>
        <v>-2.6125020801353038E-2</v>
      </c>
      <c r="AO207" s="101">
        <f t="shared" si="59"/>
        <v>0</v>
      </c>
    </row>
    <row r="208" spans="3:43" x14ac:dyDescent="0.25">
      <c r="C208" s="78"/>
      <c r="D208" s="2"/>
      <c r="E208" s="2"/>
      <c r="F208" s="92"/>
      <c r="G208" s="92"/>
    </row>
    <row r="209" spans="2:43" x14ac:dyDescent="0.2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232</v>
      </c>
      <c r="G211" s="6" t="s">
        <v>55</v>
      </c>
      <c r="H211" s="93">
        <f t="array" ref="H211">SUM(IF(ISERROR($H$13:$AP$207), 1))</f>
        <v>0</v>
      </c>
      <c r="I211" s="3"/>
    </row>
    <row r="212" spans="2:43" x14ac:dyDescent="0.25">
      <c r="F212" s="3"/>
      <c r="G212" s="3"/>
      <c r="H212" s="3"/>
      <c r="I212" s="3"/>
    </row>
    <row r="213" spans="2:43" x14ac:dyDescent="0.2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WPD West Midlands - Final</v>
      </c>
    </row>
    <row r="3" spans="1:44" s="5" customFormat="1" x14ac:dyDescent="0.25">
      <c r="A3" s="5" t="str">
        <f>Cover!D2&amp;" - "&amp;Cover!D8&amp;" v"&amp;Cover!D10&amp;" - "&amp;Cover!D19</f>
        <v>CDCM charging model - Release for charge setting v8 - 2023/24</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96</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2023/24</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6.5549999999999997</v>
      </c>
      <c r="K16" s="210">
        <v>1.1639999999999999</v>
      </c>
      <c r="L16" s="210">
        <v>0.13700000000000001</v>
      </c>
      <c r="M16" s="375">
        <v>14.74</v>
      </c>
      <c r="N16" s="211">
        <v>0</v>
      </c>
      <c r="O16" s="211">
        <v>0</v>
      </c>
      <c r="P16" s="210">
        <v>0</v>
      </c>
    </row>
    <row r="17" spans="6:16" x14ac:dyDescent="0.25">
      <c r="F17" t="s">
        <v>829</v>
      </c>
      <c r="H17" t="s">
        <v>772</v>
      </c>
      <c r="J17" s="212">
        <v>6.5549999999999997</v>
      </c>
      <c r="K17" s="212">
        <v>1.1639999999999999</v>
      </c>
      <c r="L17" s="212">
        <v>0.13700000000000001</v>
      </c>
      <c r="M17" s="376">
        <v>0</v>
      </c>
      <c r="N17" s="213">
        <v>0</v>
      </c>
      <c r="O17" s="213">
        <v>0</v>
      </c>
      <c r="P17" s="212">
        <v>0</v>
      </c>
    </row>
    <row r="18" spans="6:16" x14ac:dyDescent="0.25">
      <c r="F18" t="s">
        <v>909</v>
      </c>
      <c r="H18" t="s">
        <v>772</v>
      </c>
      <c r="J18" s="212">
        <v>6.077</v>
      </c>
      <c r="K18" s="212">
        <v>1.079</v>
      </c>
      <c r="L18" s="212">
        <v>0.127</v>
      </c>
      <c r="M18" s="376">
        <v>10.41</v>
      </c>
      <c r="N18" s="213">
        <v>0</v>
      </c>
      <c r="O18" s="213">
        <v>0</v>
      </c>
      <c r="P18" s="212">
        <v>0</v>
      </c>
    </row>
    <row r="19" spans="6:16" x14ac:dyDescent="0.25">
      <c r="F19" t="s">
        <v>910</v>
      </c>
      <c r="H19" t="s">
        <v>772</v>
      </c>
      <c r="J19" s="212">
        <v>6.077</v>
      </c>
      <c r="K19" s="212">
        <v>1.079</v>
      </c>
      <c r="L19" s="212">
        <v>0.127</v>
      </c>
      <c r="M19" s="376">
        <v>14.31</v>
      </c>
      <c r="N19" s="213">
        <v>0</v>
      </c>
      <c r="O19" s="213">
        <v>0</v>
      </c>
      <c r="P19" s="212">
        <v>0</v>
      </c>
    </row>
    <row r="20" spans="6:16" x14ac:dyDescent="0.25">
      <c r="F20" t="s">
        <v>911</v>
      </c>
      <c r="H20" t="s">
        <v>772</v>
      </c>
      <c r="J20" s="212">
        <v>6.077</v>
      </c>
      <c r="K20" s="212">
        <v>1.079</v>
      </c>
      <c r="L20" s="212">
        <v>0.127</v>
      </c>
      <c r="M20" s="376">
        <v>29.82</v>
      </c>
      <c r="N20" s="213">
        <v>0</v>
      </c>
      <c r="O20" s="213">
        <v>0</v>
      </c>
      <c r="P20" s="212">
        <v>0</v>
      </c>
    </row>
    <row r="21" spans="6:16" x14ac:dyDescent="0.25">
      <c r="F21" t="s">
        <v>912</v>
      </c>
      <c r="H21" t="s">
        <v>772</v>
      </c>
      <c r="J21" s="212">
        <v>6.077</v>
      </c>
      <c r="K21" s="212">
        <v>1.079</v>
      </c>
      <c r="L21" s="212">
        <v>0.127</v>
      </c>
      <c r="M21" s="376">
        <v>56.8</v>
      </c>
      <c r="N21" s="213">
        <v>0</v>
      </c>
      <c r="O21" s="213">
        <v>0</v>
      </c>
      <c r="P21" s="212">
        <v>0</v>
      </c>
    </row>
    <row r="22" spans="6:16" x14ac:dyDescent="0.25">
      <c r="F22" t="s">
        <v>913</v>
      </c>
      <c r="H22" t="s">
        <v>772</v>
      </c>
      <c r="J22" s="212">
        <v>6.077</v>
      </c>
      <c r="K22" s="212">
        <v>1.079</v>
      </c>
      <c r="L22" s="212">
        <v>0.127</v>
      </c>
      <c r="M22" s="376">
        <v>164.03</v>
      </c>
      <c r="N22" s="213">
        <v>0</v>
      </c>
      <c r="O22" s="213">
        <v>0</v>
      </c>
      <c r="P22" s="212">
        <v>0</v>
      </c>
    </row>
    <row r="23" spans="6:16" x14ac:dyDescent="0.25">
      <c r="F23" t="s">
        <v>830</v>
      </c>
      <c r="H23" t="s">
        <v>772</v>
      </c>
      <c r="J23" s="212">
        <v>6.077</v>
      </c>
      <c r="K23" s="212">
        <v>1.079</v>
      </c>
      <c r="L23" s="212">
        <v>0.127</v>
      </c>
      <c r="M23" s="376">
        <v>0</v>
      </c>
      <c r="N23" s="213">
        <v>0</v>
      </c>
      <c r="O23" s="213">
        <v>0</v>
      </c>
      <c r="P23" s="212">
        <v>0</v>
      </c>
    </row>
    <row r="24" spans="6:16" x14ac:dyDescent="0.25">
      <c r="F24" t="s">
        <v>914</v>
      </c>
      <c r="H24" t="s">
        <v>772</v>
      </c>
      <c r="J24" s="212">
        <v>4.7450000000000001</v>
      </c>
      <c r="K24" s="212">
        <v>0.85099999999999998</v>
      </c>
      <c r="L24" s="212">
        <v>9.5000000000000001E-2</v>
      </c>
      <c r="M24" s="376">
        <v>14.32</v>
      </c>
      <c r="N24" s="213">
        <v>4.93</v>
      </c>
      <c r="O24" s="213">
        <v>8.65</v>
      </c>
      <c r="P24" s="212">
        <v>0.115</v>
      </c>
    </row>
    <row r="25" spans="6:16" x14ac:dyDescent="0.25">
      <c r="F25" t="s">
        <v>915</v>
      </c>
      <c r="H25" t="s">
        <v>772</v>
      </c>
      <c r="J25" s="212">
        <v>4.7450000000000001</v>
      </c>
      <c r="K25" s="212">
        <v>0.85099999999999998</v>
      </c>
      <c r="L25" s="212">
        <v>9.5000000000000001E-2</v>
      </c>
      <c r="M25" s="376">
        <v>268.51</v>
      </c>
      <c r="N25" s="213">
        <v>4.93</v>
      </c>
      <c r="O25" s="213">
        <v>8.65</v>
      </c>
      <c r="P25" s="212">
        <v>0.115</v>
      </c>
    </row>
    <row r="26" spans="6:16" x14ac:dyDescent="0.25">
      <c r="F26" t="s">
        <v>916</v>
      </c>
      <c r="H26" t="s">
        <v>772</v>
      </c>
      <c r="J26" s="212">
        <v>4.7450000000000001</v>
      </c>
      <c r="K26" s="212">
        <v>0.85099999999999998</v>
      </c>
      <c r="L26" s="212">
        <v>9.5000000000000001E-2</v>
      </c>
      <c r="M26" s="376">
        <v>491.62</v>
      </c>
      <c r="N26" s="213">
        <v>4.93</v>
      </c>
      <c r="O26" s="213">
        <v>8.65</v>
      </c>
      <c r="P26" s="212">
        <v>0.115</v>
      </c>
    </row>
    <row r="27" spans="6:16" x14ac:dyDescent="0.25">
      <c r="F27" t="s">
        <v>917</v>
      </c>
      <c r="H27" t="s">
        <v>772</v>
      </c>
      <c r="J27" s="212">
        <v>4.7450000000000001</v>
      </c>
      <c r="K27" s="212">
        <v>0.85099999999999998</v>
      </c>
      <c r="L27" s="212">
        <v>9.5000000000000001E-2</v>
      </c>
      <c r="M27" s="376">
        <v>773.3</v>
      </c>
      <c r="N27" s="213">
        <v>4.93</v>
      </c>
      <c r="O27" s="213">
        <v>8.65</v>
      </c>
      <c r="P27" s="212">
        <v>0.115</v>
      </c>
    </row>
    <row r="28" spans="6:16" x14ac:dyDescent="0.25">
      <c r="F28" t="s">
        <v>918</v>
      </c>
      <c r="H28" t="s">
        <v>772</v>
      </c>
      <c r="J28" s="212">
        <v>4.7450000000000001</v>
      </c>
      <c r="K28" s="212">
        <v>0.85099999999999998</v>
      </c>
      <c r="L28" s="212">
        <v>9.5000000000000001E-2</v>
      </c>
      <c r="M28" s="376">
        <v>1331.62</v>
      </c>
      <c r="N28" s="213">
        <v>4.93</v>
      </c>
      <c r="O28" s="213">
        <v>8.65</v>
      </c>
      <c r="P28" s="212">
        <v>0.115</v>
      </c>
    </row>
    <row r="29" spans="6:16" x14ac:dyDescent="0.25">
      <c r="F29" t="s">
        <v>919</v>
      </c>
      <c r="H29" t="s">
        <v>772</v>
      </c>
      <c r="J29" s="212">
        <v>2.4340000000000002</v>
      </c>
      <c r="K29" s="212">
        <v>0.44900000000000001</v>
      </c>
      <c r="L29" s="212">
        <v>4.2000000000000003E-2</v>
      </c>
      <c r="M29" s="376">
        <v>11.22</v>
      </c>
      <c r="N29" s="213">
        <v>5.34</v>
      </c>
      <c r="O29" s="213">
        <v>7.26</v>
      </c>
      <c r="P29" s="212">
        <v>7.0000000000000007E-2</v>
      </c>
    </row>
    <row r="30" spans="6:16" x14ac:dyDescent="0.25">
      <c r="F30" t="s">
        <v>920</v>
      </c>
      <c r="H30" t="s">
        <v>772</v>
      </c>
      <c r="J30" s="212">
        <v>2.4340000000000002</v>
      </c>
      <c r="K30" s="212">
        <v>0.44900000000000001</v>
      </c>
      <c r="L30" s="212">
        <v>4.2000000000000003E-2</v>
      </c>
      <c r="M30" s="376">
        <v>265.39999999999998</v>
      </c>
      <c r="N30" s="213">
        <v>5.34</v>
      </c>
      <c r="O30" s="213">
        <v>7.26</v>
      </c>
      <c r="P30" s="212">
        <v>7.0000000000000007E-2</v>
      </c>
    </row>
    <row r="31" spans="6:16" x14ac:dyDescent="0.25">
      <c r="F31" s="300" t="s">
        <v>921</v>
      </c>
      <c r="G31" s="300"/>
      <c r="H31" s="300" t="s">
        <v>772</v>
      </c>
      <c r="I31" s="300"/>
      <c r="J31" s="334">
        <v>2.4340000000000002</v>
      </c>
      <c r="K31" s="334">
        <v>0.44900000000000001</v>
      </c>
      <c r="L31" s="334">
        <v>4.2000000000000003E-2</v>
      </c>
      <c r="M31" s="377">
        <v>488.52</v>
      </c>
      <c r="N31" s="335">
        <v>5.34</v>
      </c>
      <c r="O31" s="335">
        <v>7.26</v>
      </c>
      <c r="P31" s="334">
        <v>7.0000000000000007E-2</v>
      </c>
    </row>
    <row r="32" spans="6:16" x14ac:dyDescent="0.25">
      <c r="F32" s="300" t="s">
        <v>922</v>
      </c>
      <c r="G32" s="300"/>
      <c r="H32" s="300" t="s">
        <v>772</v>
      </c>
      <c r="I32" s="300"/>
      <c r="J32" s="334">
        <v>2.4340000000000002</v>
      </c>
      <c r="K32" s="334">
        <v>0.44900000000000001</v>
      </c>
      <c r="L32" s="334">
        <v>4.2000000000000003E-2</v>
      </c>
      <c r="M32" s="377">
        <v>770.19</v>
      </c>
      <c r="N32" s="335">
        <v>5.34</v>
      </c>
      <c r="O32" s="335">
        <v>7.26</v>
      </c>
      <c r="P32" s="334">
        <v>7.0000000000000007E-2</v>
      </c>
    </row>
    <row r="33" spans="6:16" x14ac:dyDescent="0.25">
      <c r="F33" s="300" t="s">
        <v>923</v>
      </c>
      <c r="G33" s="300"/>
      <c r="H33" s="300" t="s">
        <v>772</v>
      </c>
      <c r="I33" s="300"/>
      <c r="J33" s="334">
        <v>2.4340000000000002</v>
      </c>
      <c r="K33" s="334">
        <v>0.44900000000000001</v>
      </c>
      <c r="L33" s="334">
        <v>4.2000000000000003E-2</v>
      </c>
      <c r="M33" s="377">
        <v>1328.51</v>
      </c>
      <c r="N33" s="335">
        <v>5.34</v>
      </c>
      <c r="O33" s="335">
        <v>7.26</v>
      </c>
      <c r="P33" s="334">
        <v>7.0000000000000007E-2</v>
      </c>
    </row>
    <row r="34" spans="6:16" x14ac:dyDescent="0.25">
      <c r="F34" s="300" t="s">
        <v>924</v>
      </c>
      <c r="G34" s="300"/>
      <c r="H34" s="300" t="s">
        <v>772</v>
      </c>
      <c r="I34" s="300"/>
      <c r="J34" s="334">
        <v>1.1830000000000001</v>
      </c>
      <c r="K34" s="334">
        <v>0.20799999999999999</v>
      </c>
      <c r="L34" s="334">
        <v>1.7000000000000001E-2</v>
      </c>
      <c r="M34" s="377">
        <v>102.26</v>
      </c>
      <c r="N34" s="335">
        <v>5.64</v>
      </c>
      <c r="O34" s="335">
        <v>7.34</v>
      </c>
      <c r="P34" s="334">
        <v>0.03</v>
      </c>
    </row>
    <row r="35" spans="6:16" x14ac:dyDescent="0.25">
      <c r="F35" s="300" t="s">
        <v>925</v>
      </c>
      <c r="G35" s="300"/>
      <c r="H35" s="300" t="s">
        <v>772</v>
      </c>
      <c r="I35" s="300"/>
      <c r="J35" s="334">
        <v>1.1830000000000001</v>
      </c>
      <c r="K35" s="334">
        <v>0.20799999999999999</v>
      </c>
      <c r="L35" s="334">
        <v>1.7000000000000001E-2</v>
      </c>
      <c r="M35" s="377">
        <v>1252.1500000000001</v>
      </c>
      <c r="N35" s="335">
        <v>5.64</v>
      </c>
      <c r="O35" s="335">
        <v>7.34</v>
      </c>
      <c r="P35" s="334">
        <v>0.03</v>
      </c>
    </row>
    <row r="36" spans="6:16" x14ac:dyDescent="0.25">
      <c r="F36" s="300" t="s">
        <v>926</v>
      </c>
      <c r="G36" s="300"/>
      <c r="H36" s="300" t="s">
        <v>772</v>
      </c>
      <c r="I36" s="300"/>
      <c r="J36" s="334">
        <v>1.1830000000000001</v>
      </c>
      <c r="K36" s="334">
        <v>0.20799999999999999</v>
      </c>
      <c r="L36" s="334">
        <v>1.7000000000000001E-2</v>
      </c>
      <c r="M36" s="377">
        <v>3709.74</v>
      </c>
      <c r="N36" s="335">
        <v>5.64</v>
      </c>
      <c r="O36" s="335">
        <v>7.34</v>
      </c>
      <c r="P36" s="334">
        <v>0.03</v>
      </c>
    </row>
    <row r="37" spans="6:16" x14ac:dyDescent="0.25">
      <c r="F37" s="300" t="s">
        <v>927</v>
      </c>
      <c r="G37" s="300"/>
      <c r="H37" s="300" t="s">
        <v>772</v>
      </c>
      <c r="I37" s="300"/>
      <c r="J37" s="334">
        <v>1.1830000000000001</v>
      </c>
      <c r="K37" s="334">
        <v>0.20799999999999999</v>
      </c>
      <c r="L37" s="334">
        <v>1.7000000000000001E-2</v>
      </c>
      <c r="M37" s="377">
        <v>8155.65</v>
      </c>
      <c r="N37" s="335">
        <v>5.64</v>
      </c>
      <c r="O37" s="335">
        <v>7.34</v>
      </c>
      <c r="P37" s="334">
        <v>0.03</v>
      </c>
    </row>
    <row r="38" spans="6:16" x14ac:dyDescent="0.25">
      <c r="F38" s="300" t="s">
        <v>928</v>
      </c>
      <c r="G38" s="300"/>
      <c r="H38" s="300" t="s">
        <v>772</v>
      </c>
      <c r="I38" s="300"/>
      <c r="J38" s="334">
        <v>1.1830000000000001</v>
      </c>
      <c r="K38" s="334">
        <v>0.20799999999999999</v>
      </c>
      <c r="L38" s="334">
        <v>1.7000000000000001E-2</v>
      </c>
      <c r="M38" s="377">
        <v>25189.56</v>
      </c>
      <c r="N38" s="335">
        <v>5.64</v>
      </c>
      <c r="O38" s="335">
        <v>7.34</v>
      </c>
      <c r="P38" s="334">
        <v>0.03</v>
      </c>
    </row>
    <row r="39" spans="6:16" x14ac:dyDescent="0.25">
      <c r="F39" s="300" t="s">
        <v>839</v>
      </c>
      <c r="G39" s="300"/>
      <c r="H39" s="300" t="s">
        <v>772</v>
      </c>
      <c r="I39" s="300"/>
      <c r="J39" s="334">
        <v>20.481999999999999</v>
      </c>
      <c r="K39" s="334">
        <v>2.8969999999999998</v>
      </c>
      <c r="L39" s="334">
        <v>2.0299999999999998</v>
      </c>
      <c r="M39" s="377">
        <v>0</v>
      </c>
      <c r="N39" s="335">
        <v>0</v>
      </c>
      <c r="O39" s="335">
        <v>0</v>
      </c>
      <c r="P39" s="334">
        <v>0</v>
      </c>
    </row>
    <row r="40" spans="6:16" x14ac:dyDescent="0.25">
      <c r="F40" s="300" t="s">
        <v>831</v>
      </c>
      <c r="G40" s="300"/>
      <c r="H40" s="300" t="s">
        <v>772</v>
      </c>
      <c r="I40" s="300"/>
      <c r="J40" s="334">
        <v>-4.1870000000000003</v>
      </c>
      <c r="K40" s="334">
        <v>-0.74399999999999999</v>
      </c>
      <c r="L40" s="334">
        <v>-8.6999999999999994E-2</v>
      </c>
      <c r="M40" s="377">
        <v>0</v>
      </c>
      <c r="N40" s="335">
        <v>0</v>
      </c>
      <c r="O40" s="335">
        <v>0</v>
      </c>
      <c r="P40" s="334">
        <v>0</v>
      </c>
    </row>
    <row r="41" spans="6:16" x14ac:dyDescent="0.25">
      <c r="F41" s="300" t="s">
        <v>832</v>
      </c>
      <c r="G41" s="300"/>
      <c r="H41" s="300" t="s">
        <v>772</v>
      </c>
      <c r="I41" s="300"/>
      <c r="J41" s="334">
        <v>-3.468</v>
      </c>
      <c r="K41" s="334">
        <v>-0.61899999999999999</v>
      </c>
      <c r="L41" s="334">
        <v>-7.0000000000000007E-2</v>
      </c>
      <c r="M41" s="377">
        <v>0</v>
      </c>
      <c r="N41" s="335">
        <v>0</v>
      </c>
      <c r="O41" s="335">
        <v>0</v>
      </c>
      <c r="P41" s="334">
        <v>0</v>
      </c>
    </row>
    <row r="42" spans="6:16" x14ac:dyDescent="0.25">
      <c r="F42" s="300" t="s">
        <v>833</v>
      </c>
      <c r="G42" s="300"/>
      <c r="H42" s="300" t="s">
        <v>772</v>
      </c>
      <c r="I42" s="300"/>
      <c r="J42" s="334">
        <v>-4.1870000000000003</v>
      </c>
      <c r="K42" s="334">
        <v>-0.74399999999999999</v>
      </c>
      <c r="L42" s="334">
        <v>-8.6999999999999994E-2</v>
      </c>
      <c r="M42" s="377">
        <v>0</v>
      </c>
      <c r="N42" s="335">
        <v>0</v>
      </c>
      <c r="O42" s="335">
        <v>0</v>
      </c>
      <c r="P42" s="334">
        <v>0.13200000000000001</v>
      </c>
    </row>
    <row r="43" spans="6:16" x14ac:dyDescent="0.25">
      <c r="F43" s="300" t="s">
        <v>842</v>
      </c>
      <c r="G43" s="300"/>
      <c r="H43" s="300" t="s">
        <v>772</v>
      </c>
      <c r="I43" s="300"/>
      <c r="J43" s="334">
        <v>-4.1870000000000003</v>
      </c>
      <c r="K43" s="334">
        <v>-0.74399999999999999</v>
      </c>
      <c r="L43" s="334">
        <v>-8.6999999999999994E-2</v>
      </c>
      <c r="M43" s="377">
        <v>0</v>
      </c>
      <c r="N43" s="335">
        <v>0</v>
      </c>
      <c r="O43" s="335">
        <v>0</v>
      </c>
      <c r="P43" s="334">
        <v>0</v>
      </c>
    </row>
    <row r="44" spans="6:16" x14ac:dyDescent="0.25">
      <c r="F44" s="300" t="s">
        <v>834</v>
      </c>
      <c r="G44" s="300"/>
      <c r="H44" s="300" t="s">
        <v>772</v>
      </c>
      <c r="I44" s="300"/>
      <c r="J44" s="334">
        <v>-3.468</v>
      </c>
      <c r="K44" s="334">
        <v>-0.61899999999999999</v>
      </c>
      <c r="L44" s="334">
        <v>-7.0000000000000007E-2</v>
      </c>
      <c r="M44" s="377">
        <v>0</v>
      </c>
      <c r="N44" s="335">
        <v>0</v>
      </c>
      <c r="O44" s="335">
        <v>0</v>
      </c>
      <c r="P44" s="334">
        <v>0.10100000000000001</v>
      </c>
    </row>
    <row r="45" spans="6:16" x14ac:dyDescent="0.25">
      <c r="F45" s="300" t="s">
        <v>841</v>
      </c>
      <c r="G45" s="300"/>
      <c r="H45" s="300" t="s">
        <v>772</v>
      </c>
      <c r="I45" s="300"/>
      <c r="J45" s="334">
        <v>-3.468</v>
      </c>
      <c r="K45" s="334">
        <v>-0.61899999999999999</v>
      </c>
      <c r="L45" s="334">
        <v>-7.0000000000000007E-2</v>
      </c>
      <c r="M45" s="377">
        <v>0</v>
      </c>
      <c r="N45" s="335">
        <v>0</v>
      </c>
      <c r="O45" s="335">
        <v>0</v>
      </c>
      <c r="P45" s="334">
        <v>0</v>
      </c>
    </row>
    <row r="46" spans="6:16" x14ac:dyDescent="0.25">
      <c r="F46" s="300" t="s">
        <v>835</v>
      </c>
      <c r="G46" s="300"/>
      <c r="H46" s="300" t="s">
        <v>772</v>
      </c>
      <c r="I46" s="300"/>
      <c r="J46" s="334">
        <v>-1.752</v>
      </c>
      <c r="K46" s="334">
        <v>-0.32200000000000001</v>
      </c>
      <c r="L46" s="334">
        <v>-0.03</v>
      </c>
      <c r="M46" s="377">
        <v>63.9</v>
      </c>
      <c r="N46" s="335">
        <v>0</v>
      </c>
      <c r="O46" s="335">
        <v>0</v>
      </c>
      <c r="P46" s="334">
        <v>7.8E-2</v>
      </c>
    </row>
    <row r="47" spans="6:16" x14ac:dyDescent="0.25">
      <c r="F47" s="28" t="s">
        <v>840</v>
      </c>
      <c r="G47" s="28"/>
      <c r="H47" s="28" t="s">
        <v>772</v>
      </c>
      <c r="I47" s="28"/>
      <c r="J47" s="214">
        <v>-1.752</v>
      </c>
      <c r="K47" s="214">
        <v>-0.32200000000000001</v>
      </c>
      <c r="L47" s="214">
        <v>-0.03</v>
      </c>
      <c r="M47" s="378">
        <v>63.9</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4.3410000000000002</v>
      </c>
      <c r="K50" s="210">
        <v>0.77100000000000002</v>
      </c>
      <c r="L50" s="210">
        <v>9.0999999999999998E-2</v>
      </c>
      <c r="M50" s="375">
        <v>9.85</v>
      </c>
      <c r="N50" s="211">
        <v>0</v>
      </c>
      <c r="O50" s="211">
        <v>0</v>
      </c>
      <c r="P50" s="210">
        <v>0</v>
      </c>
    </row>
    <row r="51" spans="4:16" x14ac:dyDescent="0.25">
      <c r="F51" t="s">
        <v>829</v>
      </c>
      <c r="H51" t="s">
        <v>447</v>
      </c>
      <c r="J51" s="212">
        <v>4.3410000000000002</v>
      </c>
      <c r="K51" s="212">
        <v>0.77100000000000002</v>
      </c>
      <c r="L51" s="212">
        <v>9.0999999999999998E-2</v>
      </c>
      <c r="M51" s="376">
        <v>0</v>
      </c>
      <c r="N51" s="213">
        <v>0</v>
      </c>
      <c r="O51" s="213">
        <v>0</v>
      </c>
      <c r="P51" s="212">
        <v>0</v>
      </c>
    </row>
    <row r="52" spans="4:16" x14ac:dyDescent="0.25">
      <c r="F52" t="s">
        <v>909</v>
      </c>
      <c r="H52" t="s">
        <v>447</v>
      </c>
      <c r="J52" s="212">
        <v>4.024</v>
      </c>
      <c r="K52" s="212">
        <v>0.71499999999999997</v>
      </c>
      <c r="L52" s="212">
        <v>8.4000000000000005E-2</v>
      </c>
      <c r="M52" s="376">
        <v>6.95</v>
      </c>
      <c r="N52" s="213">
        <v>0</v>
      </c>
      <c r="O52" s="213">
        <v>0</v>
      </c>
      <c r="P52" s="212">
        <v>0</v>
      </c>
    </row>
    <row r="53" spans="4:16" x14ac:dyDescent="0.25">
      <c r="F53" t="s">
        <v>910</v>
      </c>
      <c r="H53" t="s">
        <v>447</v>
      </c>
      <c r="J53" s="212">
        <v>4.024</v>
      </c>
      <c r="K53" s="212">
        <v>0.71499999999999997</v>
      </c>
      <c r="L53" s="212">
        <v>8.4000000000000005E-2</v>
      </c>
      <c r="M53" s="376">
        <v>9.5299999999999994</v>
      </c>
      <c r="N53" s="213">
        <v>0</v>
      </c>
      <c r="O53" s="213">
        <v>0</v>
      </c>
      <c r="P53" s="212">
        <v>0</v>
      </c>
    </row>
    <row r="54" spans="4:16" x14ac:dyDescent="0.25">
      <c r="F54" t="s">
        <v>911</v>
      </c>
      <c r="H54" t="s">
        <v>447</v>
      </c>
      <c r="J54" s="212">
        <v>4.024</v>
      </c>
      <c r="K54" s="212">
        <v>0.71499999999999997</v>
      </c>
      <c r="L54" s="212">
        <v>8.4000000000000005E-2</v>
      </c>
      <c r="M54" s="376">
        <v>19.8</v>
      </c>
      <c r="N54" s="213">
        <v>0</v>
      </c>
      <c r="O54" s="213">
        <v>0</v>
      </c>
      <c r="P54" s="212">
        <v>0</v>
      </c>
    </row>
    <row r="55" spans="4:16" x14ac:dyDescent="0.25">
      <c r="F55" t="s">
        <v>912</v>
      </c>
      <c r="H55" t="s">
        <v>447</v>
      </c>
      <c r="J55" s="212">
        <v>4.024</v>
      </c>
      <c r="K55" s="212">
        <v>0.71499999999999997</v>
      </c>
      <c r="L55" s="212">
        <v>8.4000000000000005E-2</v>
      </c>
      <c r="M55" s="376">
        <v>37.67</v>
      </c>
      <c r="N55" s="213">
        <v>0</v>
      </c>
      <c r="O55" s="213">
        <v>0</v>
      </c>
      <c r="P55" s="212">
        <v>0</v>
      </c>
    </row>
    <row r="56" spans="4:16" x14ac:dyDescent="0.25">
      <c r="F56" t="s">
        <v>913</v>
      </c>
      <c r="H56" t="s">
        <v>447</v>
      </c>
      <c r="J56" s="212">
        <v>4.024</v>
      </c>
      <c r="K56" s="212">
        <v>0.71499999999999997</v>
      </c>
      <c r="L56" s="212">
        <v>8.4000000000000005E-2</v>
      </c>
      <c r="M56" s="376">
        <v>108.67</v>
      </c>
      <c r="N56" s="213">
        <v>0</v>
      </c>
      <c r="O56" s="213">
        <v>0</v>
      </c>
      <c r="P56" s="212">
        <v>0</v>
      </c>
    </row>
    <row r="57" spans="4:16" x14ac:dyDescent="0.25">
      <c r="F57" t="s">
        <v>830</v>
      </c>
      <c r="H57" t="s">
        <v>447</v>
      </c>
      <c r="J57" s="212">
        <v>4.024</v>
      </c>
      <c r="K57" s="212">
        <v>0.71499999999999997</v>
      </c>
      <c r="L57" s="212">
        <v>8.4000000000000005E-2</v>
      </c>
      <c r="M57" s="376">
        <v>0</v>
      </c>
      <c r="N57" s="213">
        <v>0</v>
      </c>
      <c r="O57" s="213">
        <v>0</v>
      </c>
      <c r="P57" s="212">
        <v>0</v>
      </c>
    </row>
    <row r="58" spans="4:16" x14ac:dyDescent="0.25">
      <c r="F58" t="s">
        <v>914</v>
      </c>
      <c r="H58" t="s">
        <v>447</v>
      </c>
      <c r="J58" s="212">
        <v>3.1419999999999999</v>
      </c>
      <c r="K58" s="212">
        <v>0.56299999999999994</v>
      </c>
      <c r="L58" s="212">
        <v>6.3E-2</v>
      </c>
      <c r="M58" s="376">
        <v>9.5399999999999991</v>
      </c>
      <c r="N58" s="213">
        <v>3.26</v>
      </c>
      <c r="O58" s="213">
        <v>5.73</v>
      </c>
      <c r="P58" s="212">
        <v>7.5999999999999998E-2</v>
      </c>
    </row>
    <row r="59" spans="4:16" x14ac:dyDescent="0.25">
      <c r="F59" t="s">
        <v>915</v>
      </c>
      <c r="H59" t="s">
        <v>447</v>
      </c>
      <c r="J59" s="212">
        <v>3.1419999999999999</v>
      </c>
      <c r="K59" s="212">
        <v>0.56299999999999994</v>
      </c>
      <c r="L59" s="212">
        <v>6.3E-2</v>
      </c>
      <c r="M59" s="376">
        <v>177.85</v>
      </c>
      <c r="N59" s="213">
        <v>3.26</v>
      </c>
      <c r="O59" s="213">
        <v>5.73</v>
      </c>
      <c r="P59" s="212">
        <v>7.5999999999999998E-2</v>
      </c>
    </row>
    <row r="60" spans="4:16" x14ac:dyDescent="0.25">
      <c r="F60" t="s">
        <v>916</v>
      </c>
      <c r="H60" t="s">
        <v>447</v>
      </c>
      <c r="J60" s="212">
        <v>3.1419999999999999</v>
      </c>
      <c r="K60" s="212">
        <v>0.56299999999999994</v>
      </c>
      <c r="L60" s="212">
        <v>6.3E-2</v>
      </c>
      <c r="M60" s="376">
        <v>325.58</v>
      </c>
      <c r="N60" s="213">
        <v>3.26</v>
      </c>
      <c r="O60" s="213">
        <v>5.73</v>
      </c>
      <c r="P60" s="212">
        <v>7.5999999999999998E-2</v>
      </c>
    </row>
    <row r="61" spans="4:16" x14ac:dyDescent="0.25">
      <c r="F61" t="s">
        <v>917</v>
      </c>
      <c r="H61" t="s">
        <v>447</v>
      </c>
      <c r="J61" s="212">
        <v>3.1419999999999999</v>
      </c>
      <c r="K61" s="212">
        <v>0.56299999999999994</v>
      </c>
      <c r="L61" s="212">
        <v>6.3E-2</v>
      </c>
      <c r="M61" s="376">
        <v>512.09</v>
      </c>
      <c r="N61" s="213">
        <v>3.26</v>
      </c>
      <c r="O61" s="213">
        <v>5.73</v>
      </c>
      <c r="P61" s="212">
        <v>7.5999999999999998E-2</v>
      </c>
    </row>
    <row r="62" spans="4:16" x14ac:dyDescent="0.25">
      <c r="F62" t="s">
        <v>918</v>
      </c>
      <c r="H62" t="s">
        <v>447</v>
      </c>
      <c r="J62" s="212">
        <v>3.1419999999999999</v>
      </c>
      <c r="K62" s="212">
        <v>0.56299999999999994</v>
      </c>
      <c r="L62" s="212">
        <v>6.3E-2</v>
      </c>
      <c r="M62" s="376">
        <v>881.78</v>
      </c>
      <c r="N62" s="213">
        <v>3.26</v>
      </c>
      <c r="O62" s="213">
        <v>5.73</v>
      </c>
      <c r="P62" s="212">
        <v>7.5999999999999998E-2</v>
      </c>
    </row>
    <row r="63" spans="4:16" x14ac:dyDescent="0.25">
      <c r="F63" t="s">
        <v>919</v>
      </c>
      <c r="H63" t="s">
        <v>447</v>
      </c>
      <c r="J63" s="217">
        <v>0</v>
      </c>
      <c r="K63" s="217">
        <v>0</v>
      </c>
      <c r="L63" s="217">
        <v>0</v>
      </c>
      <c r="M63" s="394">
        <v>0</v>
      </c>
      <c r="N63" s="337">
        <v>0</v>
      </c>
      <c r="O63" s="337">
        <v>0</v>
      </c>
      <c r="P63" s="217">
        <v>0</v>
      </c>
    </row>
    <row r="64" spans="4:16" x14ac:dyDescent="0.25">
      <c r="F64" t="s">
        <v>920</v>
      </c>
      <c r="H64" t="s">
        <v>447</v>
      </c>
      <c r="J64" s="217">
        <v>0</v>
      </c>
      <c r="K64" s="217">
        <v>0</v>
      </c>
      <c r="L64" s="217">
        <v>0</v>
      </c>
      <c r="M64" s="394">
        <v>0</v>
      </c>
      <c r="N64" s="337">
        <v>0</v>
      </c>
      <c r="O64" s="337">
        <v>0</v>
      </c>
      <c r="P64" s="217">
        <v>0</v>
      </c>
    </row>
    <row r="65" spans="6:16" x14ac:dyDescent="0.25">
      <c r="F65" s="300" t="s">
        <v>921</v>
      </c>
      <c r="H65" t="s">
        <v>447</v>
      </c>
      <c r="J65" s="336">
        <v>0</v>
      </c>
      <c r="K65" s="336">
        <v>0</v>
      </c>
      <c r="L65" s="336">
        <v>0</v>
      </c>
      <c r="M65" s="395">
        <v>0</v>
      </c>
      <c r="N65" s="338">
        <v>0</v>
      </c>
      <c r="O65" s="338">
        <v>0</v>
      </c>
      <c r="P65" s="336">
        <v>0</v>
      </c>
    </row>
    <row r="66" spans="6:16" x14ac:dyDescent="0.25">
      <c r="F66" s="300" t="s">
        <v>922</v>
      </c>
      <c r="H66" t="s">
        <v>447</v>
      </c>
      <c r="J66" s="336">
        <v>0</v>
      </c>
      <c r="K66" s="336">
        <v>0</v>
      </c>
      <c r="L66" s="336">
        <v>0</v>
      </c>
      <c r="M66" s="395">
        <v>0</v>
      </c>
      <c r="N66" s="338">
        <v>0</v>
      </c>
      <c r="O66" s="338">
        <v>0</v>
      </c>
      <c r="P66" s="336">
        <v>0</v>
      </c>
    </row>
    <row r="67" spans="6:16" x14ac:dyDescent="0.25">
      <c r="F67" s="300" t="s">
        <v>923</v>
      </c>
      <c r="H67" t="s">
        <v>447</v>
      </c>
      <c r="J67" s="336">
        <v>0</v>
      </c>
      <c r="K67" s="336">
        <v>0</v>
      </c>
      <c r="L67" s="336">
        <v>0</v>
      </c>
      <c r="M67" s="395">
        <v>0</v>
      </c>
      <c r="N67" s="338">
        <v>0</v>
      </c>
      <c r="O67" s="338">
        <v>0</v>
      </c>
      <c r="P67" s="336">
        <v>0</v>
      </c>
    </row>
    <row r="68" spans="6:16" x14ac:dyDescent="0.25">
      <c r="F68" s="300" t="s">
        <v>924</v>
      </c>
      <c r="H68" t="s">
        <v>447</v>
      </c>
      <c r="J68" s="336">
        <v>0</v>
      </c>
      <c r="K68" s="336">
        <v>0</v>
      </c>
      <c r="L68" s="336">
        <v>0</v>
      </c>
      <c r="M68" s="395">
        <v>0</v>
      </c>
      <c r="N68" s="338">
        <v>0</v>
      </c>
      <c r="O68" s="338">
        <v>0</v>
      </c>
      <c r="P68" s="336">
        <v>0</v>
      </c>
    </row>
    <row r="69" spans="6:16" x14ac:dyDescent="0.25">
      <c r="F69" s="300" t="s">
        <v>925</v>
      </c>
      <c r="H69" t="s">
        <v>447</v>
      </c>
      <c r="J69" s="336">
        <v>0</v>
      </c>
      <c r="K69" s="336">
        <v>0</v>
      </c>
      <c r="L69" s="336">
        <v>0</v>
      </c>
      <c r="M69" s="395">
        <v>0</v>
      </c>
      <c r="N69" s="338">
        <v>0</v>
      </c>
      <c r="O69" s="338">
        <v>0</v>
      </c>
      <c r="P69" s="336">
        <v>0</v>
      </c>
    </row>
    <row r="70" spans="6:16" x14ac:dyDescent="0.25">
      <c r="F70" s="300" t="s">
        <v>926</v>
      </c>
      <c r="H70" t="s">
        <v>447</v>
      </c>
      <c r="J70" s="336">
        <v>0</v>
      </c>
      <c r="K70" s="336">
        <v>0</v>
      </c>
      <c r="L70" s="336">
        <v>0</v>
      </c>
      <c r="M70" s="395">
        <v>0</v>
      </c>
      <c r="N70" s="338">
        <v>0</v>
      </c>
      <c r="O70" s="338">
        <v>0</v>
      </c>
      <c r="P70" s="336">
        <v>0</v>
      </c>
    </row>
    <row r="71" spans="6:16" x14ac:dyDescent="0.25">
      <c r="F71" s="300" t="s">
        <v>927</v>
      </c>
      <c r="H71" t="s">
        <v>447</v>
      </c>
      <c r="J71" s="336">
        <v>0</v>
      </c>
      <c r="K71" s="336">
        <v>0</v>
      </c>
      <c r="L71" s="336">
        <v>0</v>
      </c>
      <c r="M71" s="395">
        <v>0</v>
      </c>
      <c r="N71" s="338">
        <v>0</v>
      </c>
      <c r="O71" s="338">
        <v>0</v>
      </c>
      <c r="P71" s="336">
        <v>0</v>
      </c>
    </row>
    <row r="72" spans="6:16" x14ac:dyDescent="0.25">
      <c r="F72" s="300" t="s">
        <v>928</v>
      </c>
      <c r="H72" t="s">
        <v>447</v>
      </c>
      <c r="J72" s="336">
        <v>0</v>
      </c>
      <c r="K72" s="336">
        <v>0</v>
      </c>
      <c r="L72" s="336">
        <v>0</v>
      </c>
      <c r="M72" s="395">
        <v>0</v>
      </c>
      <c r="N72" s="338">
        <v>0</v>
      </c>
      <c r="O72" s="338">
        <v>0</v>
      </c>
      <c r="P72" s="336">
        <v>0</v>
      </c>
    </row>
    <row r="73" spans="6:16" x14ac:dyDescent="0.25">
      <c r="F73" s="300" t="s">
        <v>839</v>
      </c>
      <c r="H73" t="s">
        <v>447</v>
      </c>
      <c r="J73" s="334">
        <v>13.561999999999999</v>
      </c>
      <c r="K73" s="334">
        <v>1.9179999999999999</v>
      </c>
      <c r="L73" s="334">
        <v>1.3440000000000001</v>
      </c>
      <c r="M73" s="377">
        <v>0</v>
      </c>
      <c r="N73" s="335">
        <v>0</v>
      </c>
      <c r="O73" s="335">
        <v>0</v>
      </c>
      <c r="P73" s="334">
        <v>0</v>
      </c>
    </row>
    <row r="74" spans="6:16" x14ac:dyDescent="0.25">
      <c r="F74" s="300" t="s">
        <v>831</v>
      </c>
      <c r="H74" t="s">
        <v>447</v>
      </c>
      <c r="J74" s="334">
        <v>-4.1870000000000003</v>
      </c>
      <c r="K74" s="334">
        <v>-0.74399999999999999</v>
      </c>
      <c r="L74" s="334">
        <v>-8.6999999999999994E-2</v>
      </c>
      <c r="M74" s="377">
        <v>0</v>
      </c>
      <c r="N74" s="335">
        <v>0</v>
      </c>
      <c r="O74" s="335">
        <v>0</v>
      </c>
      <c r="P74" s="334">
        <v>0</v>
      </c>
    </row>
    <row r="75" spans="6:16" x14ac:dyDescent="0.25">
      <c r="F75" s="300" t="s">
        <v>832</v>
      </c>
      <c r="H75" t="s">
        <v>447</v>
      </c>
      <c r="J75" s="336">
        <v>0</v>
      </c>
      <c r="K75" s="336">
        <v>0</v>
      </c>
      <c r="L75" s="336">
        <v>0</v>
      </c>
      <c r="M75" s="395">
        <v>0</v>
      </c>
      <c r="N75" s="338">
        <v>0</v>
      </c>
      <c r="O75" s="338">
        <v>0</v>
      </c>
      <c r="P75" s="336">
        <v>0</v>
      </c>
    </row>
    <row r="76" spans="6:16" x14ac:dyDescent="0.25">
      <c r="F76" s="300" t="s">
        <v>833</v>
      </c>
      <c r="H76" t="s">
        <v>447</v>
      </c>
      <c r="J76" s="334">
        <v>-4.1870000000000003</v>
      </c>
      <c r="K76" s="334">
        <v>-0.74399999999999999</v>
      </c>
      <c r="L76" s="334">
        <v>-8.6999999999999994E-2</v>
      </c>
      <c r="M76" s="377">
        <v>0</v>
      </c>
      <c r="N76" s="335">
        <v>0</v>
      </c>
      <c r="O76" s="335">
        <v>0</v>
      </c>
      <c r="P76" s="334">
        <v>0.13200000000000001</v>
      </c>
    </row>
    <row r="77" spans="6:16" x14ac:dyDescent="0.25">
      <c r="F77" s="300" t="s">
        <v>842</v>
      </c>
      <c r="H77" t="s">
        <v>447</v>
      </c>
      <c r="J77" s="336">
        <v>0</v>
      </c>
      <c r="K77" s="336">
        <v>0</v>
      </c>
      <c r="L77" s="336">
        <v>0</v>
      </c>
      <c r="M77" s="395">
        <v>0</v>
      </c>
      <c r="N77" s="338">
        <v>0</v>
      </c>
      <c r="O77" s="338">
        <v>0</v>
      </c>
      <c r="P77" s="336">
        <v>0</v>
      </c>
    </row>
    <row r="78" spans="6:16" x14ac:dyDescent="0.25">
      <c r="F78" s="300" t="s">
        <v>834</v>
      </c>
      <c r="H78" t="s">
        <v>447</v>
      </c>
      <c r="J78" s="336">
        <v>0</v>
      </c>
      <c r="K78" s="336">
        <v>0</v>
      </c>
      <c r="L78" s="336">
        <v>0</v>
      </c>
      <c r="M78" s="395">
        <v>0</v>
      </c>
      <c r="N78" s="338">
        <v>0</v>
      </c>
      <c r="O78" s="338">
        <v>0</v>
      </c>
      <c r="P78" s="336">
        <v>0</v>
      </c>
    </row>
    <row r="79" spans="6:16" x14ac:dyDescent="0.25">
      <c r="F79" s="300" t="s">
        <v>841</v>
      </c>
      <c r="H79" t="s">
        <v>447</v>
      </c>
      <c r="J79" s="336">
        <v>0</v>
      </c>
      <c r="K79" s="336">
        <v>0</v>
      </c>
      <c r="L79" s="336">
        <v>0</v>
      </c>
      <c r="M79" s="395">
        <v>0</v>
      </c>
      <c r="N79" s="338">
        <v>0</v>
      </c>
      <c r="O79" s="338">
        <v>0</v>
      </c>
      <c r="P79" s="336">
        <v>0</v>
      </c>
    </row>
    <row r="80" spans="6:16" x14ac:dyDescent="0.25">
      <c r="F80" s="300" t="s">
        <v>835</v>
      </c>
      <c r="H80" t="s">
        <v>447</v>
      </c>
      <c r="J80" s="336">
        <v>0</v>
      </c>
      <c r="K80" s="336">
        <v>0</v>
      </c>
      <c r="L80" s="336">
        <v>0</v>
      </c>
      <c r="M80" s="395">
        <v>0</v>
      </c>
      <c r="N80" s="338">
        <v>0</v>
      </c>
      <c r="O80" s="338">
        <v>0</v>
      </c>
      <c r="P80" s="336">
        <v>0</v>
      </c>
    </row>
    <row r="81" spans="4:16" x14ac:dyDescent="0.25">
      <c r="F81" s="28" t="s">
        <v>840</v>
      </c>
      <c r="G81" s="28"/>
      <c r="H81" s="28" t="s">
        <v>447</v>
      </c>
      <c r="I81" s="28"/>
      <c r="J81" s="218">
        <v>0</v>
      </c>
      <c r="K81" s="218">
        <v>0</v>
      </c>
      <c r="L81" s="218">
        <v>0</v>
      </c>
      <c r="M81" s="396">
        <v>0</v>
      </c>
      <c r="N81" s="339">
        <v>0</v>
      </c>
      <c r="O81" s="339">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3.3740000000000001</v>
      </c>
      <c r="K84" s="210">
        <v>0.59899999999999998</v>
      </c>
      <c r="L84" s="210">
        <v>7.0999999999999994E-2</v>
      </c>
      <c r="M84" s="375">
        <v>7.71</v>
      </c>
      <c r="N84" s="211">
        <v>0</v>
      </c>
      <c r="O84" s="211">
        <v>0</v>
      </c>
      <c r="P84" s="210">
        <v>0</v>
      </c>
    </row>
    <row r="85" spans="4:16" x14ac:dyDescent="0.25">
      <c r="F85" t="s">
        <v>829</v>
      </c>
      <c r="H85" t="s">
        <v>448</v>
      </c>
      <c r="J85" s="212">
        <v>3.3740000000000001</v>
      </c>
      <c r="K85" s="212">
        <v>0.59899999999999998</v>
      </c>
      <c r="L85" s="212">
        <v>7.0999999999999994E-2</v>
      </c>
      <c r="M85" s="376">
        <v>0</v>
      </c>
      <c r="N85" s="213">
        <v>0</v>
      </c>
      <c r="O85" s="213">
        <v>0</v>
      </c>
      <c r="P85" s="212">
        <v>0</v>
      </c>
    </row>
    <row r="86" spans="4:16" x14ac:dyDescent="0.25">
      <c r="F86" t="s">
        <v>909</v>
      </c>
      <c r="H86" t="s">
        <v>448</v>
      </c>
      <c r="J86" s="212">
        <v>3.1280000000000001</v>
      </c>
      <c r="K86" s="212">
        <v>0.55600000000000005</v>
      </c>
      <c r="L86" s="212">
        <v>6.5000000000000002E-2</v>
      </c>
      <c r="M86" s="376">
        <v>5.43</v>
      </c>
      <c r="N86" s="213">
        <v>0</v>
      </c>
      <c r="O86" s="213">
        <v>0</v>
      </c>
      <c r="P86" s="212">
        <v>0</v>
      </c>
    </row>
    <row r="87" spans="4:16" x14ac:dyDescent="0.25">
      <c r="F87" t="s">
        <v>910</v>
      </c>
      <c r="H87" t="s">
        <v>448</v>
      </c>
      <c r="J87" s="212">
        <v>3.1280000000000001</v>
      </c>
      <c r="K87" s="212">
        <v>0.55600000000000005</v>
      </c>
      <c r="L87" s="212">
        <v>6.5000000000000002E-2</v>
      </c>
      <c r="M87" s="376">
        <v>7.44</v>
      </c>
      <c r="N87" s="213">
        <v>0</v>
      </c>
      <c r="O87" s="213">
        <v>0</v>
      </c>
      <c r="P87" s="212">
        <v>0</v>
      </c>
    </row>
    <row r="88" spans="4:16" x14ac:dyDescent="0.25">
      <c r="F88" t="s">
        <v>911</v>
      </c>
      <c r="H88" t="s">
        <v>448</v>
      </c>
      <c r="J88" s="212">
        <v>3.1280000000000001</v>
      </c>
      <c r="K88" s="212">
        <v>0.55600000000000005</v>
      </c>
      <c r="L88" s="212">
        <v>6.5000000000000002E-2</v>
      </c>
      <c r="M88" s="376">
        <v>15.43</v>
      </c>
      <c r="N88" s="213">
        <v>0</v>
      </c>
      <c r="O88" s="213">
        <v>0</v>
      </c>
      <c r="P88" s="212">
        <v>0</v>
      </c>
    </row>
    <row r="89" spans="4:16" x14ac:dyDescent="0.25">
      <c r="F89" t="s">
        <v>912</v>
      </c>
      <c r="H89" t="s">
        <v>448</v>
      </c>
      <c r="J89" s="212">
        <v>3.1280000000000001</v>
      </c>
      <c r="K89" s="212">
        <v>0.55600000000000005</v>
      </c>
      <c r="L89" s="212">
        <v>6.5000000000000002E-2</v>
      </c>
      <c r="M89" s="376">
        <v>29.31</v>
      </c>
      <c r="N89" s="213">
        <v>0</v>
      </c>
      <c r="O89" s="213">
        <v>0</v>
      </c>
      <c r="P89" s="212">
        <v>0</v>
      </c>
    </row>
    <row r="90" spans="4:16" x14ac:dyDescent="0.25">
      <c r="F90" t="s">
        <v>913</v>
      </c>
      <c r="H90" t="s">
        <v>448</v>
      </c>
      <c r="J90" s="212">
        <v>3.1280000000000001</v>
      </c>
      <c r="K90" s="212">
        <v>0.55600000000000005</v>
      </c>
      <c r="L90" s="212">
        <v>6.5000000000000002E-2</v>
      </c>
      <c r="M90" s="376">
        <v>84.51</v>
      </c>
      <c r="N90" s="213">
        <v>0</v>
      </c>
      <c r="O90" s="213">
        <v>0</v>
      </c>
      <c r="P90" s="212">
        <v>0</v>
      </c>
    </row>
    <row r="91" spans="4:16" x14ac:dyDescent="0.25">
      <c r="F91" t="s">
        <v>830</v>
      </c>
      <c r="H91" t="s">
        <v>448</v>
      </c>
      <c r="J91" s="212">
        <v>3.1280000000000001</v>
      </c>
      <c r="K91" s="212">
        <v>0.55600000000000005</v>
      </c>
      <c r="L91" s="212">
        <v>6.5000000000000002E-2</v>
      </c>
      <c r="M91" s="376">
        <v>0</v>
      </c>
      <c r="N91" s="213">
        <v>0</v>
      </c>
      <c r="O91" s="213">
        <v>0</v>
      </c>
      <c r="P91" s="212">
        <v>0</v>
      </c>
    </row>
    <row r="92" spans="4:16" x14ac:dyDescent="0.25">
      <c r="F92" t="s">
        <v>914</v>
      </c>
      <c r="H92" t="s">
        <v>448</v>
      </c>
      <c r="J92" s="212">
        <v>2.4420000000000002</v>
      </c>
      <c r="K92" s="212">
        <v>0.438</v>
      </c>
      <c r="L92" s="212">
        <v>4.9000000000000002E-2</v>
      </c>
      <c r="M92" s="376">
        <v>7.45</v>
      </c>
      <c r="N92" s="213">
        <v>2.54</v>
      </c>
      <c r="O92" s="213">
        <v>4.45</v>
      </c>
      <c r="P92" s="212">
        <v>5.8999999999999997E-2</v>
      </c>
    </row>
    <row r="93" spans="4:16" x14ac:dyDescent="0.25">
      <c r="F93" t="s">
        <v>915</v>
      </c>
      <c r="H93" t="s">
        <v>448</v>
      </c>
      <c r="J93" s="212">
        <v>2.4420000000000002</v>
      </c>
      <c r="K93" s="212">
        <v>0.438</v>
      </c>
      <c r="L93" s="212">
        <v>4.9000000000000002E-2</v>
      </c>
      <c r="M93" s="376">
        <v>138.28</v>
      </c>
      <c r="N93" s="213">
        <v>2.54</v>
      </c>
      <c r="O93" s="213">
        <v>4.45</v>
      </c>
      <c r="P93" s="212">
        <v>5.8999999999999997E-2</v>
      </c>
    </row>
    <row r="94" spans="4:16" x14ac:dyDescent="0.25">
      <c r="F94" t="s">
        <v>916</v>
      </c>
      <c r="H94" t="s">
        <v>448</v>
      </c>
      <c r="J94" s="212">
        <v>2.4420000000000002</v>
      </c>
      <c r="K94" s="212">
        <v>0.438</v>
      </c>
      <c r="L94" s="212">
        <v>4.9000000000000002E-2</v>
      </c>
      <c r="M94" s="376">
        <v>253.12</v>
      </c>
      <c r="N94" s="213">
        <v>2.54</v>
      </c>
      <c r="O94" s="213">
        <v>4.45</v>
      </c>
      <c r="P94" s="212">
        <v>5.8999999999999997E-2</v>
      </c>
    </row>
    <row r="95" spans="4:16" x14ac:dyDescent="0.25">
      <c r="F95" t="s">
        <v>917</v>
      </c>
      <c r="H95" t="s">
        <v>448</v>
      </c>
      <c r="J95" s="212">
        <v>2.4420000000000002</v>
      </c>
      <c r="K95" s="212">
        <v>0.438</v>
      </c>
      <c r="L95" s="212">
        <v>4.9000000000000002E-2</v>
      </c>
      <c r="M95" s="376">
        <v>398.1</v>
      </c>
      <c r="N95" s="213">
        <v>2.54</v>
      </c>
      <c r="O95" s="213">
        <v>4.45</v>
      </c>
      <c r="P95" s="212">
        <v>5.8999999999999997E-2</v>
      </c>
    </row>
    <row r="96" spans="4:16" x14ac:dyDescent="0.25">
      <c r="F96" t="s">
        <v>918</v>
      </c>
      <c r="H96" t="s">
        <v>448</v>
      </c>
      <c r="J96" s="212">
        <v>2.4420000000000002</v>
      </c>
      <c r="K96" s="212">
        <v>0.438</v>
      </c>
      <c r="L96" s="212">
        <v>4.9000000000000002E-2</v>
      </c>
      <c r="M96" s="376">
        <v>685.47</v>
      </c>
      <c r="N96" s="213">
        <v>2.54</v>
      </c>
      <c r="O96" s="213">
        <v>4.45</v>
      </c>
      <c r="P96" s="212">
        <v>5.8999999999999997E-2</v>
      </c>
    </row>
    <row r="97" spans="6:16" x14ac:dyDescent="0.25">
      <c r="F97" t="s">
        <v>919</v>
      </c>
      <c r="H97" t="s">
        <v>448</v>
      </c>
      <c r="J97" s="212">
        <v>1.946</v>
      </c>
      <c r="K97" s="212">
        <v>0.35899999999999999</v>
      </c>
      <c r="L97" s="212">
        <v>3.3000000000000002E-2</v>
      </c>
      <c r="M97" s="376">
        <v>9</v>
      </c>
      <c r="N97" s="213">
        <v>4.2699999999999996</v>
      </c>
      <c r="O97" s="213">
        <v>5.81</v>
      </c>
      <c r="P97" s="212">
        <v>5.6000000000000001E-2</v>
      </c>
    </row>
    <row r="98" spans="6:16" x14ac:dyDescent="0.25">
      <c r="F98" t="s">
        <v>920</v>
      </c>
      <c r="H98" t="s">
        <v>448</v>
      </c>
      <c r="J98" s="212">
        <v>1.946</v>
      </c>
      <c r="K98" s="212">
        <v>0.35899999999999999</v>
      </c>
      <c r="L98" s="212">
        <v>3.3000000000000002E-2</v>
      </c>
      <c r="M98" s="376">
        <v>212.16</v>
      </c>
      <c r="N98" s="213">
        <v>4.2699999999999996</v>
      </c>
      <c r="O98" s="213">
        <v>5.81</v>
      </c>
      <c r="P98" s="212">
        <v>5.6000000000000001E-2</v>
      </c>
    </row>
    <row r="99" spans="6:16" x14ac:dyDescent="0.25">
      <c r="F99" s="300" t="s">
        <v>921</v>
      </c>
      <c r="H99" t="s">
        <v>448</v>
      </c>
      <c r="J99" s="334">
        <v>1.946</v>
      </c>
      <c r="K99" s="334">
        <v>0.35899999999999999</v>
      </c>
      <c r="L99" s="334">
        <v>3.3000000000000002E-2</v>
      </c>
      <c r="M99" s="377">
        <v>390.49</v>
      </c>
      <c r="N99" s="335">
        <v>4.2699999999999996</v>
      </c>
      <c r="O99" s="335">
        <v>5.81</v>
      </c>
      <c r="P99" s="334">
        <v>5.6000000000000001E-2</v>
      </c>
    </row>
    <row r="100" spans="6:16" x14ac:dyDescent="0.25">
      <c r="F100" s="300" t="s">
        <v>922</v>
      </c>
      <c r="H100" t="s">
        <v>448</v>
      </c>
      <c r="J100" s="334">
        <v>1.946</v>
      </c>
      <c r="K100" s="334">
        <v>0.35899999999999999</v>
      </c>
      <c r="L100" s="334">
        <v>3.3000000000000002E-2</v>
      </c>
      <c r="M100" s="377">
        <v>615.63</v>
      </c>
      <c r="N100" s="335">
        <v>4.2699999999999996</v>
      </c>
      <c r="O100" s="335">
        <v>5.81</v>
      </c>
      <c r="P100" s="334">
        <v>5.6000000000000001E-2</v>
      </c>
    </row>
    <row r="101" spans="6:16" x14ac:dyDescent="0.25">
      <c r="F101" s="300" t="s">
        <v>923</v>
      </c>
      <c r="H101" t="s">
        <v>448</v>
      </c>
      <c r="J101" s="334">
        <v>1.946</v>
      </c>
      <c r="K101" s="334">
        <v>0.35899999999999999</v>
      </c>
      <c r="L101" s="334">
        <v>3.3000000000000002E-2</v>
      </c>
      <c r="M101" s="377">
        <v>1061.8800000000001</v>
      </c>
      <c r="N101" s="335">
        <v>4.2699999999999996</v>
      </c>
      <c r="O101" s="335">
        <v>5.81</v>
      </c>
      <c r="P101" s="334">
        <v>5.6000000000000001E-2</v>
      </c>
    </row>
    <row r="102" spans="6:16" x14ac:dyDescent="0.25">
      <c r="F102" s="300" t="s">
        <v>924</v>
      </c>
      <c r="H102" t="s">
        <v>448</v>
      </c>
      <c r="J102" s="334">
        <v>1.087</v>
      </c>
      <c r="K102" s="334">
        <v>0.191</v>
      </c>
      <c r="L102" s="334">
        <v>1.6E-2</v>
      </c>
      <c r="M102" s="377">
        <v>93.93</v>
      </c>
      <c r="N102" s="335">
        <v>5.18</v>
      </c>
      <c r="O102" s="335">
        <v>6.74</v>
      </c>
      <c r="P102" s="334">
        <v>2.8000000000000001E-2</v>
      </c>
    </row>
    <row r="103" spans="6:16" x14ac:dyDescent="0.25">
      <c r="F103" s="300" t="s">
        <v>925</v>
      </c>
      <c r="H103" t="s">
        <v>448</v>
      </c>
      <c r="J103" s="334">
        <v>1.087</v>
      </c>
      <c r="K103" s="334">
        <v>0.191</v>
      </c>
      <c r="L103" s="334">
        <v>1.6E-2</v>
      </c>
      <c r="M103" s="377">
        <v>1149.99</v>
      </c>
      <c r="N103" s="335">
        <v>5.18</v>
      </c>
      <c r="O103" s="335">
        <v>6.74</v>
      </c>
      <c r="P103" s="334">
        <v>2.8000000000000001E-2</v>
      </c>
    </row>
    <row r="104" spans="6:16" x14ac:dyDescent="0.25">
      <c r="F104" s="300" t="s">
        <v>926</v>
      </c>
      <c r="H104" t="s">
        <v>448</v>
      </c>
      <c r="J104" s="334">
        <v>1.087</v>
      </c>
      <c r="K104" s="334">
        <v>0.191</v>
      </c>
      <c r="L104" s="334">
        <v>1.6E-2</v>
      </c>
      <c r="M104" s="377">
        <v>3407.02</v>
      </c>
      <c r="N104" s="335">
        <v>5.18</v>
      </c>
      <c r="O104" s="335">
        <v>6.74</v>
      </c>
      <c r="P104" s="334">
        <v>2.8000000000000001E-2</v>
      </c>
    </row>
    <row r="105" spans="6:16" x14ac:dyDescent="0.25">
      <c r="F105" s="300" t="s">
        <v>927</v>
      </c>
      <c r="H105" t="s">
        <v>448</v>
      </c>
      <c r="J105" s="334">
        <v>1.087</v>
      </c>
      <c r="K105" s="334">
        <v>0.191</v>
      </c>
      <c r="L105" s="334">
        <v>1.6E-2</v>
      </c>
      <c r="M105" s="377">
        <v>7490.14</v>
      </c>
      <c r="N105" s="335">
        <v>5.18</v>
      </c>
      <c r="O105" s="335">
        <v>6.74</v>
      </c>
      <c r="P105" s="334">
        <v>2.8000000000000001E-2</v>
      </c>
    </row>
    <row r="106" spans="6:16" x14ac:dyDescent="0.25">
      <c r="F106" s="300" t="s">
        <v>928</v>
      </c>
      <c r="H106" t="s">
        <v>448</v>
      </c>
      <c r="J106" s="334">
        <v>1.087</v>
      </c>
      <c r="K106" s="334">
        <v>0.191</v>
      </c>
      <c r="L106" s="334">
        <v>1.6E-2</v>
      </c>
      <c r="M106" s="377">
        <v>23134.03</v>
      </c>
      <c r="N106" s="335">
        <v>5.18</v>
      </c>
      <c r="O106" s="335">
        <v>6.74</v>
      </c>
      <c r="P106" s="334">
        <v>2.8000000000000001E-2</v>
      </c>
    </row>
    <row r="107" spans="6:16" x14ac:dyDescent="0.25">
      <c r="F107" s="300" t="s">
        <v>839</v>
      </c>
      <c r="H107" t="s">
        <v>448</v>
      </c>
      <c r="J107" s="334">
        <v>10.542</v>
      </c>
      <c r="K107" s="334">
        <v>1.4910000000000001</v>
      </c>
      <c r="L107" s="334">
        <v>1.0449999999999999</v>
      </c>
      <c r="M107" s="377">
        <v>0</v>
      </c>
      <c r="N107" s="335">
        <v>0</v>
      </c>
      <c r="O107" s="335">
        <v>0</v>
      </c>
      <c r="P107" s="334">
        <v>0</v>
      </c>
    </row>
    <row r="108" spans="6:16" x14ac:dyDescent="0.25">
      <c r="F108" s="300" t="s">
        <v>831</v>
      </c>
      <c r="H108" t="s">
        <v>448</v>
      </c>
      <c r="J108" s="334">
        <v>-4.1870000000000003</v>
      </c>
      <c r="K108" s="334">
        <v>-0.74399999999999999</v>
      </c>
      <c r="L108" s="334">
        <v>-8.6999999999999994E-2</v>
      </c>
      <c r="M108" s="377">
        <v>0</v>
      </c>
      <c r="N108" s="335">
        <v>0</v>
      </c>
      <c r="O108" s="335">
        <v>0</v>
      </c>
      <c r="P108" s="334">
        <v>0</v>
      </c>
    </row>
    <row r="109" spans="6:16" x14ac:dyDescent="0.25">
      <c r="F109" s="300" t="s">
        <v>832</v>
      </c>
      <c r="H109" t="s">
        <v>448</v>
      </c>
      <c r="J109" s="334">
        <v>-3.468</v>
      </c>
      <c r="K109" s="334">
        <v>-0.61899999999999999</v>
      </c>
      <c r="L109" s="334">
        <v>-7.0000000000000007E-2</v>
      </c>
      <c r="M109" s="377">
        <v>0</v>
      </c>
      <c r="N109" s="335">
        <v>0</v>
      </c>
      <c r="O109" s="335">
        <v>0</v>
      </c>
      <c r="P109" s="334">
        <v>0</v>
      </c>
    </row>
    <row r="110" spans="6:16" x14ac:dyDescent="0.25">
      <c r="F110" s="300" t="s">
        <v>833</v>
      </c>
      <c r="H110" t="s">
        <v>448</v>
      </c>
      <c r="J110" s="334">
        <v>-4.1870000000000003</v>
      </c>
      <c r="K110" s="334">
        <v>-0.74399999999999999</v>
      </c>
      <c r="L110" s="334">
        <v>-8.6999999999999994E-2</v>
      </c>
      <c r="M110" s="377">
        <v>0</v>
      </c>
      <c r="N110" s="335">
        <v>0</v>
      </c>
      <c r="O110" s="335">
        <v>0</v>
      </c>
      <c r="P110" s="334">
        <v>0.13200000000000001</v>
      </c>
    </row>
    <row r="111" spans="6:16" x14ac:dyDescent="0.25">
      <c r="F111" s="300" t="s">
        <v>842</v>
      </c>
      <c r="H111" t="s">
        <v>448</v>
      </c>
      <c r="J111" s="336">
        <v>0</v>
      </c>
      <c r="K111" s="336">
        <v>0</v>
      </c>
      <c r="L111" s="336">
        <v>0</v>
      </c>
      <c r="M111" s="395">
        <v>0</v>
      </c>
      <c r="N111" s="338">
        <v>0</v>
      </c>
      <c r="O111" s="338">
        <v>0</v>
      </c>
      <c r="P111" s="336">
        <v>0</v>
      </c>
    </row>
    <row r="112" spans="6:16" x14ac:dyDescent="0.25">
      <c r="F112" s="300" t="s">
        <v>834</v>
      </c>
      <c r="H112" t="s">
        <v>448</v>
      </c>
      <c r="J112" s="334">
        <v>-3.468</v>
      </c>
      <c r="K112" s="334">
        <v>-0.61899999999999999</v>
      </c>
      <c r="L112" s="334">
        <v>-7.0000000000000007E-2</v>
      </c>
      <c r="M112" s="377">
        <v>0</v>
      </c>
      <c r="N112" s="335">
        <v>0</v>
      </c>
      <c r="O112" s="335">
        <v>0</v>
      </c>
      <c r="P112" s="334">
        <v>0.10100000000000001</v>
      </c>
    </row>
    <row r="113" spans="2:19" x14ac:dyDescent="0.25">
      <c r="F113" s="300" t="s">
        <v>841</v>
      </c>
      <c r="H113" t="s">
        <v>448</v>
      </c>
      <c r="J113" s="336">
        <v>0</v>
      </c>
      <c r="K113" s="336">
        <v>0</v>
      </c>
      <c r="L113" s="336">
        <v>0</v>
      </c>
      <c r="M113" s="395">
        <v>0</v>
      </c>
      <c r="N113" s="338">
        <v>0</v>
      </c>
      <c r="O113" s="338">
        <v>0</v>
      </c>
      <c r="P113" s="336">
        <v>0</v>
      </c>
    </row>
    <row r="114" spans="2:19" x14ac:dyDescent="0.25">
      <c r="F114" s="300" t="s">
        <v>835</v>
      </c>
      <c r="H114" t="s">
        <v>448</v>
      </c>
      <c r="J114" s="334">
        <v>-1.752</v>
      </c>
      <c r="K114" s="334">
        <v>-0.32200000000000001</v>
      </c>
      <c r="L114" s="334">
        <v>-0.03</v>
      </c>
      <c r="M114" s="377">
        <v>0</v>
      </c>
      <c r="N114" s="335">
        <v>0</v>
      </c>
      <c r="O114" s="335">
        <v>0</v>
      </c>
      <c r="P114" s="334">
        <v>7.8E-2</v>
      </c>
    </row>
    <row r="115" spans="2:19" x14ac:dyDescent="0.25">
      <c r="F115" s="28" t="s">
        <v>840</v>
      </c>
      <c r="G115" s="28"/>
      <c r="H115" s="28" t="s">
        <v>448</v>
      </c>
      <c r="I115" s="28"/>
      <c r="J115" s="218">
        <v>0</v>
      </c>
      <c r="K115" s="218">
        <v>0</v>
      </c>
      <c r="L115" s="218">
        <v>0</v>
      </c>
      <c r="M115" s="396">
        <v>0</v>
      </c>
      <c r="N115" s="339">
        <v>0</v>
      </c>
      <c r="O115" s="339">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231</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232</v>
      </c>
      <c r="G119" s="6" t="s">
        <v>55</v>
      </c>
      <c r="H119" s="93">
        <f t="array" ref="H119">SUM(IF(ISERROR(J16:P99), 1))</f>
        <v>0</v>
      </c>
      <c r="M119" s="219"/>
      <c r="N119" s="219"/>
      <c r="O119" s="219"/>
    </row>
    <row r="120" spans="2:19" x14ac:dyDescent="0.25">
      <c r="M120" s="219"/>
      <c r="N120" s="219"/>
      <c r="O120" s="219"/>
    </row>
    <row r="121" spans="2:19" x14ac:dyDescent="0.2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21" activePane="bottomRight" state="frozen"/>
      <selection pane="topRight"/>
      <selection pane="bottomLeft"/>
      <selection pane="bottomRight" activeCell="J43" sqref="J43"/>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WPD West Midlands - Final</v>
      </c>
    </row>
    <row r="3" spans="1:40" s="5" customFormat="1" x14ac:dyDescent="0.25">
      <c r="A3" s="5" t="str">
        <f>Cover!D2&amp;" - "&amp;Cover!D8&amp;" v"&amp;Cover!D10&amp;" - "&amp;Cover!D19</f>
        <v>CDCM charging model - Release for charge setting v8 - 2023/24</v>
      </c>
    </row>
    <row r="4" spans="1:40" x14ac:dyDescent="0.25">
      <c r="A4" s="11" t="str">
        <f>H78 &amp; IF(H78 = 1, " issue", " issues") &amp;" identified in checks on this sheet"</f>
        <v>0 issues identified in checks on this sheet</v>
      </c>
      <c r="B4" s="12"/>
      <c r="C4" s="12"/>
      <c r="D4" s="12"/>
      <c r="E4" s="12"/>
      <c r="F4" s="12"/>
      <c r="G4" s="12"/>
      <c r="H4" s="13"/>
      <c r="I4" s="13"/>
      <c r="J4" s="12"/>
    </row>
    <row r="5" spans="1:40" x14ac:dyDescent="0.25">
      <c r="B5" s="49" t="s">
        <v>142</v>
      </c>
      <c r="C5" s="50"/>
      <c r="D5" s="50"/>
      <c r="E5" s="50"/>
      <c r="F5" s="50"/>
      <c r="G5" s="51" t="s">
        <v>143</v>
      </c>
      <c r="H5" s="83" t="s">
        <v>144</v>
      </c>
      <c r="AN5" s="51" t="s">
        <v>145</v>
      </c>
    </row>
    <row r="7" spans="1:40" x14ac:dyDescent="0.2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control'!$H$36:$H$59,MATCH($A$1,'Version control'!$F$36:$F$59,0),1)&amp;"-A: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192</v>
      </c>
      <c r="G19" s="19" t="s">
        <v>277</v>
      </c>
      <c r="H19" s="222">
        <f t="array" ref="H19:H23">TRANSPOSE('Unit costs'!L108:P108)</f>
        <v>481974040.77183735</v>
      </c>
    </row>
    <row r="20" spans="2:40" x14ac:dyDescent="0.25">
      <c r="E20"/>
      <c r="F20" s="23" t="s">
        <v>193</v>
      </c>
      <c r="G20" t="s">
        <v>277</v>
      </c>
      <c r="H20" s="223">
        <v>107776240.1466587</v>
      </c>
    </row>
    <row r="21" spans="2:40" x14ac:dyDescent="0.25">
      <c r="E21"/>
      <c r="F21" s="23" t="s">
        <v>194</v>
      </c>
      <c r="G21" t="s">
        <v>277</v>
      </c>
      <c r="H21" s="223">
        <v>117971480.38462754</v>
      </c>
    </row>
    <row r="22" spans="2:40" x14ac:dyDescent="0.25">
      <c r="E22"/>
      <c r="F22" s="23" t="s">
        <v>195</v>
      </c>
      <c r="G22" t="s">
        <v>277</v>
      </c>
      <c r="H22" s="223">
        <v>296639116.24281389</v>
      </c>
    </row>
    <row r="23" spans="2:40" x14ac:dyDescent="0.25">
      <c r="E23"/>
      <c r="F23" s="57" t="s">
        <v>196</v>
      </c>
      <c r="G23" s="28" t="s">
        <v>277</v>
      </c>
      <c r="H23" s="224">
        <v>321046342.31428903</v>
      </c>
    </row>
    <row r="25" spans="2:40" x14ac:dyDescent="0.25">
      <c r="B25" s="25" t="s">
        <v>812</v>
      </c>
      <c r="C25" s="25"/>
      <c r="D25" s="25"/>
      <c r="E25" s="25"/>
      <c r="F25" s="25"/>
      <c r="G25" s="25"/>
      <c r="H25" s="25"/>
      <c r="I25" s="25"/>
      <c r="J25" s="25"/>
      <c r="K25" s="2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row>
    <row r="27" spans="2:40" x14ac:dyDescent="0.25">
      <c r="C27" s="26" t="str">
        <f ca="1">INDEX('Version control'!$H$36:$H$59,MATCH($A$1,'Version control'!$F$36:$F$59,0),1)&amp;"-B: CDCM end user tariff forecast"</f>
        <v>Output 102-B: CDCM end user tariff forecast</v>
      </c>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row>
    <row r="29" spans="2:40" x14ac:dyDescent="0.25">
      <c r="D29" s="24" t="s">
        <v>897</v>
      </c>
      <c r="E29"/>
    </row>
    <row r="31" spans="2:40" ht="45" x14ac:dyDescent="0.25">
      <c r="C31" s="225"/>
      <c r="E31" s="27" t="s">
        <v>813</v>
      </c>
      <c r="J31" s="226" t="s">
        <v>908</v>
      </c>
      <c r="K31" s="226" t="s">
        <v>829</v>
      </c>
      <c r="L31" s="226" t="s">
        <v>909</v>
      </c>
      <c r="M31" s="226" t="s">
        <v>910</v>
      </c>
      <c r="N31" s="226" t="s">
        <v>911</v>
      </c>
      <c r="O31" s="226" t="s">
        <v>912</v>
      </c>
      <c r="P31" s="226" t="s">
        <v>913</v>
      </c>
      <c r="Q31" s="226" t="s">
        <v>830</v>
      </c>
      <c r="R31" s="226" t="s">
        <v>914</v>
      </c>
      <c r="S31" s="226" t="s">
        <v>915</v>
      </c>
      <c r="T31" s="226" t="s">
        <v>916</v>
      </c>
      <c r="U31" s="226" t="s">
        <v>917</v>
      </c>
      <c r="V31" s="226" t="s">
        <v>918</v>
      </c>
      <c r="W31" s="226" t="s">
        <v>919</v>
      </c>
      <c r="X31" s="226" t="s">
        <v>920</v>
      </c>
      <c r="Y31" s="226" t="s">
        <v>921</v>
      </c>
      <c r="Z31" s="226" t="s">
        <v>922</v>
      </c>
      <c r="AA31" s="226" t="s">
        <v>923</v>
      </c>
      <c r="AB31" s="226" t="s">
        <v>924</v>
      </c>
      <c r="AC31" s="226" t="s">
        <v>925</v>
      </c>
      <c r="AD31" s="226" t="s">
        <v>926</v>
      </c>
      <c r="AE31" s="226" t="s">
        <v>927</v>
      </c>
      <c r="AF31" s="226" t="s">
        <v>928</v>
      </c>
      <c r="AG31" s="226" t="s">
        <v>839</v>
      </c>
      <c r="AH31" s="226" t="s">
        <v>831</v>
      </c>
      <c r="AI31" s="226" t="s">
        <v>832</v>
      </c>
      <c r="AJ31" s="226" t="s">
        <v>833</v>
      </c>
      <c r="AK31" s="226" t="s">
        <v>834</v>
      </c>
      <c r="AL31" s="226" t="s">
        <v>835</v>
      </c>
    </row>
    <row r="32" spans="2:40" x14ac:dyDescent="0.25">
      <c r="C32" s="225"/>
      <c r="D32"/>
      <c r="F32" s="227" t="s">
        <v>156</v>
      </c>
      <c r="G32" s="227" t="s">
        <v>269</v>
      </c>
      <c r="H32" s="255" t="s">
        <v>772</v>
      </c>
      <c r="I32" s="255"/>
      <c r="J32" s="274">
        <f>Rounding!J110</f>
        <v>6.5552317947693215</v>
      </c>
      <c r="K32" s="274">
        <f>Rounding!K110</f>
        <v>6.5552317947693215</v>
      </c>
      <c r="L32" s="274">
        <f>Rounding!L110</f>
        <v>6.0773952794030546</v>
      </c>
      <c r="M32" s="274">
        <f>Rounding!M110</f>
        <v>6.0773952794030546</v>
      </c>
      <c r="N32" s="274">
        <f>Rounding!N110</f>
        <v>6.0773952794030546</v>
      </c>
      <c r="O32" s="274">
        <f>Rounding!O110</f>
        <v>6.0773952794030546</v>
      </c>
      <c r="P32" s="274">
        <f>Rounding!P110</f>
        <v>6.0773952794030546</v>
      </c>
      <c r="Q32" s="274">
        <f>Rounding!Q110</f>
        <v>6.0773952794030546</v>
      </c>
      <c r="R32" s="274">
        <f>Rounding!R110</f>
        <v>4.7453787408342878</v>
      </c>
      <c r="S32" s="274">
        <f>Rounding!S110</f>
        <v>4.7453787408342878</v>
      </c>
      <c r="T32" s="274">
        <f>Rounding!T110</f>
        <v>4.7453787408342878</v>
      </c>
      <c r="U32" s="274">
        <f>Rounding!U110</f>
        <v>4.7453787408342878</v>
      </c>
      <c r="V32" s="274">
        <f>Rounding!V110</f>
        <v>4.7453787408342878</v>
      </c>
      <c r="W32" s="274">
        <f>Rounding!W110</f>
        <v>2.4344363610974544</v>
      </c>
      <c r="X32" s="274">
        <f>Rounding!X110</f>
        <v>2.4344363610974544</v>
      </c>
      <c r="Y32" s="274">
        <f>Rounding!Y110</f>
        <v>2.4344363610974544</v>
      </c>
      <c r="Z32" s="274">
        <f>Rounding!Z110</f>
        <v>2.4344363610974544</v>
      </c>
      <c r="AA32" s="274">
        <f>Rounding!AA110</f>
        <v>2.4344363610974544</v>
      </c>
      <c r="AB32" s="274">
        <f>Rounding!AB110</f>
        <v>1.1830943449306988</v>
      </c>
      <c r="AC32" s="274">
        <f>Rounding!AC110</f>
        <v>1.1830943449306988</v>
      </c>
      <c r="AD32" s="274">
        <f>Rounding!AD110</f>
        <v>1.1830943449306988</v>
      </c>
      <c r="AE32" s="274">
        <f>Rounding!AE110</f>
        <v>1.1830943449306988</v>
      </c>
      <c r="AF32" s="274">
        <f>Rounding!AF110</f>
        <v>1.1830943449306988</v>
      </c>
      <c r="AG32" s="274">
        <f>Rounding!AG110</f>
        <v>20.481626198076302</v>
      </c>
      <c r="AH32" s="274">
        <f>Rounding!AH110</f>
        <v>-4.186786864327857</v>
      </c>
      <c r="AI32" s="274">
        <f>Rounding!AI110</f>
        <v>-3.4675761632447348</v>
      </c>
      <c r="AJ32" s="274">
        <f>Rounding!AJ110</f>
        <v>-4.186786864327857</v>
      </c>
      <c r="AK32" s="274">
        <f>Rounding!AL110</f>
        <v>-3.4675761632447348</v>
      </c>
      <c r="AL32" s="274">
        <f>Rounding!AN110</f>
        <v>-1.7521841974333925</v>
      </c>
    </row>
    <row r="33" spans="3:40" x14ac:dyDescent="0.25">
      <c r="C33" s="225"/>
      <c r="D33"/>
      <c r="F33" s="228" t="s">
        <v>157</v>
      </c>
      <c r="G33" s="228" t="s">
        <v>269</v>
      </c>
      <c r="H33" s="256" t="s">
        <v>772</v>
      </c>
      <c r="I33" s="256"/>
      <c r="J33" s="367">
        <f>Rounding!J111</f>
        <v>1.1641252254335506</v>
      </c>
      <c r="K33" s="367">
        <f>Rounding!K111</f>
        <v>1.1641252254335506</v>
      </c>
      <c r="L33" s="367">
        <f>Rounding!L111</f>
        <v>1.079267579115841</v>
      </c>
      <c r="M33" s="367">
        <f>Rounding!M111</f>
        <v>1.079267579115841</v>
      </c>
      <c r="N33" s="367">
        <f>Rounding!N111</f>
        <v>1.079267579115841</v>
      </c>
      <c r="O33" s="367">
        <f>Rounding!O111</f>
        <v>1.079267579115841</v>
      </c>
      <c r="P33" s="367">
        <f>Rounding!P111</f>
        <v>1.079267579115841</v>
      </c>
      <c r="Q33" s="367">
        <f>Rounding!Q111</f>
        <v>1.079267579115841</v>
      </c>
      <c r="R33" s="367">
        <f>Rounding!R111</f>
        <v>0.85090351287663679</v>
      </c>
      <c r="S33" s="367">
        <f>Rounding!S111</f>
        <v>0.85090351287663679</v>
      </c>
      <c r="T33" s="367">
        <f>Rounding!T111</f>
        <v>0.85090351287663679</v>
      </c>
      <c r="U33" s="367">
        <f>Rounding!U111</f>
        <v>0.85090351287663679</v>
      </c>
      <c r="V33" s="367">
        <f>Rounding!V111</f>
        <v>0.85090351287663679</v>
      </c>
      <c r="W33" s="367">
        <f>Rounding!W111</f>
        <v>0.44882463508356385</v>
      </c>
      <c r="X33" s="367">
        <f>Rounding!X111</f>
        <v>0.44882463508356385</v>
      </c>
      <c r="Y33" s="367">
        <f>Rounding!Y111</f>
        <v>0.44882463508356385</v>
      </c>
      <c r="Z33" s="367">
        <f>Rounding!Z111</f>
        <v>0.44882463508356385</v>
      </c>
      <c r="AA33" s="367">
        <f>Rounding!AA111</f>
        <v>0.44882463508356385</v>
      </c>
      <c r="AB33" s="367">
        <f>Rounding!AB111</f>
        <v>0.20845279839728717</v>
      </c>
      <c r="AC33" s="367">
        <f>Rounding!AC111</f>
        <v>0.20845279839728717</v>
      </c>
      <c r="AD33" s="367">
        <f>Rounding!AD111</f>
        <v>0.20845279839728717</v>
      </c>
      <c r="AE33" s="367">
        <f>Rounding!AE111</f>
        <v>0.20845279839728717</v>
      </c>
      <c r="AF33" s="367">
        <f>Rounding!AF111</f>
        <v>0.20845279839728717</v>
      </c>
      <c r="AG33" s="367">
        <f>Rounding!AG111</f>
        <v>2.8969964264921995</v>
      </c>
      <c r="AH33" s="367">
        <f>Rounding!AH111</f>
        <v>-0.74351973429330243</v>
      </c>
      <c r="AI33" s="367">
        <f>Rounding!AI111</f>
        <v>-0.61941219953210536</v>
      </c>
      <c r="AJ33" s="367">
        <f>Rounding!AJ111</f>
        <v>-0.74351973429330243</v>
      </c>
      <c r="AK33" s="367">
        <f>Rounding!AL111</f>
        <v>-0.61941219953210536</v>
      </c>
      <c r="AL33" s="367">
        <f>Rounding!AN111</f>
        <v>-0.32210732776295514</v>
      </c>
    </row>
    <row r="34" spans="3:40" x14ac:dyDescent="0.25">
      <c r="C34" s="225"/>
      <c r="D34"/>
      <c r="F34" s="228" t="s">
        <v>158</v>
      </c>
      <c r="G34" s="228" t="s">
        <v>269</v>
      </c>
      <c r="H34" s="256" t="s">
        <v>772</v>
      </c>
      <c r="I34" s="256"/>
      <c r="J34" s="367">
        <f>Rounding!J112</f>
        <v>0.13699708495012364</v>
      </c>
      <c r="K34" s="367">
        <f>Rounding!K112</f>
        <v>0.13699708495012364</v>
      </c>
      <c r="L34" s="367">
        <f>Rounding!L112</f>
        <v>0.12701083095676546</v>
      </c>
      <c r="M34" s="367">
        <f>Rounding!M112</f>
        <v>0.12701083095676546</v>
      </c>
      <c r="N34" s="367">
        <f>Rounding!N112</f>
        <v>0.12701083095676546</v>
      </c>
      <c r="O34" s="367">
        <f>Rounding!O112</f>
        <v>0.12701083095676546</v>
      </c>
      <c r="P34" s="367">
        <f>Rounding!P112</f>
        <v>0.12701083095676546</v>
      </c>
      <c r="Q34" s="367">
        <f>Rounding!Q112</f>
        <v>0.12701083095676546</v>
      </c>
      <c r="R34" s="367">
        <f>Rounding!R112</f>
        <v>9.4585565578456307E-2</v>
      </c>
      <c r="S34" s="367">
        <f>Rounding!S112</f>
        <v>9.4585565578456307E-2</v>
      </c>
      <c r="T34" s="367">
        <f>Rounding!T112</f>
        <v>9.4585565578456307E-2</v>
      </c>
      <c r="U34" s="367">
        <f>Rounding!U112</f>
        <v>9.4585565578456307E-2</v>
      </c>
      <c r="V34" s="367">
        <f>Rounding!V112</f>
        <v>9.4585565578456307E-2</v>
      </c>
      <c r="W34" s="367">
        <f>Rounding!W112</f>
        <v>4.1629036785237376E-2</v>
      </c>
      <c r="X34" s="367">
        <f>Rounding!X112</f>
        <v>4.1629036785237376E-2</v>
      </c>
      <c r="Y34" s="367">
        <f>Rounding!Y112</f>
        <v>4.1629036785237376E-2</v>
      </c>
      <c r="Z34" s="367">
        <f>Rounding!Z112</f>
        <v>4.1629036785237376E-2</v>
      </c>
      <c r="AA34" s="367">
        <f>Rounding!AA112</f>
        <v>4.1629036785237376E-2</v>
      </c>
      <c r="AB34" s="367">
        <f>Rounding!AB112</f>
        <v>1.712365946581141E-2</v>
      </c>
      <c r="AC34" s="367">
        <f>Rounding!AC112</f>
        <v>1.712365946581141E-2</v>
      </c>
      <c r="AD34" s="367">
        <f>Rounding!AD112</f>
        <v>1.712365946581141E-2</v>
      </c>
      <c r="AE34" s="367">
        <f>Rounding!AE112</f>
        <v>1.712365946581141E-2</v>
      </c>
      <c r="AF34" s="367">
        <f>Rounding!AF112</f>
        <v>1.712365946581141E-2</v>
      </c>
      <c r="AG34" s="367">
        <f>Rounding!AG112</f>
        <v>2.0301092142459347</v>
      </c>
      <c r="AH34" s="367">
        <f>Rounding!AH112</f>
        <v>-8.749920882707235E-2</v>
      </c>
      <c r="AI34" s="367">
        <f>Rounding!AI112</f>
        <v>-7.0442298160749872E-2</v>
      </c>
      <c r="AJ34" s="367">
        <f>Rounding!AJ112</f>
        <v>-8.749920882707235E-2</v>
      </c>
      <c r="AK34" s="367">
        <f>Rounding!AL112</f>
        <v>-7.0442298160749872E-2</v>
      </c>
      <c r="AL34" s="367">
        <f>Rounding!AN112</f>
        <v>-2.9593486029886762E-2</v>
      </c>
    </row>
    <row r="35" spans="3:40" x14ac:dyDescent="0.25">
      <c r="C35" s="225"/>
      <c r="D35"/>
      <c r="F35" s="228" t="s">
        <v>159</v>
      </c>
      <c r="G35" s="228" t="s">
        <v>270</v>
      </c>
      <c r="H35" t="s">
        <v>772</v>
      </c>
      <c r="J35" s="368">
        <f>Rounding!J113</f>
        <v>14.482816270832952</v>
      </c>
      <c r="K35" s="368">
        <f>Rounding!K113</f>
        <v>0</v>
      </c>
      <c r="L35" s="368">
        <f>Rounding!L113</f>
        <v>10.255573274807343</v>
      </c>
      <c r="M35" s="368">
        <f>Rounding!M113</f>
        <v>14.153406681516239</v>
      </c>
      <c r="N35" s="368">
        <f>Rounding!N113</f>
        <v>29.666886154542077</v>
      </c>
      <c r="O35" s="368">
        <f>Rounding!O113</f>
        <v>56.648296594361113</v>
      </c>
      <c r="P35" s="368">
        <f>Rounding!P113</f>
        <v>163.87919661538629</v>
      </c>
      <c r="Q35" s="368">
        <f>Rounding!Q113</f>
        <v>0</v>
      </c>
      <c r="R35" s="368">
        <f>Rounding!R113</f>
        <v>14.16830857064785</v>
      </c>
      <c r="S35" s="368">
        <f>Rounding!S113</f>
        <v>268.35641382584015</v>
      </c>
      <c r="T35" s="368">
        <f>Rounding!T113</f>
        <v>491.46803735585792</v>
      </c>
      <c r="U35" s="368">
        <f>Rounding!U113</f>
        <v>773.1426955697757</v>
      </c>
      <c r="V35" s="368">
        <f>Rounding!V113</f>
        <v>1331.4643489412088</v>
      </c>
      <c r="W35" s="368">
        <f>Rounding!W113</f>
        <v>11.059887419149176</v>
      </c>
      <c r="X35" s="368">
        <f>Rounding!X113</f>
        <v>265.24799267434145</v>
      </c>
      <c r="Y35" s="368">
        <f>Rounding!Y113</f>
        <v>488.3596162043591</v>
      </c>
      <c r="Z35" s="368">
        <f>Rounding!Z113</f>
        <v>770.03427441827705</v>
      </c>
      <c r="AA35" s="368">
        <f>Rounding!AA113</f>
        <v>1328.3559277897104</v>
      </c>
      <c r="AB35" s="368">
        <f>Rounding!AB113</f>
        <v>102.10306294246037</v>
      </c>
      <c r="AC35" s="368">
        <f>Rounding!AC113</f>
        <v>1251.997117202463</v>
      </c>
      <c r="AD35" s="368">
        <f>Rounding!AD113</f>
        <v>3709.5795807546629</v>
      </c>
      <c r="AE35" s="368">
        <f>Rounding!AE113</f>
        <v>8155.4981594405808</v>
      </c>
      <c r="AF35" s="368">
        <f>Rounding!AF113</f>
        <v>25189.40841560949</v>
      </c>
      <c r="AG35" s="368">
        <f>Rounding!AG113</f>
        <v>0</v>
      </c>
      <c r="AH35" s="368">
        <f>Rounding!AH113</f>
        <v>0</v>
      </c>
      <c r="AI35" s="368">
        <f>Rounding!AI113</f>
        <v>0</v>
      </c>
      <c r="AJ35" s="368">
        <f>Rounding!AJ113</f>
        <v>0</v>
      </c>
      <c r="AK35" s="368">
        <f>Rounding!AL113</f>
        <v>0</v>
      </c>
      <c r="AL35" s="368">
        <f>Rounding!AN113</f>
        <v>63.900454893200845</v>
      </c>
    </row>
    <row r="36" spans="3:40" x14ac:dyDescent="0.25">
      <c r="C36" s="225"/>
      <c r="D36"/>
      <c r="F36" s="228" t="s">
        <v>160</v>
      </c>
      <c r="G36" s="228" t="s">
        <v>271</v>
      </c>
      <c r="H36" t="s">
        <v>772</v>
      </c>
      <c r="J36" s="368">
        <f>Rounding!J114</f>
        <v>0</v>
      </c>
      <c r="K36" s="368">
        <f>Rounding!K114</f>
        <v>0</v>
      </c>
      <c r="L36" s="368">
        <f>Rounding!L114</f>
        <v>0</v>
      </c>
      <c r="M36" s="368">
        <f>Rounding!M114</f>
        <v>0</v>
      </c>
      <c r="N36" s="368">
        <f>Rounding!N114</f>
        <v>0</v>
      </c>
      <c r="O36" s="368">
        <f>Rounding!O114</f>
        <v>0</v>
      </c>
      <c r="P36" s="368">
        <f>Rounding!P114</f>
        <v>0</v>
      </c>
      <c r="Q36" s="368">
        <f>Rounding!Q114</f>
        <v>0</v>
      </c>
      <c r="R36" s="368">
        <f>Rounding!R114</f>
        <v>4.9261307270603929</v>
      </c>
      <c r="S36" s="368">
        <f>Rounding!S114</f>
        <v>4.9261307270603929</v>
      </c>
      <c r="T36" s="368">
        <f>Rounding!T114</f>
        <v>4.9261307270603929</v>
      </c>
      <c r="U36" s="368">
        <f>Rounding!U114</f>
        <v>4.9261307270603929</v>
      </c>
      <c r="V36" s="368">
        <f>Rounding!V114</f>
        <v>4.9261307270603929</v>
      </c>
      <c r="W36" s="368">
        <f>Rounding!W114</f>
        <v>5.34360253476415</v>
      </c>
      <c r="X36" s="368">
        <f>Rounding!X114</f>
        <v>5.34360253476415</v>
      </c>
      <c r="Y36" s="368">
        <f>Rounding!Y114</f>
        <v>5.34360253476415</v>
      </c>
      <c r="Z36" s="368">
        <f>Rounding!Z114</f>
        <v>5.34360253476415</v>
      </c>
      <c r="AA36" s="368">
        <f>Rounding!AA114</f>
        <v>5.34360253476415</v>
      </c>
      <c r="AB36" s="368">
        <f>Rounding!AB114</f>
        <v>5.6374389608038982</v>
      </c>
      <c r="AC36" s="368">
        <f>Rounding!AC114</f>
        <v>5.6374389608038982</v>
      </c>
      <c r="AD36" s="368">
        <f>Rounding!AD114</f>
        <v>5.6374389608038982</v>
      </c>
      <c r="AE36" s="368">
        <f>Rounding!AE114</f>
        <v>5.6374389608038982</v>
      </c>
      <c r="AF36" s="368">
        <f>Rounding!AF114</f>
        <v>5.6374389608038982</v>
      </c>
      <c r="AG36" s="368">
        <f>Rounding!AG114</f>
        <v>0</v>
      </c>
      <c r="AH36" s="368">
        <f>Rounding!AH114</f>
        <v>0</v>
      </c>
      <c r="AI36" s="368">
        <f>Rounding!AI114</f>
        <v>0</v>
      </c>
      <c r="AJ36" s="368">
        <f>Rounding!AJ114</f>
        <v>0</v>
      </c>
      <c r="AK36" s="368">
        <f>Rounding!AL114</f>
        <v>0</v>
      </c>
      <c r="AL36" s="368">
        <f>Rounding!AN114</f>
        <v>0</v>
      </c>
    </row>
    <row r="37" spans="3:40" x14ac:dyDescent="0.25">
      <c r="C37" s="225"/>
      <c r="D37"/>
      <c r="F37" s="228" t="s">
        <v>161</v>
      </c>
      <c r="G37" s="228" t="s">
        <v>271</v>
      </c>
      <c r="H37" t="s">
        <v>772</v>
      </c>
      <c r="J37" s="368">
        <f>Rounding!J115</f>
        <v>0</v>
      </c>
      <c r="K37" s="368">
        <f>Rounding!K115</f>
        <v>0</v>
      </c>
      <c r="L37" s="368">
        <f>Rounding!L115</f>
        <v>0</v>
      </c>
      <c r="M37" s="368">
        <f>Rounding!M115</f>
        <v>0</v>
      </c>
      <c r="N37" s="368">
        <f>Rounding!N115</f>
        <v>0</v>
      </c>
      <c r="O37" s="368">
        <f>Rounding!O115</f>
        <v>0</v>
      </c>
      <c r="P37" s="368">
        <f>Rounding!P115</f>
        <v>0</v>
      </c>
      <c r="Q37" s="368">
        <f>Rounding!Q115</f>
        <v>0</v>
      </c>
      <c r="R37" s="368">
        <f>Rounding!R115</f>
        <v>8.6476005057225613</v>
      </c>
      <c r="S37" s="368">
        <f>Rounding!S115</f>
        <v>8.6476005057225613</v>
      </c>
      <c r="T37" s="368">
        <f>Rounding!T115</f>
        <v>8.6476005057225613</v>
      </c>
      <c r="U37" s="368">
        <f>Rounding!U115</f>
        <v>8.6476005057225613</v>
      </c>
      <c r="V37" s="368">
        <f>Rounding!V115</f>
        <v>8.6476005057225613</v>
      </c>
      <c r="W37" s="368">
        <f>Rounding!W115</f>
        <v>7.263397869064387</v>
      </c>
      <c r="X37" s="368">
        <f>Rounding!X115</f>
        <v>7.263397869064387</v>
      </c>
      <c r="Y37" s="368">
        <f>Rounding!Y115</f>
        <v>7.263397869064387</v>
      </c>
      <c r="Z37" s="368">
        <f>Rounding!Z115</f>
        <v>7.263397869064387</v>
      </c>
      <c r="AA37" s="368">
        <f>Rounding!AA115</f>
        <v>7.263397869064387</v>
      </c>
      <c r="AB37" s="368">
        <f>Rounding!AB115</f>
        <v>7.3360433216250591</v>
      </c>
      <c r="AC37" s="368">
        <f>Rounding!AC115</f>
        <v>7.3360433216250591</v>
      </c>
      <c r="AD37" s="368">
        <f>Rounding!AD115</f>
        <v>7.3360433216250591</v>
      </c>
      <c r="AE37" s="368">
        <f>Rounding!AE115</f>
        <v>7.3360433216250591</v>
      </c>
      <c r="AF37" s="368">
        <f>Rounding!AF115</f>
        <v>7.3360433216250591</v>
      </c>
      <c r="AG37" s="368">
        <f>Rounding!AG115</f>
        <v>0</v>
      </c>
      <c r="AH37" s="368">
        <f>Rounding!AH115</f>
        <v>0</v>
      </c>
      <c r="AI37" s="368">
        <f>Rounding!AI115</f>
        <v>0</v>
      </c>
      <c r="AJ37" s="368">
        <f>Rounding!AJ115</f>
        <v>0</v>
      </c>
      <c r="AK37" s="368">
        <f>Rounding!AL115</f>
        <v>0</v>
      </c>
      <c r="AL37" s="368">
        <f>Rounding!AN115</f>
        <v>0</v>
      </c>
    </row>
    <row r="38" spans="3:40" x14ac:dyDescent="0.25">
      <c r="C38" s="225"/>
      <c r="D38"/>
      <c r="F38" s="229" t="s">
        <v>162</v>
      </c>
      <c r="G38" s="229" t="s">
        <v>272</v>
      </c>
      <c r="H38" s="258" t="s">
        <v>772</v>
      </c>
      <c r="I38" s="258"/>
      <c r="J38" s="275">
        <f>Rounding!J116</f>
        <v>0</v>
      </c>
      <c r="K38" s="275">
        <f>Rounding!K116</f>
        <v>0</v>
      </c>
      <c r="L38" s="275">
        <f>Rounding!L116</f>
        <v>0</v>
      </c>
      <c r="M38" s="275">
        <f>Rounding!M116</f>
        <v>0</v>
      </c>
      <c r="N38" s="275">
        <f>Rounding!N116</f>
        <v>0</v>
      </c>
      <c r="O38" s="275">
        <f>Rounding!O116</f>
        <v>0</v>
      </c>
      <c r="P38" s="275">
        <f>Rounding!P116</f>
        <v>0</v>
      </c>
      <c r="Q38" s="275">
        <f>Rounding!Q116</f>
        <v>0</v>
      </c>
      <c r="R38" s="275">
        <f>Rounding!R116</f>
        <v>0.11518861443804111</v>
      </c>
      <c r="S38" s="275">
        <f>Rounding!S116</f>
        <v>0.11518861443804111</v>
      </c>
      <c r="T38" s="275">
        <f>Rounding!T116</f>
        <v>0.11518861443804111</v>
      </c>
      <c r="U38" s="275">
        <f>Rounding!U116</f>
        <v>0.11518861443804111</v>
      </c>
      <c r="V38" s="275">
        <f>Rounding!V116</f>
        <v>0.11518861443804111</v>
      </c>
      <c r="W38" s="275">
        <f>Rounding!W116</f>
        <v>6.9699671029066212E-2</v>
      </c>
      <c r="X38" s="275">
        <f>Rounding!X116</f>
        <v>6.9699671029066212E-2</v>
      </c>
      <c r="Y38" s="275">
        <f>Rounding!Y116</f>
        <v>6.9699671029066212E-2</v>
      </c>
      <c r="Z38" s="275">
        <f>Rounding!Z116</f>
        <v>6.9699671029066212E-2</v>
      </c>
      <c r="AA38" s="275">
        <f>Rounding!AA116</f>
        <v>6.9699671029066212E-2</v>
      </c>
      <c r="AB38" s="275">
        <f>Rounding!AB116</f>
        <v>3.0329114448965223E-2</v>
      </c>
      <c r="AC38" s="275">
        <f>Rounding!AC116</f>
        <v>3.0329114448965223E-2</v>
      </c>
      <c r="AD38" s="275">
        <f>Rounding!AD116</f>
        <v>3.0329114448965223E-2</v>
      </c>
      <c r="AE38" s="275">
        <f>Rounding!AE116</f>
        <v>3.0329114448965223E-2</v>
      </c>
      <c r="AF38" s="275">
        <f>Rounding!AF116</f>
        <v>3.0329114448965223E-2</v>
      </c>
      <c r="AG38" s="275">
        <f>Rounding!AG116</f>
        <v>0</v>
      </c>
      <c r="AH38" s="275">
        <f>Rounding!AH116</f>
        <v>0</v>
      </c>
      <c r="AI38" s="275">
        <f>Rounding!AI116</f>
        <v>0</v>
      </c>
      <c r="AJ38" s="275">
        <f>Rounding!AJ116</f>
        <v>0.13197133789973453</v>
      </c>
      <c r="AK38" s="275">
        <f>Rounding!AL116</f>
        <v>0.10133750175642738</v>
      </c>
      <c r="AL38" s="275">
        <f>Rounding!AN116</f>
        <v>7.8373162303441601E-2</v>
      </c>
    </row>
    <row r="39" spans="3:40" x14ac:dyDescent="0.25">
      <c r="D39"/>
      <c r="E39"/>
      <c r="F39" s="230"/>
    </row>
    <row r="40" spans="3:40" x14ac:dyDescent="0.25">
      <c r="D40" s="24" t="s">
        <v>896</v>
      </c>
      <c r="E40"/>
    </row>
    <row r="42" spans="3:40" ht="60" customHeight="1" x14ac:dyDescent="0.25">
      <c r="D42"/>
      <c r="E42"/>
      <c r="F42" s="230"/>
      <c r="J42" s="226" t="s">
        <v>908</v>
      </c>
      <c r="K42" s="226" t="s">
        <v>829</v>
      </c>
      <c r="L42" s="226" t="s">
        <v>909</v>
      </c>
      <c r="M42" s="226" t="s">
        <v>910</v>
      </c>
      <c r="N42" s="226" t="s">
        <v>911</v>
      </c>
      <c r="O42" s="226" t="s">
        <v>912</v>
      </c>
      <c r="P42" s="226" t="s">
        <v>913</v>
      </c>
      <c r="Q42" s="226" t="s">
        <v>830</v>
      </c>
      <c r="R42" s="226" t="s">
        <v>914</v>
      </c>
      <c r="S42" s="226" t="s">
        <v>915</v>
      </c>
      <c r="T42" s="226" t="s">
        <v>916</v>
      </c>
      <c r="U42" s="226" t="s">
        <v>917</v>
      </c>
      <c r="V42" s="226" t="s">
        <v>918</v>
      </c>
      <c r="W42" s="226" t="s">
        <v>919</v>
      </c>
      <c r="X42" s="226" t="s">
        <v>920</v>
      </c>
      <c r="Y42" s="226" t="s">
        <v>921</v>
      </c>
      <c r="Z42" s="226" t="s">
        <v>922</v>
      </c>
      <c r="AA42" s="226" t="s">
        <v>923</v>
      </c>
      <c r="AB42" s="226" t="s">
        <v>924</v>
      </c>
      <c r="AC42" s="226" t="s">
        <v>925</v>
      </c>
      <c r="AD42" s="226" t="s">
        <v>926</v>
      </c>
      <c r="AE42" s="226" t="s">
        <v>927</v>
      </c>
      <c r="AF42" s="226" t="s">
        <v>928</v>
      </c>
      <c r="AG42" s="226" t="s">
        <v>839</v>
      </c>
      <c r="AH42" s="226" t="s">
        <v>831</v>
      </c>
      <c r="AI42" s="226" t="s">
        <v>832</v>
      </c>
      <c r="AJ42" s="226" t="s">
        <v>833</v>
      </c>
      <c r="AK42" s="226" t="s">
        <v>834</v>
      </c>
      <c r="AL42" s="226" t="s">
        <v>835</v>
      </c>
    </row>
    <row r="43" spans="3:40" x14ac:dyDescent="0.25">
      <c r="D43"/>
      <c r="E43" t="s">
        <v>893</v>
      </c>
      <c r="F43" s="230"/>
      <c r="G43" t="s">
        <v>270</v>
      </c>
      <c r="J43" s="223">
        <f>Rounding!J47</f>
        <v>0.25599387005250862</v>
      </c>
      <c r="K43" s="223">
        <f>Rounding!K47</f>
        <v>0</v>
      </c>
      <c r="L43" s="223">
        <f>Rounding!L47</f>
        <v>0.15572279561536206</v>
      </c>
      <c r="M43" s="223">
        <f>Rounding!M47</f>
        <v>0.15572279561536206</v>
      </c>
      <c r="N43" s="223">
        <f>Rounding!N47</f>
        <v>0.15572279561536206</v>
      </c>
      <c r="O43" s="223">
        <f>Rounding!O47</f>
        <v>0.15572279561536206</v>
      </c>
      <c r="P43" s="223">
        <f>Rounding!P47</f>
        <v>0.15572279561536206</v>
      </c>
      <c r="Q43" s="223">
        <f>Rounding!Q47</f>
        <v>0</v>
      </c>
      <c r="R43" s="223">
        <f>Rounding!R47</f>
        <v>0.15572279561536206</v>
      </c>
      <c r="S43" s="223">
        <f>Rounding!S47</f>
        <v>0.15572279561536206</v>
      </c>
      <c r="T43" s="223">
        <f>Rounding!T47</f>
        <v>0.15572279561536206</v>
      </c>
      <c r="U43" s="223">
        <f>Rounding!U47</f>
        <v>0.15572279561536206</v>
      </c>
      <c r="V43" s="223">
        <f>Rounding!V47</f>
        <v>0.15572279561536206</v>
      </c>
      <c r="W43" s="223">
        <f>Rounding!W47</f>
        <v>0.15572279561536206</v>
      </c>
      <c r="X43" s="223">
        <f>Rounding!X47</f>
        <v>0.15572279561536206</v>
      </c>
      <c r="Y43" s="223">
        <f>Rounding!Y47</f>
        <v>0.15572279561536206</v>
      </c>
      <c r="Z43" s="223">
        <f>Rounding!Z47</f>
        <v>0.15572279561536206</v>
      </c>
      <c r="AA43" s="223">
        <f>Rounding!AA47</f>
        <v>0.15572279561536206</v>
      </c>
      <c r="AB43" s="223">
        <f>Rounding!AB47</f>
        <v>0.15572279561536206</v>
      </c>
      <c r="AC43" s="223">
        <f>Rounding!AC47</f>
        <v>0.15572279561536206</v>
      </c>
      <c r="AD43" s="223">
        <f>Rounding!AD47</f>
        <v>0.15572279561536206</v>
      </c>
      <c r="AE43" s="223">
        <f>Rounding!AE47</f>
        <v>0.15572279561536206</v>
      </c>
      <c r="AF43" s="223">
        <f>Rounding!AF47</f>
        <v>0.15572279561536206</v>
      </c>
      <c r="AG43" s="223">
        <f>Rounding!AG47</f>
        <v>0</v>
      </c>
      <c r="AH43" s="223">
        <f>Rounding!AH47</f>
        <v>0</v>
      </c>
      <c r="AI43" s="223">
        <f>Rounding!AI47</f>
        <v>0</v>
      </c>
      <c r="AJ43" s="223">
        <f>Rounding!AJ47</f>
        <v>0</v>
      </c>
      <c r="AK43" s="223">
        <f>Rounding!AL47</f>
        <v>0</v>
      </c>
      <c r="AL43" s="223">
        <f>Rounding!AN47</f>
        <v>0</v>
      </c>
    </row>
    <row r="44" spans="3:40" x14ac:dyDescent="0.25">
      <c r="D44"/>
      <c r="E44"/>
      <c r="F44" s="230"/>
    </row>
    <row r="45" spans="3:40" x14ac:dyDescent="0.25">
      <c r="C45" s="26" t="str">
        <f ca="1">INDEX('Version control'!$H$36:$H$59,MATCH($A$1,'Version control'!$F$36:$F$59,0),1)&amp;"-C: CDCM non-tariff outputs to EDCM"</f>
        <v>Output 102-C: CDCM non-tariff outputs to EDCM</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row>
    <row r="46" spans="3:40" x14ac:dyDescent="0.25">
      <c r="C46" s="2"/>
      <c r="D46"/>
    </row>
    <row r="47" spans="3:40" x14ac:dyDescent="0.25">
      <c r="D47" s="24" t="s">
        <v>814</v>
      </c>
      <c r="E47"/>
    </row>
    <row r="49" spans="2:40" x14ac:dyDescent="0.25">
      <c r="D49"/>
      <c r="F49" s="2"/>
      <c r="G49" s="2"/>
      <c r="H49" s="2"/>
      <c r="I49" s="2"/>
      <c r="J49" s="104" t="s">
        <v>191</v>
      </c>
      <c r="K49" s="104" t="s">
        <v>192</v>
      </c>
      <c r="L49" s="104" t="s">
        <v>193</v>
      </c>
      <c r="M49" s="104" t="s">
        <v>194</v>
      </c>
      <c r="N49" s="104" t="s">
        <v>195</v>
      </c>
      <c r="O49" s="104" t="s">
        <v>196</v>
      </c>
      <c r="P49" s="104" t="s">
        <v>197</v>
      </c>
      <c r="Q49" s="104" t="s">
        <v>198</v>
      </c>
      <c r="R49" s="104" t="s">
        <v>199</v>
      </c>
      <c r="S49" s="104" t="s">
        <v>375</v>
      </c>
      <c r="T49" s="104" t="s">
        <v>376</v>
      </c>
    </row>
    <row r="50" spans="2:40" x14ac:dyDescent="0.25">
      <c r="D50"/>
      <c r="E50" s="290" t="s">
        <v>825</v>
      </c>
      <c r="F50" s="290"/>
      <c r="G50" s="57" t="s">
        <v>167</v>
      </c>
      <c r="H50" s="28"/>
      <c r="I50" s="28"/>
      <c r="J50" s="291"/>
      <c r="K50" s="292">
        <f t="array" ref="K50:O50">TRANSPOSE('System peak demand'!H227:H231)</f>
        <v>8.3503476129090037E-2</v>
      </c>
      <c r="L50" s="292">
        <v>8.3503476129090037E-2</v>
      </c>
      <c r="M50" s="292">
        <v>0.11235890369236912</v>
      </c>
      <c r="N50" s="292">
        <v>0.11235890369236912</v>
      </c>
      <c r="O50" s="292">
        <v>8.3503476129090037E-2</v>
      </c>
      <c r="P50" s="291"/>
      <c r="Q50" s="291"/>
      <c r="R50" s="291"/>
      <c r="S50" s="291"/>
      <c r="T50" s="291"/>
    </row>
    <row r="51" spans="2:40" x14ac:dyDescent="0.25">
      <c r="D51"/>
      <c r="E51" s="293" t="s">
        <v>826</v>
      </c>
      <c r="F51" s="293"/>
      <c r="G51" s="98" t="s">
        <v>519</v>
      </c>
      <c r="H51" s="98"/>
      <c r="I51" s="98"/>
      <c r="J51" s="294">
        <f t="array" ref="J51:O51">TRANSPOSE('System peak demand'!H154:H159)</f>
        <v>4183011.4830936226</v>
      </c>
      <c r="K51" s="294">
        <v>4086792.7799635394</v>
      </c>
      <c r="L51" s="294">
        <v>1251449.5657737686</v>
      </c>
      <c r="M51" s="294">
        <v>1217426.0738819323</v>
      </c>
      <c r="N51" s="294">
        <v>1209239.7314062617</v>
      </c>
      <c r="O51" s="294">
        <v>2737929.7006974113</v>
      </c>
      <c r="P51" s="295"/>
      <c r="Q51" s="295"/>
      <c r="R51" s="295"/>
      <c r="S51" s="295"/>
      <c r="T51" s="295"/>
    </row>
    <row r="52" spans="2:40" x14ac:dyDescent="0.25">
      <c r="D52"/>
      <c r="E52" s="293" t="s">
        <v>815</v>
      </c>
      <c r="F52" s="293"/>
      <c r="G52" s="98" t="s">
        <v>277</v>
      </c>
      <c r="H52" s="98"/>
      <c r="I52" s="98"/>
      <c r="J52" s="295"/>
      <c r="K52" s="294">
        <f>'Unit costs'!L108</f>
        <v>481974040.77183735</v>
      </c>
      <c r="L52" s="294">
        <f>'Unit costs'!M108</f>
        <v>107776240.1466587</v>
      </c>
      <c r="M52" s="294">
        <f>'Unit costs'!N108</f>
        <v>117971480.38462754</v>
      </c>
      <c r="N52" s="294">
        <f>'Unit costs'!O108</f>
        <v>296639116.24281389</v>
      </c>
      <c r="O52" s="294">
        <f>'Unit costs'!P108</f>
        <v>321046342.31428903</v>
      </c>
      <c r="P52" s="294">
        <f>'Unit costs'!Q108</f>
        <v>1774365934.4720254</v>
      </c>
      <c r="Q52" s="294">
        <f>'Unit costs'!R108</f>
        <v>624944546.89866412</v>
      </c>
      <c r="R52" s="294">
        <f>'Unit costs'!S108</f>
        <v>1172734547.0710988</v>
      </c>
      <c r="S52" s="294">
        <f>'Unit costs'!T108</f>
        <v>831326455.73620272</v>
      </c>
      <c r="T52" s="294">
        <f>'Unit costs'!U108</f>
        <v>46577178.78506767</v>
      </c>
    </row>
    <row r="53" spans="2:40" x14ac:dyDescent="0.25">
      <c r="D53"/>
      <c r="E53" s="296" t="s">
        <v>391</v>
      </c>
      <c r="F53" s="296"/>
      <c r="G53" s="19" t="s">
        <v>283</v>
      </c>
      <c r="H53" s="19"/>
      <c r="I53" s="19"/>
      <c r="J53" s="222">
        <f>'Load &amp; loss characteristics'!K29</f>
        <v>1</v>
      </c>
      <c r="K53" s="222">
        <f>'Load &amp; loss characteristics'!L29</f>
        <v>1.0069999999999999</v>
      </c>
      <c r="L53" s="222">
        <f>'Load &amp; loss characteristics'!M29</f>
        <v>1.0109999999999999</v>
      </c>
      <c r="M53" s="222">
        <f>'Load &amp; loss characteristics'!N29</f>
        <v>1.034</v>
      </c>
      <c r="N53" s="222">
        <f>'Load &amp; loss characteristics'!O29</f>
        <v>1.0409999999999999</v>
      </c>
      <c r="O53" s="222">
        <f>'Load &amp; loss characteristics'!P29</f>
        <v>1.0409999999999999</v>
      </c>
      <c r="P53" s="73"/>
      <c r="Q53" s="73"/>
      <c r="R53" s="73"/>
      <c r="S53" s="73"/>
      <c r="T53" s="73"/>
    </row>
    <row r="54" spans="2:40" x14ac:dyDescent="0.25">
      <c r="D54"/>
      <c r="E54"/>
      <c r="F54" s="230"/>
    </row>
    <row r="55" spans="2:40" x14ac:dyDescent="0.25">
      <c r="B55" s="25" t="s">
        <v>816</v>
      </c>
      <c r="C55" s="25"/>
      <c r="D55" s="25"/>
      <c r="E55" s="25"/>
      <c r="F55" s="25"/>
      <c r="G55" s="25"/>
      <c r="H55" s="25"/>
      <c r="I55" s="25"/>
      <c r="J55" s="25"/>
      <c r="K55" s="2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row>
    <row r="57" spans="2:40" x14ac:dyDescent="0.25">
      <c r="C57" s="26" t="str">
        <f ca="1">INDEX('Version control'!$H$36:$H$59,MATCH($A$1,'Version control'!$F$36:$F$59,0),1)&amp;"-D: Outputs for DNOs' internal use"</f>
        <v>Output 102-D: Outputs for DNOs' internal use</v>
      </c>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9" spans="2:40" x14ac:dyDescent="0.25">
      <c r="D59" s="24" t="s">
        <v>817</v>
      </c>
      <c r="E59"/>
    </row>
    <row r="61" spans="2:40" ht="45" x14ac:dyDescent="0.25">
      <c r="F61" s="2"/>
      <c r="G61" s="2"/>
      <c r="H61" s="2"/>
      <c r="I61" s="2"/>
      <c r="J61" s="226" t="s">
        <v>908</v>
      </c>
      <c r="K61" s="226" t="s">
        <v>829</v>
      </c>
      <c r="L61" s="226" t="s">
        <v>909</v>
      </c>
      <c r="M61" s="226" t="s">
        <v>910</v>
      </c>
      <c r="N61" s="226" t="s">
        <v>911</v>
      </c>
      <c r="O61" s="226" t="s">
        <v>912</v>
      </c>
      <c r="P61" s="226" t="s">
        <v>913</v>
      </c>
      <c r="Q61" s="226" t="s">
        <v>830</v>
      </c>
      <c r="R61" s="226" t="s">
        <v>914</v>
      </c>
      <c r="S61" s="226" t="s">
        <v>915</v>
      </c>
      <c r="T61" s="226" t="s">
        <v>916</v>
      </c>
      <c r="U61" s="226" t="s">
        <v>917</v>
      </c>
      <c r="V61" s="226" t="s">
        <v>918</v>
      </c>
      <c r="W61" s="226" t="s">
        <v>919</v>
      </c>
      <c r="X61" s="226" t="s">
        <v>920</v>
      </c>
      <c r="Y61" s="226" t="s">
        <v>921</v>
      </c>
      <c r="Z61" s="226" t="s">
        <v>922</v>
      </c>
      <c r="AA61" s="226" t="s">
        <v>923</v>
      </c>
      <c r="AB61" s="226" t="s">
        <v>924</v>
      </c>
      <c r="AC61" s="226" t="s">
        <v>925</v>
      </c>
      <c r="AD61" s="226" t="s">
        <v>926</v>
      </c>
      <c r="AE61" s="226" t="s">
        <v>927</v>
      </c>
      <c r="AF61" s="226" t="s">
        <v>928</v>
      </c>
      <c r="AG61" s="226" t="s">
        <v>839</v>
      </c>
      <c r="AH61" s="226" t="s">
        <v>831</v>
      </c>
      <c r="AI61" s="226" t="s">
        <v>832</v>
      </c>
      <c r="AJ61" s="226" t="s">
        <v>833</v>
      </c>
      <c r="AK61" s="226" t="s">
        <v>834</v>
      </c>
      <c r="AL61" s="226" t="s">
        <v>835</v>
      </c>
    </row>
    <row r="62" spans="2:40" x14ac:dyDescent="0.25">
      <c r="C62" s="225"/>
      <c r="D62"/>
      <c r="E62" s="28" t="s">
        <v>770</v>
      </c>
      <c r="F62" s="28"/>
      <c r="G62" s="76" t="s">
        <v>277</v>
      </c>
      <c r="H62" s="28" t="s">
        <v>772</v>
      </c>
      <c r="I62" s="28"/>
      <c r="J62" s="224">
        <f>'Net revenue summary'!J140</f>
        <v>97.498190357024427</v>
      </c>
      <c r="K62" s="224">
        <f>'Net revenue summary'!K140</f>
        <v>0</v>
      </c>
      <c r="L62" s="224">
        <f>'Net revenue summary'!L140</f>
        <v>49.581594807109376</v>
      </c>
      <c r="M62" s="224">
        <f>'Net revenue summary'!M140</f>
        <v>70.797407548040354</v>
      </c>
      <c r="N62" s="224">
        <f>'Net revenue summary'!N140</f>
        <v>200.88723571928534</v>
      </c>
      <c r="O62" s="224">
        <f>'Net revenue summary'!O140</f>
        <v>427.15953908452519</v>
      </c>
      <c r="P62" s="224">
        <f>'Net revenue summary'!P140</f>
        <v>1326.4397106440758</v>
      </c>
      <c r="Q62" s="224">
        <f>'Net revenue summary'!Q140</f>
        <v>0</v>
      </c>
      <c r="R62" s="224">
        <f>'Net revenue summary'!R140</f>
        <v>1571.619485727136</v>
      </c>
      <c r="S62" s="224">
        <f>'Net revenue summary'!S140</f>
        <v>2689.7361063848916</v>
      </c>
      <c r="T62" s="224">
        <f>'Net revenue summary'!T140</f>
        <v>5489.0361741503921</v>
      </c>
      <c r="U62" s="224">
        <f>'Net revenue summary'!U140</f>
        <v>8699.6793552606086</v>
      </c>
      <c r="V62" s="224">
        <f>'Net revenue summary'!V140</f>
        <v>14664.955900176532</v>
      </c>
      <c r="W62" s="224">
        <f>'Net revenue summary'!W140</f>
        <v>4516.1008832435655</v>
      </c>
      <c r="X62" s="224">
        <f>'Net revenue summary'!X140</f>
        <v>6585.6896498422411</v>
      </c>
      <c r="Y62" s="224">
        <f>'Net revenue summary'!Y140</f>
        <v>5432.8106215601365</v>
      </c>
      <c r="Z62" s="224">
        <f>'Net revenue summary'!Z140</f>
        <v>8463.3355238317981</v>
      </c>
      <c r="AA62" s="224">
        <f>'Net revenue summary'!AA140</f>
        <v>17323.776222124663</v>
      </c>
      <c r="AB62" s="224">
        <f>'Net revenue summary'!AB140</f>
        <v>5012.9786686034586</v>
      </c>
      <c r="AC62" s="224">
        <f>'Net revenue summary'!AC140</f>
        <v>10154.615573296405</v>
      </c>
      <c r="AD62" s="224">
        <f>'Net revenue summary'!AD140</f>
        <v>30012.588275430728</v>
      </c>
      <c r="AE62" s="224">
        <f>'Net revenue summary'!AE140</f>
        <v>65275.370364399249</v>
      </c>
      <c r="AF62" s="224">
        <f>'Net revenue summary'!AF140</f>
        <v>197375.12886460731</v>
      </c>
      <c r="AG62" s="224">
        <f>'Net revenue summary'!AG140</f>
        <v>3151.3065209783731</v>
      </c>
      <c r="AH62" s="224">
        <f>'Net revenue summary'!AH140</f>
        <v>0</v>
      </c>
      <c r="AI62" s="224">
        <f>'Net revenue summary'!AI140</f>
        <v>0</v>
      </c>
      <c r="AJ62" s="224">
        <f>'Net revenue summary'!AJ140</f>
        <v>-561.51279197876761</v>
      </c>
      <c r="AK62" s="224">
        <f>'Net revenue summary'!AL140</f>
        <v>-1778.379221587503</v>
      </c>
      <c r="AL62" s="224">
        <f>'Net revenue summary'!AN140</f>
        <v>-8952.107704652517</v>
      </c>
    </row>
    <row r="63" spans="2:40" x14ac:dyDescent="0.25">
      <c r="C63" s="225"/>
      <c r="D63"/>
      <c r="E63" s="98" t="s">
        <v>775</v>
      </c>
      <c r="F63" s="98"/>
      <c r="G63" s="204" t="s">
        <v>269</v>
      </c>
      <c r="H63" s="297" t="s">
        <v>772</v>
      </c>
      <c r="I63" s="297"/>
      <c r="J63" s="415">
        <f>'Net revenue summary'!J146</f>
        <v>2.6458468031247171</v>
      </c>
      <c r="K63" s="415">
        <f>'Net revenue summary'!K146</f>
        <v>0.38059783464053548</v>
      </c>
      <c r="L63" s="415">
        <f>'Net revenue summary'!L146</f>
        <v>4.9581594807109379</v>
      </c>
      <c r="M63" s="415">
        <f>'Net revenue summary'!M146</f>
        <v>4.41205644848805</v>
      </c>
      <c r="N63" s="415">
        <f>'Net revenue summary'!N146</f>
        <v>2.513880073428461</v>
      </c>
      <c r="O63" s="415">
        <f>'Net revenue summary'!O146</f>
        <v>2.23659507773427</v>
      </c>
      <c r="P63" s="415">
        <f>'Net revenue summary'!P146</f>
        <v>2.0973776396837125</v>
      </c>
      <c r="Q63" s="415">
        <f>'Net revenue summary'!Q146</f>
        <v>0.57934461732956677</v>
      </c>
      <c r="R63" s="415">
        <f>'Net revenue summary'!R146</f>
        <v>3.4828981664420318</v>
      </c>
      <c r="S63" s="415">
        <f>'Net revenue summary'!S146</f>
        <v>2.5958469287026533</v>
      </c>
      <c r="T63" s="415">
        <f>'Net revenue summary'!T146</f>
        <v>2.8168047109022147</v>
      </c>
      <c r="U63" s="415">
        <f>'Net revenue summary'!U146</f>
        <v>2.8237627410671688</v>
      </c>
      <c r="V63" s="415">
        <f>'Net revenue summary'!V146</f>
        <v>2.8981260724175981</v>
      </c>
      <c r="W63" s="415">
        <f>'Net revenue summary'!W146</f>
        <v>51.440329903791486</v>
      </c>
      <c r="X63" s="415">
        <f>'Net revenue summary'!X146</f>
        <v>2.9807527256733062</v>
      </c>
      <c r="Y63" s="415">
        <f>'Net revenue summary'!Y146</f>
        <v>1.8579229104581461</v>
      </c>
      <c r="Z63" s="415">
        <f>'Net revenue summary'!Z146</f>
        <v>1.8794301636791264</v>
      </c>
      <c r="AA63" s="415">
        <f>'Net revenue summary'!AA146</f>
        <v>2.5832186924629674</v>
      </c>
      <c r="AB63" s="415">
        <f>'Net revenue summary'!AB146</f>
        <v>7.0179970685434503</v>
      </c>
      <c r="AC63" s="415">
        <f>'Net revenue summary'!AC146</f>
        <v>2.1450571051676532</v>
      </c>
      <c r="AD63" s="415">
        <f>'Net revenue summary'!AD146</f>
        <v>2.0214467009501984</v>
      </c>
      <c r="AE63" s="415">
        <f>'Net revenue summary'!AE146</f>
        <v>1.9693769495379052</v>
      </c>
      <c r="AF63" s="415">
        <f>'Net revenue summary'!AF146</f>
        <v>1.9116691670292794</v>
      </c>
      <c r="AG63" s="415">
        <f>'Net revenue summary'!AG146</f>
        <v>3.0396836691083688</v>
      </c>
      <c r="AH63" s="415">
        <f>'Net revenue summary'!AH146</f>
        <v>-0.96737850631530342</v>
      </c>
      <c r="AI63" s="415">
        <f>'Net revenue summary'!AI146</f>
        <v>0</v>
      </c>
      <c r="AJ63" s="415">
        <f>'Net revenue summary'!AJ146</f>
        <v>-0.80490148103826809</v>
      </c>
      <c r="AK63" s="415">
        <f>'Net revenue summary'!AL146</f>
        <v>-0.57499852976258925</v>
      </c>
      <c r="AL63" s="415">
        <f>'Net revenue summary'!AN146</f>
        <v>-0.37345399233335608</v>
      </c>
    </row>
    <row r="64" spans="2:40" x14ac:dyDescent="0.25">
      <c r="C64" s="225"/>
      <c r="D64"/>
      <c r="E64" s="98" t="s">
        <v>784</v>
      </c>
      <c r="F64" s="98"/>
      <c r="G64" s="98" t="s">
        <v>167</v>
      </c>
      <c r="H64" s="98" t="s">
        <v>772</v>
      </c>
      <c r="I64" s="98"/>
      <c r="J64" s="416" t="str">
        <f>'Net revenue summary'!J172</f>
        <v>-</v>
      </c>
      <c r="K64" s="416" t="str">
        <f>'Net revenue summary'!K172</f>
        <v>-</v>
      </c>
      <c r="L64" s="416" t="str">
        <f>'Net revenue summary'!L172</f>
        <v>-</v>
      </c>
      <c r="M64" s="416" t="str">
        <f>'Net revenue summary'!M172</f>
        <v>-</v>
      </c>
      <c r="N64" s="416" t="str">
        <f>'Net revenue summary'!N172</f>
        <v>-</v>
      </c>
      <c r="O64" s="416" t="str">
        <f>'Net revenue summary'!O172</f>
        <v>-</v>
      </c>
      <c r="P64" s="416" t="str">
        <f>'Net revenue summary'!P172</f>
        <v>-</v>
      </c>
      <c r="Q64" s="416" t="str">
        <f>'Net revenue summary'!Q172</f>
        <v>-</v>
      </c>
      <c r="R64" s="416" t="str">
        <f>'Net revenue summary'!R172</f>
        <v>-</v>
      </c>
      <c r="S64" s="416" t="str">
        <f>'Net revenue summary'!S172</f>
        <v>-</v>
      </c>
      <c r="T64" s="416" t="str">
        <f>'Net revenue summary'!T172</f>
        <v>-</v>
      </c>
      <c r="U64" s="416" t="str">
        <f>'Net revenue summary'!U172</f>
        <v>-</v>
      </c>
      <c r="V64" s="416" t="str">
        <f>'Net revenue summary'!V172</f>
        <v>-</v>
      </c>
      <c r="W64" s="416" t="str">
        <f>'Net revenue summary'!W172</f>
        <v>-</v>
      </c>
      <c r="X64" s="416" t="str">
        <f>'Net revenue summary'!X172</f>
        <v>-</v>
      </c>
      <c r="Y64" s="416" t="str">
        <f>'Net revenue summary'!Y172</f>
        <v>-</v>
      </c>
      <c r="Z64" s="416" t="str">
        <f>'Net revenue summary'!Z172</f>
        <v>-</v>
      </c>
      <c r="AA64" s="416" t="str">
        <f>'Net revenue summary'!AA172</f>
        <v>-</v>
      </c>
      <c r="AB64" s="416" t="str">
        <f>'Net revenue summary'!AB172</f>
        <v>-</v>
      </c>
      <c r="AC64" s="416" t="str">
        <f>'Net revenue summary'!AC172</f>
        <v>-</v>
      </c>
      <c r="AD64" s="416" t="str">
        <f>'Net revenue summary'!AD172</f>
        <v>-</v>
      </c>
      <c r="AE64" s="416" t="str">
        <f>'Net revenue summary'!AE172</f>
        <v>-</v>
      </c>
      <c r="AF64" s="416" t="str">
        <f>'Net revenue summary'!AF172</f>
        <v>-</v>
      </c>
      <c r="AG64" s="416" t="str">
        <f>'Net revenue summary'!AG172</f>
        <v>-</v>
      </c>
      <c r="AH64" s="416" t="str">
        <f>'Net revenue summary'!AH172</f>
        <v>-</v>
      </c>
      <c r="AI64" s="416" t="str">
        <f>'Net revenue summary'!AI172</f>
        <v>-</v>
      </c>
      <c r="AJ64" s="416" t="str">
        <f>'Net revenue summary'!AJ172</f>
        <v>-</v>
      </c>
      <c r="AK64" s="416" t="str">
        <f>'Net revenue summary'!AL172</f>
        <v>-</v>
      </c>
      <c r="AL64" s="416" t="str">
        <f>'Net revenue summary'!AN172</f>
        <v>-</v>
      </c>
    </row>
    <row r="65" spans="2:40" x14ac:dyDescent="0.25">
      <c r="C65" s="225"/>
      <c r="D65"/>
      <c r="E65" s="19" t="s">
        <v>785</v>
      </c>
      <c r="F65" s="19"/>
      <c r="G65" s="19" t="s">
        <v>269</v>
      </c>
      <c r="H65" s="255" t="s">
        <v>772</v>
      </c>
      <c r="I65" s="255"/>
      <c r="J65" s="417">
        <f>'Net revenue summary'!J174</f>
        <v>2.6458468031247171</v>
      </c>
      <c r="K65" s="417">
        <f>'Net revenue summary'!K174</f>
        <v>0.38059783464053548</v>
      </c>
      <c r="L65" s="417">
        <f>'Net revenue summary'!L174</f>
        <v>4.9581594807109379</v>
      </c>
      <c r="M65" s="417">
        <f>'Net revenue summary'!M174</f>
        <v>4.41205644848805</v>
      </c>
      <c r="N65" s="417">
        <f>'Net revenue summary'!N174</f>
        <v>2.513880073428461</v>
      </c>
      <c r="O65" s="417">
        <f>'Net revenue summary'!O174</f>
        <v>2.23659507773427</v>
      </c>
      <c r="P65" s="417">
        <f>'Net revenue summary'!P174</f>
        <v>2.0973776396837125</v>
      </c>
      <c r="Q65" s="417">
        <f>'Net revenue summary'!Q174</f>
        <v>0.57934461732956666</v>
      </c>
      <c r="R65" s="417">
        <f>'Net revenue summary'!R174</f>
        <v>3.4828981664420318</v>
      </c>
      <c r="S65" s="417">
        <f>'Net revenue summary'!S174</f>
        <v>2.5958469287026533</v>
      </c>
      <c r="T65" s="417">
        <f>'Net revenue summary'!T174</f>
        <v>2.8168047109022147</v>
      </c>
      <c r="U65" s="417">
        <f>'Net revenue summary'!U174</f>
        <v>2.8237627410671688</v>
      </c>
      <c r="V65" s="417">
        <f>'Net revenue summary'!V174</f>
        <v>2.8981260724175981</v>
      </c>
      <c r="W65" s="417">
        <f>'Net revenue summary'!W174</f>
        <v>51.440329903791486</v>
      </c>
      <c r="X65" s="417">
        <f>'Net revenue summary'!X174</f>
        <v>2.9807527256733062</v>
      </c>
      <c r="Y65" s="417">
        <f>'Net revenue summary'!Y174</f>
        <v>1.8579229104581461</v>
      </c>
      <c r="Z65" s="417">
        <f>'Net revenue summary'!Z174</f>
        <v>1.8794301636791264</v>
      </c>
      <c r="AA65" s="417">
        <f>'Net revenue summary'!AA174</f>
        <v>2.5832186924629674</v>
      </c>
      <c r="AB65" s="417">
        <f>'Net revenue summary'!AB174</f>
        <v>7.0179970685434494</v>
      </c>
      <c r="AC65" s="417">
        <f>'Net revenue summary'!AC174</f>
        <v>2.1450571051676532</v>
      </c>
      <c r="AD65" s="417">
        <f>'Net revenue summary'!AD174</f>
        <v>2.0214467009501984</v>
      </c>
      <c r="AE65" s="417">
        <f>'Net revenue summary'!AE174</f>
        <v>1.9693769495379052</v>
      </c>
      <c r="AF65" s="417">
        <f>'Net revenue summary'!AF174</f>
        <v>1.9116691670292796</v>
      </c>
      <c r="AG65" s="417">
        <f>'Net revenue summary'!AG174</f>
        <v>3.0396836691083688</v>
      </c>
      <c r="AH65" s="417">
        <f>'Net revenue summary'!AH174</f>
        <v>-0.96737850631530331</v>
      </c>
      <c r="AI65" s="417" t="str">
        <f>'Net revenue summary'!AI174</f>
        <v>-</v>
      </c>
      <c r="AJ65" s="417">
        <f>'Net revenue summary'!AJ174</f>
        <v>-0.8049014810382682</v>
      </c>
      <c r="AK65" s="417">
        <f>'Net revenue summary'!AL174</f>
        <v>-0.57499852976258925</v>
      </c>
      <c r="AL65" s="417">
        <f>'Net revenue summary'!AN174</f>
        <v>-0.37345399233335608</v>
      </c>
    </row>
    <row r="66" spans="2:40" x14ac:dyDescent="0.25">
      <c r="C66" s="225"/>
    </row>
    <row r="67" spans="2:40" x14ac:dyDescent="0.25">
      <c r="C67" s="26" t="str">
        <f ca="1">INDEX('Version control'!$H$36:$H$59,MATCH($A$1,'Version control'!$F$36:$F$59,0),1)&amp;"-E: Outputs for IDNOs' internal use"</f>
        <v>Output 102-E: Outputs for IDNOs' internal use</v>
      </c>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9" spans="2:40" x14ac:dyDescent="0.25">
      <c r="D69" s="24" t="s">
        <v>818</v>
      </c>
      <c r="E69"/>
    </row>
    <row r="70" spans="2:40" x14ac:dyDescent="0.25">
      <c r="D70" s="24" t="s">
        <v>819</v>
      </c>
      <c r="E70"/>
    </row>
    <row r="72" spans="2:40" ht="45" x14ac:dyDescent="0.25">
      <c r="E72"/>
      <c r="J72" s="226" t="s">
        <v>908</v>
      </c>
      <c r="K72" s="226" t="s">
        <v>829</v>
      </c>
      <c r="L72" s="226" t="s">
        <v>909</v>
      </c>
      <c r="M72" s="226" t="s">
        <v>910</v>
      </c>
      <c r="N72" s="226" t="s">
        <v>911</v>
      </c>
      <c r="O72" s="226" t="s">
        <v>912</v>
      </c>
      <c r="P72" s="226" t="s">
        <v>913</v>
      </c>
      <c r="Q72" s="226" t="s">
        <v>830</v>
      </c>
      <c r="R72" s="226" t="s">
        <v>914</v>
      </c>
      <c r="S72" s="226" t="s">
        <v>915</v>
      </c>
      <c r="T72" s="226" t="s">
        <v>916</v>
      </c>
      <c r="U72" s="226" t="s">
        <v>917</v>
      </c>
      <c r="V72" s="226" t="s">
        <v>918</v>
      </c>
      <c r="W72" s="226" t="s">
        <v>919</v>
      </c>
      <c r="X72" s="226" t="s">
        <v>920</v>
      </c>
      <c r="Y72" s="226" t="s">
        <v>921</v>
      </c>
      <c r="Z72" s="226" t="s">
        <v>922</v>
      </c>
      <c r="AA72" s="226" t="s">
        <v>923</v>
      </c>
      <c r="AB72" s="226" t="s">
        <v>924</v>
      </c>
      <c r="AC72" s="226" t="s">
        <v>925</v>
      </c>
      <c r="AD72" s="226" t="s">
        <v>926</v>
      </c>
      <c r="AE72" s="226" t="s">
        <v>927</v>
      </c>
      <c r="AF72" s="226" t="s">
        <v>928</v>
      </c>
      <c r="AG72" s="226" t="s">
        <v>839</v>
      </c>
      <c r="AH72" s="226" t="s">
        <v>831</v>
      </c>
      <c r="AI72" s="226" t="s">
        <v>832</v>
      </c>
      <c r="AJ72" s="226" t="s">
        <v>833</v>
      </c>
      <c r="AK72" s="226" t="s">
        <v>834</v>
      </c>
      <c r="AL72" s="226" t="s">
        <v>835</v>
      </c>
    </row>
    <row r="73" spans="2:40" x14ac:dyDescent="0.25">
      <c r="C73" s="225"/>
      <c r="D73"/>
      <c r="E73" s="19" t="s">
        <v>793</v>
      </c>
      <c r="F73" s="19"/>
      <c r="G73" s="54" t="s">
        <v>167</v>
      </c>
      <c r="H73" s="19" t="s">
        <v>447</v>
      </c>
      <c r="I73" s="19"/>
      <c r="J73" s="298">
        <f>'Net revenue summary'!J206</f>
        <v>0.33435678889704157</v>
      </c>
      <c r="K73" s="298">
        <f>'Net revenue summary'!K206</f>
        <v>0</v>
      </c>
      <c r="L73" s="298">
        <f>'Net revenue summary'!L206</f>
        <v>0.33360093800640089</v>
      </c>
      <c r="M73" s="298">
        <f>'Net revenue summary'!M206</f>
        <v>0.33498057404571696</v>
      </c>
      <c r="N73" s="298">
        <f>'Net revenue summary'!N206</f>
        <v>0.33677458445534592</v>
      </c>
      <c r="O73" s="298">
        <f>'Net revenue summary'!O206</f>
        <v>0.33724806911177635</v>
      </c>
      <c r="P73" s="298">
        <f>'Net revenue summary'!P206</f>
        <v>0.33759648019692573</v>
      </c>
      <c r="Q73" s="298">
        <f>'Net revenue summary'!Q206</f>
        <v>0</v>
      </c>
      <c r="R73" s="298">
        <f>'Net revenue summary'!R206</f>
        <v>0.33841536471218192</v>
      </c>
      <c r="S73" s="298">
        <f>'Net revenue summary'!S206</f>
        <v>0.33810897714441274</v>
      </c>
      <c r="T73" s="298">
        <f>'Net revenue summary'!T206</f>
        <v>0.33819815936313097</v>
      </c>
      <c r="U73" s="298">
        <f>'Net revenue summary'!U206</f>
        <v>0.33821584900908758</v>
      </c>
      <c r="V73" s="298">
        <f>'Net revenue summary'!V206</f>
        <v>0.3382236206906552</v>
      </c>
      <c r="W73" s="155"/>
      <c r="X73" s="155"/>
      <c r="Y73" s="155"/>
      <c r="Z73" s="155"/>
      <c r="AA73" s="155"/>
      <c r="AB73" s="155"/>
      <c r="AC73" s="155"/>
      <c r="AD73" s="155"/>
      <c r="AE73" s="155"/>
      <c r="AF73" s="155"/>
      <c r="AG73" s="298">
        <f>'Net revenue summary'!AG206</f>
        <v>0.33790944141479751</v>
      </c>
      <c r="AH73" s="298">
        <f>'Net revenue summary'!AH206</f>
        <v>0</v>
      </c>
      <c r="AI73" s="155"/>
      <c r="AJ73" s="298">
        <f>'Net revenue summary'!AJ206</f>
        <v>2.0246526765843448E-16</v>
      </c>
      <c r="AK73" s="155"/>
      <c r="AL73" s="155"/>
    </row>
    <row r="74" spans="2:40" x14ac:dyDescent="0.25">
      <c r="C74" s="225"/>
      <c r="D74"/>
      <c r="E74" s="28" t="s">
        <v>794</v>
      </c>
      <c r="F74" s="28"/>
      <c r="G74" s="57" t="s">
        <v>167</v>
      </c>
      <c r="H74" s="28" t="s">
        <v>448</v>
      </c>
      <c r="I74" s="28"/>
      <c r="J74" s="299">
        <f>'Net revenue summary'!J207</f>
        <v>0.48057320205378395</v>
      </c>
      <c r="K74" s="299">
        <f>'Net revenue summary'!K207</f>
        <v>0</v>
      </c>
      <c r="L74" s="299">
        <f>'Net revenue summary'!L207</f>
        <v>0.47996336944628704</v>
      </c>
      <c r="M74" s="299">
        <f>'Net revenue summary'!M207</f>
        <v>0.48141450750436687</v>
      </c>
      <c r="N74" s="299">
        <f>'Net revenue summary'!N207</f>
        <v>0.48376563821814039</v>
      </c>
      <c r="O74" s="299">
        <f>'Net revenue summary'!O207</f>
        <v>0.48460439441076547</v>
      </c>
      <c r="P74" s="299">
        <f>'Net revenue summary'!P207</f>
        <v>0.48501274635543612</v>
      </c>
      <c r="Q74" s="299">
        <f>'Net revenue summary'!Q207</f>
        <v>0</v>
      </c>
      <c r="R74" s="299">
        <f>'Net revenue summary'!R207</f>
        <v>0.48474129926105808</v>
      </c>
      <c r="S74" s="299">
        <f>'Net revenue summary'!S207</f>
        <v>0.485026578281122</v>
      </c>
      <c r="T74" s="299">
        <f>'Net revenue summary'!T207</f>
        <v>0.48504737595373137</v>
      </c>
      <c r="U74" s="299">
        <f>'Net revenue summary'!U207</f>
        <v>0.48506660070660695</v>
      </c>
      <c r="V74" s="299">
        <f>'Net revenue summary'!V207</f>
        <v>0.48508009139511066</v>
      </c>
      <c r="W74" s="299">
        <f>'Net revenue summary'!W207</f>
        <v>0.20034692432709855</v>
      </c>
      <c r="X74" s="299">
        <f>'Net revenue summary'!X207</f>
        <v>0.20051642775668632</v>
      </c>
      <c r="Y74" s="299">
        <f>'Net revenue summary'!Y207</f>
        <v>0.20064690987437953</v>
      </c>
      <c r="Z74" s="299">
        <f>'Net revenue summary'!Z207</f>
        <v>0.2006494415241962</v>
      </c>
      <c r="AA74" s="299">
        <f>'Net revenue summary'!AA207</f>
        <v>0.2005910863346724</v>
      </c>
      <c r="AB74" s="299">
        <f>'Net revenue summary'!AB207</f>
        <v>8.1514601947195148E-2</v>
      </c>
      <c r="AC74" s="299">
        <f>'Net revenue summary'!AC207</f>
        <v>8.1441281980310851E-2</v>
      </c>
      <c r="AD74" s="299">
        <f>'Net revenue summary'!AD207</f>
        <v>8.1439376079378081E-2</v>
      </c>
      <c r="AE74" s="299">
        <f>'Net revenue summary'!AE207</f>
        <v>8.1435683177319598E-2</v>
      </c>
      <c r="AF74" s="299">
        <f>'Net revenue summary'!AF207</f>
        <v>8.1432297058635639E-2</v>
      </c>
      <c r="AG74" s="299">
        <f>'Net revenue summary'!AG207</f>
        <v>0.48526721733589867</v>
      </c>
      <c r="AH74" s="299">
        <f>'Net revenue summary'!AH207</f>
        <v>0</v>
      </c>
      <c r="AI74" s="299">
        <f>'Net revenue summary'!AI207</f>
        <v>0</v>
      </c>
      <c r="AJ74" s="299">
        <f>'Net revenue summary'!AJ207</f>
        <v>2.0246526765843448E-16</v>
      </c>
      <c r="AK74" s="299">
        <f>'Net revenue summary'!AL207</f>
        <v>0</v>
      </c>
      <c r="AL74" s="299">
        <f>'Net revenue summary'!AN207</f>
        <v>-2.6125020801353038E-2</v>
      </c>
    </row>
    <row r="76" spans="2:40" x14ac:dyDescent="0.25">
      <c r="B76" s="25" t="s">
        <v>231</v>
      </c>
      <c r="C76" s="25"/>
      <c r="D76" s="25"/>
      <c r="E76" s="25"/>
      <c r="F76" s="25"/>
      <c r="G76" s="25"/>
      <c r="H76" s="25"/>
      <c r="I76" s="25"/>
      <c r="J76" s="25"/>
      <c r="K76" s="25"/>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5"/>
      <c r="AK76" s="95"/>
      <c r="AL76" s="95"/>
      <c r="AM76" s="95"/>
      <c r="AN76" s="95"/>
    </row>
    <row r="78" spans="2:40" x14ac:dyDescent="0.25">
      <c r="E78" t="s">
        <v>232</v>
      </c>
      <c r="G78" s="6" t="s">
        <v>55</v>
      </c>
      <c r="H78" s="93">
        <f t="array" ref="H78">SUM(IF(ISERROR(H19:AL75), 1))</f>
        <v>0</v>
      </c>
    </row>
    <row r="80" spans="2:40" x14ac:dyDescent="0.25">
      <c r="B80" s="25" t="s">
        <v>106</v>
      </c>
      <c r="C80" s="25"/>
      <c r="D80" s="25"/>
      <c r="E80" s="25"/>
      <c r="F80" s="25"/>
      <c r="G80" s="25"/>
      <c r="H80" s="25"/>
      <c r="I80" s="25"/>
      <c r="J80" s="25"/>
      <c r="K80" s="25"/>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5"/>
      <c r="AK80" s="95"/>
      <c r="AL80" s="95"/>
      <c r="AM80" s="95"/>
      <c r="AN80" s="9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WPD West Midlands - Final</v>
      </c>
    </row>
    <row r="3" spans="1:9" s="5" customFormat="1" x14ac:dyDescent="0.25">
      <c r="A3" s="5" t="str">
        <f>Cover!D2&amp;" - "&amp;Cover!D8&amp;" v"&amp;Cover!D10&amp;" - "&amp;Cover!D19</f>
        <v>CDCM charging model - Release for charge setting v8 - 2023/24</v>
      </c>
    </row>
    <row r="5" spans="1:9" customFormat="1" x14ac:dyDescent="0.25">
      <c r="A5" s="8"/>
      <c r="B5" s="31" t="s">
        <v>107</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WPD West Midlands - Final</v>
      </c>
    </row>
    <row r="3" spans="1:7" s="5" customFormat="1" x14ac:dyDescent="0.25">
      <c r="A3" s="5" t="str">
        <f>Cover!D2&amp;" - "&amp;Cover!D8&amp;" v"&amp;Cover!D10&amp;" - "&amp;Cover!D19</f>
        <v>CDCM charging model - Release for charge setting v8 - 2023/24</v>
      </c>
    </row>
    <row r="5" spans="1:7" x14ac:dyDescent="0.25">
      <c r="B5" s="25" t="s">
        <v>10</v>
      </c>
      <c r="C5" s="25"/>
      <c r="D5" s="25"/>
      <c r="E5" s="25"/>
      <c r="F5" s="25"/>
      <c r="G5" s="25"/>
    </row>
    <row r="7" spans="1:7" x14ac:dyDescent="0.25">
      <c r="C7" s="24" t="s">
        <v>108</v>
      </c>
    </row>
    <row r="8" spans="1:7" x14ac:dyDescent="0.25">
      <c r="C8" s="24" t="s">
        <v>109</v>
      </c>
    </row>
    <row r="10" spans="1:7" x14ac:dyDescent="0.25">
      <c r="B10" s="25" t="s">
        <v>110</v>
      </c>
      <c r="C10" s="25"/>
      <c r="D10" s="25"/>
      <c r="E10" s="25"/>
      <c r="F10" s="25"/>
      <c r="G10" s="25"/>
    </row>
    <row r="12" spans="1:7" x14ac:dyDescent="0.25">
      <c r="C12" s="24" t="s">
        <v>111</v>
      </c>
    </row>
    <row r="14" spans="1:7" ht="15.75" thickBot="1" x14ac:dyDescent="0.3">
      <c r="F14" s="310" t="s">
        <v>112</v>
      </c>
      <c r="G14" s="276" t="s">
        <v>113</v>
      </c>
    </row>
    <row r="15" spans="1:7" ht="16.5" thickTop="1" thickBot="1" x14ac:dyDescent="0.3">
      <c r="F15" s="278" t="s">
        <v>114</v>
      </c>
    </row>
    <row r="16" spans="1:7" ht="15.75" thickTop="1" x14ac:dyDescent="0.25">
      <c r="F16" s="278" t="s">
        <v>115</v>
      </c>
      <c r="G16" s="48" t="str">
        <f>'Version control'!$B$5</f>
        <v>Model version</v>
      </c>
    </row>
    <row r="17" spans="6:7" x14ac:dyDescent="0.25">
      <c r="F17" s="277" t="s">
        <v>116</v>
      </c>
      <c r="G17" s="48" t="str">
        <f>'Version control'!$B$17</f>
        <v>Version log</v>
      </c>
    </row>
    <row r="18" spans="6:7" x14ac:dyDescent="0.25">
      <c r="F18" s="277" t="s">
        <v>116</v>
      </c>
      <c r="G18" s="48" t="str">
        <f>'Version control'!$B$33</f>
        <v>Model checks</v>
      </c>
    </row>
    <row r="19" spans="6:7" ht="15.75" thickBot="1" x14ac:dyDescent="0.3">
      <c r="F19" s="277" t="s">
        <v>116</v>
      </c>
      <c r="G19" s="48" t="str">
        <f>'Version control'!$B$62</f>
        <v>Version log lists</v>
      </c>
    </row>
    <row r="20" spans="6:7" ht="16.5" thickTop="1" thickBot="1" x14ac:dyDescent="0.3">
      <c r="F20" s="278" t="s">
        <v>107</v>
      </c>
      <c r="G20" s="48" t="str">
        <f>'Model map'!$B$5</f>
        <v>Model map</v>
      </c>
    </row>
    <row r="21" spans="6:7" ht="16.5" thickTop="1" thickBot="1" x14ac:dyDescent="0.3">
      <c r="F21" s="278" t="s">
        <v>117</v>
      </c>
      <c r="G21" s="48" t="str">
        <f>'Named ranges'!$B$5</f>
        <v>List of named ranges</v>
      </c>
    </row>
    <row r="22" spans="6:7" ht="16.5" thickTop="1" thickBot="1" x14ac:dyDescent="0.3">
      <c r="F22" s="280" t="s">
        <v>53</v>
      </c>
      <c r="G22" s="48" t="str">
        <f>'Fixed inputs'!$B$11</f>
        <v>Fixed inputs</v>
      </c>
    </row>
    <row r="23" spans="6:7" ht="16.5" thickTop="1" thickBot="1" x14ac:dyDescent="0.3">
      <c r="F23" s="280" t="s">
        <v>56</v>
      </c>
      <c r="G23" s="48" t="str">
        <f>'Inputs by customer type'!$B$11</f>
        <v>Inputs by customer type</v>
      </c>
    </row>
    <row r="24" spans="6:7" ht="16.5" thickTop="1" thickBot="1" x14ac:dyDescent="0.3">
      <c r="F24" s="280" t="s">
        <v>58</v>
      </c>
      <c r="G24" s="48" t="str">
        <f>'Inputs by network level'!$B$11</f>
        <v>Inputs by network level</v>
      </c>
    </row>
    <row r="25" spans="6:7" ht="16.5" thickTop="1" thickBot="1" x14ac:dyDescent="0.3">
      <c r="F25" s="280" t="s">
        <v>60</v>
      </c>
      <c r="G25" s="48" t="str">
        <f>'General inputs'!$B$11</f>
        <v>General inputs</v>
      </c>
    </row>
    <row r="26" spans="6:7" ht="16.5" thickTop="1" thickBot="1" x14ac:dyDescent="0.3">
      <c r="F26" s="282" t="s">
        <v>120</v>
      </c>
      <c r="G26" s="48" t="str">
        <f>'Standing charge factors'!$B$17</f>
        <v>Adjustments to standing charges</v>
      </c>
    </row>
    <row r="27" spans="6:7" ht="15.75" thickTop="1" x14ac:dyDescent="0.25">
      <c r="F27" s="282" t="s">
        <v>64</v>
      </c>
      <c r="G27" s="48" t="str">
        <f>'Load &amp; loss characteristics'!$B$13</f>
        <v>Load and loss characteristics</v>
      </c>
    </row>
    <row r="28" spans="6:7" ht="15.75" thickBot="1" x14ac:dyDescent="0.3">
      <c r="F28" s="281" t="s">
        <v>116</v>
      </c>
      <c r="G28" s="48" t="str">
        <f>'Load &amp; loss characteristics'!$B$31</f>
        <v>User loss factor adjustments</v>
      </c>
    </row>
    <row r="29" spans="6:7" ht="16.5" thickTop="1" thickBot="1" x14ac:dyDescent="0.3">
      <c r="F29" s="282" t="s">
        <v>66</v>
      </c>
      <c r="G29" s="48" t="str">
        <f>'Customer contributions'!$B$12</f>
        <v>Customer contributions</v>
      </c>
    </row>
    <row r="30" spans="6:7" ht="15.75" thickTop="1" x14ac:dyDescent="0.25">
      <c r="F30" s="282" t="s">
        <v>68</v>
      </c>
      <c r="G30" s="48" t="str">
        <f>'Volume adjustments'!$B$13</f>
        <v>LDNO discounts</v>
      </c>
    </row>
    <row r="31" spans="6:7" x14ac:dyDescent="0.25">
      <c r="F31" s="281" t="s">
        <v>116</v>
      </c>
      <c r="G31" s="48" t="str">
        <f>'Volume adjustments'!$B$51</f>
        <v>Volume discounting</v>
      </c>
    </row>
    <row r="32" spans="6:7" ht="15.75" thickBot="1" x14ac:dyDescent="0.3">
      <c r="F32" s="281" t="s">
        <v>116</v>
      </c>
      <c r="G32" s="48" t="str">
        <f>'Volume adjustments'!$B$310</f>
        <v>Volume discounting for revenue matching</v>
      </c>
    </row>
    <row r="33" spans="6:7" ht="15.75" thickTop="1" x14ac:dyDescent="0.25">
      <c r="F33" s="282" t="s">
        <v>70</v>
      </c>
      <c r="G33" s="48" t="str">
        <f>'Pseudo-load coefficients'!$B$13</f>
        <v>Step 1: Ratio of coincidence to load factor assuming units evenly spread within time bands, and peak falls in Red period</v>
      </c>
    </row>
    <row r="34" spans="6:7" x14ac:dyDescent="0.25">
      <c r="F34" s="281" t="s">
        <v>116</v>
      </c>
      <c r="G34" s="48" t="str">
        <f>'Pseudo-load coefficients'!$B$56</f>
        <v>Step 2: Calculate correction factor</v>
      </c>
    </row>
    <row r="35" spans="6:7" x14ac:dyDescent="0.25">
      <c r="F35" s="281" t="s">
        <v>116</v>
      </c>
      <c r="G35" s="48" t="str">
        <f>'Pseudo-load coefficients'!$B$95</f>
        <v>Step 3: Ratio of coincidence factor (to network asset peak) to load factor, given peaking probabilities, multiplied by correction factor</v>
      </c>
    </row>
    <row r="36" spans="6:7" ht="15.75" thickBot="1" x14ac:dyDescent="0.3">
      <c r="F36" s="281" t="s">
        <v>116</v>
      </c>
      <c r="G36" s="48" t="str">
        <f>'Pseudo-load coefficients'!$B$261</f>
        <v>Step 4: Results of Step 3</v>
      </c>
    </row>
    <row r="37" spans="6:7" ht="15.75" thickTop="1" x14ac:dyDescent="0.25">
      <c r="F37" s="282" t="s">
        <v>72</v>
      </c>
      <c r="G37" s="48" t="str">
        <f>'System peak demand'!$B$16</f>
        <v>Common inputs for chargeable load calculations</v>
      </c>
    </row>
    <row r="38" spans="6:7" x14ac:dyDescent="0.25">
      <c r="F38" s="281" t="s">
        <v>116</v>
      </c>
      <c r="G38" s="48" t="str">
        <f>'System peak demand'!$B$63</f>
        <v>Load at system peak charged to unit rates</v>
      </c>
    </row>
    <row r="39" spans="6:7" x14ac:dyDescent="0.25">
      <c r="F39" s="281" t="s">
        <v>116</v>
      </c>
      <c r="G39" s="48" t="str">
        <f>'System peak demand'!$B$179</f>
        <v>Load at system peak charged to standing charges</v>
      </c>
    </row>
    <row r="40" spans="6:7" ht="15.75" thickBot="1" x14ac:dyDescent="0.3">
      <c r="F40" s="281" t="s">
        <v>116</v>
      </c>
      <c r="G40" s="48" t="str">
        <f>'System peak demand'!$B$262</f>
        <v>System peak based on chargeable load</v>
      </c>
    </row>
    <row r="41" spans="6:7" ht="16.5" thickTop="1" thickBot="1" x14ac:dyDescent="0.3">
      <c r="F41" s="282" t="s">
        <v>74</v>
      </c>
      <c r="G41" s="48" t="str">
        <f>'Service model assets'!$B$12</f>
        <v>Service model notional asset values</v>
      </c>
    </row>
    <row r="42" spans="6:7" ht="15.75" thickTop="1" x14ac:dyDescent="0.25">
      <c r="F42" s="282" t="s">
        <v>76</v>
      </c>
      <c r="G42" s="48" t="str">
        <f>'Unit costs'!$B$15</f>
        <v>500MW model costs</v>
      </c>
    </row>
    <row r="43" spans="6:7" x14ac:dyDescent="0.25">
      <c r="F43" s="281" t="s">
        <v>116</v>
      </c>
      <c r="G43" s="48" t="str">
        <f>'Unit costs'!$B$58</f>
        <v>Allocation of other costs</v>
      </c>
    </row>
    <row r="44" spans="6:7" ht="15.75" thickBot="1" x14ac:dyDescent="0.3">
      <c r="F44" s="281" t="s">
        <v>116</v>
      </c>
      <c r="G44" s="48" t="str">
        <f>'Unit costs'!$B$102</f>
        <v>Outputs</v>
      </c>
    </row>
    <row r="45" spans="6:7" ht="15.75" thickTop="1" x14ac:dyDescent="0.25">
      <c r="F45" s="282" t="s">
        <v>78</v>
      </c>
      <c r="G45" s="48" t="str">
        <f>'Initial unit rates'!$B$11</f>
        <v>Inputs for yardstick and unit rate calculations</v>
      </c>
    </row>
    <row r="46" spans="6:7" ht="15.75" thickBot="1" x14ac:dyDescent="0.3">
      <c r="F46" s="281" t="s">
        <v>116</v>
      </c>
      <c r="G46" s="48" t="str">
        <f>'Initial unit rates'!$B$116</f>
        <v>Calculation of yardstick &amp; unit rate charges</v>
      </c>
    </row>
    <row r="47" spans="6:7" ht="15.75" thickTop="1" x14ac:dyDescent="0.25">
      <c r="F47" s="282" t="s">
        <v>80</v>
      </c>
      <c r="G47" s="48" t="str">
        <f>'Service model charges'!$B$13</f>
        <v>Inputs to service model charge calculation</v>
      </c>
    </row>
    <row r="48" spans="6:7" ht="15.75" thickBot="1" x14ac:dyDescent="0.3">
      <c r="F48" s="281" t="s">
        <v>116</v>
      </c>
      <c r="G48" s="48" t="str">
        <f>'Service model charges'!$B$29</f>
        <v>Allocation of service model costs</v>
      </c>
    </row>
    <row r="49" spans="6:7" ht="15.75" thickTop="1" x14ac:dyDescent="0.25">
      <c r="F49" s="282" t="s">
        <v>82</v>
      </c>
      <c r="G49" s="48" t="str">
        <f>'Unit rate charges'!$B$15</f>
        <v>Inputs to unit rate charge calculations</v>
      </c>
    </row>
    <row r="50" spans="6:7" ht="15.75" thickBot="1" x14ac:dyDescent="0.3">
      <c r="F50" s="281" t="s">
        <v>116</v>
      </c>
      <c r="G50" s="48" t="str">
        <f>'Unit rate charges'!$B$122</f>
        <v>Application of standing charges to unit rates</v>
      </c>
    </row>
    <row r="51" spans="6:7" ht="15.75" thickTop="1" x14ac:dyDescent="0.25">
      <c r="F51" s="282" t="s">
        <v>86</v>
      </c>
      <c r="G51" s="48" t="str">
        <f>'Capacity charges'!$B$17</f>
        <v>Inputs to capacity charge calculations</v>
      </c>
    </row>
    <row r="52" spans="6:7" x14ac:dyDescent="0.25">
      <c r="F52" s="281" t="s">
        <v>116</v>
      </c>
      <c r="G52" s="48" t="str">
        <f>'Capacity charges'!$B$125</f>
        <v>Calculation of capacity charges</v>
      </c>
    </row>
    <row r="53" spans="6:7" ht="15.75" thickBot="1" x14ac:dyDescent="0.3">
      <c r="F53" s="281" t="s">
        <v>116</v>
      </c>
      <c r="G53" s="48" t="str">
        <f>'Capacity charges'!$B$249</f>
        <v>Capacity charges (and elements allocated to fixed charges)</v>
      </c>
    </row>
    <row r="54" spans="6:7" ht="15.75" thickTop="1" x14ac:dyDescent="0.25">
      <c r="F54" s="282" t="s">
        <v>84</v>
      </c>
      <c r="G54" s="48" t="str">
        <f>'Reactive power charges'!$B$13</f>
        <v>Inputs to reactive power charge calculations</v>
      </c>
    </row>
    <row r="55" spans="6:7" x14ac:dyDescent="0.25">
      <c r="F55" s="281" t="s">
        <v>116</v>
      </c>
      <c r="G55" s="48" t="str">
        <f>'Reactive power charges'!$B$150</f>
        <v>Calculation of yardstick charges for generation</v>
      </c>
    </row>
    <row r="56" spans="6:7" ht="15.75" thickBot="1" x14ac:dyDescent="0.3">
      <c r="F56" s="281" t="s">
        <v>116</v>
      </c>
      <c r="G56" s="48" t="str">
        <f>'Reactive power charges'!$B$185</f>
        <v>Calculation of reactive power charges</v>
      </c>
    </row>
    <row r="57" spans="6:7" ht="15.75" thickTop="1" x14ac:dyDescent="0.25">
      <c r="F57" s="282" t="s">
        <v>88</v>
      </c>
      <c r="G57" s="48" t="str">
        <f>'Fixed charges'!$B$14</f>
        <v>Inputs to fixed charge calculations</v>
      </c>
    </row>
    <row r="58" spans="6:7" ht="15.75" thickBot="1" x14ac:dyDescent="0.3">
      <c r="F58" s="281" t="s">
        <v>116</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90</v>
      </c>
      <c r="G60" s="48" t="str">
        <f>'Revenue matching'!$B$13</f>
        <v>Pre-matching net revenue calculations</v>
      </c>
    </row>
    <row r="61" spans="6:7" x14ac:dyDescent="0.25">
      <c r="F61" s="281" t="s">
        <v>116</v>
      </c>
      <c r="G61" s="48" t="str">
        <f>'Revenue matching'!$B$87</f>
        <v>Residual charge calculation</v>
      </c>
    </row>
    <row r="62" spans="6:7" x14ac:dyDescent="0.25">
      <c r="F62" s="281" t="s">
        <v>116</v>
      </c>
      <c r="G62" s="48" t="str">
        <f>'Revenue matching'!$B$210</f>
        <v>Adjustments for negative fixed charges</v>
      </c>
    </row>
    <row r="63" spans="6:7" ht="15.75" thickBot="1" x14ac:dyDescent="0.3">
      <c r="F63" s="281" t="s">
        <v>116</v>
      </c>
      <c r="G63" s="48" t="str">
        <f>'Revenue matching'!$B$408</f>
        <v>Final adders</v>
      </c>
    </row>
    <row r="64" spans="6:7" ht="15.75" thickTop="1" x14ac:dyDescent="0.25">
      <c r="F64" s="282" t="s">
        <v>92</v>
      </c>
      <c r="G64" s="48" t="str">
        <f>Rounding!$B$12</f>
        <v>Inputs</v>
      </c>
    </row>
    <row r="65" spans="2:7" ht="15.75" thickBot="1" x14ac:dyDescent="0.3">
      <c r="F65" s="281" t="s">
        <v>116</v>
      </c>
      <c r="G65" s="48" t="str">
        <f>Rounding!$B$103</f>
        <v>Rounding of tariff forecast</v>
      </c>
    </row>
    <row r="66" spans="2:7" ht="15.75" thickTop="1" x14ac:dyDescent="0.25">
      <c r="F66" s="282" t="s">
        <v>94</v>
      </c>
      <c r="G66" s="48" t="str">
        <f>'Net revenue summary'!$B$11</f>
        <v>Inputs to net revenue summary calculation</v>
      </c>
    </row>
    <row r="67" spans="2:7" x14ac:dyDescent="0.25">
      <c r="F67" s="281" t="s">
        <v>116</v>
      </c>
      <c r="G67" s="48" t="str">
        <f>'Net revenue summary'!$B$90</f>
        <v>Typical bills</v>
      </c>
    </row>
    <row r="68" spans="2:7" x14ac:dyDescent="0.25">
      <c r="F68" s="281" t="s">
        <v>116</v>
      </c>
      <c r="G68" s="48" t="str">
        <f>'Net revenue summary'!$B$150</f>
        <v>Comparison with previous year</v>
      </c>
    </row>
    <row r="69" spans="2:7" ht="15.75" thickBot="1" x14ac:dyDescent="0.3">
      <c r="F69" s="281" t="s">
        <v>116</v>
      </c>
      <c r="G69" s="48" t="str">
        <f>'Net revenue summary'!$B$176</f>
        <v>LDNO margins</v>
      </c>
    </row>
    <row r="70" spans="2:7" ht="16.5" thickTop="1" thickBot="1" x14ac:dyDescent="0.3">
      <c r="F70" s="284" t="s">
        <v>96</v>
      </c>
      <c r="G70" s="48" t="str">
        <f>'Tariff summary'!$B$11</f>
        <v>Tariff summary</v>
      </c>
    </row>
    <row r="71" spans="2:7" ht="15.75" thickTop="1" x14ac:dyDescent="0.25">
      <c r="F71" s="284" t="s">
        <v>98</v>
      </c>
      <c r="G71" s="48" t="str">
        <f>'Output to other models'!$B$12</f>
        <v>Outputs for PCDM</v>
      </c>
    </row>
    <row r="72" spans="2:7" x14ac:dyDescent="0.25">
      <c r="F72" s="283" t="s">
        <v>116</v>
      </c>
      <c r="G72" s="48" t="str">
        <f>'Output to other models'!$B$25</f>
        <v>Outputs for EDCM</v>
      </c>
    </row>
    <row r="73" spans="2:7" x14ac:dyDescent="0.25">
      <c r="F73" s="283" t="s">
        <v>116</v>
      </c>
      <c r="G73" s="48" t="str">
        <f>'Output to other models'!$B$55</f>
        <v>Outputs for users' internal use</v>
      </c>
    </row>
    <row r="75" spans="2:7" x14ac:dyDescent="0.25">
      <c r="B75" s="25" t="s">
        <v>118</v>
      </c>
      <c r="C75" s="25"/>
      <c r="D75" s="25"/>
      <c r="E75" s="25"/>
      <c r="F75" s="25"/>
      <c r="G75" s="25"/>
    </row>
    <row r="77" spans="2:7" x14ac:dyDescent="0.25">
      <c r="C77" s="24" t="s">
        <v>119</v>
      </c>
    </row>
    <row r="79" spans="2:7" ht="15.75" thickBot="1" x14ac:dyDescent="0.3">
      <c r="F79" s="310" t="s">
        <v>112</v>
      </c>
      <c r="G79" s="276" t="s">
        <v>113</v>
      </c>
    </row>
    <row r="80" spans="2:7" ht="15.75" thickTop="1" x14ac:dyDescent="0.25">
      <c r="F80" s="280" t="s">
        <v>53</v>
      </c>
      <c r="G80" s="48" t="str">
        <f ca="1">'Fixed inputs'!$C$13</f>
        <v>Input 101-A: Conversions and time</v>
      </c>
    </row>
    <row r="81" spans="6:7" x14ac:dyDescent="0.25">
      <c r="F81" s="279" t="s">
        <v>116</v>
      </c>
      <c r="G81" s="48" t="str">
        <f ca="1">'Fixed inputs'!$C$20</f>
        <v>Input 101-B: Input 101-B: Rounding</v>
      </c>
    </row>
    <row r="82" spans="6:7" x14ac:dyDescent="0.25">
      <c r="F82" s="279" t="s">
        <v>116</v>
      </c>
      <c r="G82" s="48" t="str">
        <f ca="1">'Fixed inputs'!$C$33</f>
        <v>Input 101-C: Financial and general assumptions</v>
      </c>
    </row>
    <row r="83" spans="6:7" x14ac:dyDescent="0.25">
      <c r="F83" s="279" t="s">
        <v>116</v>
      </c>
      <c r="G83" s="48" t="str">
        <f ca="1">'Fixed inputs'!$C$43</f>
        <v>Input 101-D: Mappings</v>
      </c>
    </row>
    <row r="84" spans="6:7" x14ac:dyDescent="0.25">
      <c r="F84" s="279" t="s">
        <v>116</v>
      </c>
      <c r="G84" s="48" t="str">
        <f ca="1">'Fixed inputs'!$C$84</f>
        <v>Input 101-E: Standing charge factors</v>
      </c>
    </row>
    <row r="85" spans="6:7" x14ac:dyDescent="0.25">
      <c r="F85" s="279" t="s">
        <v>116</v>
      </c>
      <c r="G85" s="48" t="str">
        <f ca="1">'Fixed inputs'!$C$99</f>
        <v>Input 101-F: Flags</v>
      </c>
    </row>
    <row r="86" spans="6:7" x14ac:dyDescent="0.25">
      <c r="F86" s="279" t="s">
        <v>116</v>
      </c>
      <c r="G86" s="48" t="str">
        <f ca="1">'Fixed inputs'!$C$141</f>
        <v>Input 101-G: Identifiers for customer groupings</v>
      </c>
    </row>
    <row r="87" spans="6:7" x14ac:dyDescent="0.25">
      <c r="F87" s="279" t="s">
        <v>116</v>
      </c>
      <c r="G87" s="48" t="str">
        <f ca="1">'Fixed inputs'!$C$151</f>
        <v>Input 101-H: Decimal places for error checks</v>
      </c>
    </row>
    <row r="88" spans="6:7" x14ac:dyDescent="0.25">
      <c r="F88" s="279" t="s">
        <v>116</v>
      </c>
      <c r="G88" s="48" t="str">
        <f ca="1">'Fixed inputs'!$C$155</f>
        <v>Input 101-I: Map of applicable MPANs</v>
      </c>
    </row>
    <row r="89" spans="6:7" ht="15.75" thickBot="1" x14ac:dyDescent="0.3">
      <c r="F89" s="279" t="s">
        <v>116</v>
      </c>
      <c r="G89" s="48" t="str">
        <f ca="1">'Fixed inputs'!$C$162</f>
        <v>Input 101-J: Revenue matching inputs</v>
      </c>
    </row>
    <row r="90" spans="6:7" ht="15.75" thickTop="1" x14ac:dyDescent="0.25">
      <c r="F90" s="280" t="s">
        <v>56</v>
      </c>
      <c r="G90" s="48" t="str">
        <f ca="1">'Inputs by customer type'!$C$13</f>
        <v>Input 102-A: Load characteristics</v>
      </c>
    </row>
    <row r="91" spans="6:7" x14ac:dyDescent="0.25">
      <c r="F91" s="279" t="s">
        <v>116</v>
      </c>
      <c r="G91" s="48" t="str">
        <f ca="1">'Inputs by customer type'!$C$18</f>
        <v>Input 102-B: Volume forecasts for the charging year</v>
      </c>
    </row>
    <row r="92" spans="6:7" x14ac:dyDescent="0.25">
      <c r="F92" s="279" t="s">
        <v>116</v>
      </c>
      <c r="G92" s="48" t="str">
        <f ca="1">'Inputs by customer type'!$C$163</f>
        <v>Input 102-C: Non-Domestic Aggregated (Related MPAN) distribution by bands</v>
      </c>
    </row>
    <row r="93" spans="6:7" x14ac:dyDescent="0.25">
      <c r="F93" s="279" t="s">
        <v>116</v>
      </c>
      <c r="G93" s="48" t="str">
        <f ca="1">'Inputs by customer type'!$C$183</f>
        <v>Input 102-D: Service model asset values</v>
      </c>
    </row>
    <row r="94" spans="6:7" x14ac:dyDescent="0.25">
      <c r="F94" s="279" t="s">
        <v>116</v>
      </c>
      <c r="G94" s="48" t="str">
        <f ca="1">'Inputs by customer type'!$C$192</f>
        <v>Input 102-E: Previous year all-the-way tariff forecast</v>
      </c>
    </row>
    <row r="95" spans="6:7" ht="15.75" thickBot="1" x14ac:dyDescent="0.3">
      <c r="F95" s="279" t="s">
        <v>116</v>
      </c>
      <c r="G95" s="48" t="str">
        <f ca="1">'Inputs by customer type'!$C$206</f>
        <v>Input 102-F: Previous year net revenue (if known)</v>
      </c>
    </row>
    <row r="96" spans="6:7" ht="15.75" thickTop="1" x14ac:dyDescent="0.25">
      <c r="F96" s="280" t="s">
        <v>58</v>
      </c>
      <c r="G96" s="48" t="str">
        <f ca="1">'Inputs by network level'!$C$13</f>
        <v>Input 103-A: Network and load inputs</v>
      </c>
    </row>
    <row r="97" spans="6:7" x14ac:dyDescent="0.25">
      <c r="F97" s="279" t="s">
        <v>116</v>
      </c>
      <c r="G97" s="48" t="str">
        <f ca="1">'Inputs by network level'!$C$23</f>
        <v>Input 103-B: Customer contributions under current connection charging policy</v>
      </c>
    </row>
    <row r="98" spans="6:7" x14ac:dyDescent="0.25">
      <c r="F98" s="279" t="s">
        <v>116</v>
      </c>
      <c r="G98" s="48" t="str">
        <f ca="1">'Inputs by network level'!$C$31</f>
        <v>Input 103-C: DRM asset costs</v>
      </c>
    </row>
    <row r="99" spans="6:7" ht="15.75" thickBot="1" x14ac:dyDescent="0.3">
      <c r="F99" s="279" t="s">
        <v>116</v>
      </c>
      <c r="G99" s="48" t="str">
        <f ca="1">'Inputs by network level'!$C$35</f>
        <v>Input 103-D: Peaking probabilities by network level</v>
      </c>
    </row>
    <row r="100" spans="6:7" ht="15.75" thickTop="1" x14ac:dyDescent="0.25">
      <c r="F100" s="280" t="s">
        <v>60</v>
      </c>
      <c r="G100" s="48" t="str">
        <f ca="1">'General inputs'!$C$13</f>
        <v>Input 104-A: Inputs by distribution timeband</v>
      </c>
    </row>
    <row r="101" spans="6:7" x14ac:dyDescent="0.25">
      <c r="F101" s="279" t="s">
        <v>116</v>
      </c>
      <c r="G101" s="48" t="str">
        <f ca="1">'General inputs'!$C$25</f>
        <v>Input 104-B: LDNO discount inputs</v>
      </c>
    </row>
    <row r="102" spans="6:7" x14ac:dyDescent="0.25">
      <c r="F102" s="279" t="s">
        <v>116</v>
      </c>
      <c r="G102" s="48" t="str">
        <f ca="1">'General inputs'!$C$35</f>
        <v>Input 104-C: CDCM target revenue</v>
      </c>
    </row>
    <row r="103" spans="6:7" x14ac:dyDescent="0.25">
      <c r="F103" s="279" t="s">
        <v>116</v>
      </c>
      <c r="G103" s="48" t="str">
        <f ca="1">'General inputs'!$C$90</f>
        <v>Input 104-D: Financial and general assumptions</v>
      </c>
    </row>
    <row r="104" spans="6:7" x14ac:dyDescent="0.25">
      <c r="F104" s="279" t="s">
        <v>116</v>
      </c>
      <c r="G104" s="48" t="str">
        <f ca="1">'General inputs'!$C$96</f>
        <v>Input 104-E: Transmission exit charges</v>
      </c>
    </row>
    <row r="105" spans="6:7" ht="15.75" thickBot="1" x14ac:dyDescent="0.3">
      <c r="F105" s="279" t="s">
        <v>116</v>
      </c>
      <c r="G105" s="48" t="str">
        <f ca="1">'General inputs'!$C$100</f>
        <v>Input 104-F: Other expenditure</v>
      </c>
    </row>
    <row r="106" spans="6:7" ht="16.5" thickTop="1" thickBot="1" x14ac:dyDescent="0.3">
      <c r="F106" s="282" t="s">
        <v>120</v>
      </c>
      <c r="G106" s="48" t="str">
        <f ca="1">'Standing charge factors'!$C$19</f>
        <v>Section 101-A: Adjustments to standing charges</v>
      </c>
    </row>
    <row r="107" spans="6:7" ht="15.75" thickTop="1" x14ac:dyDescent="0.25">
      <c r="F107" s="282" t="s">
        <v>64</v>
      </c>
      <c r="G107" s="48" t="str">
        <f ca="1">'Load &amp; loss characteristics'!$C$17</f>
        <v>Section 102-A: Load characteristics</v>
      </c>
    </row>
    <row r="108" spans="6:7" x14ac:dyDescent="0.25">
      <c r="F108" s="281" t="s">
        <v>116</v>
      </c>
      <c r="G108" s="48" t="str">
        <f ca="1">'Load &amp; loss characteristics'!$C$25</f>
        <v>Section 102-B: Loss adjustment factors</v>
      </c>
    </row>
    <row r="109" spans="6:7" x14ac:dyDescent="0.25">
      <c r="F109" s="281" t="s">
        <v>116</v>
      </c>
      <c r="G109" s="48" t="str">
        <f ca="1">'Load &amp; loss characteristics'!$C$35</f>
        <v>Section 102-C: Proportion of relevant load going through 132kV/HV direct transformation</v>
      </c>
    </row>
    <row r="110" spans="6:7" x14ac:dyDescent="0.25">
      <c r="F110" s="281" t="s">
        <v>116</v>
      </c>
      <c r="G110" s="48" t="str">
        <f ca="1">'Load &amp; loss characteristics'!$C$40</f>
        <v>Section 102-D: Network use factors</v>
      </c>
    </row>
    <row r="111" spans="6:7" ht="15.75" thickBot="1" x14ac:dyDescent="0.3">
      <c r="F111" s="281" t="s">
        <v>116</v>
      </c>
      <c r="G111" s="48" t="str">
        <f ca="1">'Load &amp; loss characteristics'!$C$121</f>
        <v>Section 102-E: User loss factors</v>
      </c>
    </row>
    <row r="112" spans="6:7" ht="15.75" thickTop="1" x14ac:dyDescent="0.25">
      <c r="F112" s="282" t="s">
        <v>66</v>
      </c>
      <c r="G112" s="48" t="str">
        <f ca="1">'Customer contributions'!$C$16</f>
        <v>Section 103-A: Network use factors</v>
      </c>
    </row>
    <row r="113" spans="6:7" ht="15.75" thickBot="1" x14ac:dyDescent="0.3">
      <c r="F113" s="281" t="s">
        <v>116</v>
      </c>
      <c r="G113" s="48" t="str">
        <f ca="1">'Customer contributions'!$C$38</f>
        <v>Section 103-B: Customer contributions</v>
      </c>
    </row>
    <row r="114" spans="6:7" ht="15.75" thickTop="1" x14ac:dyDescent="0.25">
      <c r="F114" s="282" t="s">
        <v>68</v>
      </c>
      <c r="G114" s="48" t="str">
        <f ca="1">'Volume adjustments'!$C$15</f>
        <v>Section 104-A: LDNO discounts</v>
      </c>
    </row>
    <row r="115" spans="6:7" x14ac:dyDescent="0.25">
      <c r="F115" s="281" t="s">
        <v>116</v>
      </c>
      <c r="G115" s="48" t="str">
        <f ca="1">'Volume adjustments'!$C$53</f>
        <v>Section 104-B: Aggregation of volumes</v>
      </c>
    </row>
    <row r="116" spans="6:7" x14ac:dyDescent="0.25">
      <c r="F116" s="281" t="s">
        <v>116</v>
      </c>
      <c r="G116" s="48" t="str">
        <f ca="1">'Volume adjustments'!$C$225</f>
        <v>Section 104-C: Volume discounting</v>
      </c>
    </row>
    <row r="117" spans="6:7" x14ac:dyDescent="0.25">
      <c r="F117" s="281" t="s">
        <v>116</v>
      </c>
      <c r="G117" s="48" t="str">
        <f ca="1">'Volume adjustments'!$C$332</f>
        <v>Section 104-D: No residual volume discounting</v>
      </c>
    </row>
    <row r="118" spans="6:7" x14ac:dyDescent="0.25">
      <c r="F118" s="281" t="s">
        <v>116</v>
      </c>
      <c r="G118" s="48" t="str">
        <f ca="1">'Volume adjustments'!$C$361</f>
        <v>Section 104-E: Residual band 1 volume discounting</v>
      </c>
    </row>
    <row r="119" spans="6:7" x14ac:dyDescent="0.25">
      <c r="F119" s="281" t="s">
        <v>116</v>
      </c>
      <c r="G119" s="48" t="str">
        <f ca="1">'Volume adjustments'!$C$390</f>
        <v>Section 104-F: Residual band 2 volume discounting</v>
      </c>
    </row>
    <row r="120" spans="6:7" x14ac:dyDescent="0.25">
      <c r="F120" s="281" t="s">
        <v>116</v>
      </c>
      <c r="G120" s="48" t="str">
        <f ca="1">'Volume adjustments'!$C$419</f>
        <v>Section 104-G: Residual band 3 volume discounting</v>
      </c>
    </row>
    <row r="121" spans="6:7" x14ac:dyDescent="0.25">
      <c r="F121" s="281" t="s">
        <v>116</v>
      </c>
      <c r="G121" s="48" t="str">
        <f ca="1">'Volume adjustments'!$C$448</f>
        <v>Section 104-H: Residual band 4 volume discounting</v>
      </c>
    </row>
    <row r="122" spans="6:7" x14ac:dyDescent="0.25">
      <c r="F122" s="281" t="s">
        <v>116</v>
      </c>
      <c r="G122" s="48" t="str">
        <f ca="1">'Volume adjustments'!$C$477</f>
        <v>Section 104-I: Discounted volumes by residual band</v>
      </c>
    </row>
    <row r="123" spans="6:7" x14ac:dyDescent="0.25">
      <c r="F123" s="281" t="s">
        <v>116</v>
      </c>
      <c r="G123" s="48" t="str">
        <f ca="1">'Volume adjustments'!$C$523</f>
        <v>Section 104-J: Volumes by residual band</v>
      </c>
    </row>
    <row r="124" spans="6:7" ht="15.75" thickBot="1" x14ac:dyDescent="0.3">
      <c r="F124" s="281" t="s">
        <v>116</v>
      </c>
      <c r="G124" s="48" t="str">
        <f ca="1">'Volume adjustments'!$C$657</f>
        <v>Section 104-K: Non-domestic aggregated (related MPAN) distribution across bands</v>
      </c>
    </row>
    <row r="125" spans="6:7" ht="15.75" thickTop="1" x14ac:dyDescent="0.25">
      <c r="F125" s="282" t="s">
        <v>70</v>
      </c>
      <c r="G125" s="48" t="str">
        <f ca="1">'Pseudo-load coefficients'!$C$18</f>
        <v>Section 105-A: Flags and hours in timebands</v>
      </c>
    </row>
    <row r="126" spans="6:7" x14ac:dyDescent="0.25">
      <c r="F126" s="281" t="s">
        <v>116</v>
      </c>
      <c r="G126" s="48" t="str">
        <f ca="1">'Pseudo-load coefficients'!$C$28</f>
        <v>Section 105-B: Average load by timeband</v>
      </c>
    </row>
    <row r="127" spans="6:7" x14ac:dyDescent="0.25">
      <c r="F127" s="281" t="s">
        <v>116</v>
      </c>
      <c r="G127" s="48" t="str">
        <f ca="1">'Pseudo-load coefficients'!$C$36</f>
        <v>Section 105-C: Aggregated groups for pseudo-load coefficients</v>
      </c>
    </row>
    <row r="128" spans="6:7" x14ac:dyDescent="0.25">
      <c r="F128" s="281" t="s">
        <v>116</v>
      </c>
      <c r="G128" s="48" t="str">
        <f ca="1">'Pseudo-load coefficients'!$C$52</f>
        <v>Section 105-D: Ratio of coincidence to load factor assuming units evenly spread within time bands, and peak falls in Red period</v>
      </c>
    </row>
    <row r="129" spans="6:7" x14ac:dyDescent="0.25">
      <c r="F129" s="281" t="s">
        <v>116</v>
      </c>
      <c r="G129" s="48" t="str">
        <f ca="1">'Pseudo-load coefficients'!$C$60</f>
        <v>Section 105-E: Load characteristics for all customers</v>
      </c>
    </row>
    <row r="130" spans="6:7" x14ac:dyDescent="0.25">
      <c r="F130" s="281" t="s">
        <v>116</v>
      </c>
      <c r="G130" s="48" t="str">
        <f ca="1">'Pseudo-load coefficients'!$C$65</f>
        <v>Section 105-F: Aggregated load characteristics for grouped customers</v>
      </c>
    </row>
    <row r="131" spans="6:7" x14ac:dyDescent="0.25">
      <c r="F131" s="281" t="s">
        <v>116</v>
      </c>
      <c r="G131" s="48" t="str">
        <f ca="1">'Pseudo-load coefficients'!$C$87</f>
        <v>Section 105-G: Calculation of correction factor</v>
      </c>
    </row>
    <row r="132" spans="6:7" x14ac:dyDescent="0.25">
      <c r="F132" s="281" t="s">
        <v>116</v>
      </c>
      <c r="G132" s="48" t="str">
        <f ca="1">'Pseudo-load coefficients'!$C$100</f>
        <v>Section 105-H: Peaking probabilities, by network level</v>
      </c>
    </row>
    <row r="133" spans="6:7" x14ac:dyDescent="0.25">
      <c r="F133" s="281" t="s">
        <v>116</v>
      </c>
      <c r="G133" s="48" t="str">
        <f ca="1">'Pseudo-load coefficients'!$C$174</f>
        <v>Section 105-I: Peaking probabilities, by network level and customer type</v>
      </c>
    </row>
    <row r="134" spans="6:7" x14ac:dyDescent="0.25">
      <c r="F134" s="281" t="s">
        <v>116</v>
      </c>
      <c r="G134" s="48" t="str">
        <f ca="1">'Pseudo-load coefficients'!$C$221</f>
        <v>Section 105-J: Ratio of coincidence factor to load factor, based on uniform distribution in timebands and peaking probabilities</v>
      </c>
    </row>
    <row r="135" spans="6:7" x14ac:dyDescent="0.25">
      <c r="F135" s="281" t="s">
        <v>116</v>
      </c>
      <c r="G135" s="48" t="str">
        <f ca="1">'Pseudo-load coefficients'!$C$265</f>
        <v>Section 105-K: Load coefficient</v>
      </c>
    </row>
    <row r="136" spans="6:7" ht="15.75" thickBot="1" x14ac:dyDescent="0.3">
      <c r="F136" s="281" t="s">
        <v>116</v>
      </c>
      <c r="G136" s="48" t="str">
        <f ca="1">'Pseudo-load coefficients'!$C$269</f>
        <v>Section 105-L: Pseudo load coefficients, by unit rate</v>
      </c>
    </row>
    <row r="137" spans="6:7" ht="15.75" thickTop="1" x14ac:dyDescent="0.25">
      <c r="F137" s="282" t="s">
        <v>72</v>
      </c>
      <c r="G137" s="48" t="str">
        <f ca="1">'System peak demand'!$C$18</f>
        <v>Section 106-A: Common inputs for chargeable load calculations</v>
      </c>
    </row>
    <row r="138" spans="6:7" x14ac:dyDescent="0.25">
      <c r="F138" s="281" t="s">
        <v>116</v>
      </c>
      <c r="G138" s="48" t="str">
        <f ca="1">'System peak demand'!$C$67</f>
        <v>Section 106-B: System peak load, by unit rate</v>
      </c>
    </row>
    <row r="139" spans="6:7" x14ac:dyDescent="0.25">
      <c r="F139" s="281" t="s">
        <v>116</v>
      </c>
      <c r="G139" s="48" t="str">
        <f ca="1">'System peak demand'!$C$138</f>
        <v>Section 106-C: System peak load, all unit rates</v>
      </c>
    </row>
    <row r="140" spans="6:7" x14ac:dyDescent="0.25">
      <c r="F140" s="281" t="s">
        <v>116</v>
      </c>
      <c r="G140" s="48" t="str">
        <f ca="1">'System peak demand'!$C$164</f>
        <v>Section 106-D: Unit rate contributions to chargeable peak load</v>
      </c>
    </row>
    <row r="141" spans="6:7" x14ac:dyDescent="0.25">
      <c r="F141" s="281" t="s">
        <v>116</v>
      </c>
      <c r="G141" s="48" t="str">
        <f ca="1">'System peak demand'!$C$184</f>
        <v>Section 106-E: Adjustment of import and exceeded capacity</v>
      </c>
    </row>
    <row r="142" spans="6:7" x14ac:dyDescent="0.25">
      <c r="F142" s="281" t="s">
        <v>116</v>
      </c>
      <c r="G142" s="48" t="str">
        <f ca="1">'System peak demand'!$C$194</f>
        <v>Section 106-F: Calculation of LV circuit diversity factor</v>
      </c>
    </row>
    <row r="143" spans="6:7" x14ac:dyDescent="0.25">
      <c r="F143" s="281" t="s">
        <v>116</v>
      </c>
      <c r="G143" s="48" t="str">
        <f ca="1">'System peak demand'!$C$236</f>
        <v>Section 106-G: Import/exceeded capacity contribution to system peak</v>
      </c>
    </row>
    <row r="144" spans="6:7" x14ac:dyDescent="0.25">
      <c r="F144" s="281" t="s">
        <v>116</v>
      </c>
      <c r="G144" s="48" t="str">
        <f ca="1">'System peak demand'!$C$249</f>
        <v>Section 106-H: Estimated capacity contribution to system peak</v>
      </c>
    </row>
    <row r="145" spans="6:7" ht="15.75" thickBot="1" x14ac:dyDescent="0.3">
      <c r="F145" s="281" t="s">
        <v>116</v>
      </c>
      <c r="G145" s="48" t="str">
        <f ca="1">'System peak demand'!$C$266</f>
        <v>Section 106-I: System peak based on chargeable load</v>
      </c>
    </row>
    <row r="146" spans="6:7" ht="16.5" thickTop="1" thickBot="1" x14ac:dyDescent="0.3">
      <c r="F146" s="282" t="s">
        <v>74</v>
      </c>
      <c r="G146" s="48" t="str">
        <f ca="1">'Service model assets'!$C$14</f>
        <v>Section 107-A: Service model notional asset values</v>
      </c>
    </row>
    <row r="147" spans="6:7" ht="15.75" thickTop="1" x14ac:dyDescent="0.25">
      <c r="F147" s="282" t="s">
        <v>76</v>
      </c>
      <c r="G147" s="48" t="str">
        <f ca="1">'Unit costs'!$C$19</f>
        <v>Section 108-A: Financial data</v>
      </c>
    </row>
    <row r="148" spans="6:7" x14ac:dyDescent="0.25">
      <c r="F148" s="281" t="s">
        <v>116</v>
      </c>
      <c r="G148" s="48" t="str">
        <f ca="1">'Unit costs'!$C$27</f>
        <v>Section 108-B: Diversity and loss adjustment factors</v>
      </c>
    </row>
    <row r="149" spans="6:7" x14ac:dyDescent="0.25">
      <c r="F149" s="281" t="s">
        <v>116</v>
      </c>
      <c r="G149" s="48" t="str">
        <f ca="1">'Unit costs'!$C$35</f>
        <v>Section 108-C: Maximum demand</v>
      </c>
    </row>
    <row r="150" spans="6:7" x14ac:dyDescent="0.25">
      <c r="F150" s="281" t="s">
        <v>116</v>
      </c>
      <c r="G150" s="48" t="str">
        <f ca="1">'Unit costs'!$C$42</f>
        <v>Section 108-D: Rerouting matrix</v>
      </c>
    </row>
    <row r="151" spans="6:7" x14ac:dyDescent="0.25">
      <c r="F151" s="281" t="s">
        <v>116</v>
      </c>
      <c r="G151" s="48" t="str">
        <f ca="1">'Unit costs'!$C$50</f>
        <v>Section 108-E: Annuitised cost of assets</v>
      </c>
    </row>
    <row r="152" spans="6:7" x14ac:dyDescent="0.25">
      <c r="F152" s="281" t="s">
        <v>116</v>
      </c>
      <c r="G152" s="48" t="str">
        <f ca="1">'Unit costs'!$C$62</f>
        <v>Section 108-F: System simultaneous peak load based on charegable units</v>
      </c>
    </row>
    <row r="153" spans="6:7" x14ac:dyDescent="0.25">
      <c r="F153" s="281" t="s">
        <v>116</v>
      </c>
      <c r="G153" s="48" t="str">
        <f ca="1">'Unit costs'!$C$69</f>
        <v>Section 108-G: Notional asset values, by network level</v>
      </c>
    </row>
    <row r="154" spans="6:7" x14ac:dyDescent="0.25">
      <c r="F154" s="281" t="s">
        <v>116</v>
      </c>
      <c r="G154" s="48" t="str">
        <f ca="1">'Unit costs'!$C$80</f>
        <v>Section 108-H: Other operating costs</v>
      </c>
    </row>
    <row r="155" spans="6:7" x14ac:dyDescent="0.25">
      <c r="F155" s="281" t="s">
        <v>116</v>
      </c>
      <c r="G155" s="48" t="str">
        <f ca="1">'Unit costs'!$C$92</f>
        <v>Section 108-I: Other operating costs by network level</v>
      </c>
    </row>
    <row r="156" spans="6:7" x14ac:dyDescent="0.25">
      <c r="F156" s="281" t="s">
        <v>116</v>
      </c>
      <c r="G156" s="48" t="str">
        <f ca="1">'Unit costs'!$C$104</f>
        <v>Section 108-J: Notional asset values by network level</v>
      </c>
    </row>
    <row r="157" spans="6:7" x14ac:dyDescent="0.25">
      <c r="F157" s="281" t="s">
        <v>116</v>
      </c>
      <c r="G157" s="48" t="str">
        <f ca="1">'Unit costs'!$C$110</f>
        <v>Section 108-K: Unit costs</v>
      </c>
    </row>
    <row r="158" spans="6:7" ht="15.75" thickBot="1" x14ac:dyDescent="0.3">
      <c r="F158" s="281" t="s">
        <v>116</v>
      </c>
      <c r="G158" s="48" t="str">
        <f ca="1">'Unit costs'!$C$117</f>
        <v>Section 108-L: Values used for allocating costs to service models</v>
      </c>
    </row>
    <row r="159" spans="6:7" ht="15.75" thickTop="1" x14ac:dyDescent="0.25">
      <c r="F159" s="282" t="s">
        <v>78</v>
      </c>
      <c r="G159" s="48" t="str">
        <f ca="1">'Initial unit rates'!$C$13</f>
        <v>Section 109-A: Inputs for yardstick and unit rate calculations</v>
      </c>
    </row>
    <row r="160" spans="6:7" x14ac:dyDescent="0.25">
      <c r="F160" s="281" t="s">
        <v>116</v>
      </c>
      <c r="G160" s="48" t="str">
        <f ca="1">'Initial unit rates'!$C$118</f>
        <v>Section 109-B: Yardstick charges</v>
      </c>
    </row>
    <row r="161" spans="6:7" x14ac:dyDescent="0.25">
      <c r="F161" s="281" t="s">
        <v>116</v>
      </c>
      <c r="G161" s="48" t="str">
        <f ca="1">'Initial unit rates'!$C$146</f>
        <v>Section 109-C: Unit rate 1</v>
      </c>
    </row>
    <row r="162" spans="6:7" x14ac:dyDescent="0.25">
      <c r="F162" s="281" t="s">
        <v>116</v>
      </c>
      <c r="G162" s="48" t="str">
        <f ca="1">'Initial unit rates'!$C$175</f>
        <v>Section 109-D: Unit rate 2</v>
      </c>
    </row>
    <row r="163" spans="6:7" ht="15.75" thickBot="1" x14ac:dyDescent="0.3">
      <c r="F163" s="281" t="s">
        <v>116</v>
      </c>
      <c r="G163" s="48" t="str">
        <f ca="1">'Initial unit rates'!$C$204</f>
        <v>Section 109-E: Unit rate 3</v>
      </c>
    </row>
    <row r="164" spans="6:7" ht="15.75" thickTop="1" x14ac:dyDescent="0.25">
      <c r="F164" s="282" t="s">
        <v>80</v>
      </c>
      <c r="G164" s="48" t="str">
        <f ca="1">'Service model charges'!$C$17</f>
        <v>Section 110-A: Inputs to service model charge calculation</v>
      </c>
    </row>
    <row r="165" spans="6:7" x14ac:dyDescent="0.25">
      <c r="F165" s="281" t="s">
        <v>116</v>
      </c>
      <c r="G165" s="48" t="str">
        <f ca="1">'Service model charges'!$C$33</f>
        <v>Section 110-B: Calculation of other operating expenditure per £ of notional asset value</v>
      </c>
    </row>
    <row r="166" spans="6:7" ht="15.75" thickBot="1" x14ac:dyDescent="0.3">
      <c r="F166" s="281" t="s">
        <v>116</v>
      </c>
      <c r="G166" s="48" t="str">
        <f ca="1">'Service model charges'!$C$37</f>
        <v>Section 110-C: Calculation of service model charges</v>
      </c>
    </row>
    <row r="167" spans="6:7" ht="15.75" thickTop="1" x14ac:dyDescent="0.25">
      <c r="F167" s="282" t="s">
        <v>82</v>
      </c>
      <c r="G167" s="48" t="str">
        <f ca="1">'Unit rate charges'!$C$19</f>
        <v>Section 111-A: Initial unit rate 1</v>
      </c>
    </row>
    <row r="168" spans="6:7" x14ac:dyDescent="0.25">
      <c r="F168" s="281" t="s">
        <v>116</v>
      </c>
      <c r="G168" s="48" t="str">
        <f ca="1">'Unit rate charges'!$C$49</f>
        <v>Section 111-B: Initial unit rate 2</v>
      </c>
    </row>
    <row r="169" spans="6:7" x14ac:dyDescent="0.25">
      <c r="F169" s="281" t="s">
        <v>116</v>
      </c>
      <c r="G169" s="48" t="str">
        <f ca="1">'Unit rate charges'!$C$79</f>
        <v>Section 111-C: Initial unit rate 3</v>
      </c>
    </row>
    <row r="170" spans="6:7" x14ac:dyDescent="0.25">
      <c r="F170" s="281" t="s">
        <v>116</v>
      </c>
      <c r="G170" s="48" t="str">
        <f ca="1">'Unit rate charges'!$C$109</f>
        <v>Section 111-D: Standing charge factors</v>
      </c>
    </row>
    <row r="171" spans="6:7" x14ac:dyDescent="0.25">
      <c r="F171" s="281" t="s">
        <v>116</v>
      </c>
      <c r="G171" s="48" t="str">
        <f ca="1">'Unit rate charges'!$C$124</f>
        <v>Section 111-E: Contributions to unit rate 1 p/kWh by network level (taking account of standing charges)</v>
      </c>
    </row>
    <row r="172" spans="6:7" x14ac:dyDescent="0.25">
      <c r="F172" s="281" t="s">
        <v>116</v>
      </c>
      <c r="G172" s="48" t="str">
        <f ca="1">'Unit rate charges'!$C$154</f>
        <v>Section 111-F: Contributions to unit rate 2 p/kWh by network level (taking account of standing charges)</v>
      </c>
    </row>
    <row r="173" spans="6:7" x14ac:dyDescent="0.25">
      <c r="F173" s="281" t="s">
        <v>116</v>
      </c>
      <c r="G173" s="48" t="str">
        <f ca="1">'Unit rate charges'!$C$184</f>
        <v>Section 111-G: Contributions to unit rate 3 p/kWh by network level (taking account of standing charges)</v>
      </c>
    </row>
    <row r="174" spans="6:7" ht="15.75" thickBot="1" x14ac:dyDescent="0.3">
      <c r="F174" s="281" t="s">
        <v>116</v>
      </c>
      <c r="G174" s="48" t="str">
        <f ca="1">'Unit rate charges'!$C$214</f>
        <v>Section 111-H: Unit rates, post application of standing charges</v>
      </c>
    </row>
    <row r="175" spans="6:7" ht="15.75" thickTop="1" x14ac:dyDescent="0.25">
      <c r="F175" s="282" t="s">
        <v>86</v>
      </c>
      <c r="G175" s="48" t="str">
        <f ca="1">'Capacity charges'!$C$19</f>
        <v>Section 112-A: Inputs to capacity charge calculations</v>
      </c>
    </row>
    <row r="176" spans="6:7" x14ac:dyDescent="0.25">
      <c r="F176" s="281" t="s">
        <v>116</v>
      </c>
      <c r="G176" s="48" t="str">
        <f ca="1">'Capacity charges'!$C$129</f>
        <v>Section 112-B: Capacity-based charge elements (to be split between capacity &amp; fixed charges)</v>
      </c>
    </row>
    <row r="177" spans="6:7" x14ac:dyDescent="0.25">
      <c r="F177" s="281" t="s">
        <v>116</v>
      </c>
      <c r="G177" s="48" t="str">
        <f ca="1">'Capacity charges'!$C$159</f>
        <v>Section 112-C: Exceeded capacity-based charge elements</v>
      </c>
    </row>
    <row r="178" spans="6:7" x14ac:dyDescent="0.25">
      <c r="F178" s="281" t="s">
        <v>116</v>
      </c>
      <c r="G178" s="48" t="str">
        <f ca="1">'Capacity charges'!$C$189</f>
        <v>Section 112-D: Capacity charges for eligible customers, by network level</v>
      </c>
    </row>
    <row r="179" spans="6:7" x14ac:dyDescent="0.25">
      <c r="F179" s="281" t="s">
        <v>116</v>
      </c>
      <c r="G179" s="48" t="str">
        <f ca="1">'Capacity charges'!$C$219</f>
        <v>Section 112-E: Exceeded capacity charges for eligible customers, by network level</v>
      </c>
    </row>
    <row r="180" spans="6:7" x14ac:dyDescent="0.25">
      <c r="F180" s="281" t="s">
        <v>116</v>
      </c>
      <c r="G180" s="48" t="str">
        <f ca="1">'Capacity charges'!$C$254</f>
        <v>Section 112-F: Capacity and exceeded capacity charges</v>
      </c>
    </row>
    <row r="181" spans="6:7" ht="15.75" thickBot="1" x14ac:dyDescent="0.3">
      <c r="F181" s="281" t="s">
        <v>116</v>
      </c>
      <c r="G181" s="48" t="str">
        <f ca="1">'Capacity charges'!$C$259</f>
        <v>Section 112-G: Capacity elements allocated to fixed charges</v>
      </c>
    </row>
    <row r="182" spans="6:7" ht="15.75" thickTop="1" x14ac:dyDescent="0.25">
      <c r="F182" s="282" t="s">
        <v>84</v>
      </c>
      <c r="G182" s="48" t="str">
        <f ca="1">'Reactive power charges'!$C$17</f>
        <v>Section 113-A: Inputs to reactive power charge calculations</v>
      </c>
    </row>
    <row r="183" spans="6:7" x14ac:dyDescent="0.25">
      <c r="F183" s="281" t="s">
        <v>116</v>
      </c>
      <c r="G183" s="48" t="str">
        <f ca="1">'Reactive power charges'!$C$120</f>
        <v>Section 113-B: Yardstick charge (demand)</v>
      </c>
    </row>
    <row r="184" spans="6:7" x14ac:dyDescent="0.25">
      <c r="F184" s="281" t="s">
        <v>116</v>
      </c>
      <c r="G184" s="48" t="str">
        <f ca="1">'Reactive power charges'!$C$155</f>
        <v>Section 113-C: Yardstick charge used for generation</v>
      </c>
    </row>
    <row r="185" spans="6:7" x14ac:dyDescent="0.25">
      <c r="F185" s="281" t="s">
        <v>116</v>
      </c>
      <c r="G185" s="48" t="str">
        <f ca="1">'Reactive power charges'!$C$190</f>
        <v>Section 113-D: Reactive power charges, all customer categories</v>
      </c>
    </row>
    <row r="186" spans="6:7" ht="15.75" thickBot="1" x14ac:dyDescent="0.3">
      <c r="F186" s="281" t="s">
        <v>116</v>
      </c>
      <c r="G186" s="48" t="str">
        <f ca="1">'Reactive power charges'!$C$220</f>
        <v>Section 113-E: Reactive power charges for applicable customers</v>
      </c>
    </row>
    <row r="187" spans="6:7" ht="15.75" thickTop="1" x14ac:dyDescent="0.25">
      <c r="F187" s="282" t="s">
        <v>88</v>
      </c>
      <c r="G187" s="48" t="str">
        <f ca="1">'Fixed charges'!$C$16</f>
        <v>Section 114-A: Volumes (discounted MPANs &amp; maximum load)</v>
      </c>
    </row>
    <row r="188" spans="6:7" x14ac:dyDescent="0.25">
      <c r="F188" s="281" t="s">
        <v>116</v>
      </c>
      <c r="G188" s="48" t="str">
        <f ca="1">'Fixed charges'!$C$22</f>
        <v>Section 114-B: Capacity elements allocated to fixed charges</v>
      </c>
    </row>
    <row r="189" spans="6:7" x14ac:dyDescent="0.25">
      <c r="F189" s="281" t="s">
        <v>116</v>
      </c>
      <c r="G189" s="48" t="str">
        <f ca="1">'Fixed charges'!$C$52</f>
        <v>Section 114-C: Service model costs allocated to fixed charges</v>
      </c>
    </row>
    <row r="190" spans="6:7" x14ac:dyDescent="0.25">
      <c r="F190" s="281" t="s">
        <v>116</v>
      </c>
      <c r="G190" s="48" t="str">
        <f ca="1">'Fixed charges'!$C$58</f>
        <v>Section 114-D: Flags</v>
      </c>
    </row>
    <row r="191" spans="6:7" x14ac:dyDescent="0.25">
      <c r="F191" s="281" t="s">
        <v>116</v>
      </c>
      <c r="G191" s="48" t="str">
        <f ca="1">'Fixed charges'!$C$67</f>
        <v>Section 114-E: Revenue allocated to fixed charges</v>
      </c>
    </row>
    <row r="192" spans="6:7" x14ac:dyDescent="0.25">
      <c r="F192" s="281" t="s">
        <v>116</v>
      </c>
      <c r="G192" s="48" t="str">
        <f ca="1">'Fixed charges'!$C$97</f>
        <v>Section 114-F: Revenue allocated to fixed charges, by aggregation group</v>
      </c>
    </row>
    <row r="193" spans="6:7" x14ac:dyDescent="0.25">
      <c r="F193" s="281" t="s">
        <v>116</v>
      </c>
      <c r="G193" s="48" t="str">
        <f ca="1">'Fixed charges'!$C$127</f>
        <v>Section 114-G: Fixed charges, by network level</v>
      </c>
    </row>
    <row r="194" spans="6:7" ht="15.75" thickBot="1" x14ac:dyDescent="0.3">
      <c r="F194" s="281" t="s">
        <v>116</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116</v>
      </c>
      <c r="G196" s="48" t="str">
        <f ca="1">'SoLR &amp; bad debt adders'!$C$35</f>
        <v>Section 115-B: Calculation of fixed tariff adjustments</v>
      </c>
    </row>
    <row r="197" spans="6:7" ht="15.75" thickBot="1" x14ac:dyDescent="0.3">
      <c r="F197" s="281" t="s">
        <v>116</v>
      </c>
      <c r="G197" s="48" t="str">
        <f ca="1">'SoLR &amp; bad debt adders'!$C$53</f>
        <v>Section 115-C: Calculation of fixed charge adder revenue</v>
      </c>
    </row>
    <row r="198" spans="6:7" ht="15.75" thickTop="1" x14ac:dyDescent="0.25">
      <c r="F198" s="282" t="s">
        <v>90</v>
      </c>
      <c r="G198" s="48" t="str">
        <f ca="1">'Revenue matching'!$C$15</f>
        <v>Section 116-A: Inputs to revenue matching</v>
      </c>
    </row>
    <row r="199" spans="6:7" x14ac:dyDescent="0.25">
      <c r="F199" s="281" t="s">
        <v>116</v>
      </c>
      <c r="G199" s="48" t="str">
        <f ca="1">'Revenue matching'!$C$70</f>
        <v>Section 116-B: Net revenue before matching</v>
      </c>
    </row>
    <row r="200" spans="6:7" x14ac:dyDescent="0.25">
      <c r="F200" s="281" t="s">
        <v>116</v>
      </c>
      <c r="G200" s="48" t="str">
        <f ca="1">'Revenue matching'!$C$89</f>
        <v>Section 116-C: Grouping of residual bands where a band has insufficient customers</v>
      </c>
    </row>
    <row r="201" spans="6:7" x14ac:dyDescent="0.25">
      <c r="F201" s="281" t="s">
        <v>116</v>
      </c>
      <c r="G201" s="48" t="str">
        <f ca="1">'Revenue matching'!$C$152</f>
        <v>Section 116-D: Calculating MPANs for matching</v>
      </c>
    </row>
    <row r="202" spans="6:7" x14ac:dyDescent="0.25">
      <c r="F202" s="281" t="s">
        <v>116</v>
      </c>
      <c r="G202" s="48" t="str">
        <f ca="1">'Revenue matching'!$C$160</f>
        <v>Section 116-E: Calculating unit volumes for matching</v>
      </c>
    </row>
    <row r="203" spans="6:7" x14ac:dyDescent="0.25">
      <c r="F203" s="281" t="s">
        <v>116</v>
      </c>
      <c r="G203" s="48" t="str">
        <f ca="1">'Revenue matching'!$C$177</f>
        <v>Section 116-F: Allocating revenue to tariffs</v>
      </c>
    </row>
    <row r="204" spans="6:7" x14ac:dyDescent="0.25">
      <c r="F204" s="281" t="s">
        <v>116</v>
      </c>
      <c r="G204" s="48" t="str">
        <f ca="1">'Revenue matching'!$C$193</f>
        <v>Section 116-G: Calculating the residual fixed charge</v>
      </c>
    </row>
    <row r="205" spans="6:7" x14ac:dyDescent="0.25">
      <c r="F205" s="281" t="s">
        <v>116</v>
      </c>
      <c r="G205" s="48" t="str">
        <f ca="1">'Revenue matching'!$C$201</f>
        <v>Section 116-H: Calculating the initial residual unit rate</v>
      </c>
    </row>
    <row r="206" spans="6:7" x14ac:dyDescent="0.25">
      <c r="F206" s="281" t="s">
        <v>116</v>
      </c>
      <c r="G206" s="48" t="str">
        <f ca="1">'Revenue matching'!$C$214</f>
        <v>Section 116-I: Floor on negative residual fixed charges</v>
      </c>
    </row>
    <row r="207" spans="6:7" x14ac:dyDescent="0.25">
      <c r="F207" s="281" t="s">
        <v>116</v>
      </c>
      <c r="G207" s="48" t="str">
        <f ca="1">'Revenue matching'!$C$233</f>
        <v>Section 116-J: Ranking unit rate volumes and tariffs</v>
      </c>
    </row>
    <row r="208" spans="6:7" x14ac:dyDescent="0.25">
      <c r="F208" s="281" t="s">
        <v>116</v>
      </c>
      <c r="G208" s="48" t="str">
        <f ca="1">'Revenue matching'!$C$287</f>
        <v>Section 116-K: Revenue matching for three timebands</v>
      </c>
    </row>
    <row r="209" spans="6:7" x14ac:dyDescent="0.25">
      <c r="F209" s="281" t="s">
        <v>116</v>
      </c>
      <c r="G209" s="48" t="str">
        <f ca="1">'Revenue matching'!$C$314</f>
        <v>Section 116-L: Revenue matching for two timebands</v>
      </c>
    </row>
    <row r="210" spans="6:7" x14ac:dyDescent="0.25">
      <c r="F210" s="281" t="s">
        <v>116</v>
      </c>
      <c r="G210" s="48" t="str">
        <f ca="1">'Revenue matching'!$C$346</f>
        <v>Section 116-M: Revenue matching for one timeband</v>
      </c>
    </row>
    <row r="211" spans="6:7" x14ac:dyDescent="0.25">
      <c r="F211" s="281" t="s">
        <v>116</v>
      </c>
      <c r="G211" s="48" t="str">
        <f ca="1">'Revenue matching'!$C$378</f>
        <v>Section 116-N: Revenue matching adders by timeband</v>
      </c>
    </row>
    <row r="212" spans="6:7" ht="15.75" thickBot="1" x14ac:dyDescent="0.3">
      <c r="F212" s="281" t="s">
        <v>116</v>
      </c>
      <c r="G212" s="48" t="str">
        <f ca="1">'Revenue matching'!$C$410</f>
        <v>Section 116-O: Final adders</v>
      </c>
    </row>
    <row r="213" spans="6:7" ht="15.75" thickTop="1" x14ac:dyDescent="0.25">
      <c r="F213" s="282" t="s">
        <v>92</v>
      </c>
      <c r="G213" s="48" t="str">
        <f ca="1">Rounding!$C$16</f>
        <v>Section 117-A: Pre-match, pre-rounding tariff forecast</v>
      </c>
    </row>
    <row r="214" spans="6:7" x14ac:dyDescent="0.25">
      <c r="F214" s="281" t="s">
        <v>116</v>
      </c>
      <c r="G214" s="48" t="str">
        <f ca="1">Rounding!$C$28</f>
        <v>Section 117-B: Adders for revenue matching</v>
      </c>
    </row>
    <row r="215" spans="6:7" x14ac:dyDescent="0.25">
      <c r="F215" s="281" t="s">
        <v>116</v>
      </c>
      <c r="G215" s="48" t="str">
        <f ca="1">Rounding!$C$40</f>
        <v>Section 117-C: Adder to fixed charge for allocated pass-through costs</v>
      </c>
    </row>
    <row r="216" spans="6:7" x14ac:dyDescent="0.25">
      <c r="F216" s="281" t="s">
        <v>116</v>
      </c>
      <c r="G216" s="48" t="str">
        <f ca="1">Rounding!$C$52</f>
        <v>Section 117-D: LDNO discounts</v>
      </c>
    </row>
    <row r="217" spans="6:7" x14ac:dyDescent="0.25">
      <c r="F217" s="281" t="s">
        <v>116</v>
      </c>
      <c r="G217" s="48" t="str">
        <f ca="1">Rounding!$C$92</f>
        <v>Section 117-E: Decimal places for rounding</v>
      </c>
    </row>
    <row r="218" spans="6:7" x14ac:dyDescent="0.25">
      <c r="F218" s="281" t="s">
        <v>116</v>
      </c>
      <c r="G218" s="48" t="str">
        <f ca="1">Rounding!$C$107</f>
        <v>Section 117-F: Tariff forecast, post-revenue matching</v>
      </c>
    </row>
    <row r="219" spans="6:7" x14ac:dyDescent="0.25">
      <c r="F219" s="281" t="s">
        <v>116</v>
      </c>
      <c r="G219" s="48" t="str">
        <f ca="1">Rounding!$C$118</f>
        <v>Section 117-G: Tariff forecast, post-adders &amp; discounting</v>
      </c>
    </row>
    <row r="220" spans="6:7" ht="15.75" thickBot="1" x14ac:dyDescent="0.3">
      <c r="F220" s="281" t="s">
        <v>116</v>
      </c>
      <c r="G220" s="48" t="str">
        <f ca="1">Rounding!$C$147</f>
        <v>Section 117-H: Tariff forecast, post-rounding</v>
      </c>
    </row>
    <row r="221" spans="6:7" ht="15.75" thickTop="1" x14ac:dyDescent="0.25">
      <c r="F221" s="282" t="s">
        <v>94</v>
      </c>
      <c r="G221" s="48" t="str">
        <f ca="1">'Net revenue summary'!$C$13</f>
        <v>Section 118-A: Volume forecasts</v>
      </c>
    </row>
    <row r="222" spans="6:7" x14ac:dyDescent="0.25">
      <c r="F222" s="281" t="s">
        <v>116</v>
      </c>
      <c r="G222" s="48" t="str">
        <f ca="1">'Net revenue summary'!$C$52</f>
        <v>Section 118-B: Tariff forecast</v>
      </c>
    </row>
    <row r="223" spans="6:7" x14ac:dyDescent="0.25">
      <c r="F223" s="281" t="s">
        <v>116</v>
      </c>
      <c r="G223" s="48" t="str">
        <f ca="1">'Net revenue summary'!$C$81</f>
        <v>Section 118-C: Net revenue components</v>
      </c>
    </row>
    <row r="224" spans="6:7" x14ac:dyDescent="0.25">
      <c r="F224" s="281" t="s">
        <v>116</v>
      </c>
      <c r="G224" s="48" t="str">
        <f ca="1">'Net revenue summary'!$C$92</f>
        <v>Section 118-D: Net revenue by tariff</v>
      </c>
    </row>
    <row r="225" spans="2:7" x14ac:dyDescent="0.25">
      <c r="F225" s="281" t="s">
        <v>116</v>
      </c>
      <c r="G225" s="48" t="str">
        <f ca="1">'Net revenue summary'!$C$124</f>
        <v>Section 118-E: Net revenue summary (for information only)</v>
      </c>
    </row>
    <row r="226" spans="2:7" x14ac:dyDescent="0.25">
      <c r="F226" s="281" t="s">
        <v>116</v>
      </c>
      <c r="G226" s="48" t="str">
        <f ca="1">'Net revenue summary'!$C$138</f>
        <v>Section 118-F: Typical bills</v>
      </c>
    </row>
    <row r="227" spans="2:7" x14ac:dyDescent="0.25">
      <c r="F227" s="281" t="s">
        <v>116</v>
      </c>
      <c r="G227" s="48" t="str">
        <f ca="1">'Net revenue summary'!$C$144</f>
        <v>Section 118-G: Average bill per kWh</v>
      </c>
    </row>
    <row r="228" spans="2:7" x14ac:dyDescent="0.25">
      <c r="F228" s="281" t="s">
        <v>116</v>
      </c>
      <c r="G228" s="48" t="str">
        <f ca="1">'Net revenue summary'!$C$152</f>
        <v>Section 118-H: Previous year all the way tariff forecast</v>
      </c>
    </row>
    <row r="229" spans="2:7" x14ac:dyDescent="0.25">
      <c r="F229" s="281" t="s">
        <v>116</v>
      </c>
      <c r="G229" s="48" t="str">
        <f ca="1">'Net revenue summary'!$C$163</f>
        <v>Section 118-I: Previous year net revenue from all the way tariff forecast</v>
      </c>
    </row>
    <row r="230" spans="2:7" x14ac:dyDescent="0.25">
      <c r="F230" s="281" t="s">
        <v>116</v>
      </c>
      <c r="G230" s="48" t="str">
        <f ca="1">'Net revenue summary'!$C$178</f>
        <v>Section 118-J: LDNO typical bills using all-the-way volumes</v>
      </c>
    </row>
    <row r="231" spans="2:7" ht="15.75" thickBot="1" x14ac:dyDescent="0.3">
      <c r="F231" s="281" t="s">
        <v>116</v>
      </c>
      <c r="G231" s="48" t="str">
        <f ca="1">'Net revenue summary'!$C$202</f>
        <v>Section 118-K: LDNO margins</v>
      </c>
    </row>
    <row r="232" spans="2:7" ht="16.5" thickTop="1" thickBot="1" x14ac:dyDescent="0.3">
      <c r="F232" s="284" t="s">
        <v>96</v>
      </c>
      <c r="G232" s="48" t="str">
        <f>'Tariff summary'!$C$13</f>
        <v>Output 101-A: Tariffs for 2023/24</v>
      </c>
    </row>
    <row r="233" spans="2:7" ht="15.75" thickTop="1" x14ac:dyDescent="0.25">
      <c r="F233" s="284" t="s">
        <v>98</v>
      </c>
      <c r="G233" s="48" t="str">
        <f ca="1">'Output to other models'!$C$14</f>
        <v>Output 102-A: CDCM notional EHV asset values</v>
      </c>
    </row>
    <row r="234" spans="2:7" x14ac:dyDescent="0.25">
      <c r="F234" s="283" t="s">
        <v>116</v>
      </c>
      <c r="G234" s="48" t="str">
        <f ca="1">'Output to other models'!$C$27</f>
        <v>Output 102-B: CDCM end user tariff forecast</v>
      </c>
    </row>
    <row r="235" spans="2:7" x14ac:dyDescent="0.25">
      <c r="F235" s="283" t="s">
        <v>116</v>
      </c>
      <c r="G235" s="48" t="str">
        <f ca="1">'Output to other models'!$C$45</f>
        <v>Output 102-C: CDCM non-tariff outputs to EDCM</v>
      </c>
    </row>
    <row r="236" spans="2:7" x14ac:dyDescent="0.25">
      <c r="F236" s="283" t="s">
        <v>116</v>
      </c>
      <c r="G236" s="48" t="str">
        <f ca="1">'Output to other models'!$C$57</f>
        <v>Output 102-D: Outputs for DNOs' internal use</v>
      </c>
    </row>
    <row r="237" spans="2:7" x14ac:dyDescent="0.25">
      <c r="F237" s="283" t="s">
        <v>116</v>
      </c>
      <c r="G237" s="48" t="str">
        <f ca="1">'Output to other models'!$C$67</f>
        <v>Output 102-E: Outputs for IDNOs' internal use</v>
      </c>
    </row>
    <row r="239" spans="2:7" x14ac:dyDescent="0.25">
      <c r="B239" s="25" t="s">
        <v>106</v>
      </c>
      <c r="C239" s="25"/>
      <c r="D239" s="25"/>
      <c r="E239" s="25"/>
      <c r="F239" s="25"/>
      <c r="G239" s="2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WPD West Midlands - Final</v>
      </c>
    </row>
    <row r="3" spans="1:8" s="5" customFormat="1" x14ac:dyDescent="0.25">
      <c r="A3" s="5" t="str">
        <f>Cover!D2&amp;" - "&amp;Cover!D8&amp;" v"&amp;Cover!D10&amp;" - "&amp;Cover!D19</f>
        <v>CDCM charging model - Release for charge setting v8 - 2023/24</v>
      </c>
    </row>
    <row r="5" spans="1:8" x14ac:dyDescent="0.25">
      <c r="B5" s="31" t="s">
        <v>121</v>
      </c>
      <c r="C5" s="31"/>
      <c r="D5" s="31"/>
      <c r="E5" s="31"/>
      <c r="F5" s="32"/>
      <c r="G5" s="32"/>
      <c r="H5" s="32"/>
    </row>
    <row r="6" spans="1:8" x14ac:dyDescent="0.25">
      <c r="B6" s="30"/>
      <c r="C6" s="30"/>
      <c r="D6" s="30"/>
      <c r="E6" s="30"/>
      <c r="F6" s="33"/>
      <c r="G6" s="30"/>
      <c r="H6" s="30"/>
    </row>
    <row r="7" spans="1:8" x14ac:dyDescent="0.25">
      <c r="F7" s="48" t="s">
        <v>122</v>
      </c>
      <c r="G7" t="s">
        <v>123</v>
      </c>
      <c r="H7" t="s">
        <v>114</v>
      </c>
    </row>
    <row r="8" spans="1:8" x14ac:dyDescent="0.25">
      <c r="F8" s="48" t="s">
        <v>124</v>
      </c>
      <c r="G8" t="s">
        <v>125</v>
      </c>
      <c r="H8" t="s">
        <v>53</v>
      </c>
    </row>
    <row r="9" spans="1:8" x14ac:dyDescent="0.25">
      <c r="F9" s="48" t="s">
        <v>126</v>
      </c>
      <c r="G9" t="s">
        <v>127</v>
      </c>
      <c r="H9" t="s">
        <v>60</v>
      </c>
    </row>
    <row r="10" spans="1:8" x14ac:dyDescent="0.25">
      <c r="F10" s="48" t="s">
        <v>128</v>
      </c>
      <c r="G10" t="s">
        <v>129</v>
      </c>
      <c r="H10" t="s">
        <v>114</v>
      </c>
    </row>
    <row r="11" spans="1:8" x14ac:dyDescent="0.25">
      <c r="F11" s="48" t="s">
        <v>130</v>
      </c>
      <c r="G11" t="s">
        <v>131</v>
      </c>
      <c r="H11" t="s">
        <v>53</v>
      </c>
    </row>
    <row r="12" spans="1:8" x14ac:dyDescent="0.25">
      <c r="F12" s="48" t="s">
        <v>132</v>
      </c>
      <c r="G12" t="s">
        <v>133</v>
      </c>
      <c r="H12" t="s">
        <v>60</v>
      </c>
    </row>
    <row r="13" spans="1:8" x14ac:dyDescent="0.25">
      <c r="F13" s="48" t="s">
        <v>134</v>
      </c>
      <c r="G13" t="s">
        <v>135</v>
      </c>
      <c r="H13" t="s">
        <v>53</v>
      </c>
    </row>
    <row r="14" spans="1:8" x14ac:dyDescent="0.25">
      <c r="F14" s="48" t="s">
        <v>136</v>
      </c>
      <c r="G14" t="s">
        <v>137</v>
      </c>
      <c r="H14" t="s">
        <v>53</v>
      </c>
    </row>
    <row r="15" spans="1:8" x14ac:dyDescent="0.25">
      <c r="F15" s="48" t="s">
        <v>138</v>
      </c>
      <c r="G15" t="s">
        <v>139</v>
      </c>
      <c r="H15" t="s">
        <v>53</v>
      </c>
    </row>
    <row r="16" spans="1:8" x14ac:dyDescent="0.25">
      <c r="F16" s="48" t="s">
        <v>140</v>
      </c>
      <c r="G16" t="s">
        <v>141</v>
      </c>
      <c r="H16" t="s">
        <v>53</v>
      </c>
    </row>
    <row r="17" spans="2:8" x14ac:dyDescent="0.25">
      <c r="F17" s="48"/>
    </row>
    <row r="18" spans="2:8" x14ac:dyDescent="0.25">
      <c r="B18" s="31" t="s">
        <v>106</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146</v>
      </c>
    </row>
    <row r="11" spans="1:43" x14ac:dyDescent="0.2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control'!$H$36:$H$59,MATCH($A$1,'Version control'!$F$36:$F$59,0),1)&amp;"-A: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131</v>
      </c>
      <c r="G15" t="s">
        <v>147</v>
      </c>
      <c r="H15" s="232">
        <v>24</v>
      </c>
    </row>
    <row r="16" spans="1:43" x14ac:dyDescent="0.25">
      <c r="E16" s="23" t="s">
        <v>148</v>
      </c>
      <c r="G16" t="s">
        <v>149</v>
      </c>
      <c r="H16" s="232">
        <v>10</v>
      </c>
    </row>
    <row r="17" spans="3:43" x14ac:dyDescent="0.25">
      <c r="E17" s="23" t="s">
        <v>150</v>
      </c>
      <c r="G17" t="s">
        <v>149</v>
      </c>
      <c r="H17" s="232">
        <v>100</v>
      </c>
    </row>
    <row r="18" spans="3:43" x14ac:dyDescent="0.25">
      <c r="E18" s="23" t="s">
        <v>151</v>
      </c>
      <c r="G18" t="s">
        <v>149</v>
      </c>
      <c r="H18" s="232">
        <v>1000</v>
      </c>
    </row>
    <row r="20" spans="3:43" x14ac:dyDescent="0.25">
      <c r="C20" s="26" t="str">
        <f ca="1">INDEX('Version control'!$H$36:$H$59,MATCH($A$1,'Version control'!$F$36:$F$59,0),1)&amp;"-B: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152</v>
      </c>
    </row>
    <row r="23" spans="3:43" x14ac:dyDescent="0.25">
      <c r="E23" s="27"/>
    </row>
    <row r="24" spans="3:43" x14ac:dyDescent="0.25">
      <c r="E24" s="27" t="s">
        <v>153</v>
      </c>
      <c r="F24" s="24"/>
      <c r="I24" t="s">
        <v>154</v>
      </c>
      <c r="AQ24" t="s">
        <v>155</v>
      </c>
    </row>
    <row r="25" spans="3:43" x14ac:dyDescent="0.25">
      <c r="F25" s="19" t="s">
        <v>156</v>
      </c>
      <c r="G25" s="19" t="s">
        <v>149</v>
      </c>
      <c r="H25" s="235">
        <v>3</v>
      </c>
    </row>
    <row r="26" spans="3:43" x14ac:dyDescent="0.25">
      <c r="F26" t="s">
        <v>157</v>
      </c>
      <c r="G26" t="s">
        <v>149</v>
      </c>
      <c r="H26" s="232">
        <v>3</v>
      </c>
    </row>
    <row r="27" spans="3:43" x14ac:dyDescent="0.25">
      <c r="F27" t="s">
        <v>158</v>
      </c>
      <c r="G27" t="s">
        <v>149</v>
      </c>
      <c r="H27" s="232">
        <v>3</v>
      </c>
    </row>
    <row r="28" spans="3:43" x14ac:dyDescent="0.25">
      <c r="F28" t="s">
        <v>159</v>
      </c>
      <c r="G28" t="s">
        <v>149</v>
      </c>
      <c r="H28" s="232">
        <v>2</v>
      </c>
    </row>
    <row r="29" spans="3:43" x14ac:dyDescent="0.25">
      <c r="F29" t="s">
        <v>160</v>
      </c>
      <c r="G29" t="s">
        <v>149</v>
      </c>
      <c r="H29" s="232">
        <v>2</v>
      </c>
    </row>
    <row r="30" spans="3:43" x14ac:dyDescent="0.25">
      <c r="F30" t="s">
        <v>161</v>
      </c>
      <c r="G30" t="s">
        <v>149</v>
      </c>
      <c r="H30" s="232">
        <v>2</v>
      </c>
    </row>
    <row r="31" spans="3:43" x14ac:dyDescent="0.25">
      <c r="F31" s="28" t="s">
        <v>162</v>
      </c>
      <c r="G31" s="28" t="s">
        <v>149</v>
      </c>
      <c r="H31" s="236">
        <v>3</v>
      </c>
    </row>
    <row r="33" spans="3:43" x14ac:dyDescent="0.25">
      <c r="C33" s="26" t="str">
        <f ca="1">INDEX('Version control'!$H$36:$H$59,MATCH($A$1,'Version control'!$F$36:$F$59,0),1)&amp;"-C: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163</v>
      </c>
      <c r="G35" t="s">
        <v>164</v>
      </c>
      <c r="H35" s="232">
        <v>40</v>
      </c>
      <c r="I35" t="s">
        <v>154</v>
      </c>
      <c r="AQ35" s="3" t="s">
        <v>165</v>
      </c>
    </row>
    <row r="37" spans="3:43" x14ac:dyDescent="0.25">
      <c r="E37" s="23" t="s">
        <v>166</v>
      </c>
      <c r="G37" t="s">
        <v>167</v>
      </c>
      <c r="H37" s="232">
        <v>0.95</v>
      </c>
      <c r="I37" t="s">
        <v>154</v>
      </c>
      <c r="AQ37" t="s">
        <v>168</v>
      </c>
    </row>
    <row r="39" spans="3:43" x14ac:dyDescent="0.25">
      <c r="E39" s="23" t="s">
        <v>169</v>
      </c>
      <c r="G39" t="s">
        <v>167</v>
      </c>
      <c r="H39" s="237">
        <v>0.6</v>
      </c>
      <c r="I39" t="s">
        <v>154</v>
      </c>
      <c r="AQ39" s="3" t="s">
        <v>170</v>
      </c>
    </row>
    <row r="41" spans="3:43" x14ac:dyDescent="0.25">
      <c r="E41" s="23" t="s">
        <v>171</v>
      </c>
      <c r="G41" s="23" t="s">
        <v>172</v>
      </c>
      <c r="H41" s="232">
        <v>500</v>
      </c>
      <c r="I41" t="s">
        <v>154</v>
      </c>
      <c r="AQ41" s="53" t="s">
        <v>173</v>
      </c>
    </row>
    <row r="43" spans="3:43" x14ac:dyDescent="0.25">
      <c r="C43" s="26" t="str">
        <f ca="1">INDEX('Version control'!$H$36:$H$59,MATCH($A$1,'Version control'!$F$36:$F$59,0),1)&amp;"-D: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174</v>
      </c>
    </row>
    <row r="46" spans="3:43" x14ac:dyDescent="0.2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180</v>
      </c>
      <c r="I51" t="s">
        <v>154</v>
      </c>
      <c r="AQ51" s="3" t="s">
        <v>181</v>
      </c>
    </row>
    <row r="52" spans="5:43" x14ac:dyDescent="0.25">
      <c r="E52" s="24" t="s">
        <v>182</v>
      </c>
    </row>
    <row r="53" spans="5:43" x14ac:dyDescent="0.2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187</v>
      </c>
    </row>
    <row r="59" spans="5:43" x14ac:dyDescent="0.25">
      <c r="E59" s="24" t="s">
        <v>188</v>
      </c>
    </row>
    <row r="60" spans="5:43" x14ac:dyDescent="0.2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200</v>
      </c>
      <c r="I71" t="s">
        <v>154</v>
      </c>
      <c r="AQ71" s="3" t="s">
        <v>201</v>
      </c>
    </row>
    <row r="72" spans="5:43" x14ac:dyDescent="0.25">
      <c r="E72" s="24" t="s">
        <v>202</v>
      </c>
    </row>
    <row r="73" spans="5:43" x14ac:dyDescent="0.2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control'!$H$36:$H$59,MATCH($A$1,'Version control'!$F$36:$F$59,0),1)&amp;"-E: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120</v>
      </c>
      <c r="F86" s="27"/>
      <c r="I86" t="s">
        <v>154</v>
      </c>
      <c r="AQ86" t="s">
        <v>203</v>
      </c>
    </row>
    <row r="87" spans="3:43" x14ac:dyDescent="0.25">
      <c r="E87" s="24" t="s">
        <v>861</v>
      </c>
      <c r="F87" s="24"/>
    </row>
    <row r="88" spans="3:43" x14ac:dyDescent="0.2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25">
      <c r="E89" s="24"/>
      <c r="F89" t="s">
        <v>191</v>
      </c>
      <c r="G89" t="s">
        <v>167</v>
      </c>
      <c r="J89" s="56"/>
      <c r="K89" s="56"/>
      <c r="L89" s="56"/>
      <c r="M89" s="56"/>
      <c r="N89" s="56"/>
      <c r="O89" s="56"/>
      <c r="P89" s="56"/>
      <c r="Q89" s="56"/>
      <c r="R89" s="56"/>
      <c r="S89" s="56"/>
      <c r="T89" s="56"/>
      <c r="U89" s="56"/>
      <c r="V89" s="56"/>
      <c r="W89" s="56"/>
      <c r="X89" s="56"/>
      <c r="Y89" s="56"/>
    </row>
    <row r="90" spans="3:43" x14ac:dyDescent="0.25">
      <c r="E90" s="24"/>
      <c r="F90" t="s">
        <v>192</v>
      </c>
      <c r="G90" t="s">
        <v>167</v>
      </c>
      <c r="J90" s="60"/>
      <c r="K90" s="60"/>
      <c r="L90" s="60"/>
      <c r="M90" s="60"/>
      <c r="N90" s="60"/>
      <c r="O90" s="60"/>
      <c r="P90" s="60"/>
      <c r="Q90" s="60"/>
      <c r="R90" s="56"/>
      <c r="S90" s="56"/>
      <c r="T90" s="56"/>
      <c r="U90" s="56"/>
      <c r="V90" s="56"/>
      <c r="W90" s="56"/>
      <c r="X90" s="56"/>
      <c r="Y90" s="56"/>
    </row>
    <row r="91" spans="3:43" x14ac:dyDescent="0.25">
      <c r="E91" s="24"/>
      <c r="F91" t="s">
        <v>193</v>
      </c>
      <c r="G91" t="s">
        <v>167</v>
      </c>
      <c r="J91" s="60"/>
      <c r="K91" s="60"/>
      <c r="L91" s="60"/>
      <c r="M91" s="60"/>
      <c r="N91" s="60"/>
      <c r="O91" s="60"/>
      <c r="P91" s="60"/>
      <c r="Q91" s="60"/>
      <c r="R91" s="56"/>
      <c r="S91" s="56"/>
      <c r="T91" s="56"/>
      <c r="U91" s="56"/>
      <c r="V91" s="56"/>
      <c r="W91" s="56"/>
      <c r="X91" s="56"/>
      <c r="Y91" s="56"/>
    </row>
    <row r="92" spans="3:43" x14ac:dyDescent="0.25">
      <c r="E92" s="24"/>
      <c r="F92" t="s">
        <v>194</v>
      </c>
      <c r="G92" t="s">
        <v>167</v>
      </c>
      <c r="J92" s="60"/>
      <c r="K92" s="60"/>
      <c r="L92" s="60"/>
      <c r="M92" s="60"/>
      <c r="N92" s="60"/>
      <c r="O92" s="60"/>
      <c r="P92" s="237">
        <v>0.2</v>
      </c>
      <c r="Q92" s="60"/>
      <c r="R92" s="56"/>
      <c r="S92" s="56"/>
      <c r="T92" s="56"/>
      <c r="U92" s="56"/>
      <c r="V92" s="56"/>
      <c r="W92" s="56"/>
      <c r="X92" s="56"/>
      <c r="Y92" s="56"/>
    </row>
    <row r="93" spans="3:43" x14ac:dyDescent="0.25">
      <c r="E93" s="24"/>
      <c r="F93" t="s">
        <v>195</v>
      </c>
      <c r="G93" t="s">
        <v>167</v>
      </c>
      <c r="J93" s="60"/>
      <c r="K93" s="60"/>
      <c r="L93" s="60"/>
      <c r="M93" s="60"/>
      <c r="N93" s="60"/>
      <c r="O93" s="60"/>
      <c r="P93" s="237">
        <v>1</v>
      </c>
      <c r="Q93" s="60"/>
      <c r="R93" s="56"/>
      <c r="S93" s="56"/>
      <c r="T93" s="56"/>
      <c r="U93" s="56"/>
      <c r="V93" s="56"/>
      <c r="W93" s="56"/>
      <c r="X93" s="56"/>
      <c r="Y93" s="56"/>
    </row>
    <row r="94" spans="3:43" x14ac:dyDescent="0.25">
      <c r="E94" s="24"/>
      <c r="F94" t="s">
        <v>196</v>
      </c>
      <c r="G94" t="s">
        <v>167</v>
      </c>
      <c r="J94" s="60"/>
      <c r="K94" s="60"/>
      <c r="L94" s="60"/>
      <c r="M94" s="60"/>
      <c r="N94" s="60"/>
      <c r="O94" s="60"/>
      <c r="P94" s="60"/>
      <c r="Q94" s="60"/>
      <c r="R94" s="56"/>
      <c r="S94" s="56"/>
      <c r="T94" s="56"/>
      <c r="U94" s="56"/>
      <c r="V94" s="56"/>
      <c r="W94" s="56"/>
      <c r="X94" s="56"/>
      <c r="Y94" s="56"/>
    </row>
    <row r="95" spans="3:43" x14ac:dyDescent="0.2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25">
      <c r="E96" s="24"/>
      <c r="F96" t="s">
        <v>198</v>
      </c>
      <c r="G96" t="s">
        <v>167</v>
      </c>
      <c r="J96" s="60"/>
      <c r="K96" s="60"/>
      <c r="L96" s="60"/>
      <c r="M96" s="60"/>
      <c r="N96" s="237">
        <v>1</v>
      </c>
      <c r="O96" s="237">
        <v>1</v>
      </c>
      <c r="P96" s="60"/>
      <c r="Q96" s="60"/>
      <c r="R96" s="56"/>
      <c r="S96" s="56"/>
      <c r="T96" s="56"/>
      <c r="U96" s="56"/>
      <c r="V96" s="56"/>
      <c r="W96" s="56"/>
      <c r="X96" s="56"/>
      <c r="Y96" s="56"/>
    </row>
    <row r="97" spans="3:43" x14ac:dyDescent="0.2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control'!$H$36:$H$59,MATCH($A$1,'Version control'!$F$36:$F$59,0),1)&amp;"-F: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204</v>
      </c>
      <c r="E101" s="27"/>
    </row>
    <row r="102" spans="3:43" x14ac:dyDescent="0.25">
      <c r="D102" s="24" t="s">
        <v>205</v>
      </c>
      <c r="E102" s="24"/>
    </row>
    <row r="103" spans="3:43" x14ac:dyDescent="0.25">
      <c r="D103" s="24" t="s">
        <v>206</v>
      </c>
      <c r="E103" s="24"/>
    </row>
    <row r="104" spans="3:43" x14ac:dyDescent="0.25">
      <c r="D104" s="24"/>
      <c r="E104" s="27" t="s">
        <v>207</v>
      </c>
    </row>
    <row r="105" spans="3:43" x14ac:dyDescent="0.2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2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212</v>
      </c>
      <c r="F108" s="23"/>
      <c r="J108" s="13"/>
      <c r="K108" s="13"/>
      <c r="L108" s="13"/>
      <c r="M108" s="13"/>
      <c r="N108" s="13"/>
      <c r="O108" s="13"/>
      <c r="P108" s="13"/>
      <c r="Q108" s="13"/>
      <c r="R108" s="13"/>
      <c r="S108" s="13"/>
      <c r="T108" s="13"/>
      <c r="U108" s="13"/>
      <c r="V108" s="13"/>
      <c r="W108" s="13"/>
      <c r="X108" s="13"/>
      <c r="Y108" s="13"/>
    </row>
    <row r="109" spans="3:43" x14ac:dyDescent="0.2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213</v>
      </c>
      <c r="F112" s="23"/>
      <c r="J112" s="13"/>
      <c r="K112" s="13"/>
      <c r="L112" s="13"/>
      <c r="M112" s="13"/>
      <c r="N112" s="13"/>
      <c r="O112" s="13"/>
      <c r="P112" s="13"/>
      <c r="Q112" s="13"/>
      <c r="R112" s="13"/>
      <c r="S112" s="13"/>
      <c r="T112" s="13"/>
      <c r="U112" s="13"/>
      <c r="V112" s="13"/>
      <c r="W112" s="13"/>
      <c r="X112" s="13"/>
      <c r="Y112" s="13"/>
    </row>
    <row r="113" spans="4:25" x14ac:dyDescent="0.2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214</v>
      </c>
      <c r="F116" s="23"/>
      <c r="J116" s="13"/>
      <c r="K116" s="13"/>
      <c r="L116" s="13"/>
      <c r="M116" s="13"/>
      <c r="N116" s="13"/>
      <c r="O116" s="13"/>
      <c r="P116" s="13"/>
      <c r="Q116" s="13"/>
      <c r="R116" s="13"/>
      <c r="S116" s="13"/>
      <c r="T116" s="13"/>
      <c r="U116" s="13"/>
      <c r="V116" s="13"/>
      <c r="W116" s="13"/>
      <c r="X116" s="13"/>
      <c r="Y116" s="13"/>
    </row>
    <row r="117" spans="4:25" x14ac:dyDescent="0.2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215</v>
      </c>
      <c r="F120" s="23"/>
      <c r="J120" s="13"/>
      <c r="K120" s="13"/>
      <c r="L120" s="13"/>
      <c r="M120" s="13"/>
      <c r="N120" s="13"/>
      <c r="O120" s="13"/>
      <c r="P120" s="13"/>
      <c r="Q120" s="13"/>
      <c r="R120" s="13"/>
      <c r="S120" s="13"/>
      <c r="T120" s="13"/>
      <c r="U120" s="13"/>
      <c r="V120" s="13"/>
      <c r="W120" s="13"/>
      <c r="X120" s="13"/>
      <c r="Y120" s="13"/>
    </row>
    <row r="121" spans="4:25" x14ac:dyDescent="0.2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216</v>
      </c>
      <c r="J124" s="13"/>
      <c r="K124" s="13"/>
      <c r="L124" s="13"/>
      <c r="M124" s="13"/>
      <c r="N124" s="13"/>
      <c r="O124" s="13"/>
      <c r="P124" s="13"/>
      <c r="Q124" s="13"/>
      <c r="R124" s="13"/>
      <c r="S124" s="13"/>
      <c r="T124" s="13"/>
      <c r="U124" s="13"/>
      <c r="V124" s="13"/>
      <c r="W124" s="13"/>
      <c r="X124" s="13"/>
      <c r="Y124" s="13"/>
    </row>
    <row r="125" spans="4:25" x14ac:dyDescent="0.25">
      <c r="E125" s="24" t="s">
        <v>217</v>
      </c>
      <c r="J125" s="13"/>
      <c r="K125" s="13"/>
      <c r="L125" s="13"/>
      <c r="M125" s="13"/>
      <c r="N125" s="13"/>
      <c r="O125" s="13"/>
      <c r="P125" s="13"/>
      <c r="Q125" s="13"/>
      <c r="R125" s="13"/>
      <c r="S125" s="13"/>
      <c r="T125" s="13"/>
      <c r="U125" s="13"/>
      <c r="V125" s="13"/>
      <c r="W125" s="13"/>
      <c r="X125" s="13"/>
      <c r="Y125" s="13"/>
    </row>
    <row r="126" spans="4:25" x14ac:dyDescent="0.25">
      <c r="E126" s="24" t="s">
        <v>218</v>
      </c>
      <c r="J126" s="13"/>
      <c r="K126" s="13"/>
      <c r="L126" s="13"/>
      <c r="M126" s="13"/>
      <c r="N126" s="13"/>
      <c r="O126" s="13"/>
      <c r="P126" s="13"/>
      <c r="Q126" s="13"/>
      <c r="R126" s="13"/>
      <c r="S126" s="13"/>
      <c r="T126" s="13"/>
      <c r="U126" s="13"/>
      <c r="V126" s="13"/>
      <c r="W126" s="13"/>
      <c r="X126" s="13"/>
      <c r="Y126" s="13"/>
    </row>
    <row r="127" spans="4:25" x14ac:dyDescent="0.2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219</v>
      </c>
      <c r="J129" s="13"/>
      <c r="K129" s="13"/>
      <c r="L129" s="13"/>
      <c r="M129" s="13"/>
      <c r="N129" s="13"/>
      <c r="O129" s="13"/>
      <c r="P129" s="13"/>
      <c r="Q129" s="13"/>
      <c r="R129" s="13"/>
      <c r="S129" s="13"/>
      <c r="T129" s="13"/>
      <c r="U129" s="13"/>
      <c r="V129" s="13"/>
      <c r="W129" s="13"/>
      <c r="X129" s="13"/>
      <c r="Y129" s="13"/>
    </row>
    <row r="130" spans="3:43" x14ac:dyDescent="0.25">
      <c r="E130" s="24" t="s">
        <v>220</v>
      </c>
      <c r="J130" s="13"/>
      <c r="K130" s="13"/>
      <c r="L130" s="13"/>
      <c r="M130" s="13"/>
      <c r="N130" s="13"/>
      <c r="O130" s="13"/>
      <c r="P130" s="13"/>
      <c r="Q130" s="13"/>
      <c r="R130" s="13"/>
      <c r="S130" s="13"/>
      <c r="T130" s="13"/>
      <c r="U130" s="13"/>
      <c r="V130" s="13"/>
      <c r="W130" s="13"/>
      <c r="X130" s="13"/>
      <c r="Y130" s="13"/>
    </row>
    <row r="131" spans="3:43" x14ac:dyDescent="0.2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25">
      <c r="E134" s="24" t="s">
        <v>224</v>
      </c>
      <c r="J134" s="13"/>
      <c r="K134" s="13"/>
      <c r="L134" s="13"/>
      <c r="M134" s="13"/>
      <c r="N134" s="13"/>
      <c r="O134" s="13"/>
      <c r="P134" s="13"/>
      <c r="Q134" s="13"/>
      <c r="R134" s="13"/>
      <c r="S134" s="13"/>
      <c r="T134" s="13"/>
      <c r="U134" s="13"/>
      <c r="V134" s="13"/>
      <c r="W134" s="13"/>
      <c r="X134" s="13"/>
      <c r="Y134" s="13"/>
    </row>
    <row r="135" spans="3:43" x14ac:dyDescent="0.25">
      <c r="E135" s="24" t="s">
        <v>225</v>
      </c>
      <c r="J135" s="13"/>
      <c r="K135" s="13"/>
      <c r="L135" s="13"/>
      <c r="M135" s="13"/>
      <c r="N135" s="13"/>
      <c r="O135" s="13"/>
      <c r="P135" s="13"/>
      <c r="Q135" s="13"/>
      <c r="R135" s="13"/>
      <c r="S135" s="13"/>
      <c r="T135" s="13"/>
      <c r="U135" s="13"/>
      <c r="V135" s="13"/>
      <c r="W135" s="13"/>
      <c r="X135" s="13"/>
      <c r="Y135" s="13"/>
    </row>
    <row r="136" spans="3:43" x14ac:dyDescent="0.2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control'!$H$36:$H$59,MATCH($A$1,'Version control'!$F$36:$F$59,0),1)&amp;"-G: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228</v>
      </c>
      <c r="F143" s="27"/>
    </row>
    <row r="144" spans="3:43" x14ac:dyDescent="0.25">
      <c r="E144" s="24" t="s">
        <v>229</v>
      </c>
      <c r="F144" s="24"/>
      <c r="I144" t="s">
        <v>154</v>
      </c>
      <c r="AQ144" t="s">
        <v>898</v>
      </c>
    </row>
    <row r="145" spans="3:44" x14ac:dyDescent="0.2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154</v>
      </c>
      <c r="AQ147" t="s">
        <v>857</v>
      </c>
    </row>
    <row r="148" spans="3:44" x14ac:dyDescent="0.25">
      <c r="E148" s="24" t="s">
        <v>845</v>
      </c>
      <c r="F148" s="24"/>
    </row>
    <row r="149" spans="3:44" x14ac:dyDescent="0.2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control'!$H$36:$H$59,MATCH($A$1,'Version control'!$F$36:$F$59,0),1)&amp;"-H: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230</v>
      </c>
      <c r="G153" t="s">
        <v>149</v>
      </c>
      <c r="H153" s="232">
        <v>3</v>
      </c>
    </row>
    <row r="155" spans="3:44" x14ac:dyDescent="0.25">
      <c r="C155" s="26" t="str">
        <f ca="1">INDEX('Version control'!$H$36:$H$59,MATCH($A$1,'Version control'!$F$36:$F$59,0),1)&amp;"-I: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1163</v>
      </c>
      <c r="AR157" s="79"/>
    </row>
    <row r="158" spans="3:44" x14ac:dyDescent="0.25">
      <c r="C158" s="78"/>
      <c r="D158" s="2"/>
      <c r="F158" s="19" t="s">
        <v>871</v>
      </c>
      <c r="G158" s="19" t="s">
        <v>176</v>
      </c>
      <c r="H158" s="19"/>
      <c r="I158" s="19"/>
      <c r="J158" s="313">
        <v>1</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s="300" t="s">
        <v>872</v>
      </c>
      <c r="G159" s="300" t="s">
        <v>176</v>
      </c>
      <c r="H159" s="300"/>
      <c r="I159" s="300"/>
      <c r="J159" s="325">
        <v>1</v>
      </c>
      <c r="K159" s="325">
        <v>0</v>
      </c>
      <c r="L159" s="325">
        <v>1</v>
      </c>
      <c r="M159" s="325">
        <v>0</v>
      </c>
      <c r="N159" s="325">
        <v>1</v>
      </c>
      <c r="O159" s="325">
        <v>1</v>
      </c>
      <c r="P159" s="325">
        <v>1</v>
      </c>
      <c r="Q159" s="325">
        <v>0</v>
      </c>
      <c r="R159" s="325">
        <v>0</v>
      </c>
      <c r="S159" s="325">
        <v>0</v>
      </c>
      <c r="T159" s="325">
        <v>0</v>
      </c>
      <c r="U159" s="325">
        <v>0</v>
      </c>
      <c r="V159" s="325">
        <v>0</v>
      </c>
      <c r="W159" s="325">
        <v>0</v>
      </c>
      <c r="X159" s="325">
        <v>0</v>
      </c>
      <c r="Y159" s="325">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360" t="s">
        <v>1151</v>
      </c>
      <c r="G160" s="28" t="s">
        <v>176</v>
      </c>
      <c r="H160" s="28"/>
      <c r="I160" s="28"/>
      <c r="J160" s="314">
        <v>1</v>
      </c>
      <c r="K160" s="314">
        <v>0</v>
      </c>
      <c r="L160" s="314">
        <v>1</v>
      </c>
      <c r="M160" s="314">
        <v>0</v>
      </c>
      <c r="N160" s="314">
        <v>1</v>
      </c>
      <c r="O160" s="314">
        <v>1</v>
      </c>
      <c r="P160" s="314">
        <v>1</v>
      </c>
      <c r="Q160" s="314">
        <v>0</v>
      </c>
      <c r="R160" s="314">
        <v>0</v>
      </c>
      <c r="S160" s="314">
        <v>0</v>
      </c>
      <c r="T160" s="314">
        <v>0</v>
      </c>
      <c r="U160" s="314">
        <v>0</v>
      </c>
      <c r="V160" s="314">
        <v>0</v>
      </c>
      <c r="W160" s="314">
        <v>0</v>
      </c>
      <c r="X160" s="314">
        <v>0</v>
      </c>
      <c r="Y160" s="314">
        <v>0</v>
      </c>
      <c r="Z160" s="79"/>
      <c r="AA160" s="79"/>
      <c r="AB160" s="79"/>
      <c r="AC160" s="79"/>
      <c r="AD160" s="79"/>
      <c r="AE160" s="79"/>
      <c r="AF160" s="79"/>
      <c r="AG160" s="79"/>
      <c r="AH160" s="79"/>
      <c r="AI160" s="79"/>
      <c r="AJ160" s="79"/>
      <c r="AK160" s="79"/>
      <c r="AL160" s="79"/>
      <c r="AM160" s="79"/>
      <c r="AN160" s="79"/>
      <c r="AO160" s="79"/>
      <c r="AP160" s="79"/>
      <c r="AQ160" s="79"/>
      <c r="AR160" s="79"/>
    </row>
    <row r="161" spans="3:61" x14ac:dyDescent="0.25">
      <c r="C161" s="78"/>
      <c r="D161" s="2"/>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c r="AI161" s="300"/>
      <c r="AJ161" s="300"/>
      <c r="AK161" s="300"/>
      <c r="AL161" s="300"/>
      <c r="AM161" s="300"/>
      <c r="AN161" s="300"/>
      <c r="AO161" s="300"/>
      <c r="AP161" s="300"/>
      <c r="AQ161" s="300"/>
      <c r="AR161" s="79"/>
      <c r="AS161" s="300"/>
      <c r="AT161" s="300"/>
      <c r="AU161" s="300"/>
      <c r="AV161" s="300"/>
      <c r="AW161" s="300"/>
      <c r="AX161" s="300"/>
      <c r="AY161" s="300"/>
      <c r="AZ161" s="300"/>
      <c r="BA161" s="300"/>
      <c r="BB161" s="300"/>
      <c r="BC161" s="300"/>
      <c r="BD161" s="300"/>
      <c r="BE161" s="300"/>
      <c r="BF161" s="300"/>
      <c r="BG161" s="300"/>
      <c r="BH161" s="300"/>
      <c r="BI161" s="300"/>
    </row>
    <row r="162" spans="3:61" x14ac:dyDescent="0.25">
      <c r="C162" s="26" t="str">
        <f ca="1">INDEX('Version control'!$H$36:$H$59,MATCH($A$1,'Version control'!$F$36:$F$59,0),1)&amp;"-J: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300"/>
      <c r="AT162" s="300"/>
      <c r="AU162" s="300"/>
      <c r="AV162" s="300"/>
      <c r="AW162" s="300"/>
      <c r="AX162" s="300"/>
      <c r="AY162" s="300"/>
      <c r="AZ162" s="300"/>
      <c r="BA162" s="300"/>
      <c r="BB162" s="300"/>
      <c r="BC162" s="300"/>
      <c r="BD162" s="300"/>
      <c r="BE162" s="300"/>
      <c r="BF162" s="300"/>
      <c r="BG162" s="300"/>
      <c r="BH162" s="300"/>
      <c r="BI162" s="300"/>
    </row>
    <row r="163" spans="3:61" x14ac:dyDescent="0.25">
      <c r="C163" s="78"/>
      <c r="D163" s="2"/>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c r="AI163" s="300"/>
      <c r="AJ163" s="300"/>
      <c r="AK163" s="300"/>
      <c r="AL163" s="300"/>
      <c r="AM163" s="300"/>
      <c r="AN163" s="300"/>
      <c r="AO163" s="300"/>
      <c r="AP163" s="300"/>
      <c r="AQ163" s="300"/>
      <c r="AR163" s="79"/>
      <c r="AS163" s="300"/>
      <c r="AT163" s="300"/>
      <c r="AU163" s="300"/>
      <c r="AV163" s="300"/>
      <c r="AW163" s="300"/>
      <c r="AX163" s="300"/>
      <c r="AY163" s="300"/>
      <c r="AZ163" s="300"/>
      <c r="BA163" s="300"/>
      <c r="BB163" s="300"/>
      <c r="BC163" s="300"/>
      <c r="BD163" s="300"/>
      <c r="BE163" s="300"/>
      <c r="BF163" s="300"/>
      <c r="BG163" s="300"/>
      <c r="BH163" s="300"/>
      <c r="BI163" s="300"/>
    </row>
    <row r="164" spans="3:61" ht="60" x14ac:dyDescent="0.25">
      <c r="C164" s="78"/>
      <c r="D164" s="2"/>
      <c r="E164" s="27" t="s">
        <v>1007</v>
      </c>
      <c r="F164" s="300"/>
      <c r="G164" s="300"/>
      <c r="H164" s="300"/>
      <c r="I164" s="300"/>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P164" s="300"/>
      <c r="AQ164" s="300"/>
      <c r="AR164" s="79"/>
      <c r="AS164" s="300"/>
      <c r="AT164" s="300"/>
      <c r="AU164" s="300"/>
      <c r="AV164" s="300"/>
      <c r="AW164" s="300"/>
      <c r="AX164" s="300"/>
      <c r="AY164" s="300"/>
      <c r="AZ164" s="300"/>
      <c r="BA164" s="300"/>
      <c r="BB164" s="300"/>
      <c r="BC164" s="300"/>
      <c r="BD164" s="300"/>
      <c r="BE164" s="300"/>
      <c r="BF164" s="300"/>
      <c r="BG164" s="300"/>
      <c r="BH164" s="300"/>
      <c r="BI164" s="300"/>
    </row>
    <row r="165" spans="3:61" x14ac:dyDescent="0.25">
      <c r="C165" s="78"/>
      <c r="D165" s="2"/>
      <c r="F165" s="19" t="s">
        <v>1006</v>
      </c>
      <c r="G165" s="19" t="s">
        <v>907</v>
      </c>
      <c r="H165" s="19"/>
      <c r="I165" s="19"/>
      <c r="J165" s="362" t="b">
        <v>1</v>
      </c>
      <c r="K165" s="362" t="b">
        <v>0</v>
      </c>
      <c r="L165" s="362" t="b">
        <v>0</v>
      </c>
      <c r="M165" s="362" t="b">
        <v>1</v>
      </c>
      <c r="N165" s="362" t="b">
        <v>1</v>
      </c>
      <c r="O165" s="362" t="b">
        <v>1</v>
      </c>
      <c r="P165" s="362" t="b">
        <v>1</v>
      </c>
      <c r="Q165" s="362" t="b">
        <v>0</v>
      </c>
      <c r="R165" s="362" t="b">
        <v>0</v>
      </c>
      <c r="S165" s="362" t="b">
        <v>1</v>
      </c>
      <c r="T165" s="362" t="b">
        <v>1</v>
      </c>
      <c r="U165" s="362" t="b">
        <v>1</v>
      </c>
      <c r="V165" s="362" t="b">
        <v>1</v>
      </c>
      <c r="W165" s="362" t="b">
        <v>0</v>
      </c>
      <c r="X165" s="362" t="b">
        <v>1</v>
      </c>
      <c r="Y165" s="362" t="b">
        <v>1</v>
      </c>
      <c r="Z165" s="362" t="b">
        <v>1</v>
      </c>
      <c r="AA165" s="362" t="b">
        <v>1</v>
      </c>
      <c r="AB165" s="362" t="b">
        <v>0</v>
      </c>
      <c r="AC165" s="362" t="b">
        <v>1</v>
      </c>
      <c r="AD165" s="362" t="b">
        <v>1</v>
      </c>
      <c r="AE165" s="362" t="b">
        <v>1</v>
      </c>
      <c r="AF165" s="362" t="b">
        <v>1</v>
      </c>
      <c r="AG165" s="362" t="b">
        <v>1</v>
      </c>
      <c r="AH165" s="362" t="b">
        <v>0</v>
      </c>
      <c r="AI165" s="362" t="b">
        <v>0</v>
      </c>
      <c r="AJ165" s="362" t="b">
        <v>0</v>
      </c>
      <c r="AK165" s="362" t="b">
        <v>0</v>
      </c>
      <c r="AL165" s="362" t="b">
        <v>0</v>
      </c>
      <c r="AM165" s="362" t="b">
        <v>0</v>
      </c>
      <c r="AN165" s="362" t="b">
        <v>0</v>
      </c>
      <c r="AO165" s="362" t="b">
        <v>0</v>
      </c>
      <c r="AP165" s="300"/>
      <c r="AQ165" s="300"/>
      <c r="AR165" s="79"/>
      <c r="AS165" s="300"/>
      <c r="AT165" s="300"/>
      <c r="AU165" s="300"/>
      <c r="AV165" s="300"/>
      <c r="AW165" s="300"/>
      <c r="AX165" s="300"/>
      <c r="AY165" s="300"/>
      <c r="AZ165" s="300"/>
      <c r="BA165" s="300"/>
      <c r="BB165" s="300"/>
      <c r="BC165" s="300"/>
      <c r="BD165" s="300"/>
      <c r="BE165" s="300"/>
      <c r="BF165" s="300"/>
      <c r="BG165" s="300"/>
      <c r="BH165" s="300"/>
      <c r="BI165" s="300"/>
    </row>
    <row r="166" spans="3:61" x14ac:dyDescent="0.25">
      <c r="C166" s="78"/>
      <c r="D166" s="2"/>
      <c r="F166" s="300" t="s">
        <v>933</v>
      </c>
      <c r="G166" s="300" t="s">
        <v>907</v>
      </c>
      <c r="H166" s="300"/>
      <c r="I166" s="300"/>
      <c r="J166" s="359" t="b">
        <v>1</v>
      </c>
      <c r="K166" s="358"/>
      <c r="L166" s="358"/>
      <c r="M166" s="359" t="b">
        <v>1</v>
      </c>
      <c r="N166" s="359" t="b">
        <v>1</v>
      </c>
      <c r="O166" s="359" t="b">
        <v>1</v>
      </c>
      <c r="P166" s="359" t="b">
        <v>1</v>
      </c>
      <c r="Q166" s="358"/>
      <c r="R166" s="358"/>
      <c r="S166" s="359" t="b">
        <v>1</v>
      </c>
      <c r="T166" s="359" t="b">
        <v>1</v>
      </c>
      <c r="U166" s="359" t="b">
        <v>1</v>
      </c>
      <c r="V166" s="359" t="b">
        <v>1</v>
      </c>
      <c r="W166" s="358"/>
      <c r="X166" s="359" t="b">
        <v>1</v>
      </c>
      <c r="Y166" s="359" t="b">
        <v>1</v>
      </c>
      <c r="Z166" s="359" t="b">
        <v>1</v>
      </c>
      <c r="AA166" s="359" t="b">
        <v>1</v>
      </c>
      <c r="AB166" s="358"/>
      <c r="AC166" s="359" t="b">
        <v>1</v>
      </c>
      <c r="AD166" s="359" t="b">
        <v>1</v>
      </c>
      <c r="AE166" s="359" t="b">
        <v>1</v>
      </c>
      <c r="AF166" s="359" t="b">
        <v>1</v>
      </c>
      <c r="AG166" s="359" t="b">
        <v>0</v>
      </c>
      <c r="AH166" s="358"/>
      <c r="AI166" s="358"/>
      <c r="AJ166" s="358"/>
      <c r="AK166" s="358"/>
      <c r="AL166" s="358"/>
      <c r="AM166" s="358"/>
      <c r="AN166" s="358"/>
      <c r="AO166" s="358"/>
      <c r="AP166" s="300"/>
      <c r="AQ166" s="300"/>
      <c r="AR166" s="79"/>
      <c r="AS166" s="300"/>
      <c r="AT166" s="300"/>
      <c r="AU166" s="300"/>
      <c r="AV166" s="300"/>
      <c r="AW166" s="300"/>
      <c r="AX166" s="300"/>
      <c r="AY166" s="300"/>
      <c r="AZ166" s="300"/>
      <c r="BA166" s="300"/>
      <c r="BB166" s="300"/>
      <c r="BC166" s="300"/>
      <c r="BD166" s="300"/>
      <c r="BE166" s="300"/>
      <c r="BF166" s="300"/>
      <c r="BG166" s="300"/>
      <c r="BH166" s="300"/>
      <c r="BI166" s="300"/>
    </row>
    <row r="167" spans="3:61" x14ac:dyDescent="0.25">
      <c r="C167" s="78"/>
      <c r="D167" s="2"/>
      <c r="F167" s="300" t="s">
        <v>1004</v>
      </c>
      <c r="G167" s="300" t="s">
        <v>907</v>
      </c>
      <c r="H167" s="300"/>
      <c r="I167" s="300"/>
      <c r="J167" s="359" t="b">
        <v>0</v>
      </c>
      <c r="K167" s="358"/>
      <c r="L167" s="358"/>
      <c r="M167" s="359" t="b">
        <v>0</v>
      </c>
      <c r="N167" s="359" t="b">
        <v>0</v>
      </c>
      <c r="O167" s="359" t="b">
        <v>0</v>
      </c>
      <c r="P167" s="359" t="b">
        <v>0</v>
      </c>
      <c r="Q167" s="358"/>
      <c r="R167" s="358"/>
      <c r="S167" s="359" t="b">
        <v>0</v>
      </c>
      <c r="T167" s="359" t="b">
        <v>0</v>
      </c>
      <c r="U167" s="359" t="b">
        <v>0</v>
      </c>
      <c r="V167" s="359" t="b">
        <v>0</v>
      </c>
      <c r="W167" s="358"/>
      <c r="X167" s="359" t="b">
        <v>0</v>
      </c>
      <c r="Y167" s="359" t="b">
        <v>0</v>
      </c>
      <c r="Z167" s="359" t="b">
        <v>0</v>
      </c>
      <c r="AA167" s="359" t="b">
        <v>0</v>
      </c>
      <c r="AB167" s="358"/>
      <c r="AC167" s="359" t="b">
        <v>0</v>
      </c>
      <c r="AD167" s="359" t="b">
        <v>0</v>
      </c>
      <c r="AE167" s="359" t="b">
        <v>0</v>
      </c>
      <c r="AF167" s="359" t="b">
        <v>0</v>
      </c>
      <c r="AG167" s="359" t="b">
        <v>1</v>
      </c>
      <c r="AH167" s="358"/>
      <c r="AI167" s="358"/>
      <c r="AJ167" s="358"/>
      <c r="AK167" s="358"/>
      <c r="AL167" s="358"/>
      <c r="AM167" s="358"/>
      <c r="AN167" s="358"/>
      <c r="AO167" s="358"/>
      <c r="AP167" s="300"/>
      <c r="AQ167" s="300"/>
      <c r="AR167" s="79"/>
      <c r="AS167" s="300"/>
      <c r="AT167" s="300"/>
      <c r="AU167" s="300"/>
      <c r="AV167" s="300"/>
      <c r="AW167" s="300"/>
      <c r="AX167" s="300"/>
      <c r="AY167" s="300"/>
      <c r="AZ167" s="300"/>
      <c r="BA167" s="300"/>
      <c r="BB167" s="300"/>
      <c r="BC167" s="300"/>
      <c r="BD167" s="300"/>
      <c r="BE167" s="300"/>
      <c r="BF167" s="300"/>
      <c r="BG167" s="300"/>
      <c r="BH167" s="300"/>
      <c r="BI167" s="300"/>
    </row>
    <row r="168" spans="3:61" x14ac:dyDescent="0.25">
      <c r="C168" s="78"/>
      <c r="D168" s="2"/>
      <c r="F168" s="300" t="s">
        <v>940</v>
      </c>
      <c r="G168" s="357" t="s">
        <v>149</v>
      </c>
      <c r="H168" s="300"/>
      <c r="I168" s="300"/>
      <c r="J168" s="359">
        <v>1</v>
      </c>
      <c r="K168" s="358"/>
      <c r="L168" s="358"/>
      <c r="M168" s="359">
        <v>2</v>
      </c>
      <c r="N168" s="359">
        <v>2</v>
      </c>
      <c r="O168" s="359">
        <v>2</v>
      </c>
      <c r="P168" s="359">
        <v>2</v>
      </c>
      <c r="Q168" s="358"/>
      <c r="R168" s="358"/>
      <c r="S168" s="359">
        <v>3</v>
      </c>
      <c r="T168" s="359">
        <v>3</v>
      </c>
      <c r="U168" s="359">
        <v>3</v>
      </c>
      <c r="V168" s="359">
        <v>3</v>
      </c>
      <c r="W168" s="358"/>
      <c r="X168" s="359">
        <v>3</v>
      </c>
      <c r="Y168" s="359">
        <v>3</v>
      </c>
      <c r="Z168" s="359">
        <v>3</v>
      </c>
      <c r="AA168" s="359">
        <v>3</v>
      </c>
      <c r="AB168" s="358"/>
      <c r="AC168" s="359">
        <v>4</v>
      </c>
      <c r="AD168" s="359">
        <v>4</v>
      </c>
      <c r="AE168" s="359">
        <v>4</v>
      </c>
      <c r="AF168" s="359">
        <v>4</v>
      </c>
      <c r="AG168" s="359">
        <v>5</v>
      </c>
      <c r="AH168" s="358"/>
      <c r="AI168" s="358"/>
      <c r="AJ168" s="358"/>
      <c r="AK168" s="358"/>
      <c r="AL168" s="358"/>
      <c r="AM168" s="358"/>
      <c r="AN168" s="358"/>
      <c r="AO168" s="358"/>
      <c r="AP168" s="300"/>
      <c r="AQ168" s="300"/>
      <c r="AR168" s="79"/>
      <c r="AS168" s="300"/>
      <c r="AT168" s="300"/>
      <c r="AU168" s="300"/>
      <c r="AV168" s="300"/>
      <c r="AW168" s="300"/>
      <c r="AX168" s="300"/>
      <c r="AY168" s="300"/>
      <c r="AZ168" s="300"/>
      <c r="BA168" s="300"/>
      <c r="BB168" s="300"/>
      <c r="BC168" s="300"/>
      <c r="BD168" s="300"/>
      <c r="BE168" s="300"/>
      <c r="BF168" s="300"/>
      <c r="BG168" s="300"/>
      <c r="BH168" s="300"/>
      <c r="BI168" s="300"/>
    </row>
    <row r="169" spans="3:61" x14ac:dyDescent="0.25">
      <c r="C169" s="78"/>
      <c r="D169" s="2"/>
      <c r="F169" s="300" t="s">
        <v>939</v>
      </c>
      <c r="G169" s="357" t="s">
        <v>149</v>
      </c>
      <c r="H169" s="300"/>
      <c r="I169" s="300"/>
      <c r="J169" s="359">
        <v>1</v>
      </c>
      <c r="K169" s="358"/>
      <c r="L169" s="358"/>
      <c r="M169" s="359">
        <v>1</v>
      </c>
      <c r="N169" s="359">
        <v>2</v>
      </c>
      <c r="O169" s="359">
        <v>3</v>
      </c>
      <c r="P169" s="359">
        <v>4</v>
      </c>
      <c r="Q169" s="358"/>
      <c r="R169" s="358"/>
      <c r="S169" s="359">
        <v>1</v>
      </c>
      <c r="T169" s="359">
        <v>2</v>
      </c>
      <c r="U169" s="359">
        <v>3</v>
      </c>
      <c r="V169" s="359">
        <v>4</v>
      </c>
      <c r="W169" s="358"/>
      <c r="X169" s="359">
        <v>1</v>
      </c>
      <c r="Y169" s="359">
        <v>2</v>
      </c>
      <c r="Z169" s="359">
        <v>3</v>
      </c>
      <c r="AA169" s="359">
        <v>4</v>
      </c>
      <c r="AB169" s="358"/>
      <c r="AC169" s="359">
        <v>1</v>
      </c>
      <c r="AD169" s="359">
        <v>2</v>
      </c>
      <c r="AE169" s="359">
        <v>3</v>
      </c>
      <c r="AF169" s="359">
        <v>4</v>
      </c>
      <c r="AG169" s="359">
        <v>1</v>
      </c>
      <c r="AH169" s="358"/>
      <c r="AI169" s="358"/>
      <c r="AJ169" s="358"/>
      <c r="AK169" s="358"/>
      <c r="AL169" s="358"/>
      <c r="AM169" s="358"/>
      <c r="AN169" s="358"/>
      <c r="AO169" s="358"/>
      <c r="AP169" s="300"/>
      <c r="AQ169" s="300"/>
      <c r="AR169" s="79"/>
      <c r="AS169" s="300"/>
      <c r="AT169" s="300"/>
      <c r="AU169" s="300"/>
      <c r="AV169" s="300"/>
      <c r="AW169" s="300"/>
      <c r="AX169" s="300"/>
      <c r="AY169" s="300"/>
      <c r="AZ169" s="300"/>
      <c r="BA169" s="300"/>
      <c r="BB169" s="300"/>
      <c r="BC169" s="300"/>
      <c r="BD169" s="300"/>
      <c r="BE169" s="300"/>
      <c r="BF169" s="300"/>
      <c r="BG169" s="300"/>
      <c r="BH169" s="300"/>
      <c r="BI169" s="300"/>
    </row>
    <row r="170" spans="3:61" x14ac:dyDescent="0.25">
      <c r="C170" s="78"/>
      <c r="D170" s="2"/>
      <c r="F170" s="28" t="s">
        <v>1005</v>
      </c>
      <c r="G170" s="360" t="s">
        <v>149</v>
      </c>
      <c r="H170" s="28"/>
      <c r="I170" s="28"/>
      <c r="J170" s="361">
        <v>1</v>
      </c>
      <c r="K170" s="361">
        <v>2</v>
      </c>
      <c r="L170" s="361">
        <v>3</v>
      </c>
      <c r="M170" s="361">
        <v>3</v>
      </c>
      <c r="N170" s="361">
        <v>3</v>
      </c>
      <c r="O170" s="361">
        <v>3</v>
      </c>
      <c r="P170" s="361">
        <v>3</v>
      </c>
      <c r="Q170" s="361">
        <v>4</v>
      </c>
      <c r="R170" s="361">
        <v>5</v>
      </c>
      <c r="S170" s="361">
        <v>5</v>
      </c>
      <c r="T170" s="361">
        <v>5</v>
      </c>
      <c r="U170" s="361">
        <v>5</v>
      </c>
      <c r="V170" s="361">
        <v>5</v>
      </c>
      <c r="W170" s="361">
        <v>6</v>
      </c>
      <c r="X170" s="361">
        <v>6</v>
      </c>
      <c r="Y170" s="361">
        <v>6</v>
      </c>
      <c r="Z170" s="361">
        <v>6</v>
      </c>
      <c r="AA170" s="361">
        <v>6</v>
      </c>
      <c r="AB170" s="361">
        <v>7</v>
      </c>
      <c r="AC170" s="361">
        <v>7</v>
      </c>
      <c r="AD170" s="361">
        <v>7</v>
      </c>
      <c r="AE170" s="361">
        <v>7</v>
      </c>
      <c r="AF170" s="361">
        <v>7</v>
      </c>
      <c r="AG170" s="361">
        <v>8</v>
      </c>
      <c r="AH170" s="361">
        <v>9</v>
      </c>
      <c r="AI170" s="361">
        <v>10</v>
      </c>
      <c r="AJ170" s="361">
        <v>11</v>
      </c>
      <c r="AK170" s="361">
        <v>12</v>
      </c>
      <c r="AL170" s="361">
        <v>13</v>
      </c>
      <c r="AM170" s="361">
        <v>14</v>
      </c>
      <c r="AN170" s="361">
        <v>15</v>
      </c>
      <c r="AO170" s="361">
        <v>16</v>
      </c>
      <c r="AP170" s="300"/>
      <c r="AQ170" s="300"/>
      <c r="AR170" s="79"/>
      <c r="AS170" s="300"/>
      <c r="AT170" s="300"/>
      <c r="AU170" s="300"/>
      <c r="AV170" s="300"/>
      <c r="AW170" s="300"/>
      <c r="AX170" s="300"/>
      <c r="AY170" s="300"/>
      <c r="AZ170" s="300"/>
      <c r="BA170" s="300"/>
      <c r="BB170" s="300"/>
      <c r="BC170" s="300"/>
      <c r="BD170" s="300"/>
      <c r="BE170" s="300"/>
      <c r="BF170" s="300"/>
      <c r="BG170" s="300"/>
      <c r="BH170" s="300"/>
      <c r="BI170" s="300"/>
    </row>
    <row r="171" spans="3:61" x14ac:dyDescent="0.25">
      <c r="C171" s="78"/>
      <c r="D171" s="2"/>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79"/>
      <c r="AS171" s="300"/>
      <c r="AT171" s="300"/>
      <c r="AU171" s="300"/>
      <c r="AV171" s="300"/>
      <c r="AW171" s="300"/>
      <c r="AX171" s="300"/>
      <c r="AY171" s="300"/>
      <c r="AZ171" s="300"/>
      <c r="BA171" s="300"/>
      <c r="BB171" s="300"/>
      <c r="BC171" s="300"/>
      <c r="BD171" s="300"/>
      <c r="BE171" s="300"/>
      <c r="BF171" s="300"/>
      <c r="BG171" s="300"/>
      <c r="BH171" s="300"/>
      <c r="BI171" s="300"/>
    </row>
    <row r="172" spans="3:61" x14ac:dyDescent="0.25">
      <c r="C172" s="78"/>
      <c r="D172" s="2"/>
      <c r="E172" t="s">
        <v>1008</v>
      </c>
      <c r="F172" s="300"/>
      <c r="G172" s="357" t="s">
        <v>149</v>
      </c>
      <c r="H172" s="325">
        <v>2</v>
      </c>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c r="AI172" s="300"/>
      <c r="AJ172" s="300"/>
      <c r="AK172" s="300"/>
      <c r="AL172" s="300"/>
      <c r="AM172" s="300"/>
      <c r="AN172" s="300"/>
      <c r="AO172" s="300"/>
      <c r="AP172" s="300"/>
      <c r="AQ172" s="300"/>
      <c r="AR172" s="79"/>
      <c r="AS172" s="300"/>
      <c r="AT172" s="300"/>
      <c r="AU172" s="300"/>
      <c r="AV172" s="300"/>
      <c r="AW172" s="300"/>
      <c r="AX172" s="300"/>
      <c r="AY172" s="300"/>
      <c r="AZ172" s="300"/>
      <c r="BA172" s="300"/>
      <c r="BB172" s="300"/>
      <c r="BC172" s="300"/>
      <c r="BD172" s="300"/>
      <c r="BE172" s="300"/>
      <c r="BF172" s="300"/>
      <c r="BG172" s="300"/>
      <c r="BH172" s="300"/>
      <c r="BI172" s="300"/>
    </row>
    <row r="173" spans="3:61" x14ac:dyDescent="0.25">
      <c r="C173" s="78"/>
      <c r="D173" s="2"/>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c r="AI173" s="300"/>
      <c r="AJ173" s="300"/>
      <c r="AK173" s="300"/>
      <c r="AL173" s="300"/>
      <c r="AM173" s="300"/>
      <c r="AN173" s="300"/>
      <c r="AO173" s="300"/>
      <c r="AP173" s="300"/>
      <c r="AQ173" s="300"/>
      <c r="AR173" s="79"/>
      <c r="AS173" s="300"/>
      <c r="AT173" s="300"/>
      <c r="AU173" s="300"/>
      <c r="AV173" s="300"/>
      <c r="AW173" s="300"/>
      <c r="AX173" s="300"/>
      <c r="AY173" s="300"/>
      <c r="AZ173" s="300"/>
      <c r="BA173" s="300"/>
      <c r="BB173" s="300"/>
      <c r="BC173" s="300"/>
      <c r="BD173" s="300"/>
      <c r="BE173" s="300"/>
      <c r="BF173" s="300"/>
      <c r="BG173" s="300"/>
      <c r="BH173" s="300"/>
      <c r="BI173" s="300"/>
    </row>
    <row r="174" spans="3:61" x14ac:dyDescent="0.25">
      <c r="C174" s="78"/>
      <c r="D174" s="2"/>
      <c r="E174" s="27" t="s">
        <v>1001</v>
      </c>
      <c r="G174" s="300"/>
      <c r="H174" s="300"/>
      <c r="I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c r="AI174" s="300"/>
      <c r="AJ174" s="300"/>
      <c r="AK174" s="300"/>
      <c r="AL174" s="300"/>
      <c r="AM174" s="300"/>
      <c r="AN174" s="300"/>
      <c r="AO174" s="300"/>
      <c r="AP174" s="300"/>
      <c r="AQ174" s="300"/>
      <c r="AR174" s="79"/>
      <c r="AS174" s="300"/>
      <c r="AT174" s="300"/>
      <c r="AU174" s="300"/>
      <c r="AV174" s="300"/>
      <c r="AW174" s="300"/>
      <c r="AX174" s="300"/>
      <c r="AY174" s="300"/>
      <c r="AZ174" s="300"/>
      <c r="BA174" s="300"/>
      <c r="BB174" s="300"/>
      <c r="BC174" s="300"/>
      <c r="BD174" s="300"/>
      <c r="BE174" s="300"/>
      <c r="BF174" s="300"/>
      <c r="BG174" s="300"/>
      <c r="BH174" s="300"/>
      <c r="BI174" s="300"/>
    </row>
    <row r="175" spans="3:61" x14ac:dyDescent="0.25">
      <c r="C175" s="78"/>
      <c r="D175" s="2"/>
      <c r="E175" s="27"/>
      <c r="F175" s="24" t="s">
        <v>1002</v>
      </c>
      <c r="G175" s="300"/>
      <c r="H175" s="300"/>
      <c r="I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c r="AI175" s="300"/>
      <c r="AJ175" s="300"/>
      <c r="AK175" s="300"/>
      <c r="AL175" s="300"/>
      <c r="AM175" s="300"/>
      <c r="AN175" s="300"/>
      <c r="AO175" s="300"/>
      <c r="AP175" s="300"/>
      <c r="AQ175" s="300"/>
      <c r="AR175" s="79"/>
      <c r="AS175" s="300"/>
      <c r="AT175" s="300"/>
      <c r="AU175" s="300"/>
      <c r="AV175" s="300"/>
      <c r="AW175" s="300"/>
      <c r="AX175" s="300"/>
      <c r="AY175" s="300"/>
      <c r="AZ175" s="300"/>
      <c r="BA175" s="300"/>
      <c r="BB175" s="300"/>
      <c r="BC175" s="300"/>
      <c r="BD175" s="300"/>
      <c r="BE175" s="300"/>
      <c r="BF175" s="300"/>
      <c r="BG175" s="300"/>
      <c r="BH175" s="300"/>
      <c r="BI175" s="300"/>
    </row>
    <row r="176" spans="3:61" ht="60" x14ac:dyDescent="0.25">
      <c r="C176" s="78"/>
      <c r="D176" s="2"/>
      <c r="E176" s="27"/>
      <c r="F176" s="369" t="s">
        <v>1003</v>
      </c>
      <c r="G176" s="300"/>
      <c r="H176" s="300"/>
      <c r="I176" s="300"/>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P176" s="300"/>
      <c r="AQ176" s="300"/>
      <c r="AR176" s="79"/>
      <c r="AS176" s="300"/>
      <c r="AT176" s="300"/>
      <c r="AU176" s="300"/>
      <c r="AV176" s="300"/>
      <c r="AW176" s="300"/>
      <c r="AX176" s="300"/>
      <c r="AY176" s="300"/>
      <c r="AZ176" s="300"/>
      <c r="BA176" s="300"/>
      <c r="BB176" s="300"/>
      <c r="BC176" s="300"/>
      <c r="BD176" s="300"/>
      <c r="BE176" s="300"/>
      <c r="BF176" s="300"/>
      <c r="BG176" s="300"/>
      <c r="BH176" s="300"/>
      <c r="BI176" s="300"/>
    </row>
    <row r="177" spans="2:61" x14ac:dyDescent="0.25">
      <c r="C177" s="78"/>
      <c r="D177" s="2"/>
      <c r="F177" s="19" t="s">
        <v>993</v>
      </c>
      <c r="G177" s="19" t="s">
        <v>149</v>
      </c>
      <c r="H177" s="19"/>
      <c r="I177" s="19"/>
      <c r="J177" s="313">
        <v>1</v>
      </c>
      <c r="K177" s="55"/>
      <c r="L177" s="55"/>
      <c r="M177" s="313">
        <v>1</v>
      </c>
      <c r="N177" s="313">
        <v>2</v>
      </c>
      <c r="O177" s="313">
        <v>3</v>
      </c>
      <c r="P177" s="313">
        <v>4</v>
      </c>
      <c r="Q177" s="55"/>
      <c r="R177" s="55"/>
      <c r="S177" s="313">
        <v>1</v>
      </c>
      <c r="T177" s="313">
        <v>2</v>
      </c>
      <c r="U177" s="313">
        <v>3</v>
      </c>
      <c r="V177" s="313">
        <v>4</v>
      </c>
      <c r="W177" s="55"/>
      <c r="X177" s="313">
        <v>1</v>
      </c>
      <c r="Y177" s="313">
        <v>2</v>
      </c>
      <c r="Z177" s="313">
        <v>3</v>
      </c>
      <c r="AA177" s="313">
        <v>4</v>
      </c>
      <c r="AB177" s="55"/>
      <c r="AC177" s="313">
        <v>1</v>
      </c>
      <c r="AD177" s="313">
        <v>2</v>
      </c>
      <c r="AE177" s="313">
        <v>3</v>
      </c>
      <c r="AF177" s="313">
        <v>4</v>
      </c>
      <c r="AG177" s="313">
        <v>1</v>
      </c>
      <c r="AH177" s="55"/>
      <c r="AI177" s="55"/>
      <c r="AJ177" s="55"/>
      <c r="AK177" s="55"/>
      <c r="AL177" s="55"/>
      <c r="AM177" s="55"/>
      <c r="AN177" s="55"/>
      <c r="AO177" s="55"/>
      <c r="AP177" s="300"/>
      <c r="AQ177" s="300"/>
      <c r="AR177" s="79"/>
      <c r="AS177" s="300"/>
      <c r="AT177" s="300"/>
      <c r="AU177" s="300"/>
      <c r="AV177" s="300"/>
      <c r="AW177" s="300"/>
      <c r="AX177" s="300"/>
      <c r="AY177" s="300"/>
      <c r="AZ177" s="300"/>
      <c r="BA177" s="300"/>
      <c r="BB177" s="300"/>
      <c r="BC177" s="300"/>
      <c r="BD177" s="300"/>
      <c r="BE177" s="300"/>
      <c r="BF177" s="300"/>
      <c r="BG177" s="300"/>
      <c r="BH177" s="300"/>
      <c r="BI177" s="300"/>
    </row>
    <row r="178" spans="2:61" x14ac:dyDescent="0.25">
      <c r="C178" s="78"/>
      <c r="D178" s="2"/>
      <c r="F178" s="300" t="s">
        <v>994</v>
      </c>
      <c r="G178" s="300" t="s">
        <v>149</v>
      </c>
      <c r="H178" s="300"/>
      <c r="I178" s="300"/>
      <c r="J178" s="325">
        <v>1</v>
      </c>
      <c r="K178" s="358"/>
      <c r="L178" s="358"/>
      <c r="M178" s="325">
        <v>1</v>
      </c>
      <c r="N178" s="325">
        <v>1</v>
      </c>
      <c r="O178" s="325">
        <v>2</v>
      </c>
      <c r="P178" s="325">
        <v>3</v>
      </c>
      <c r="Q178" s="358"/>
      <c r="R178" s="358"/>
      <c r="S178" s="325">
        <v>1</v>
      </c>
      <c r="T178" s="325">
        <v>1</v>
      </c>
      <c r="U178" s="325">
        <v>2</v>
      </c>
      <c r="V178" s="325">
        <v>3</v>
      </c>
      <c r="W178" s="358"/>
      <c r="X178" s="325">
        <v>1</v>
      </c>
      <c r="Y178" s="325">
        <v>1</v>
      </c>
      <c r="Z178" s="325">
        <v>2</v>
      </c>
      <c r="AA178" s="325">
        <v>3</v>
      </c>
      <c r="AB178" s="358"/>
      <c r="AC178" s="325">
        <v>1</v>
      </c>
      <c r="AD178" s="325">
        <v>1</v>
      </c>
      <c r="AE178" s="325">
        <v>2</v>
      </c>
      <c r="AF178" s="325">
        <v>3</v>
      </c>
      <c r="AG178" s="325">
        <v>1</v>
      </c>
      <c r="AH178" s="358"/>
      <c r="AI178" s="358"/>
      <c r="AJ178" s="358"/>
      <c r="AK178" s="358"/>
      <c r="AL178" s="358"/>
      <c r="AM178" s="358"/>
      <c r="AN178" s="358"/>
      <c r="AO178" s="358"/>
      <c r="AP178" s="300"/>
      <c r="AQ178" s="300"/>
      <c r="AR178" s="79"/>
      <c r="AS178" s="300"/>
      <c r="AT178" s="300"/>
      <c r="AU178" s="300"/>
      <c r="AV178" s="300"/>
      <c r="AW178" s="300"/>
      <c r="AX178" s="300"/>
      <c r="AY178" s="300"/>
      <c r="AZ178" s="300"/>
      <c r="BA178" s="300"/>
      <c r="BB178" s="300"/>
      <c r="BC178" s="300"/>
      <c r="BD178" s="300"/>
      <c r="BE178" s="300"/>
      <c r="BF178" s="300"/>
      <c r="BG178" s="300"/>
      <c r="BH178" s="300"/>
      <c r="BI178" s="300"/>
    </row>
    <row r="179" spans="2:61" x14ac:dyDescent="0.25">
      <c r="C179" s="78"/>
      <c r="D179" s="2"/>
      <c r="F179" s="300" t="s">
        <v>995</v>
      </c>
      <c r="G179" s="300" t="s">
        <v>149</v>
      </c>
      <c r="H179" s="300"/>
      <c r="I179" s="300"/>
      <c r="J179" s="325">
        <v>1</v>
      </c>
      <c r="K179" s="358"/>
      <c r="L179" s="358"/>
      <c r="M179" s="325">
        <v>1</v>
      </c>
      <c r="N179" s="325">
        <v>2</v>
      </c>
      <c r="O179" s="325">
        <v>2</v>
      </c>
      <c r="P179" s="325">
        <v>3</v>
      </c>
      <c r="Q179" s="358"/>
      <c r="R179" s="358"/>
      <c r="S179" s="325">
        <v>1</v>
      </c>
      <c r="T179" s="325">
        <v>2</v>
      </c>
      <c r="U179" s="325">
        <v>2</v>
      </c>
      <c r="V179" s="325">
        <v>3</v>
      </c>
      <c r="W179" s="358"/>
      <c r="X179" s="325">
        <v>1</v>
      </c>
      <c r="Y179" s="325">
        <v>2</v>
      </c>
      <c r="Z179" s="325">
        <v>2</v>
      </c>
      <c r="AA179" s="325">
        <v>3</v>
      </c>
      <c r="AB179" s="358"/>
      <c r="AC179" s="325">
        <v>1</v>
      </c>
      <c r="AD179" s="325">
        <v>2</v>
      </c>
      <c r="AE179" s="325">
        <v>2</v>
      </c>
      <c r="AF179" s="325">
        <v>3</v>
      </c>
      <c r="AG179" s="325">
        <v>1</v>
      </c>
      <c r="AH179" s="358"/>
      <c r="AI179" s="358"/>
      <c r="AJ179" s="358"/>
      <c r="AK179" s="358"/>
      <c r="AL179" s="358"/>
      <c r="AM179" s="358"/>
      <c r="AN179" s="358"/>
      <c r="AO179" s="358"/>
      <c r="AP179" s="300"/>
      <c r="AQ179" s="300"/>
      <c r="AR179" s="79"/>
      <c r="AS179" s="300"/>
      <c r="AT179" s="300"/>
      <c r="AU179" s="300"/>
      <c r="AV179" s="300"/>
      <c r="AW179" s="300"/>
      <c r="AX179" s="300"/>
      <c r="AY179" s="300"/>
      <c r="AZ179" s="300"/>
      <c r="BA179" s="300"/>
      <c r="BB179" s="300"/>
      <c r="BC179" s="300"/>
      <c r="BD179" s="300"/>
      <c r="BE179" s="300"/>
      <c r="BF179" s="300"/>
      <c r="BG179" s="300"/>
      <c r="BH179" s="300"/>
      <c r="BI179" s="300"/>
    </row>
    <row r="180" spans="2:61" x14ac:dyDescent="0.25">
      <c r="C180" s="78"/>
      <c r="D180" s="2"/>
      <c r="F180" s="300" t="s">
        <v>996</v>
      </c>
      <c r="G180" s="300" t="s">
        <v>149</v>
      </c>
      <c r="H180" s="300"/>
      <c r="I180" s="300"/>
      <c r="J180" s="325">
        <v>1</v>
      </c>
      <c r="K180" s="358"/>
      <c r="L180" s="358"/>
      <c r="M180" s="325">
        <v>1</v>
      </c>
      <c r="N180" s="325">
        <v>2</v>
      </c>
      <c r="O180" s="325">
        <v>3</v>
      </c>
      <c r="P180" s="325">
        <v>3</v>
      </c>
      <c r="Q180" s="358"/>
      <c r="R180" s="358"/>
      <c r="S180" s="325">
        <v>1</v>
      </c>
      <c r="T180" s="325">
        <v>2</v>
      </c>
      <c r="U180" s="325">
        <v>3</v>
      </c>
      <c r="V180" s="325">
        <v>3</v>
      </c>
      <c r="W180" s="358"/>
      <c r="X180" s="325">
        <v>1</v>
      </c>
      <c r="Y180" s="325">
        <v>2</v>
      </c>
      <c r="Z180" s="325">
        <v>3</v>
      </c>
      <c r="AA180" s="325">
        <v>3</v>
      </c>
      <c r="AB180" s="358"/>
      <c r="AC180" s="325">
        <v>1</v>
      </c>
      <c r="AD180" s="325">
        <v>2</v>
      </c>
      <c r="AE180" s="325">
        <v>3</v>
      </c>
      <c r="AF180" s="325">
        <v>3</v>
      </c>
      <c r="AG180" s="325">
        <v>1</v>
      </c>
      <c r="AH180" s="358"/>
      <c r="AI180" s="358"/>
      <c r="AJ180" s="358"/>
      <c r="AK180" s="358"/>
      <c r="AL180" s="358"/>
      <c r="AM180" s="358"/>
      <c r="AN180" s="358"/>
      <c r="AO180" s="358"/>
      <c r="AP180" s="300"/>
      <c r="AQ180" s="300"/>
      <c r="AR180" s="79"/>
      <c r="AS180" s="300"/>
      <c r="AT180" s="300"/>
      <c r="AU180" s="300"/>
      <c r="AV180" s="300"/>
      <c r="AW180" s="300"/>
      <c r="AX180" s="300"/>
      <c r="AY180" s="300"/>
      <c r="AZ180" s="300"/>
      <c r="BA180" s="300"/>
      <c r="BB180" s="300"/>
      <c r="BC180" s="300"/>
      <c r="BD180" s="300"/>
      <c r="BE180" s="300"/>
      <c r="BF180" s="300"/>
      <c r="BG180" s="300"/>
      <c r="BH180" s="300"/>
      <c r="BI180" s="300"/>
    </row>
    <row r="181" spans="2:61" x14ac:dyDescent="0.25">
      <c r="C181" s="78"/>
      <c r="D181" s="2"/>
      <c r="F181" s="300" t="s">
        <v>997</v>
      </c>
      <c r="G181" s="300" t="s">
        <v>149</v>
      </c>
      <c r="H181" s="300"/>
      <c r="I181" s="300"/>
      <c r="J181" s="325">
        <v>1</v>
      </c>
      <c r="K181" s="358"/>
      <c r="L181" s="358"/>
      <c r="M181" s="325">
        <v>1</v>
      </c>
      <c r="N181" s="325">
        <v>1</v>
      </c>
      <c r="O181" s="325">
        <v>2</v>
      </c>
      <c r="P181" s="325">
        <v>2</v>
      </c>
      <c r="Q181" s="358"/>
      <c r="R181" s="358"/>
      <c r="S181" s="325">
        <v>1</v>
      </c>
      <c r="T181" s="325">
        <v>1</v>
      </c>
      <c r="U181" s="325">
        <v>2</v>
      </c>
      <c r="V181" s="325">
        <v>2</v>
      </c>
      <c r="W181" s="358"/>
      <c r="X181" s="325">
        <v>1</v>
      </c>
      <c r="Y181" s="325">
        <v>1</v>
      </c>
      <c r="Z181" s="325">
        <v>2</v>
      </c>
      <c r="AA181" s="325">
        <v>2</v>
      </c>
      <c r="AB181" s="358"/>
      <c r="AC181" s="325">
        <v>1</v>
      </c>
      <c r="AD181" s="325">
        <v>1</v>
      </c>
      <c r="AE181" s="325">
        <v>2</v>
      </c>
      <c r="AF181" s="325">
        <v>2</v>
      </c>
      <c r="AG181" s="325">
        <v>1</v>
      </c>
      <c r="AH181" s="358"/>
      <c r="AI181" s="358"/>
      <c r="AJ181" s="358"/>
      <c r="AK181" s="358"/>
      <c r="AL181" s="358"/>
      <c r="AM181" s="358"/>
      <c r="AN181" s="358"/>
      <c r="AO181" s="358"/>
      <c r="AP181" s="300"/>
      <c r="AQ181" s="300"/>
      <c r="AR181" s="79"/>
      <c r="AS181" s="300"/>
      <c r="AT181" s="300"/>
      <c r="AU181" s="300"/>
      <c r="AV181" s="300"/>
      <c r="AW181" s="300"/>
      <c r="AX181" s="300"/>
      <c r="AY181" s="300"/>
      <c r="AZ181" s="300"/>
      <c r="BA181" s="300"/>
      <c r="BB181" s="300"/>
      <c r="BC181" s="300"/>
      <c r="BD181" s="300"/>
      <c r="BE181" s="300"/>
      <c r="BF181" s="300"/>
      <c r="BG181" s="300"/>
      <c r="BH181" s="300"/>
      <c r="BI181" s="300"/>
    </row>
    <row r="182" spans="2:61" x14ac:dyDescent="0.25">
      <c r="C182" s="78"/>
      <c r="D182" s="2"/>
      <c r="F182" s="300" t="s">
        <v>998</v>
      </c>
      <c r="G182" s="300" t="s">
        <v>149</v>
      </c>
      <c r="H182" s="300"/>
      <c r="I182" s="300"/>
      <c r="J182" s="325">
        <v>1</v>
      </c>
      <c r="K182" s="358"/>
      <c r="L182" s="358"/>
      <c r="M182" s="325">
        <v>1</v>
      </c>
      <c r="N182" s="325">
        <v>1</v>
      </c>
      <c r="O182" s="325">
        <v>1</v>
      </c>
      <c r="P182" s="325">
        <v>2</v>
      </c>
      <c r="Q182" s="358"/>
      <c r="R182" s="358"/>
      <c r="S182" s="325">
        <v>1</v>
      </c>
      <c r="T182" s="325">
        <v>1</v>
      </c>
      <c r="U182" s="325">
        <v>1</v>
      </c>
      <c r="V182" s="325">
        <v>2</v>
      </c>
      <c r="W182" s="358"/>
      <c r="X182" s="325">
        <v>1</v>
      </c>
      <c r="Y182" s="325">
        <v>1</v>
      </c>
      <c r="Z182" s="325">
        <v>1</v>
      </c>
      <c r="AA182" s="325">
        <v>2</v>
      </c>
      <c r="AB182" s="358"/>
      <c r="AC182" s="325">
        <v>1</v>
      </c>
      <c r="AD182" s="325">
        <v>1</v>
      </c>
      <c r="AE182" s="325">
        <v>1</v>
      </c>
      <c r="AF182" s="325">
        <v>2</v>
      </c>
      <c r="AG182" s="325">
        <v>1</v>
      </c>
      <c r="AH182" s="358"/>
      <c r="AI182" s="358"/>
      <c r="AJ182" s="358"/>
      <c r="AK182" s="358"/>
      <c r="AL182" s="358"/>
      <c r="AM182" s="358"/>
      <c r="AN182" s="358"/>
      <c r="AO182" s="358"/>
      <c r="AP182" s="300"/>
      <c r="AQ182" s="300"/>
      <c r="AR182" s="79"/>
      <c r="AS182" s="300"/>
      <c r="AT182" s="300"/>
      <c r="AU182" s="300"/>
      <c r="AV182" s="300"/>
      <c r="AW182" s="300"/>
      <c r="AX182" s="300"/>
      <c r="AY182" s="300"/>
      <c r="AZ182" s="300"/>
      <c r="BA182" s="300"/>
      <c r="BB182" s="300"/>
      <c r="BC182" s="300"/>
      <c r="BD182" s="300"/>
      <c r="BE182" s="300"/>
      <c r="BF182" s="300"/>
      <c r="BG182" s="300"/>
      <c r="BH182" s="300"/>
      <c r="BI182" s="300"/>
    </row>
    <row r="183" spans="2:61" x14ac:dyDescent="0.25">
      <c r="C183" s="78"/>
      <c r="D183" s="2"/>
      <c r="F183" s="300" t="s">
        <v>999</v>
      </c>
      <c r="G183" s="300" t="s">
        <v>149</v>
      </c>
      <c r="H183" s="300"/>
      <c r="I183" s="300"/>
      <c r="J183" s="325">
        <v>1</v>
      </c>
      <c r="K183" s="358"/>
      <c r="L183" s="358"/>
      <c r="M183" s="325">
        <v>1</v>
      </c>
      <c r="N183" s="325">
        <v>2</v>
      </c>
      <c r="O183" s="325">
        <v>2</v>
      </c>
      <c r="P183" s="325">
        <v>2</v>
      </c>
      <c r="Q183" s="358"/>
      <c r="R183" s="358"/>
      <c r="S183" s="325">
        <v>1</v>
      </c>
      <c r="T183" s="325">
        <v>2</v>
      </c>
      <c r="U183" s="325">
        <v>2</v>
      </c>
      <c r="V183" s="325">
        <v>2</v>
      </c>
      <c r="W183" s="358"/>
      <c r="X183" s="325">
        <v>1</v>
      </c>
      <c r="Y183" s="325">
        <v>2</v>
      </c>
      <c r="Z183" s="325">
        <v>2</v>
      </c>
      <c r="AA183" s="325">
        <v>2</v>
      </c>
      <c r="AB183" s="358"/>
      <c r="AC183" s="325">
        <v>1</v>
      </c>
      <c r="AD183" s="325">
        <v>2</v>
      </c>
      <c r="AE183" s="325">
        <v>2</v>
      </c>
      <c r="AF183" s="325">
        <v>2</v>
      </c>
      <c r="AG183" s="325">
        <v>1</v>
      </c>
      <c r="AH183" s="358"/>
      <c r="AI183" s="358"/>
      <c r="AJ183" s="358"/>
      <c r="AK183" s="358"/>
      <c r="AL183" s="358"/>
      <c r="AM183" s="358"/>
      <c r="AN183" s="358"/>
      <c r="AO183" s="358"/>
      <c r="AP183" s="300"/>
      <c r="AQ183" s="300"/>
      <c r="AR183" s="79"/>
      <c r="AS183" s="300"/>
      <c r="AT183" s="300"/>
      <c r="AU183" s="300"/>
      <c r="AV183" s="300"/>
      <c r="AW183" s="300"/>
      <c r="AX183" s="300"/>
      <c r="AY183" s="300"/>
      <c r="AZ183" s="300"/>
      <c r="BA183" s="300"/>
      <c r="BB183" s="300"/>
      <c r="BC183" s="300"/>
      <c r="BD183" s="300"/>
      <c r="BE183" s="300"/>
      <c r="BF183" s="300"/>
      <c r="BG183" s="300"/>
      <c r="BH183" s="300"/>
      <c r="BI183" s="300"/>
    </row>
    <row r="184" spans="2:61" x14ac:dyDescent="0.25">
      <c r="C184" s="78"/>
      <c r="D184" s="2"/>
      <c r="F184" s="28" t="s">
        <v>1000</v>
      </c>
      <c r="G184" s="28" t="s">
        <v>149</v>
      </c>
      <c r="H184" s="28"/>
      <c r="I184" s="28"/>
      <c r="J184" s="314">
        <v>1</v>
      </c>
      <c r="K184" s="58"/>
      <c r="L184" s="58"/>
      <c r="M184" s="314">
        <v>1</v>
      </c>
      <c r="N184" s="314">
        <v>1</v>
      </c>
      <c r="O184" s="314">
        <v>1</v>
      </c>
      <c r="P184" s="314">
        <v>1</v>
      </c>
      <c r="Q184" s="58"/>
      <c r="R184" s="58"/>
      <c r="S184" s="314">
        <v>1</v>
      </c>
      <c r="T184" s="314">
        <v>1</v>
      </c>
      <c r="U184" s="314">
        <v>1</v>
      </c>
      <c r="V184" s="314">
        <v>1</v>
      </c>
      <c r="W184" s="58"/>
      <c r="X184" s="314">
        <v>1</v>
      </c>
      <c r="Y184" s="314">
        <v>1</v>
      </c>
      <c r="Z184" s="314">
        <v>1</v>
      </c>
      <c r="AA184" s="314">
        <v>1</v>
      </c>
      <c r="AB184" s="58"/>
      <c r="AC184" s="314">
        <v>1</v>
      </c>
      <c r="AD184" s="314">
        <v>1</v>
      </c>
      <c r="AE184" s="314">
        <v>1</v>
      </c>
      <c r="AF184" s="314">
        <v>1</v>
      </c>
      <c r="AG184" s="314">
        <v>1</v>
      </c>
      <c r="AH184" s="58"/>
      <c r="AI184" s="58"/>
      <c r="AJ184" s="58"/>
      <c r="AK184" s="58"/>
      <c r="AL184" s="58"/>
      <c r="AM184" s="58"/>
      <c r="AN184" s="58"/>
      <c r="AO184" s="58"/>
      <c r="AP184" s="300"/>
      <c r="AQ184" s="300"/>
      <c r="AR184" s="79"/>
      <c r="AS184" s="300"/>
      <c r="AT184" s="300"/>
      <c r="AU184" s="300"/>
      <c r="AV184" s="300"/>
      <c r="AW184" s="300"/>
      <c r="AX184" s="300"/>
      <c r="AY184" s="300"/>
      <c r="AZ184" s="300"/>
      <c r="BA184" s="300"/>
      <c r="BB184" s="300"/>
      <c r="BC184" s="300"/>
      <c r="BD184" s="300"/>
      <c r="BE184" s="300"/>
      <c r="BF184" s="300"/>
      <c r="BG184" s="300"/>
      <c r="BH184" s="300"/>
      <c r="BI184" s="300"/>
    </row>
    <row r="185" spans="2:61" x14ac:dyDescent="0.25">
      <c r="C185" s="78"/>
      <c r="D185" s="2"/>
      <c r="E185" s="27"/>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c r="AI185" s="300"/>
      <c r="AJ185" s="300"/>
      <c r="AK185" s="300"/>
      <c r="AL185" s="300"/>
      <c r="AM185" s="300"/>
      <c r="AN185" s="300"/>
      <c r="AO185" s="300"/>
      <c r="AP185" s="300"/>
      <c r="AQ185" s="300"/>
      <c r="AR185" s="79"/>
      <c r="AS185" s="300"/>
      <c r="AT185" s="300"/>
      <c r="AU185" s="300"/>
      <c r="AV185" s="300"/>
      <c r="AW185" s="300"/>
      <c r="AX185" s="300"/>
      <c r="AY185" s="300"/>
      <c r="AZ185" s="300"/>
      <c r="BA185" s="300"/>
      <c r="BB185" s="300"/>
      <c r="BC185" s="300"/>
      <c r="BD185" s="300"/>
      <c r="BE185" s="300"/>
      <c r="BF185" s="300"/>
      <c r="BG185" s="300"/>
      <c r="BH185" s="300"/>
      <c r="BI185" s="300"/>
    </row>
    <row r="186" spans="2:61" x14ac:dyDescent="0.2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61" x14ac:dyDescent="0.25">
      <c r="F187" s="3"/>
      <c r="G187" s="3"/>
      <c r="H187" s="3"/>
      <c r="I187" s="3"/>
    </row>
    <row r="188" spans="2:61" x14ac:dyDescent="0.25">
      <c r="E188" t="s">
        <v>232</v>
      </c>
      <c r="G188" s="6" t="s">
        <v>55</v>
      </c>
      <c r="H188" s="20">
        <f t="array" ref="H188">SUM(IF(ISERROR(H15:Y146), 1))</f>
        <v>0</v>
      </c>
      <c r="I188" s="3"/>
    </row>
    <row r="189" spans="2:61" x14ac:dyDescent="0.25">
      <c r="I189" s="3"/>
    </row>
    <row r="190" spans="2:61" x14ac:dyDescent="0.25">
      <c r="E190" s="27" t="s">
        <v>233</v>
      </c>
      <c r="I190" s="3"/>
    </row>
    <row r="191" spans="2:61" x14ac:dyDescent="0.2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61" x14ac:dyDescent="0.2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239</v>
      </c>
      <c r="G197" s="6" t="s">
        <v>55</v>
      </c>
      <c r="H197" s="93">
        <f>H188 + SUM(H191:H195)</f>
        <v>0</v>
      </c>
      <c r="I197" s="3"/>
    </row>
    <row r="198" spans="2:43" x14ac:dyDescent="0.25">
      <c r="I198" s="3"/>
    </row>
    <row r="199" spans="2:43" x14ac:dyDescent="0.2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27" activePane="bottomRight" state="frozen"/>
      <selection pane="topRight"/>
      <selection pane="bottomLeft"/>
      <selection pane="bottomRight" activeCell="Q36" sqref="Q36"/>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288" t="s">
        <v>143</v>
      </c>
      <c r="H5" s="289" t="s">
        <v>144</v>
      </c>
      <c r="I5" s="13"/>
      <c r="J5" s="289" t="s">
        <v>827</v>
      </c>
      <c r="K5" s="289" t="s">
        <v>829</v>
      </c>
      <c r="L5" s="289" t="s">
        <v>828</v>
      </c>
      <c r="M5" s="289" t="s">
        <v>830</v>
      </c>
      <c r="N5" s="289" t="s">
        <v>836</v>
      </c>
      <c r="O5" s="289" t="s">
        <v>837</v>
      </c>
      <c r="P5" s="289" t="s">
        <v>838</v>
      </c>
      <c r="Q5" s="289" t="s">
        <v>839</v>
      </c>
      <c r="R5" s="289" t="s">
        <v>831</v>
      </c>
      <c r="S5" s="289" t="s">
        <v>832</v>
      </c>
      <c r="T5" s="289" t="s">
        <v>833</v>
      </c>
      <c r="U5" s="289" t="s">
        <v>842</v>
      </c>
      <c r="V5" s="289" t="s">
        <v>834</v>
      </c>
      <c r="W5" s="289" t="s">
        <v>841</v>
      </c>
      <c r="X5" s="289" t="s">
        <v>835</v>
      </c>
      <c r="Y5" s="289"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240</v>
      </c>
    </row>
    <row r="11" spans="1:43" x14ac:dyDescent="0.2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control'!$H$36:$H$59,MATCH($A$1,'Version control'!$F$36:$F$59,0),1)&amp;"-A: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241</v>
      </c>
      <c r="G15" s="12" t="s">
        <v>167</v>
      </c>
      <c r="I15" t="s">
        <v>154</v>
      </c>
      <c r="J15" s="241">
        <v>0.44857405474776341</v>
      </c>
      <c r="K15" s="241">
        <v>0.1748351266724493</v>
      </c>
      <c r="L15" s="241">
        <v>0.43521251972530556</v>
      </c>
      <c r="M15" s="241">
        <v>0.22587469012119213</v>
      </c>
      <c r="N15" s="241">
        <v>0.51315854386695225</v>
      </c>
      <c r="O15" s="241">
        <v>0.54364034444239728</v>
      </c>
      <c r="P15" s="241">
        <v>0.65603085887430934</v>
      </c>
      <c r="Q15" s="241">
        <v>0.52219367636607006</v>
      </c>
      <c r="R15" s="60"/>
      <c r="S15" s="60"/>
      <c r="T15" s="60"/>
      <c r="U15" s="60"/>
      <c r="V15" s="60"/>
      <c r="W15" s="60"/>
      <c r="X15" s="60"/>
      <c r="Y15" s="60"/>
      <c r="AQ15" t="s">
        <v>242</v>
      </c>
    </row>
    <row r="16" spans="1:43" x14ac:dyDescent="0.25">
      <c r="E16" s="23" t="s">
        <v>243</v>
      </c>
      <c r="G16" s="12" t="s">
        <v>167</v>
      </c>
      <c r="I16" t="s">
        <v>154</v>
      </c>
      <c r="J16" s="241">
        <v>0.8881535281350722</v>
      </c>
      <c r="K16" s="60"/>
      <c r="L16" s="241">
        <v>0.73761112454347311</v>
      </c>
      <c r="M16" s="60"/>
      <c r="N16" s="241">
        <v>0.74491934742064247</v>
      </c>
      <c r="O16" s="241">
        <v>0.8199402968305064</v>
      </c>
      <c r="P16" s="241">
        <v>0.75690448048376402</v>
      </c>
      <c r="Q16" s="241">
        <v>0.9593677930964063</v>
      </c>
      <c r="R16" s="60"/>
      <c r="S16" s="60"/>
      <c r="T16" s="60"/>
      <c r="U16" s="60"/>
      <c r="V16" s="60"/>
      <c r="W16" s="60"/>
      <c r="X16" s="60"/>
      <c r="Y16" s="60"/>
      <c r="AQ16" t="s">
        <v>244</v>
      </c>
    </row>
    <row r="17" spans="3:43" x14ac:dyDescent="0.25">
      <c r="G17" s="12"/>
    </row>
    <row r="18" spans="3:43" x14ac:dyDescent="0.25">
      <c r="C18" s="26" t="str">
        <f ca="1">INDEX('Version control'!$H$36:$H$59,MATCH($A$1,'Version control'!$F$36:$F$59,0),1)&amp;"-B: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154</v>
      </c>
      <c r="AQ20" t="s">
        <v>246</v>
      </c>
    </row>
    <row r="21" spans="3:43" x14ac:dyDescent="0.25">
      <c r="G21" s="12"/>
    </row>
    <row r="22" spans="3:43" x14ac:dyDescent="0.25">
      <c r="E22" s="27" t="s">
        <v>904</v>
      </c>
      <c r="G22" s="12"/>
    </row>
    <row r="23" spans="3:43" x14ac:dyDescent="0.25">
      <c r="E23" s="27"/>
      <c r="F23" s="68" t="s">
        <v>247</v>
      </c>
      <c r="G23" s="68" t="s">
        <v>207</v>
      </c>
      <c r="H23" s="19"/>
      <c r="I23" s="19"/>
      <c r="J23" s="73"/>
      <c r="K23" s="242">
        <v>97.101998282967941</v>
      </c>
      <c r="L23" s="242">
        <v>0.84541270469587915</v>
      </c>
      <c r="M23" s="242">
        <v>113.60366930781993</v>
      </c>
      <c r="N23" s="242">
        <v>113.67037138779294</v>
      </c>
      <c r="O23" s="242">
        <v>0.92942754552445628</v>
      </c>
      <c r="P23" s="242">
        <v>514.89001982790273</v>
      </c>
      <c r="Q23" s="73"/>
      <c r="R23" s="242">
        <v>402.74853197386807</v>
      </c>
      <c r="S23" s="242">
        <v>0</v>
      </c>
      <c r="T23" s="242">
        <v>4581.0802139008056</v>
      </c>
      <c r="U23" s="242">
        <v>0</v>
      </c>
      <c r="V23" s="242">
        <v>1000.7714870643234</v>
      </c>
      <c r="W23" s="242">
        <v>0</v>
      </c>
      <c r="X23" s="242">
        <v>112513.35249750761</v>
      </c>
      <c r="Y23" s="242">
        <v>0</v>
      </c>
    </row>
    <row r="24" spans="3:43" x14ac:dyDescent="0.25">
      <c r="E24" s="27"/>
      <c r="F24" s="62" t="s">
        <v>248</v>
      </c>
      <c r="G24" s="62" t="s">
        <v>207</v>
      </c>
      <c r="J24" s="69"/>
      <c r="K24" s="243">
        <v>2610.0714903095482</v>
      </c>
      <c r="L24" s="243">
        <v>3.4947301543468345</v>
      </c>
      <c r="M24" s="243">
        <v>928.08494967695549</v>
      </c>
      <c r="N24" s="243">
        <v>490.41477022151486</v>
      </c>
      <c r="O24" s="243">
        <v>3.5167763112993287</v>
      </c>
      <c r="P24" s="243">
        <v>2048.4044602273625</v>
      </c>
      <c r="Q24" s="69"/>
      <c r="R24" s="244">
        <v>1815.0091331557703</v>
      </c>
      <c r="S24" s="244">
        <v>0</v>
      </c>
      <c r="T24" s="243">
        <v>20492.431913765191</v>
      </c>
      <c r="U24" s="243">
        <v>0</v>
      </c>
      <c r="V24" s="243">
        <v>3996.1654558994287</v>
      </c>
      <c r="W24" s="243">
        <v>0</v>
      </c>
      <c r="X24" s="243">
        <v>328224.9176967626</v>
      </c>
      <c r="Y24" s="243">
        <v>0</v>
      </c>
    </row>
    <row r="25" spans="3:43" x14ac:dyDescent="0.25">
      <c r="E25" s="27"/>
      <c r="F25" s="62" t="s">
        <v>249</v>
      </c>
      <c r="G25" s="62" t="s">
        <v>207</v>
      </c>
      <c r="J25" s="69"/>
      <c r="K25" s="243">
        <v>10855.114741116735</v>
      </c>
      <c r="L25" s="243">
        <v>3.8443571409572863</v>
      </c>
      <c r="M25" s="243">
        <v>2405.8570016096082</v>
      </c>
      <c r="N25" s="243">
        <v>704.50795839069224</v>
      </c>
      <c r="O25" s="243">
        <v>4.3330961431762152</v>
      </c>
      <c r="P25" s="243">
        <v>2865.4108199447342</v>
      </c>
      <c r="Q25" s="69"/>
      <c r="R25" s="244">
        <v>1012.3643348703615</v>
      </c>
      <c r="S25" s="244">
        <v>0</v>
      </c>
      <c r="T25" s="243">
        <v>19151.771205667341</v>
      </c>
      <c r="U25" s="243">
        <v>0</v>
      </c>
      <c r="V25" s="243">
        <v>6019.197723702915</v>
      </c>
      <c r="W25" s="243">
        <v>0</v>
      </c>
      <c r="X25" s="243">
        <v>370994.99213906302</v>
      </c>
      <c r="Y25" s="243">
        <v>0</v>
      </c>
    </row>
    <row r="26" spans="3:43" x14ac:dyDescent="0.25">
      <c r="E26" s="27"/>
      <c r="F26" s="62" t="s">
        <v>212</v>
      </c>
      <c r="G26" s="62" t="s">
        <v>212</v>
      </c>
      <c r="J26" s="69"/>
      <c r="K26" s="243">
        <v>0</v>
      </c>
      <c r="L26" s="243">
        <v>8.1844999999999999</v>
      </c>
      <c r="M26" s="243">
        <v>0</v>
      </c>
      <c r="N26" s="243">
        <v>29</v>
      </c>
      <c r="O26" s="243">
        <v>1</v>
      </c>
      <c r="P26" s="243">
        <v>76</v>
      </c>
      <c r="Q26" s="69"/>
      <c r="R26" s="243">
        <v>0</v>
      </c>
      <c r="S26" s="243">
        <v>0</v>
      </c>
      <c r="T26" s="243">
        <v>633.94808743169403</v>
      </c>
      <c r="U26" s="243">
        <v>0</v>
      </c>
      <c r="V26" s="243">
        <v>35.618169398907106</v>
      </c>
      <c r="W26" s="243">
        <v>0</v>
      </c>
      <c r="X26" s="243">
        <v>338.62978142076497</v>
      </c>
      <c r="Y26" s="243">
        <v>0</v>
      </c>
    </row>
    <row r="27" spans="3:43" x14ac:dyDescent="0.25">
      <c r="E27" s="27"/>
      <c r="F27" s="62" t="s">
        <v>250</v>
      </c>
      <c r="G27" s="62" t="s">
        <v>251</v>
      </c>
      <c r="J27" s="69"/>
      <c r="K27" s="69"/>
      <c r="L27" s="69"/>
      <c r="M27" s="69"/>
      <c r="N27" s="243">
        <v>1856</v>
      </c>
      <c r="O27" s="243">
        <v>220</v>
      </c>
      <c r="P27" s="243">
        <v>16548</v>
      </c>
      <c r="Q27" s="69"/>
      <c r="R27" s="69"/>
      <c r="S27" s="69"/>
      <c r="T27" s="69"/>
      <c r="U27" s="69"/>
      <c r="V27" s="69"/>
      <c r="W27" s="69"/>
      <c r="X27" s="69"/>
      <c r="Y27" s="69"/>
    </row>
    <row r="28" spans="3:43" x14ac:dyDescent="0.25">
      <c r="E28" s="27"/>
      <c r="F28" s="62" t="s">
        <v>252</v>
      </c>
      <c r="G28" s="62" t="s">
        <v>251</v>
      </c>
      <c r="J28" s="69"/>
      <c r="K28" s="69"/>
      <c r="L28" s="69"/>
      <c r="M28" s="69"/>
      <c r="N28" s="243">
        <v>0</v>
      </c>
      <c r="O28" s="243">
        <v>0</v>
      </c>
      <c r="P28" s="243">
        <v>0</v>
      </c>
      <c r="Q28" s="69"/>
      <c r="R28" s="69"/>
      <c r="S28" s="69"/>
      <c r="T28" s="69"/>
      <c r="U28" s="69"/>
      <c r="V28" s="69"/>
      <c r="W28" s="69"/>
      <c r="X28" s="69"/>
      <c r="Y28" s="69"/>
    </row>
    <row r="29" spans="3:43" x14ac:dyDescent="0.25">
      <c r="E29" s="27"/>
      <c r="F29" s="70" t="s">
        <v>253</v>
      </c>
      <c r="G29" s="70" t="s">
        <v>254</v>
      </c>
      <c r="H29" s="28"/>
      <c r="I29" s="28"/>
      <c r="J29" s="71"/>
      <c r="K29" s="71"/>
      <c r="L29" s="71"/>
      <c r="M29" s="71"/>
      <c r="N29" s="245">
        <v>288.15313798253834</v>
      </c>
      <c r="O29" s="245">
        <v>192.90741538233189</v>
      </c>
      <c r="P29" s="245">
        <v>374.50654211740863</v>
      </c>
      <c r="Q29" s="71"/>
      <c r="R29" s="71"/>
      <c r="S29" s="71"/>
      <c r="T29" s="245">
        <v>3761.82</v>
      </c>
      <c r="U29" s="71"/>
      <c r="V29" s="245">
        <v>310.738</v>
      </c>
      <c r="W29" s="71"/>
      <c r="X29" s="245">
        <v>36884.22</v>
      </c>
      <c r="Y29" s="71"/>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247</v>
      </c>
      <c r="G32" s="68" t="s">
        <v>207</v>
      </c>
      <c r="H32" s="19"/>
      <c r="I32" s="19"/>
      <c r="J32" s="242">
        <v>958695.14576306345</v>
      </c>
      <c r="K32" s="73"/>
      <c r="L32" s="242">
        <v>11787.636265875673</v>
      </c>
      <c r="M32" s="73"/>
      <c r="N32" s="242">
        <v>58853.594994802042</v>
      </c>
      <c r="O32" s="242">
        <v>538.63355047049492</v>
      </c>
      <c r="P32" s="242">
        <v>99223.692366436182</v>
      </c>
      <c r="Q32" s="242">
        <v>10812.469000907027</v>
      </c>
      <c r="R32" s="73"/>
      <c r="S32" s="73"/>
      <c r="T32" s="73"/>
      <c r="U32" s="73"/>
      <c r="V32" s="73"/>
      <c r="W32" s="73"/>
      <c r="X32" s="73"/>
      <c r="Y32" s="73"/>
    </row>
    <row r="33" spans="5:42" x14ac:dyDescent="0.25">
      <c r="E33" s="27"/>
      <c r="F33" s="62" t="s">
        <v>248</v>
      </c>
      <c r="G33" s="62" t="s">
        <v>207</v>
      </c>
      <c r="J33" s="243">
        <v>2724925.6197538478</v>
      </c>
      <c r="K33" s="69"/>
      <c r="L33" s="243">
        <v>48727.216515686261</v>
      </c>
      <c r="M33" s="319"/>
      <c r="N33" s="243">
        <v>253915.52709561662</v>
      </c>
      <c r="O33" s="243">
        <v>2038.0864757960242</v>
      </c>
      <c r="P33" s="243">
        <v>394744.98665087757</v>
      </c>
      <c r="Q33" s="244">
        <v>46845.820756552697</v>
      </c>
      <c r="R33" s="69"/>
      <c r="S33" s="69"/>
      <c r="T33" s="69"/>
      <c r="U33" s="69"/>
      <c r="V33" s="69"/>
      <c r="W33" s="69"/>
      <c r="X33" s="69"/>
      <c r="Y33" s="69"/>
    </row>
    <row r="34" spans="5:42" x14ac:dyDescent="0.25">
      <c r="E34" s="27"/>
      <c r="F34" s="62" t="s">
        <v>249</v>
      </c>
      <c r="G34" s="62" t="s">
        <v>207</v>
      </c>
      <c r="J34" s="243">
        <v>4883727.7493747445</v>
      </c>
      <c r="K34" s="69"/>
      <c r="L34" s="243">
        <v>53602.084995904734</v>
      </c>
      <c r="M34" s="319"/>
      <c r="N34" s="243">
        <v>364763.70709028357</v>
      </c>
      <c r="O34" s="243">
        <v>2511.1704202956603</v>
      </c>
      <c r="P34" s="243">
        <v>552189.07097225182</v>
      </c>
      <c r="Q34" s="244">
        <v>180165.70596262455</v>
      </c>
      <c r="R34" s="69"/>
      <c r="S34" s="69"/>
      <c r="T34" s="69"/>
      <c r="U34" s="69"/>
      <c r="V34" s="69"/>
      <c r="W34" s="69"/>
      <c r="X34" s="69"/>
      <c r="Y34" s="69"/>
    </row>
    <row r="35" spans="5:42" x14ac:dyDescent="0.25">
      <c r="E35" s="27"/>
      <c r="F35" s="62" t="s">
        <v>212</v>
      </c>
      <c r="G35" s="62" t="s">
        <v>212</v>
      </c>
      <c r="J35" s="243">
        <v>2324955.1193078361</v>
      </c>
      <c r="K35" s="69"/>
      <c r="L35" s="243">
        <v>71117.063271156148</v>
      </c>
      <c r="M35" s="319"/>
      <c r="N35" s="243">
        <v>6538.8255358917031</v>
      </c>
      <c r="O35" s="243">
        <v>23.028329792128428</v>
      </c>
      <c r="P35" s="243">
        <v>2209.8996249966858</v>
      </c>
      <c r="Q35" s="243">
        <v>2294</v>
      </c>
      <c r="R35" s="69"/>
      <c r="S35" s="69"/>
      <c r="T35" s="69"/>
      <c r="U35" s="69"/>
      <c r="V35" s="69"/>
      <c r="W35" s="69"/>
      <c r="X35" s="69"/>
      <c r="Y35" s="69"/>
    </row>
    <row r="36" spans="5:42" x14ac:dyDescent="0.25">
      <c r="E36" s="27"/>
      <c r="F36" s="62" t="s">
        <v>250</v>
      </c>
      <c r="G36" s="62" t="s">
        <v>251</v>
      </c>
      <c r="J36" s="69"/>
      <c r="K36" s="69"/>
      <c r="L36" s="69"/>
      <c r="M36" s="319"/>
      <c r="N36" s="243">
        <v>312045.96920039039</v>
      </c>
      <c r="O36" s="243">
        <v>5384.0083047754661</v>
      </c>
      <c r="P36" s="243">
        <v>484069.27424646</v>
      </c>
      <c r="Q36" s="69"/>
      <c r="R36" s="69"/>
      <c r="S36" s="69"/>
      <c r="T36" s="69"/>
      <c r="U36" s="69"/>
      <c r="V36" s="69"/>
      <c r="W36" s="69"/>
      <c r="X36" s="69"/>
      <c r="Y36" s="69"/>
    </row>
    <row r="37" spans="5:42" x14ac:dyDescent="0.25">
      <c r="E37" s="27"/>
      <c r="F37" s="62" t="s">
        <v>252</v>
      </c>
      <c r="G37" s="62" t="s">
        <v>251</v>
      </c>
      <c r="J37" s="69"/>
      <c r="K37" s="69"/>
      <c r="L37" s="69"/>
      <c r="M37" s="319"/>
      <c r="N37" s="243">
        <v>5259.5206196415666</v>
      </c>
      <c r="O37" s="243">
        <v>25.002841793920606</v>
      </c>
      <c r="P37" s="243">
        <v>7362.9204162581991</v>
      </c>
      <c r="Q37" s="69"/>
      <c r="R37" s="69"/>
      <c r="S37" s="69"/>
      <c r="T37" s="69"/>
      <c r="U37" s="69"/>
      <c r="V37" s="69"/>
      <c r="W37" s="69"/>
      <c r="X37" s="69"/>
      <c r="Y37" s="69"/>
    </row>
    <row r="38" spans="5:42" x14ac:dyDescent="0.25">
      <c r="E38" s="27"/>
      <c r="F38" s="70" t="s">
        <v>253</v>
      </c>
      <c r="G38" s="70" t="s">
        <v>254</v>
      </c>
      <c r="H38" s="28"/>
      <c r="I38" s="28"/>
      <c r="J38" s="71"/>
      <c r="K38" s="71"/>
      <c r="L38" s="71"/>
      <c r="M38" s="71"/>
      <c r="N38" s="245">
        <v>56304.879713602466</v>
      </c>
      <c r="O38" s="245">
        <v>115.60675829683933</v>
      </c>
      <c r="P38" s="245">
        <v>113635.47324864614</v>
      </c>
      <c r="Q38" s="71"/>
      <c r="R38" s="71"/>
      <c r="S38" s="71"/>
      <c r="T38" s="71"/>
      <c r="U38" s="71"/>
      <c r="V38" s="71"/>
      <c r="W38" s="71"/>
      <c r="X38" s="71"/>
      <c r="Y38" s="71"/>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247</v>
      </c>
      <c r="G41" s="68" t="s">
        <v>207</v>
      </c>
      <c r="H41" s="19"/>
      <c r="I41" s="19"/>
      <c r="J41" s="73"/>
      <c r="K41" s="73"/>
      <c r="L41" s="242">
        <v>44194.853232625021</v>
      </c>
      <c r="M41" s="73"/>
      <c r="N41" s="242">
        <v>88857.46042767688</v>
      </c>
      <c r="O41" s="242">
        <v>814.71725366006797</v>
      </c>
      <c r="P41" s="242">
        <v>171679.60936146666</v>
      </c>
      <c r="Q41" s="73"/>
      <c r="R41" s="73"/>
      <c r="S41" s="73"/>
      <c r="T41" s="73"/>
      <c r="U41" s="73"/>
      <c r="V41" s="73"/>
      <c r="W41" s="73"/>
      <c r="X41" s="73"/>
      <c r="Y41" s="73"/>
    </row>
    <row r="42" spans="5:42" x14ac:dyDescent="0.25">
      <c r="E42" s="27"/>
      <c r="F42" s="62" t="s">
        <v>248</v>
      </c>
      <c r="G42" s="62" t="s">
        <v>207</v>
      </c>
      <c r="J42" s="69"/>
      <c r="K42" s="69"/>
      <c r="L42" s="243">
        <v>182690.75612549187</v>
      </c>
      <c r="M42" s="69"/>
      <c r="N42" s="243">
        <v>383362.96878490044</v>
      </c>
      <c r="O42" s="243">
        <v>3082.7344765877519</v>
      </c>
      <c r="P42" s="243">
        <v>682998.82305674069</v>
      </c>
      <c r="Q42" s="69"/>
      <c r="R42" s="69"/>
      <c r="S42" s="69"/>
      <c r="T42" s="69"/>
      <c r="U42" s="69"/>
      <c r="V42" s="69"/>
      <c r="W42" s="69"/>
      <c r="X42" s="69"/>
      <c r="Y42" s="69"/>
    </row>
    <row r="43" spans="5:42" x14ac:dyDescent="0.25">
      <c r="E43" s="27"/>
      <c r="F43" s="62" t="s">
        <v>249</v>
      </c>
      <c r="G43" s="62" t="s">
        <v>207</v>
      </c>
      <c r="J43" s="69"/>
      <c r="K43" s="69"/>
      <c r="L43" s="243">
        <v>200967.88074591302</v>
      </c>
      <c r="M43" s="69"/>
      <c r="N43" s="243">
        <v>550722.12107162236</v>
      </c>
      <c r="O43" s="243">
        <v>3798.303812505917</v>
      </c>
      <c r="P43" s="243">
        <v>955412.98390801146</v>
      </c>
      <c r="Q43" s="69"/>
      <c r="R43" s="69"/>
      <c r="S43" s="69"/>
      <c r="T43" s="69"/>
      <c r="U43" s="69"/>
      <c r="V43" s="69"/>
      <c r="W43" s="69"/>
      <c r="X43" s="69"/>
      <c r="Y43" s="69"/>
    </row>
    <row r="44" spans="5:42" x14ac:dyDescent="0.25">
      <c r="E44" s="27"/>
      <c r="F44" s="62" t="s">
        <v>212</v>
      </c>
      <c r="G44" s="62" t="s">
        <v>212</v>
      </c>
      <c r="J44" s="69"/>
      <c r="K44" s="69"/>
      <c r="L44" s="243">
        <v>53541.100272907279</v>
      </c>
      <c r="M44" s="69"/>
      <c r="N44" s="243">
        <v>5249.4268633032916</v>
      </c>
      <c r="O44" s="243">
        <v>26.318091191003916</v>
      </c>
      <c r="P44" s="243">
        <v>1219.1562048469793</v>
      </c>
      <c r="Q44" s="69"/>
      <c r="R44" s="69"/>
      <c r="S44" s="69"/>
      <c r="T44" s="69"/>
      <c r="U44" s="69"/>
      <c r="V44" s="69"/>
      <c r="W44" s="69"/>
      <c r="X44" s="69"/>
      <c r="Y44" s="69"/>
    </row>
    <row r="45" spans="5:42" x14ac:dyDescent="0.25">
      <c r="E45" s="27"/>
      <c r="F45" s="62" t="s">
        <v>250</v>
      </c>
      <c r="G45" s="62" t="s">
        <v>251</v>
      </c>
      <c r="J45" s="69"/>
      <c r="K45" s="69"/>
      <c r="L45" s="69"/>
      <c r="M45" s="69"/>
      <c r="N45" s="243">
        <v>606600.18946620962</v>
      </c>
      <c r="O45" s="243">
        <v>3069.2205346557857</v>
      </c>
      <c r="P45" s="243">
        <v>777723.01505323185</v>
      </c>
      <c r="Q45" s="69"/>
      <c r="R45" s="69"/>
      <c r="S45" s="69"/>
      <c r="T45" s="69"/>
      <c r="U45" s="69"/>
      <c r="V45" s="69"/>
      <c r="W45" s="69"/>
      <c r="X45" s="69"/>
      <c r="Y45" s="69"/>
    </row>
    <row r="46" spans="5:42" x14ac:dyDescent="0.25">
      <c r="E46" s="27"/>
      <c r="F46" s="62" t="s">
        <v>252</v>
      </c>
      <c r="G46" s="62" t="s">
        <v>251</v>
      </c>
      <c r="J46" s="69"/>
      <c r="K46" s="69"/>
      <c r="L46" s="69"/>
      <c r="M46" s="69"/>
      <c r="N46" s="243">
        <v>10216.002573144408</v>
      </c>
      <c r="O46" s="243">
        <v>14.253179251336862</v>
      </c>
      <c r="P46" s="243">
        <v>11531.55661425686</v>
      </c>
      <c r="Q46" s="69"/>
      <c r="R46" s="69"/>
      <c r="S46" s="69"/>
      <c r="T46" s="69"/>
      <c r="U46" s="69"/>
      <c r="V46" s="69"/>
      <c r="W46" s="69"/>
      <c r="X46" s="69"/>
      <c r="Y46" s="69"/>
    </row>
    <row r="47" spans="5:42" x14ac:dyDescent="0.25">
      <c r="E47" s="27"/>
      <c r="F47" s="70" t="s">
        <v>253</v>
      </c>
      <c r="G47" s="70" t="s">
        <v>254</v>
      </c>
      <c r="H47" s="28"/>
      <c r="I47" s="28"/>
      <c r="J47" s="71"/>
      <c r="K47" s="71"/>
      <c r="L47" s="71"/>
      <c r="M47" s="71"/>
      <c r="N47" s="245">
        <v>85351.832172338283</v>
      </c>
      <c r="O47" s="245">
        <v>418.73357936061552</v>
      </c>
      <c r="P47" s="245">
        <v>196244.90669001723</v>
      </c>
      <c r="Q47" s="71"/>
      <c r="R47" s="71"/>
      <c r="S47" s="71"/>
      <c r="T47" s="71"/>
      <c r="U47" s="71"/>
      <c r="V47" s="71"/>
      <c r="W47" s="71"/>
      <c r="X47" s="71"/>
      <c r="Y47" s="71"/>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247</v>
      </c>
      <c r="G50" s="68" t="s">
        <v>207</v>
      </c>
      <c r="H50" s="19"/>
      <c r="I50" s="19"/>
      <c r="J50" s="73"/>
      <c r="K50" s="73"/>
      <c r="L50" s="242">
        <v>55088.643756714708</v>
      </c>
      <c r="M50" s="73"/>
      <c r="N50" s="242">
        <v>48807.429834632159</v>
      </c>
      <c r="O50" s="242">
        <v>1468.3723943988352</v>
      </c>
      <c r="P50" s="242">
        <v>93822.760463445258</v>
      </c>
      <c r="Q50" s="73"/>
      <c r="R50" s="73"/>
      <c r="S50" s="73"/>
      <c r="T50" s="73"/>
      <c r="U50" s="73"/>
      <c r="V50" s="73"/>
      <c r="W50" s="73"/>
      <c r="X50" s="73"/>
      <c r="Y50" s="73"/>
    </row>
    <row r="51" spans="5:42" x14ac:dyDescent="0.25">
      <c r="E51" s="27"/>
      <c r="F51" s="62" t="s">
        <v>248</v>
      </c>
      <c r="G51" s="62" t="s">
        <v>207</v>
      </c>
      <c r="J51" s="69"/>
      <c r="K51" s="69"/>
      <c r="L51" s="243">
        <v>227723.03211118252</v>
      </c>
      <c r="M51" s="69"/>
      <c r="N51" s="243">
        <v>210572.76575436888</v>
      </c>
      <c r="O51" s="243">
        <v>5556.0406807975533</v>
      </c>
      <c r="P51" s="243">
        <v>373258.27575450274</v>
      </c>
      <c r="Q51" s="69"/>
      <c r="R51" s="69"/>
      <c r="S51" s="69"/>
      <c r="T51" s="69"/>
      <c r="U51" s="69"/>
      <c r="V51" s="69"/>
      <c r="W51" s="69"/>
      <c r="X51" s="69"/>
      <c r="Y51" s="69"/>
    </row>
    <row r="52" spans="5:42" x14ac:dyDescent="0.25">
      <c r="E52" s="27"/>
      <c r="F52" s="62" t="s">
        <v>249</v>
      </c>
      <c r="G52" s="62" t="s">
        <v>207</v>
      </c>
      <c r="J52" s="69"/>
      <c r="K52" s="69"/>
      <c r="L52" s="243">
        <v>250505.36836675779</v>
      </c>
      <c r="M52" s="69"/>
      <c r="N52" s="243">
        <v>302499.43171019055</v>
      </c>
      <c r="O52" s="243">
        <v>6845.7178717742199</v>
      </c>
      <c r="P52" s="243">
        <v>522132.38290945435</v>
      </c>
      <c r="Q52" s="69"/>
      <c r="R52" s="69"/>
      <c r="S52" s="69"/>
      <c r="T52" s="69"/>
      <c r="U52" s="69"/>
      <c r="V52" s="69"/>
      <c r="W52" s="69"/>
      <c r="X52" s="69"/>
      <c r="Y52" s="69"/>
    </row>
    <row r="53" spans="5:42" x14ac:dyDescent="0.25">
      <c r="E53" s="27"/>
      <c r="F53" s="62" t="s">
        <v>212</v>
      </c>
      <c r="G53" s="62" t="s">
        <v>212</v>
      </c>
      <c r="J53" s="69"/>
      <c r="K53" s="69"/>
      <c r="L53" s="243">
        <v>27924.327256355347</v>
      </c>
      <c r="M53" s="69"/>
      <c r="N53" s="243">
        <v>1823.7623385197005</v>
      </c>
      <c r="O53" s="243">
        <v>30.801026855796401</v>
      </c>
      <c r="P53" s="243">
        <v>298.4485717855971</v>
      </c>
      <c r="Q53" s="69"/>
      <c r="R53" s="69"/>
      <c r="S53" s="69"/>
      <c r="T53" s="69"/>
      <c r="U53" s="69"/>
      <c r="V53" s="69"/>
      <c r="W53" s="69"/>
      <c r="X53" s="69"/>
      <c r="Y53" s="69"/>
    </row>
    <row r="54" spans="5:42" x14ac:dyDescent="0.25">
      <c r="E54" s="27"/>
      <c r="F54" s="62" t="s">
        <v>250</v>
      </c>
      <c r="G54" s="62" t="s">
        <v>251</v>
      </c>
      <c r="J54" s="69"/>
      <c r="K54" s="69"/>
      <c r="L54" s="69"/>
      <c r="M54" s="69"/>
      <c r="N54" s="243">
        <v>336712.69569263258</v>
      </c>
      <c r="O54" s="243">
        <v>5579.2821262040925</v>
      </c>
      <c r="P54" s="243">
        <v>407078.88999769877</v>
      </c>
      <c r="Q54" s="69"/>
      <c r="R54" s="69"/>
      <c r="S54" s="69"/>
      <c r="T54" s="69"/>
      <c r="U54" s="69"/>
      <c r="V54" s="69"/>
      <c r="W54" s="69"/>
      <c r="X54" s="69"/>
      <c r="Y54" s="69"/>
    </row>
    <row r="55" spans="5:42" x14ac:dyDescent="0.25">
      <c r="E55" s="27"/>
      <c r="F55" s="62" t="s">
        <v>252</v>
      </c>
      <c r="G55" s="62" t="s">
        <v>251</v>
      </c>
      <c r="J55" s="69"/>
      <c r="K55" s="69"/>
      <c r="L55" s="69"/>
      <c r="M55" s="69"/>
      <c r="N55" s="243">
        <v>5674.7776906022964</v>
      </c>
      <c r="O55" s="243">
        <v>26.931335412536932</v>
      </c>
      <c r="P55" s="243">
        <v>6046.0846332229867</v>
      </c>
      <c r="Q55" s="69"/>
      <c r="R55" s="69"/>
      <c r="S55" s="69"/>
      <c r="T55" s="69"/>
      <c r="U55" s="69"/>
      <c r="V55" s="69"/>
      <c r="W55" s="69"/>
      <c r="X55" s="69"/>
      <c r="Y55" s="69"/>
    </row>
    <row r="56" spans="5:42" x14ac:dyDescent="0.25">
      <c r="E56" s="27"/>
      <c r="F56" s="70" t="s">
        <v>253</v>
      </c>
      <c r="G56" s="70" t="s">
        <v>254</v>
      </c>
      <c r="H56" s="28"/>
      <c r="I56" s="28"/>
      <c r="J56" s="71"/>
      <c r="K56" s="71"/>
      <c r="L56" s="71"/>
      <c r="M56" s="71"/>
      <c r="N56" s="245">
        <v>46867.455293587234</v>
      </c>
      <c r="O56" s="245">
        <v>761.73334007584276</v>
      </c>
      <c r="P56" s="245">
        <v>107247.67455511968</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247</v>
      </c>
      <c r="G59" s="68" t="s">
        <v>207</v>
      </c>
      <c r="H59" s="19"/>
      <c r="I59" s="19"/>
      <c r="J59" s="73"/>
      <c r="K59" s="73"/>
      <c r="L59" s="242">
        <v>183892.94247197083</v>
      </c>
      <c r="M59" s="73"/>
      <c r="N59" s="242">
        <v>48155.848578831639</v>
      </c>
      <c r="O59" s="242">
        <v>16738.581298928457</v>
      </c>
      <c r="P59" s="242">
        <v>294231.95653909474</v>
      </c>
      <c r="Q59" s="73"/>
      <c r="R59" s="73"/>
      <c r="S59" s="73"/>
      <c r="T59" s="73"/>
      <c r="U59" s="73"/>
      <c r="V59" s="73"/>
      <c r="W59" s="73"/>
      <c r="X59" s="73"/>
      <c r="Y59" s="73"/>
    </row>
    <row r="60" spans="5:42" x14ac:dyDescent="0.25">
      <c r="E60" s="27"/>
      <c r="F60" s="62" t="s">
        <v>248</v>
      </c>
      <c r="G60" s="62" t="s">
        <v>207</v>
      </c>
      <c r="J60" s="69"/>
      <c r="K60" s="69"/>
      <c r="L60" s="243">
        <v>760168.6225658831</v>
      </c>
      <c r="M60" s="69"/>
      <c r="N60" s="243">
        <v>207761.61041157588</v>
      </c>
      <c r="O60" s="243">
        <v>63335.594560641948</v>
      </c>
      <c r="P60" s="243">
        <v>1170552.9897774169</v>
      </c>
      <c r="Q60" s="69"/>
      <c r="R60" s="69"/>
      <c r="S60" s="69"/>
      <c r="T60" s="69"/>
      <c r="U60" s="69"/>
      <c r="V60" s="69"/>
      <c r="W60" s="69"/>
      <c r="X60" s="69"/>
      <c r="Y60" s="69"/>
    </row>
    <row r="61" spans="5:42" x14ac:dyDescent="0.25">
      <c r="E61" s="27"/>
      <c r="F61" s="62" t="s">
        <v>249</v>
      </c>
      <c r="G61" s="62" t="s">
        <v>207</v>
      </c>
      <c r="J61" s="69"/>
      <c r="K61" s="69"/>
      <c r="L61" s="243">
        <v>836218.97640878276</v>
      </c>
      <c r="M61" s="69"/>
      <c r="N61" s="243">
        <v>298461.05148282577</v>
      </c>
      <c r="O61" s="243">
        <v>78037.155685655249</v>
      </c>
      <c r="P61" s="243">
        <v>1637428.1873290681</v>
      </c>
      <c r="Q61" s="69"/>
      <c r="R61" s="69"/>
      <c r="S61" s="69"/>
      <c r="T61" s="69"/>
      <c r="U61" s="69"/>
      <c r="V61" s="69"/>
      <c r="W61" s="69"/>
      <c r="X61" s="69"/>
      <c r="Y61" s="69"/>
    </row>
    <row r="62" spans="5:42" x14ac:dyDescent="0.25">
      <c r="E62" s="27"/>
      <c r="F62" s="62" t="s">
        <v>212</v>
      </c>
      <c r="G62" s="62" t="s">
        <v>212</v>
      </c>
      <c r="J62" s="69"/>
      <c r="K62" s="69"/>
      <c r="L62" s="243">
        <v>28149.945828907057</v>
      </c>
      <c r="M62" s="69"/>
      <c r="N62" s="243">
        <v>1095.576983747472</v>
      </c>
      <c r="O62" s="243">
        <v>235.76623358607674</v>
      </c>
      <c r="P62" s="243">
        <v>300.46365168995504</v>
      </c>
      <c r="Q62" s="69"/>
      <c r="R62" s="69"/>
      <c r="S62" s="69"/>
      <c r="T62" s="69"/>
      <c r="U62" s="69"/>
      <c r="V62" s="69"/>
      <c r="W62" s="69"/>
      <c r="X62" s="69"/>
      <c r="Y62" s="69"/>
    </row>
    <row r="63" spans="5:42" x14ac:dyDescent="0.25">
      <c r="E63" s="27"/>
      <c r="F63" s="62" t="s">
        <v>250</v>
      </c>
      <c r="G63" s="62" t="s">
        <v>251</v>
      </c>
      <c r="J63" s="69"/>
      <c r="K63" s="69"/>
      <c r="L63" s="69"/>
      <c r="M63" s="69"/>
      <c r="N63" s="243">
        <v>341121.31598836888</v>
      </c>
      <c r="O63" s="243">
        <v>112225.79140230623</v>
      </c>
      <c r="P63" s="243">
        <v>1202874.0697539097</v>
      </c>
      <c r="Q63" s="69"/>
      <c r="R63" s="69"/>
      <c r="S63" s="69"/>
      <c r="T63" s="69"/>
      <c r="U63" s="69"/>
      <c r="V63" s="69"/>
      <c r="W63" s="69"/>
      <c r="X63" s="69"/>
      <c r="Y63" s="69"/>
    </row>
    <row r="64" spans="5:42" x14ac:dyDescent="0.25">
      <c r="E64" s="27"/>
      <c r="F64" s="62" t="s">
        <v>252</v>
      </c>
      <c r="G64" s="62" t="s">
        <v>251</v>
      </c>
      <c r="J64" s="69"/>
      <c r="K64" s="69"/>
      <c r="L64" s="69"/>
      <c r="M64" s="69"/>
      <c r="N64" s="243">
        <v>5752.8548351043901</v>
      </c>
      <c r="O64" s="243">
        <v>521.16630376305068</v>
      </c>
      <c r="P64" s="243">
        <v>17799.936822194777</v>
      </c>
      <c r="Q64" s="69"/>
      <c r="R64" s="69"/>
      <c r="S64" s="69"/>
      <c r="T64" s="69"/>
      <c r="U64" s="69"/>
      <c r="V64" s="69"/>
      <c r="W64" s="69"/>
      <c r="X64" s="69"/>
      <c r="Y64" s="69"/>
    </row>
    <row r="65" spans="4:43" x14ac:dyDescent="0.25">
      <c r="E65" s="27"/>
      <c r="F65" s="70" t="s">
        <v>253</v>
      </c>
      <c r="G65" s="70" t="s">
        <v>254</v>
      </c>
      <c r="H65" s="28"/>
      <c r="I65" s="28"/>
      <c r="J65" s="71"/>
      <c r="K65" s="71"/>
      <c r="L65" s="71"/>
      <c r="M65" s="71"/>
      <c r="N65" s="245">
        <v>46264.229682489466</v>
      </c>
      <c r="O65" s="245">
        <v>8829.7904068843709</v>
      </c>
      <c r="P65" s="245">
        <v>336333.02796409954</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154</v>
      </c>
      <c r="AQ67" t="s">
        <v>246</v>
      </c>
    </row>
    <row r="68" spans="4:43" x14ac:dyDescent="0.25">
      <c r="G68" s="12"/>
    </row>
    <row r="69" spans="4:43" x14ac:dyDescent="0.25">
      <c r="E69" s="27" t="s">
        <v>905</v>
      </c>
      <c r="G69" s="12"/>
    </row>
    <row r="70" spans="4:43" x14ac:dyDescent="0.25">
      <c r="E70" s="27"/>
      <c r="F70" s="68" t="s">
        <v>247</v>
      </c>
      <c r="G70" s="68" t="s">
        <v>207</v>
      </c>
      <c r="H70" s="19"/>
      <c r="I70" s="19"/>
      <c r="J70" s="73"/>
      <c r="K70" s="242">
        <v>0</v>
      </c>
      <c r="L70" s="242">
        <v>0</v>
      </c>
      <c r="M70" s="242">
        <v>0</v>
      </c>
      <c r="N70" s="242">
        <v>0</v>
      </c>
      <c r="O70" s="73"/>
      <c r="P70" s="73"/>
      <c r="Q70" s="73"/>
      <c r="R70" s="242">
        <v>4.2797216354836163</v>
      </c>
      <c r="S70" s="73"/>
      <c r="T70" s="242">
        <v>0</v>
      </c>
      <c r="U70" s="73"/>
      <c r="V70" s="73"/>
      <c r="W70" s="73"/>
      <c r="X70" s="73"/>
      <c r="Y70" s="73"/>
    </row>
    <row r="71" spans="4:43" x14ac:dyDescent="0.25">
      <c r="E71" s="27"/>
      <c r="F71" s="62" t="s">
        <v>248</v>
      </c>
      <c r="G71" s="62" t="s">
        <v>207</v>
      </c>
      <c r="J71" s="69"/>
      <c r="K71" s="243">
        <v>0</v>
      </c>
      <c r="L71" s="243">
        <v>0</v>
      </c>
      <c r="M71" s="243">
        <v>0</v>
      </c>
      <c r="N71" s="243">
        <v>0</v>
      </c>
      <c r="O71" s="69"/>
      <c r="P71" s="69"/>
      <c r="Q71" s="69"/>
      <c r="R71" s="244">
        <v>18.271397198392478</v>
      </c>
      <c r="S71" s="69"/>
      <c r="T71" s="243">
        <v>0</v>
      </c>
      <c r="U71" s="69"/>
      <c r="V71" s="69"/>
      <c r="W71" s="69"/>
      <c r="X71" s="69"/>
      <c r="Y71" s="69"/>
    </row>
    <row r="72" spans="4:43" x14ac:dyDescent="0.25">
      <c r="E72" s="27"/>
      <c r="F72" s="62" t="s">
        <v>249</v>
      </c>
      <c r="G72" s="62" t="s">
        <v>207</v>
      </c>
      <c r="J72" s="69"/>
      <c r="K72" s="243">
        <v>0</v>
      </c>
      <c r="L72" s="243">
        <v>0</v>
      </c>
      <c r="M72" s="243">
        <v>0</v>
      </c>
      <c r="N72" s="243">
        <v>0</v>
      </c>
      <c r="O72" s="69"/>
      <c r="P72" s="69"/>
      <c r="Q72" s="69"/>
      <c r="R72" s="244">
        <v>10.408381166123906</v>
      </c>
      <c r="S72" s="69"/>
      <c r="T72" s="243">
        <v>0</v>
      </c>
      <c r="U72" s="69"/>
      <c r="V72" s="69"/>
      <c r="W72" s="69"/>
      <c r="X72" s="69"/>
      <c r="Y72" s="69"/>
    </row>
    <row r="73" spans="4:43" x14ac:dyDescent="0.25">
      <c r="E73" s="27"/>
      <c r="F73" s="62" t="s">
        <v>212</v>
      </c>
      <c r="G73" s="62" t="s">
        <v>212</v>
      </c>
      <c r="J73" s="69"/>
      <c r="K73" s="243">
        <v>0</v>
      </c>
      <c r="L73" s="243">
        <v>0</v>
      </c>
      <c r="M73" s="243">
        <v>0</v>
      </c>
      <c r="N73" s="243">
        <v>0</v>
      </c>
      <c r="O73" s="69"/>
      <c r="P73" s="69"/>
      <c r="Q73" s="69"/>
      <c r="R73" s="243">
        <v>0</v>
      </c>
      <c r="S73" s="69"/>
      <c r="T73" s="243">
        <v>0</v>
      </c>
      <c r="U73" s="69"/>
      <c r="V73" s="69"/>
      <c r="W73" s="69"/>
      <c r="X73" s="69"/>
      <c r="Y73" s="69"/>
    </row>
    <row r="74" spans="4:43" x14ac:dyDescent="0.25">
      <c r="E74" s="27"/>
      <c r="F74" s="62" t="s">
        <v>250</v>
      </c>
      <c r="G74" s="62" t="s">
        <v>251</v>
      </c>
      <c r="J74" s="69"/>
      <c r="K74" s="69"/>
      <c r="L74" s="69"/>
      <c r="M74" s="69"/>
      <c r="N74" s="243">
        <v>0</v>
      </c>
      <c r="O74" s="69"/>
      <c r="P74" s="69"/>
      <c r="Q74" s="69"/>
      <c r="R74" s="69"/>
      <c r="S74" s="69"/>
      <c r="T74" s="69"/>
      <c r="U74" s="69"/>
      <c r="V74" s="69"/>
      <c r="W74" s="69"/>
      <c r="X74" s="69"/>
      <c r="Y74" s="69"/>
    </row>
    <row r="75" spans="4:43" x14ac:dyDescent="0.25">
      <c r="E75" s="27"/>
      <c r="F75" s="62" t="s">
        <v>252</v>
      </c>
      <c r="G75" s="62" t="s">
        <v>251</v>
      </c>
      <c r="J75" s="69"/>
      <c r="K75" s="69"/>
      <c r="L75" s="69"/>
      <c r="M75" s="69"/>
      <c r="N75" s="243">
        <v>0</v>
      </c>
      <c r="O75" s="69"/>
      <c r="P75" s="69"/>
      <c r="Q75" s="69"/>
      <c r="R75" s="69"/>
      <c r="S75" s="69"/>
      <c r="T75" s="69"/>
      <c r="U75" s="69"/>
      <c r="V75" s="69"/>
      <c r="W75" s="69"/>
      <c r="X75" s="69"/>
      <c r="Y75" s="69"/>
    </row>
    <row r="76" spans="4:43" x14ac:dyDescent="0.25">
      <c r="E76" s="27"/>
      <c r="F76" s="70" t="s">
        <v>253</v>
      </c>
      <c r="G76" s="70" t="s">
        <v>254</v>
      </c>
      <c r="H76" s="28"/>
      <c r="I76" s="28"/>
      <c r="J76" s="71"/>
      <c r="K76" s="71"/>
      <c r="L76" s="71"/>
      <c r="M76" s="71"/>
      <c r="N76" s="245">
        <v>0</v>
      </c>
      <c r="O76" s="71"/>
      <c r="P76" s="71"/>
      <c r="Q76" s="71"/>
      <c r="R76" s="71"/>
      <c r="S76" s="71"/>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247</v>
      </c>
      <c r="G79" s="68" t="s">
        <v>207</v>
      </c>
      <c r="H79" s="19"/>
      <c r="I79" s="19"/>
      <c r="J79" s="242">
        <v>15700.93913512329</v>
      </c>
      <c r="K79" s="73"/>
      <c r="L79" s="242">
        <v>32.41484239613461</v>
      </c>
      <c r="M79" s="73"/>
      <c r="N79" s="242">
        <v>668.45656969807692</v>
      </c>
      <c r="O79" s="73"/>
      <c r="P79" s="73"/>
      <c r="Q79" s="242">
        <v>5.2803435811820503</v>
      </c>
      <c r="R79" s="73"/>
      <c r="S79" s="73"/>
      <c r="T79" s="73"/>
      <c r="U79" s="73"/>
      <c r="V79" s="73"/>
      <c r="W79" s="73"/>
      <c r="X79" s="73"/>
      <c r="Y79" s="73"/>
    </row>
    <row r="80" spans="4:43" x14ac:dyDescent="0.25">
      <c r="E80" s="27"/>
      <c r="F80" s="62" t="s">
        <v>248</v>
      </c>
      <c r="G80" s="62" t="s">
        <v>207</v>
      </c>
      <c r="J80" s="243">
        <v>43000</v>
      </c>
      <c r="K80" s="69"/>
      <c r="L80" s="243">
        <v>139.32841347950537</v>
      </c>
      <c r="M80" s="319"/>
      <c r="N80" s="243">
        <v>3440.4096256757143</v>
      </c>
      <c r="O80" s="69"/>
      <c r="P80" s="69"/>
      <c r="Q80" s="244">
        <v>261.68480590474331</v>
      </c>
      <c r="R80" s="69"/>
      <c r="S80" s="69"/>
      <c r="T80" s="69"/>
      <c r="U80" s="69"/>
      <c r="V80" s="69"/>
      <c r="W80" s="69"/>
      <c r="X80" s="69"/>
      <c r="Y80" s="69"/>
    </row>
    <row r="81" spans="5:42" x14ac:dyDescent="0.25">
      <c r="E81" s="27"/>
      <c r="F81" s="62" t="s">
        <v>249</v>
      </c>
      <c r="G81" s="62" t="s">
        <v>207</v>
      </c>
      <c r="J81" s="243">
        <v>56000</v>
      </c>
      <c r="K81" s="69"/>
      <c r="L81" s="243">
        <v>137.96965750332501</v>
      </c>
      <c r="M81" s="319"/>
      <c r="N81" s="243">
        <v>4811.7617142317686</v>
      </c>
      <c r="O81" s="69"/>
      <c r="P81" s="69"/>
      <c r="Q81" s="244">
        <v>406.83426130782453</v>
      </c>
      <c r="R81" s="69"/>
      <c r="S81" s="69"/>
      <c r="T81" s="69"/>
      <c r="U81" s="69"/>
      <c r="V81" s="69"/>
      <c r="W81" s="69"/>
      <c r="X81" s="69"/>
      <c r="Y81" s="69"/>
    </row>
    <row r="82" spans="5:42" x14ac:dyDescent="0.25">
      <c r="E82" s="27"/>
      <c r="F82" s="62" t="s">
        <v>212</v>
      </c>
      <c r="G82" s="62" t="s">
        <v>212</v>
      </c>
      <c r="J82" s="243">
        <v>37574.316939890712</v>
      </c>
      <c r="K82" s="69"/>
      <c r="L82" s="243">
        <v>172.96524592468162</v>
      </c>
      <c r="M82" s="319"/>
      <c r="N82" s="243">
        <v>53.908180822924486</v>
      </c>
      <c r="O82" s="69"/>
      <c r="P82" s="69"/>
      <c r="Q82" s="243">
        <v>0</v>
      </c>
      <c r="R82" s="69"/>
      <c r="S82" s="69"/>
      <c r="T82" s="69"/>
      <c r="U82" s="69"/>
      <c r="V82" s="69"/>
      <c r="W82" s="69"/>
      <c r="X82" s="69"/>
      <c r="Y82" s="69"/>
    </row>
    <row r="83" spans="5:42" x14ac:dyDescent="0.25">
      <c r="E83" s="27"/>
      <c r="F83" s="62" t="s">
        <v>250</v>
      </c>
      <c r="G83" s="62" t="s">
        <v>251</v>
      </c>
      <c r="J83" s="69"/>
      <c r="K83" s="69"/>
      <c r="L83" s="69"/>
      <c r="M83" s="319"/>
      <c r="N83" s="243">
        <v>4295.3339766001109</v>
      </c>
      <c r="O83" s="69"/>
      <c r="P83" s="69"/>
      <c r="Q83" s="69"/>
      <c r="R83" s="69"/>
      <c r="S83" s="69"/>
      <c r="T83" s="69"/>
      <c r="U83" s="69"/>
      <c r="V83" s="69"/>
      <c r="W83" s="69"/>
      <c r="X83" s="69"/>
      <c r="Y83" s="69"/>
    </row>
    <row r="84" spans="5:42" x14ac:dyDescent="0.25">
      <c r="E84" s="27"/>
      <c r="F84" s="62" t="s">
        <v>252</v>
      </c>
      <c r="G84" s="62" t="s">
        <v>251</v>
      </c>
      <c r="J84" s="69"/>
      <c r="K84" s="69"/>
      <c r="L84" s="69"/>
      <c r="M84" s="319"/>
      <c r="N84" s="243">
        <v>5.4947726800825611</v>
      </c>
      <c r="O84" s="69"/>
      <c r="P84" s="69"/>
      <c r="Q84" s="69"/>
      <c r="R84" s="69"/>
      <c r="S84" s="69"/>
      <c r="T84" s="69"/>
      <c r="U84" s="69"/>
      <c r="V84" s="69"/>
      <c r="W84" s="69"/>
      <c r="X84" s="69"/>
      <c r="Y84" s="69"/>
    </row>
    <row r="85" spans="5:42" x14ac:dyDescent="0.25">
      <c r="E85" s="27"/>
      <c r="F85" s="70" t="s">
        <v>253</v>
      </c>
      <c r="G85" s="70" t="s">
        <v>254</v>
      </c>
      <c r="H85" s="28"/>
      <c r="I85" s="28"/>
      <c r="J85" s="71"/>
      <c r="K85" s="71"/>
      <c r="L85" s="71"/>
      <c r="M85" s="71"/>
      <c r="N85" s="245">
        <v>522.97973469705812</v>
      </c>
      <c r="O85" s="71"/>
      <c r="P85" s="71"/>
      <c r="Q85" s="71"/>
      <c r="R85" s="71"/>
      <c r="S85" s="71"/>
      <c r="T85" s="71"/>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247</v>
      </c>
      <c r="G88" s="68" t="s">
        <v>207</v>
      </c>
      <c r="H88" s="19"/>
      <c r="I88" s="19"/>
      <c r="J88" s="73"/>
      <c r="K88" s="73"/>
      <c r="L88" s="242">
        <v>121.52279159569919</v>
      </c>
      <c r="M88" s="73"/>
      <c r="N88" s="242">
        <v>1008.9891900732774</v>
      </c>
      <c r="O88" s="73"/>
      <c r="P88" s="73"/>
      <c r="Q88" s="73"/>
      <c r="R88" s="73"/>
      <c r="S88" s="73"/>
      <c r="T88" s="73"/>
      <c r="U88" s="73"/>
      <c r="V88" s="73"/>
      <c r="W88" s="73"/>
      <c r="X88" s="73"/>
      <c r="Y88" s="73"/>
    </row>
    <row r="89" spans="5:42" x14ac:dyDescent="0.25">
      <c r="E89" s="27"/>
      <c r="F89" s="62" t="s">
        <v>248</v>
      </c>
      <c r="G89" s="62" t="s">
        <v>207</v>
      </c>
      <c r="J89" s="69"/>
      <c r="K89" s="69"/>
      <c r="L89" s="243">
        <v>522.34027695437408</v>
      </c>
      <c r="M89" s="69"/>
      <c r="N89" s="243">
        <v>5193.0615676329608</v>
      </c>
      <c r="O89" s="69"/>
      <c r="P89" s="69"/>
      <c r="Q89" s="69"/>
      <c r="R89" s="69"/>
      <c r="S89" s="69"/>
      <c r="T89" s="69"/>
      <c r="U89" s="69"/>
      <c r="V89" s="69"/>
      <c r="W89" s="69"/>
      <c r="X89" s="69"/>
      <c r="Y89" s="69"/>
    </row>
    <row r="90" spans="5:42" x14ac:dyDescent="0.25">
      <c r="E90" s="27"/>
      <c r="F90" s="62" t="s">
        <v>249</v>
      </c>
      <c r="G90" s="62" t="s">
        <v>207</v>
      </c>
      <c r="J90" s="69"/>
      <c r="K90" s="69"/>
      <c r="L90" s="243">
        <v>517.2463197694251</v>
      </c>
      <c r="M90" s="69"/>
      <c r="N90" s="243">
        <v>7263.0231715146301</v>
      </c>
      <c r="O90" s="69"/>
      <c r="P90" s="69"/>
      <c r="Q90" s="69"/>
      <c r="R90" s="69"/>
      <c r="S90" s="69"/>
      <c r="T90" s="69"/>
      <c r="U90" s="69"/>
      <c r="V90" s="69"/>
      <c r="W90" s="69"/>
      <c r="X90" s="69"/>
      <c r="Y90" s="69"/>
    </row>
    <row r="91" spans="5:42" x14ac:dyDescent="0.25">
      <c r="E91" s="27"/>
      <c r="F91" s="62" t="s">
        <v>212</v>
      </c>
      <c r="G91" s="62" t="s">
        <v>212</v>
      </c>
      <c r="J91" s="69"/>
      <c r="K91" s="69"/>
      <c r="L91" s="243">
        <v>130.20340689114636</v>
      </c>
      <c r="M91" s="69"/>
      <c r="N91" s="243">
        <v>43.279355249648667</v>
      </c>
      <c r="O91" s="69"/>
      <c r="P91" s="69"/>
      <c r="Q91" s="69"/>
      <c r="R91" s="69"/>
      <c r="S91" s="69"/>
      <c r="T91" s="69"/>
      <c r="U91" s="69"/>
      <c r="V91" s="69"/>
      <c r="W91" s="69"/>
      <c r="X91" s="69"/>
      <c r="Y91" s="69"/>
    </row>
    <row r="92" spans="5:42" x14ac:dyDescent="0.25">
      <c r="E92" s="27"/>
      <c r="F92" s="62" t="s">
        <v>250</v>
      </c>
      <c r="G92" s="62" t="s">
        <v>251</v>
      </c>
      <c r="J92" s="69"/>
      <c r="K92" s="69"/>
      <c r="L92" s="69"/>
      <c r="M92" s="69"/>
      <c r="N92" s="243">
        <v>8343.1829877400141</v>
      </c>
      <c r="O92" s="69"/>
      <c r="P92" s="69"/>
      <c r="Q92" s="69"/>
      <c r="R92" s="69"/>
      <c r="S92" s="69"/>
      <c r="T92" s="69"/>
      <c r="U92" s="69"/>
      <c r="V92" s="69"/>
      <c r="W92" s="69"/>
      <c r="X92" s="69"/>
      <c r="Y92" s="69"/>
    </row>
    <row r="93" spans="5:42" x14ac:dyDescent="0.25">
      <c r="E93" s="27"/>
      <c r="F93" s="62" t="s">
        <v>252</v>
      </c>
      <c r="G93" s="62" t="s">
        <v>251</v>
      </c>
      <c r="J93" s="69"/>
      <c r="K93" s="69"/>
      <c r="L93" s="69"/>
      <c r="M93" s="69"/>
      <c r="N93" s="243">
        <v>10.672952137298129</v>
      </c>
      <c r="O93" s="69"/>
      <c r="P93" s="69"/>
      <c r="Q93" s="69"/>
      <c r="R93" s="69"/>
      <c r="S93" s="69"/>
      <c r="T93" s="69"/>
      <c r="U93" s="69"/>
      <c r="V93" s="69"/>
      <c r="W93" s="69"/>
      <c r="X93" s="69"/>
      <c r="Y93" s="69"/>
    </row>
    <row r="94" spans="5:42" x14ac:dyDescent="0.25">
      <c r="E94" s="27"/>
      <c r="F94" s="70" t="s">
        <v>253</v>
      </c>
      <c r="G94" s="70" t="s">
        <v>254</v>
      </c>
      <c r="H94" s="28"/>
      <c r="I94" s="28"/>
      <c r="J94" s="71"/>
      <c r="K94" s="71"/>
      <c r="L94" s="71"/>
      <c r="M94" s="71"/>
      <c r="N94" s="245">
        <v>789.40191907315807</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247</v>
      </c>
      <c r="G97" s="68" t="s">
        <v>207</v>
      </c>
      <c r="H97" s="19"/>
      <c r="I97" s="19"/>
      <c r="J97" s="73"/>
      <c r="K97" s="73"/>
      <c r="L97" s="242">
        <v>151.47749760134965</v>
      </c>
      <c r="M97" s="73"/>
      <c r="N97" s="242">
        <v>554.17349706479604</v>
      </c>
      <c r="O97" s="73"/>
      <c r="P97" s="73"/>
      <c r="Q97" s="73"/>
      <c r="R97" s="73"/>
      <c r="S97" s="73"/>
      <c r="T97" s="73"/>
      <c r="U97" s="73"/>
      <c r="V97" s="73"/>
      <c r="W97" s="73"/>
      <c r="X97" s="73"/>
      <c r="Y97" s="73"/>
    </row>
    <row r="98" spans="5:42" x14ac:dyDescent="0.25">
      <c r="E98" s="27"/>
      <c r="F98" s="62" t="s">
        <v>248</v>
      </c>
      <c r="G98" s="62" t="s">
        <v>207</v>
      </c>
      <c r="J98" s="69"/>
      <c r="K98" s="69"/>
      <c r="L98" s="243">
        <v>651.09430922787283</v>
      </c>
      <c r="M98" s="69"/>
      <c r="N98" s="243">
        <v>2852.2179600347808</v>
      </c>
      <c r="O98" s="69"/>
      <c r="P98" s="69"/>
      <c r="Q98" s="69"/>
      <c r="R98" s="69"/>
      <c r="S98" s="69"/>
      <c r="T98" s="69"/>
      <c r="U98" s="69"/>
      <c r="V98" s="69"/>
      <c r="W98" s="69"/>
      <c r="X98" s="69"/>
      <c r="Y98" s="69"/>
    </row>
    <row r="99" spans="5:42" x14ac:dyDescent="0.25">
      <c r="E99" s="27"/>
      <c r="F99" s="62" t="s">
        <v>249</v>
      </c>
      <c r="G99" s="62" t="s">
        <v>207</v>
      </c>
      <c r="J99" s="69"/>
      <c r="K99" s="69"/>
      <c r="L99" s="243">
        <v>644.74471935150109</v>
      </c>
      <c r="M99" s="69"/>
      <c r="N99" s="243">
        <v>3989.1160280206727</v>
      </c>
      <c r="O99" s="69"/>
      <c r="P99" s="69"/>
      <c r="Q99" s="69"/>
      <c r="R99" s="69"/>
      <c r="S99" s="69"/>
      <c r="T99" s="69"/>
      <c r="U99" s="69"/>
      <c r="V99" s="69"/>
      <c r="W99" s="69"/>
      <c r="X99" s="69"/>
      <c r="Y99" s="69"/>
    </row>
    <row r="100" spans="5:42" x14ac:dyDescent="0.25">
      <c r="E100" s="27"/>
      <c r="F100" s="62" t="s">
        <v>212</v>
      </c>
      <c r="G100" s="62" t="s">
        <v>212</v>
      </c>
      <c r="J100" s="69"/>
      <c r="K100" s="69"/>
      <c r="L100" s="243">
        <v>67.907505176178901</v>
      </c>
      <c r="M100" s="69"/>
      <c r="N100" s="243">
        <v>15.043353766649165</v>
      </c>
      <c r="O100" s="69"/>
      <c r="P100" s="69"/>
      <c r="Q100" s="69"/>
      <c r="R100" s="69"/>
      <c r="S100" s="69"/>
      <c r="T100" s="69"/>
      <c r="U100" s="69"/>
      <c r="V100" s="69"/>
      <c r="W100" s="69"/>
      <c r="X100" s="69"/>
      <c r="Y100" s="69"/>
    </row>
    <row r="101" spans="5:42" x14ac:dyDescent="0.25">
      <c r="E101" s="27"/>
      <c r="F101" s="62" t="s">
        <v>250</v>
      </c>
      <c r="G101" s="62" t="s">
        <v>251</v>
      </c>
      <c r="J101" s="69"/>
      <c r="K101" s="69"/>
      <c r="L101" s="69"/>
      <c r="M101" s="69"/>
      <c r="N101" s="243">
        <v>4634.465227319045</v>
      </c>
      <c r="O101" s="69"/>
      <c r="P101" s="69"/>
      <c r="Q101" s="69"/>
      <c r="R101" s="69"/>
      <c r="S101" s="69"/>
      <c r="T101" s="69"/>
      <c r="U101" s="69"/>
      <c r="V101" s="69"/>
      <c r="W101" s="69"/>
      <c r="X101" s="69"/>
      <c r="Y101" s="69"/>
    </row>
    <row r="102" spans="5:42" x14ac:dyDescent="0.25">
      <c r="E102" s="27"/>
      <c r="F102" s="62" t="s">
        <v>252</v>
      </c>
      <c r="G102" s="62" t="s">
        <v>251</v>
      </c>
      <c r="J102" s="69"/>
      <c r="K102" s="69"/>
      <c r="L102" s="69"/>
      <c r="M102" s="69"/>
      <c r="N102" s="243">
        <v>5.9286037026675853</v>
      </c>
      <c r="O102" s="69"/>
      <c r="P102" s="69"/>
      <c r="Q102" s="69"/>
      <c r="R102" s="69"/>
      <c r="S102" s="69"/>
      <c r="T102" s="69"/>
      <c r="U102" s="69"/>
      <c r="V102" s="69"/>
      <c r="W102" s="69"/>
      <c r="X102" s="69"/>
      <c r="Y102" s="69"/>
    </row>
    <row r="103" spans="5:42" x14ac:dyDescent="0.25">
      <c r="E103" s="27"/>
      <c r="F103" s="70" t="s">
        <v>253</v>
      </c>
      <c r="G103" s="70" t="s">
        <v>254</v>
      </c>
      <c r="H103" s="28"/>
      <c r="I103" s="28"/>
      <c r="J103" s="71"/>
      <c r="K103" s="71"/>
      <c r="L103" s="71"/>
      <c r="M103" s="71"/>
      <c r="N103" s="245">
        <v>433.56819516635488</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247</v>
      </c>
      <c r="G106" s="68" t="s">
        <v>207</v>
      </c>
      <c r="H106" s="19"/>
      <c r="I106" s="19"/>
      <c r="J106" s="73"/>
      <c r="K106" s="73"/>
      <c r="L106" s="242">
        <v>505.65127134406521</v>
      </c>
      <c r="M106" s="73"/>
      <c r="N106" s="242">
        <v>546.80831043502201</v>
      </c>
      <c r="O106" s="73"/>
      <c r="P106" s="73"/>
      <c r="Q106" s="73"/>
      <c r="R106" s="73"/>
      <c r="S106" s="73"/>
      <c r="T106" s="73"/>
      <c r="U106" s="73"/>
      <c r="V106" s="73"/>
      <c r="W106" s="73"/>
      <c r="X106" s="73"/>
      <c r="Y106" s="73"/>
    </row>
    <row r="107" spans="5:42" x14ac:dyDescent="0.25">
      <c r="E107" s="27"/>
      <c r="F107" s="62" t="s">
        <v>248</v>
      </c>
      <c r="G107" s="62" t="s">
        <v>207</v>
      </c>
      <c r="J107" s="69"/>
      <c r="K107" s="69"/>
      <c r="L107" s="243">
        <v>2173.4361237759613</v>
      </c>
      <c r="M107" s="69"/>
      <c r="N107" s="243">
        <v>2814.3108466565441</v>
      </c>
      <c r="O107" s="69"/>
      <c r="P107" s="69"/>
      <c r="Q107" s="69"/>
      <c r="R107" s="69"/>
      <c r="S107" s="69"/>
      <c r="T107" s="69"/>
      <c r="U107" s="69"/>
      <c r="V107" s="69"/>
      <c r="W107" s="69"/>
      <c r="X107" s="69"/>
      <c r="Y107" s="69"/>
    </row>
    <row r="108" spans="5:42" x14ac:dyDescent="0.25">
      <c r="E108" s="27"/>
      <c r="F108" s="62" t="s">
        <v>249</v>
      </c>
      <c r="G108" s="62" t="s">
        <v>207</v>
      </c>
      <c r="J108" s="69"/>
      <c r="K108" s="69"/>
      <c r="L108" s="243">
        <v>2152.2403802210306</v>
      </c>
      <c r="M108" s="69"/>
      <c r="N108" s="243">
        <v>3936.0990862329286</v>
      </c>
      <c r="O108" s="69"/>
      <c r="P108" s="69"/>
      <c r="Q108" s="69"/>
      <c r="R108" s="69"/>
      <c r="S108" s="69"/>
      <c r="T108" s="69"/>
      <c r="U108" s="69"/>
      <c r="V108" s="69"/>
      <c r="W108" s="69"/>
      <c r="X108" s="69"/>
      <c r="Y108" s="69"/>
    </row>
    <row r="109" spans="5:42" x14ac:dyDescent="0.25">
      <c r="E109" s="27"/>
      <c r="F109" s="62" t="s">
        <v>212</v>
      </c>
      <c r="G109" s="62" t="s">
        <v>212</v>
      </c>
      <c r="J109" s="69"/>
      <c r="K109" s="69"/>
      <c r="L109" s="243">
        <v>68.456173519832916</v>
      </c>
      <c r="M109" s="69"/>
      <c r="N109" s="243">
        <v>9.0582722737103047</v>
      </c>
      <c r="O109" s="69"/>
      <c r="P109" s="69"/>
      <c r="Q109" s="69"/>
      <c r="R109" s="69"/>
      <c r="S109" s="69"/>
      <c r="T109" s="69"/>
      <c r="U109" s="69"/>
      <c r="V109" s="69"/>
      <c r="W109" s="69"/>
      <c r="X109" s="69"/>
      <c r="Y109" s="69"/>
    </row>
    <row r="110" spans="5:42" x14ac:dyDescent="0.25">
      <c r="E110" s="27"/>
      <c r="F110" s="62" t="s">
        <v>250</v>
      </c>
      <c r="G110" s="62" t="s">
        <v>251</v>
      </c>
      <c r="J110" s="69"/>
      <c r="K110" s="69"/>
      <c r="L110" s="69"/>
      <c r="M110" s="69"/>
      <c r="N110" s="243">
        <v>4698.2291016013014</v>
      </c>
      <c r="O110" s="69"/>
      <c r="P110" s="69"/>
      <c r="Q110" s="69"/>
      <c r="R110" s="69"/>
      <c r="S110" s="69"/>
      <c r="T110" s="69"/>
      <c r="U110" s="69"/>
      <c r="V110" s="69"/>
      <c r="W110" s="69"/>
      <c r="X110" s="69"/>
      <c r="Y110" s="69"/>
    </row>
    <row r="111" spans="5:42" x14ac:dyDescent="0.25">
      <c r="E111" s="27"/>
      <c r="F111" s="62" t="s">
        <v>252</v>
      </c>
      <c r="G111" s="62" t="s">
        <v>251</v>
      </c>
      <c r="J111" s="69"/>
      <c r="K111" s="69"/>
      <c r="L111" s="69"/>
      <c r="M111" s="69"/>
      <c r="N111" s="243">
        <v>6.0101731443666662</v>
      </c>
      <c r="O111" s="69"/>
      <c r="P111" s="69"/>
      <c r="Q111" s="69"/>
      <c r="R111" s="69"/>
      <c r="S111" s="69"/>
      <c r="T111" s="69"/>
      <c r="U111" s="69"/>
      <c r="V111" s="69"/>
      <c r="W111" s="69"/>
      <c r="X111" s="69"/>
      <c r="Y111" s="69"/>
    </row>
    <row r="112" spans="5:42" x14ac:dyDescent="0.25">
      <c r="E112" s="27"/>
      <c r="F112" s="70" t="s">
        <v>253</v>
      </c>
      <c r="G112" s="70" t="s">
        <v>254</v>
      </c>
      <c r="H112" s="28"/>
      <c r="I112" s="28"/>
      <c r="J112" s="71"/>
      <c r="K112" s="71"/>
      <c r="L112" s="71"/>
      <c r="M112" s="71"/>
      <c r="N112" s="245">
        <v>427.80590106342868</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154</v>
      </c>
      <c r="AQ114" t="s">
        <v>246</v>
      </c>
    </row>
    <row r="115" spans="4:43" x14ac:dyDescent="0.25">
      <c r="G115" s="12"/>
    </row>
    <row r="116" spans="4:43" x14ac:dyDescent="0.25">
      <c r="E116" s="27" t="s">
        <v>906</v>
      </c>
      <c r="G116" s="12"/>
    </row>
    <row r="117" spans="4:43" x14ac:dyDescent="0.25">
      <c r="E117" s="27"/>
      <c r="F117" s="68" t="s">
        <v>247</v>
      </c>
      <c r="G117" s="68" t="s">
        <v>207</v>
      </c>
      <c r="H117" s="19"/>
      <c r="I117" s="19"/>
      <c r="J117" s="73"/>
      <c r="K117" s="242">
        <v>0</v>
      </c>
      <c r="L117" s="242">
        <v>0</v>
      </c>
      <c r="M117" s="242">
        <v>0</v>
      </c>
      <c r="N117" s="242">
        <v>0</v>
      </c>
      <c r="O117" s="242">
        <v>0</v>
      </c>
      <c r="P117" s="242">
        <v>0</v>
      </c>
      <c r="Q117" s="73"/>
      <c r="R117" s="242">
        <v>7.3769179825496217E-2</v>
      </c>
      <c r="S117" s="242">
        <v>0</v>
      </c>
      <c r="T117" s="242">
        <v>7.4176971777605809</v>
      </c>
      <c r="U117" s="73"/>
      <c r="V117" s="242">
        <v>0</v>
      </c>
      <c r="W117" s="73"/>
      <c r="X117" s="242">
        <v>7.2257999999999996</v>
      </c>
      <c r="Y117" s="73"/>
    </row>
    <row r="118" spans="4:43" x14ac:dyDescent="0.25">
      <c r="E118" s="27"/>
      <c r="F118" s="62" t="s">
        <v>248</v>
      </c>
      <c r="G118" s="62" t="s">
        <v>207</v>
      </c>
      <c r="J118" s="69"/>
      <c r="K118" s="243">
        <v>0</v>
      </c>
      <c r="L118" s="243">
        <v>0</v>
      </c>
      <c r="M118" s="243">
        <v>0</v>
      </c>
      <c r="N118" s="243">
        <v>0</v>
      </c>
      <c r="O118" s="243">
        <v>0</v>
      </c>
      <c r="P118" s="243">
        <v>0</v>
      </c>
      <c r="Q118" s="69"/>
      <c r="R118" s="244">
        <v>0.31437484563728435</v>
      </c>
      <c r="S118" s="244">
        <v>0</v>
      </c>
      <c r="T118" s="243">
        <v>33.173331568660394</v>
      </c>
      <c r="U118" s="69"/>
      <c r="V118" s="243">
        <v>0</v>
      </c>
      <c r="W118" s="69"/>
      <c r="X118" s="243">
        <v>0.19575000000000001</v>
      </c>
      <c r="Y118" s="69"/>
    </row>
    <row r="119" spans="4:43" x14ac:dyDescent="0.25">
      <c r="E119" s="27"/>
      <c r="F119" s="62" t="s">
        <v>249</v>
      </c>
      <c r="G119" s="62" t="s">
        <v>207</v>
      </c>
      <c r="J119" s="69"/>
      <c r="K119" s="243">
        <v>0</v>
      </c>
      <c r="L119" s="243">
        <v>0</v>
      </c>
      <c r="M119" s="243">
        <v>0</v>
      </c>
      <c r="N119" s="243">
        <v>0</v>
      </c>
      <c r="O119" s="243">
        <v>0</v>
      </c>
      <c r="P119" s="243">
        <v>0</v>
      </c>
      <c r="Q119" s="69"/>
      <c r="R119" s="244">
        <v>0.19335597453721937</v>
      </c>
      <c r="S119" s="244">
        <v>0</v>
      </c>
      <c r="T119" s="243">
        <v>74.160171253579037</v>
      </c>
      <c r="U119" s="69"/>
      <c r="V119" s="243">
        <v>0</v>
      </c>
      <c r="W119" s="69"/>
      <c r="X119" s="243">
        <v>9.5E-4</v>
      </c>
      <c r="Y119" s="69"/>
    </row>
    <row r="120" spans="4:43" x14ac:dyDescent="0.25">
      <c r="E120" s="27"/>
      <c r="F120" s="62" t="s">
        <v>212</v>
      </c>
      <c r="G120" s="62" t="s">
        <v>212</v>
      </c>
      <c r="J120" s="69"/>
      <c r="K120" s="243">
        <v>0</v>
      </c>
      <c r="L120" s="243">
        <v>0</v>
      </c>
      <c r="M120" s="243">
        <v>0</v>
      </c>
      <c r="N120" s="243">
        <v>0</v>
      </c>
      <c r="O120" s="243">
        <v>0</v>
      </c>
      <c r="P120" s="243">
        <v>0</v>
      </c>
      <c r="Q120" s="69"/>
      <c r="R120" s="243">
        <v>0</v>
      </c>
      <c r="S120" s="243">
        <v>0</v>
      </c>
      <c r="T120" s="243">
        <v>3</v>
      </c>
      <c r="U120" s="69"/>
      <c r="V120" s="243">
        <v>0</v>
      </c>
      <c r="W120" s="69"/>
      <c r="X120" s="243">
        <v>2</v>
      </c>
      <c r="Y120" s="69"/>
    </row>
    <row r="121" spans="4:43" x14ac:dyDescent="0.25">
      <c r="E121" s="27"/>
      <c r="F121" s="62" t="s">
        <v>250</v>
      </c>
      <c r="G121" s="62" t="s">
        <v>251</v>
      </c>
      <c r="J121" s="69"/>
      <c r="K121" s="69"/>
      <c r="L121" s="69"/>
      <c r="M121" s="69"/>
      <c r="N121" s="243">
        <v>0</v>
      </c>
      <c r="O121" s="243">
        <v>0</v>
      </c>
      <c r="P121" s="243">
        <v>0</v>
      </c>
      <c r="Q121" s="69"/>
      <c r="R121" s="69"/>
      <c r="S121" s="69"/>
      <c r="T121" s="69"/>
      <c r="U121" s="69"/>
      <c r="V121" s="69"/>
      <c r="W121" s="69"/>
      <c r="X121" s="69"/>
      <c r="Y121" s="69"/>
    </row>
    <row r="122" spans="4:43" x14ac:dyDescent="0.25">
      <c r="E122" s="27"/>
      <c r="F122" s="62" t="s">
        <v>252</v>
      </c>
      <c r="G122" s="62" t="s">
        <v>251</v>
      </c>
      <c r="J122" s="69"/>
      <c r="K122" s="69"/>
      <c r="L122" s="69"/>
      <c r="M122" s="69"/>
      <c r="N122" s="243">
        <v>0</v>
      </c>
      <c r="O122" s="243">
        <v>0</v>
      </c>
      <c r="P122" s="243">
        <v>0</v>
      </c>
      <c r="Q122" s="69"/>
      <c r="R122" s="69"/>
      <c r="S122" s="69"/>
      <c r="T122" s="69"/>
      <c r="U122" s="69"/>
      <c r="V122" s="69"/>
      <c r="W122" s="69"/>
      <c r="X122" s="69"/>
      <c r="Y122" s="69"/>
    </row>
    <row r="123" spans="4:43" x14ac:dyDescent="0.25">
      <c r="E123" s="27"/>
      <c r="F123" s="70" t="s">
        <v>253</v>
      </c>
      <c r="G123" s="70" t="s">
        <v>254</v>
      </c>
      <c r="H123" s="28"/>
      <c r="I123" s="28"/>
      <c r="J123" s="71"/>
      <c r="K123" s="71"/>
      <c r="L123" s="71"/>
      <c r="M123" s="71"/>
      <c r="N123" s="245">
        <v>0</v>
      </c>
      <c r="O123" s="245">
        <v>0</v>
      </c>
      <c r="P123" s="245">
        <v>0</v>
      </c>
      <c r="Q123" s="71"/>
      <c r="R123" s="71"/>
      <c r="S123" s="71"/>
      <c r="T123" s="245">
        <v>5.0198499999999999</v>
      </c>
      <c r="U123" s="71"/>
      <c r="V123" s="245">
        <v>0</v>
      </c>
      <c r="W123" s="71"/>
      <c r="X123" s="245">
        <v>3.266</v>
      </c>
      <c r="Y123" s="71"/>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247</v>
      </c>
      <c r="G126" s="68" t="s">
        <v>207</v>
      </c>
      <c r="H126" s="19"/>
      <c r="I126" s="19"/>
      <c r="J126" s="242">
        <v>25738.399300986101</v>
      </c>
      <c r="K126" s="73"/>
      <c r="L126" s="242">
        <v>181.44733020302431</v>
      </c>
      <c r="M126" s="73"/>
      <c r="N126" s="242">
        <v>3680.9977113873028</v>
      </c>
      <c r="O126" s="242">
        <v>54.267953996519928</v>
      </c>
      <c r="P126" s="242">
        <v>1208.7761184082235</v>
      </c>
      <c r="Q126" s="242">
        <v>6.2084614434936132</v>
      </c>
      <c r="R126" s="73"/>
      <c r="S126" s="73"/>
      <c r="T126" s="73"/>
      <c r="U126" s="73"/>
      <c r="V126" s="73"/>
      <c r="W126" s="73"/>
      <c r="X126" s="73"/>
      <c r="Y126" s="73"/>
    </row>
    <row r="127" spans="4:43" x14ac:dyDescent="0.25">
      <c r="E127" s="27"/>
      <c r="F127" s="62" t="s">
        <v>248</v>
      </c>
      <c r="G127" s="62" t="s">
        <v>207</v>
      </c>
      <c r="J127" s="243">
        <v>74000</v>
      </c>
      <c r="K127" s="69"/>
      <c r="L127" s="243">
        <v>434.39647959469193</v>
      </c>
      <c r="M127" s="319"/>
      <c r="N127" s="243">
        <v>14194.697056983716</v>
      </c>
      <c r="O127" s="243">
        <v>289.12553786860451</v>
      </c>
      <c r="P127" s="243">
        <v>5403.7507943713044</v>
      </c>
      <c r="Q127" s="244">
        <v>417.76530632165333</v>
      </c>
      <c r="R127" s="69"/>
      <c r="S127" s="69"/>
      <c r="T127" s="69"/>
      <c r="U127" s="69"/>
      <c r="V127" s="69"/>
      <c r="W127" s="69"/>
      <c r="X127" s="69"/>
      <c r="Y127" s="69"/>
    </row>
    <row r="128" spans="4:43" x14ac:dyDescent="0.25">
      <c r="E128" s="27"/>
      <c r="F128" s="62" t="s">
        <v>249</v>
      </c>
      <c r="G128" s="62" t="s">
        <v>207</v>
      </c>
      <c r="J128" s="243">
        <v>105509.59147079231</v>
      </c>
      <c r="K128" s="69"/>
      <c r="L128" s="243">
        <v>400.03868430666529</v>
      </c>
      <c r="M128" s="319"/>
      <c r="N128" s="243">
        <v>16313.843669269236</v>
      </c>
      <c r="O128" s="243">
        <v>357.9649516468437</v>
      </c>
      <c r="P128" s="243">
        <v>7263.1009479187333</v>
      </c>
      <c r="Q128" s="244">
        <v>689.63075465360259</v>
      </c>
      <c r="R128" s="69"/>
      <c r="S128" s="69"/>
      <c r="T128" s="69"/>
      <c r="U128" s="69"/>
      <c r="V128" s="69"/>
      <c r="W128" s="69"/>
      <c r="X128" s="69"/>
      <c r="Y128" s="69"/>
    </row>
    <row r="129" spans="5:42" x14ac:dyDescent="0.25">
      <c r="E129" s="27"/>
      <c r="F129" s="62" t="s">
        <v>212</v>
      </c>
      <c r="G129" s="62" t="s">
        <v>212</v>
      </c>
      <c r="J129" s="243">
        <v>77790.633879781424</v>
      </c>
      <c r="K129" s="69"/>
      <c r="L129" s="243">
        <v>831.62906930409486</v>
      </c>
      <c r="M129" s="319"/>
      <c r="N129" s="243">
        <v>299.76418401943096</v>
      </c>
      <c r="O129" s="243">
        <v>2.2252963866356574</v>
      </c>
      <c r="P129" s="243">
        <v>29.491740654989822</v>
      </c>
      <c r="Q129" s="244">
        <v>0</v>
      </c>
      <c r="R129" s="69"/>
      <c r="S129" s="69"/>
      <c r="T129" s="69"/>
      <c r="U129" s="69"/>
      <c r="V129" s="69"/>
      <c r="W129" s="69"/>
      <c r="X129" s="69"/>
      <c r="Y129" s="69"/>
    </row>
    <row r="130" spans="5:42" x14ac:dyDescent="0.25">
      <c r="E130" s="27"/>
      <c r="F130" s="62" t="s">
        <v>250</v>
      </c>
      <c r="G130" s="62" t="s">
        <v>251</v>
      </c>
      <c r="J130" s="69"/>
      <c r="K130" s="69"/>
      <c r="L130" s="69"/>
      <c r="M130" s="319"/>
      <c r="N130" s="243">
        <v>28626.04191477604</v>
      </c>
      <c r="O130" s="243">
        <v>743.2573085348148</v>
      </c>
      <c r="P130" s="243">
        <v>10782.319617154546</v>
      </c>
      <c r="Q130" s="69"/>
      <c r="R130" s="69"/>
      <c r="S130" s="69"/>
      <c r="T130" s="69"/>
      <c r="U130" s="69"/>
      <c r="V130" s="69"/>
      <c r="W130" s="69"/>
      <c r="X130" s="69"/>
      <c r="Y130" s="69"/>
    </row>
    <row r="131" spans="5:42" x14ac:dyDescent="0.25">
      <c r="E131" s="27"/>
      <c r="F131" s="62" t="s">
        <v>252</v>
      </c>
      <c r="G131" s="62" t="s">
        <v>251</v>
      </c>
      <c r="J131" s="69"/>
      <c r="K131" s="69"/>
      <c r="L131" s="69"/>
      <c r="M131" s="319"/>
      <c r="N131" s="243">
        <v>71.801972487517077</v>
      </c>
      <c r="O131" s="243">
        <v>4.6167300992256761</v>
      </c>
      <c r="P131" s="243">
        <v>120.84775639698513</v>
      </c>
      <c r="Q131" s="69"/>
      <c r="R131" s="69"/>
      <c r="S131" s="69"/>
      <c r="T131" s="69"/>
      <c r="U131" s="69"/>
      <c r="V131" s="69"/>
      <c r="W131" s="69"/>
      <c r="X131" s="69"/>
      <c r="Y131" s="69"/>
    </row>
    <row r="132" spans="5:42" x14ac:dyDescent="0.25">
      <c r="E132" s="27"/>
      <c r="F132" s="70" t="s">
        <v>253</v>
      </c>
      <c r="G132" s="70" t="s">
        <v>254</v>
      </c>
      <c r="H132" s="28"/>
      <c r="I132" s="28"/>
      <c r="J132" s="71"/>
      <c r="K132" s="71"/>
      <c r="L132" s="71"/>
      <c r="M132" s="71"/>
      <c r="N132" s="245">
        <v>2466.8641386709055</v>
      </c>
      <c r="O132" s="245">
        <v>41.931984146569206</v>
      </c>
      <c r="P132" s="245">
        <v>176.83311188776653</v>
      </c>
      <c r="Q132" s="71"/>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247</v>
      </c>
      <c r="G135" s="68" t="s">
        <v>207</v>
      </c>
      <c r="H135" s="19"/>
      <c r="I135" s="19"/>
      <c r="J135" s="73"/>
      <c r="K135" s="73"/>
      <c r="L135" s="242">
        <v>680.24350772371929</v>
      </c>
      <c r="M135" s="73"/>
      <c r="N135" s="242">
        <v>5556.2127262086915</v>
      </c>
      <c r="O135" s="242">
        <v>82.083706822895948</v>
      </c>
      <c r="P135" s="242">
        <v>2081.7527440737172</v>
      </c>
      <c r="Q135" s="73"/>
      <c r="R135" s="73"/>
      <c r="S135" s="73"/>
      <c r="T135" s="73"/>
      <c r="U135" s="73"/>
      <c r="V135" s="73"/>
      <c r="W135" s="73"/>
      <c r="X135" s="73"/>
      <c r="Y135" s="73"/>
    </row>
    <row r="136" spans="5:42" x14ac:dyDescent="0.25">
      <c r="E136" s="27"/>
      <c r="F136" s="62" t="s">
        <v>248</v>
      </c>
      <c r="G136" s="62" t="s">
        <v>207</v>
      </c>
      <c r="J136" s="69"/>
      <c r="K136" s="69"/>
      <c r="L136" s="329">
        <v>1628.5463373403941</v>
      </c>
      <c r="M136" s="69"/>
      <c r="N136" s="243">
        <v>21425.918355968159</v>
      </c>
      <c r="O136" s="243">
        <v>437.32063101071657</v>
      </c>
      <c r="P136" s="243">
        <v>9306.3329703159543</v>
      </c>
      <c r="Q136" s="69"/>
      <c r="R136" s="69"/>
      <c r="S136" s="69"/>
      <c r="T136" s="69"/>
      <c r="U136" s="69"/>
      <c r="V136" s="69"/>
      <c r="W136" s="69"/>
      <c r="X136" s="69"/>
      <c r="Y136" s="69"/>
    </row>
    <row r="137" spans="5:42" x14ac:dyDescent="0.25">
      <c r="E137" s="27"/>
      <c r="F137" s="62" t="s">
        <v>249</v>
      </c>
      <c r="G137" s="62" t="s">
        <v>207</v>
      </c>
      <c r="J137" s="69"/>
      <c r="K137" s="69"/>
      <c r="L137" s="329">
        <v>1499.7394424787844</v>
      </c>
      <c r="M137" s="69"/>
      <c r="N137" s="243">
        <v>24624.624331649207</v>
      </c>
      <c r="O137" s="243">
        <v>541.44459077517286</v>
      </c>
      <c r="P137" s="243">
        <v>12508.503517363481</v>
      </c>
      <c r="Q137" s="69"/>
      <c r="R137" s="69"/>
      <c r="S137" s="69"/>
      <c r="T137" s="69"/>
      <c r="U137" s="69"/>
      <c r="V137" s="69"/>
      <c r="W137" s="69"/>
      <c r="X137" s="69"/>
      <c r="Y137" s="69"/>
    </row>
    <row r="138" spans="5:42" x14ac:dyDescent="0.25">
      <c r="E138" s="27"/>
      <c r="F138" s="62" t="s">
        <v>212</v>
      </c>
      <c r="G138" s="62" t="s">
        <v>212</v>
      </c>
      <c r="J138" s="69"/>
      <c r="K138" s="69"/>
      <c r="L138" s="243">
        <v>626.02713923384226</v>
      </c>
      <c r="M138" s="69"/>
      <c r="N138" s="243">
        <v>240.6610724615841</v>
      </c>
      <c r="O138" s="243">
        <v>2.5431958704407509</v>
      </c>
      <c r="P138" s="243">
        <v>15.79539846468316</v>
      </c>
      <c r="Q138" s="69"/>
      <c r="R138" s="69"/>
      <c r="S138" s="69"/>
      <c r="T138" s="69"/>
      <c r="U138" s="69"/>
      <c r="V138" s="69"/>
      <c r="W138" s="69"/>
      <c r="X138" s="69"/>
      <c r="Y138" s="69"/>
    </row>
    <row r="139" spans="5:42" x14ac:dyDescent="0.25">
      <c r="E139" s="27"/>
      <c r="F139" s="62" t="s">
        <v>250</v>
      </c>
      <c r="G139" s="62" t="s">
        <v>251</v>
      </c>
      <c r="J139" s="69"/>
      <c r="K139" s="69"/>
      <c r="L139" s="69"/>
      <c r="M139" s="69"/>
      <c r="N139" s="243">
        <v>55602.732455913749</v>
      </c>
      <c r="O139" s="243">
        <v>423.70302286953483</v>
      </c>
      <c r="P139" s="243">
        <v>16886.903846424768</v>
      </c>
      <c r="Q139" s="69"/>
      <c r="R139" s="69"/>
      <c r="S139" s="69"/>
      <c r="T139" s="69"/>
      <c r="U139" s="69"/>
      <c r="V139" s="69"/>
      <c r="W139" s="69"/>
      <c r="X139" s="69"/>
      <c r="Y139" s="69"/>
    </row>
    <row r="140" spans="5:42" x14ac:dyDescent="0.25">
      <c r="E140" s="27"/>
      <c r="F140" s="62" t="s">
        <v>252</v>
      </c>
      <c r="G140" s="62" t="s">
        <v>251</v>
      </c>
      <c r="J140" s="69"/>
      <c r="K140" s="69"/>
      <c r="L140" s="69"/>
      <c r="M140" s="69"/>
      <c r="N140" s="243">
        <v>139.46691889560614</v>
      </c>
      <c r="O140" s="243">
        <v>2.6318241023028701</v>
      </c>
      <c r="P140" s="243">
        <v>189.2676636189907</v>
      </c>
      <c r="Q140" s="69"/>
      <c r="R140" s="69"/>
      <c r="S140" s="69"/>
      <c r="T140" s="69"/>
      <c r="U140" s="69"/>
      <c r="V140" s="69"/>
      <c r="W140" s="69"/>
      <c r="X140" s="69"/>
      <c r="Y140" s="69"/>
    </row>
    <row r="141" spans="5:42" x14ac:dyDescent="0.25">
      <c r="E141" s="27"/>
      <c r="F141" s="70" t="s">
        <v>253</v>
      </c>
      <c r="G141" s="70" t="s">
        <v>254</v>
      </c>
      <c r="H141" s="28"/>
      <c r="I141" s="28"/>
      <c r="J141" s="71"/>
      <c r="K141" s="71"/>
      <c r="L141" s="71"/>
      <c r="M141" s="71"/>
      <c r="N141" s="245">
        <v>3723.5616525133405</v>
      </c>
      <c r="O141" s="245">
        <v>63.424773548861452</v>
      </c>
      <c r="P141" s="245">
        <v>304.54176775118219</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247</v>
      </c>
      <c r="G144" s="68" t="s">
        <v>207</v>
      </c>
      <c r="H144" s="19"/>
      <c r="I144" s="19"/>
      <c r="J144" s="73"/>
      <c r="K144" s="73"/>
      <c r="L144" s="242">
        <v>847.91982603862527</v>
      </c>
      <c r="M144" s="73"/>
      <c r="N144" s="242">
        <v>3051.6737614358149</v>
      </c>
      <c r="O144" s="242">
        <v>148.03386014597541</v>
      </c>
      <c r="P144" s="242">
        <v>1137.8265710157095</v>
      </c>
      <c r="Q144" s="73"/>
      <c r="R144" s="73"/>
      <c r="S144" s="73"/>
      <c r="T144" s="73"/>
      <c r="U144" s="73"/>
      <c r="V144" s="73"/>
      <c r="W144" s="73"/>
      <c r="X144" s="73"/>
      <c r="Y144" s="73"/>
    </row>
    <row r="145" spans="5:42" x14ac:dyDescent="0.25">
      <c r="E145" s="27"/>
      <c r="F145" s="62" t="s">
        <v>248</v>
      </c>
      <c r="G145" s="62" t="s">
        <v>207</v>
      </c>
      <c r="J145" s="69"/>
      <c r="K145" s="69"/>
      <c r="L145" s="243">
        <v>2029.9741362829</v>
      </c>
      <c r="M145" s="69"/>
      <c r="N145" s="243">
        <v>11767.892282660985</v>
      </c>
      <c r="O145" s="243">
        <v>788.68588707463721</v>
      </c>
      <c r="P145" s="243">
        <v>5086.5757052510344</v>
      </c>
      <c r="Q145" s="69"/>
      <c r="R145" s="69"/>
      <c r="S145" s="69"/>
      <c r="T145" s="69"/>
      <c r="U145" s="69"/>
      <c r="V145" s="69"/>
      <c r="W145" s="69"/>
      <c r="X145" s="69"/>
      <c r="Y145" s="69"/>
    </row>
    <row r="146" spans="5:42" x14ac:dyDescent="0.25">
      <c r="E146" s="27"/>
      <c r="F146" s="62" t="s">
        <v>249</v>
      </c>
      <c r="G146" s="62" t="s">
        <v>207</v>
      </c>
      <c r="J146" s="69"/>
      <c r="K146" s="69"/>
      <c r="L146" s="243">
        <v>1869.4170436483748</v>
      </c>
      <c r="M146" s="69"/>
      <c r="N146" s="243">
        <v>13524.737741527091</v>
      </c>
      <c r="O146" s="243">
        <v>976.46824114002698</v>
      </c>
      <c r="P146" s="243">
        <v>6836.7906353030567</v>
      </c>
      <c r="Q146" s="69"/>
      <c r="R146" s="69"/>
      <c r="S146" s="69"/>
      <c r="T146" s="69"/>
      <c r="U146" s="69"/>
      <c r="V146" s="69"/>
      <c r="W146" s="69"/>
      <c r="X146" s="69"/>
      <c r="Y146" s="69"/>
    </row>
    <row r="147" spans="5:42" x14ac:dyDescent="0.25">
      <c r="E147" s="27"/>
      <c r="F147" s="62" t="s">
        <v>212</v>
      </c>
      <c r="G147" s="62" t="s">
        <v>212</v>
      </c>
      <c r="J147" s="69"/>
      <c r="K147" s="69"/>
      <c r="L147" s="243">
        <v>326.50406170624831</v>
      </c>
      <c r="M147" s="69"/>
      <c r="N147" s="243">
        <v>83.650729776760883</v>
      </c>
      <c r="O147" s="243">
        <v>3.0730283434492409</v>
      </c>
      <c r="P147" s="243">
        <v>3.8701350058816715</v>
      </c>
      <c r="Q147" s="69"/>
      <c r="R147" s="69"/>
      <c r="S147" s="69"/>
      <c r="T147" s="69"/>
      <c r="U147" s="69"/>
      <c r="V147" s="69"/>
      <c r="W147" s="69"/>
      <c r="X147" s="69"/>
      <c r="Y147" s="69"/>
    </row>
    <row r="148" spans="5:42" x14ac:dyDescent="0.25">
      <c r="E148" s="27"/>
      <c r="F148" s="62" t="s">
        <v>250</v>
      </c>
      <c r="G148" s="62" t="s">
        <v>251</v>
      </c>
      <c r="J148" s="69"/>
      <c r="K148" s="69"/>
      <c r="L148" s="69"/>
      <c r="M148" s="69"/>
      <c r="N148" s="243">
        <v>30886.165446631134</v>
      </c>
      <c r="O148" s="243">
        <v>800.58547100184524</v>
      </c>
      <c r="P148" s="243">
        <v>8853.9347517362585</v>
      </c>
      <c r="Q148" s="69"/>
      <c r="R148" s="69"/>
      <c r="S148" s="69"/>
      <c r="T148" s="69"/>
      <c r="U148" s="69"/>
      <c r="V148" s="69"/>
      <c r="W148" s="69"/>
      <c r="X148" s="69"/>
      <c r="Y148" s="69"/>
    </row>
    <row r="149" spans="5:42" x14ac:dyDescent="0.25">
      <c r="E149" s="27"/>
      <c r="F149" s="62" t="s">
        <v>252</v>
      </c>
      <c r="G149" s="62" t="s">
        <v>251</v>
      </c>
      <c r="J149" s="69"/>
      <c r="K149" s="69"/>
      <c r="L149" s="69"/>
      <c r="M149" s="69"/>
      <c r="N149" s="243">
        <v>77.470982829071971</v>
      </c>
      <c r="O149" s="243">
        <v>4.9728230029289451</v>
      </c>
      <c r="P149" s="243">
        <v>99.234505006724291</v>
      </c>
      <c r="Q149" s="69"/>
      <c r="R149" s="69"/>
      <c r="S149" s="69"/>
      <c r="T149" s="69"/>
      <c r="U149" s="69"/>
      <c r="V149" s="69"/>
      <c r="W149" s="69"/>
      <c r="X149" s="69"/>
      <c r="Y149" s="69"/>
    </row>
    <row r="150" spans="5:42" x14ac:dyDescent="0.25">
      <c r="E150" s="27"/>
      <c r="F150" s="70" t="s">
        <v>253</v>
      </c>
      <c r="G150" s="70" t="s">
        <v>254</v>
      </c>
      <c r="H150" s="28"/>
      <c r="I150" s="28"/>
      <c r="J150" s="71"/>
      <c r="K150" s="71"/>
      <c r="L150" s="71"/>
      <c r="M150" s="71"/>
      <c r="N150" s="245">
        <v>2045.1152527806842</v>
      </c>
      <c r="O150" s="245">
        <v>114.38340714290698</v>
      </c>
      <c r="P150" s="245">
        <v>166.45382902356806</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247</v>
      </c>
      <c r="G153" s="68" t="s">
        <v>207</v>
      </c>
      <c r="H153" s="19"/>
      <c r="I153" s="19"/>
      <c r="J153" s="73"/>
      <c r="K153" s="73"/>
      <c r="L153" s="242">
        <v>2830.4648863597899</v>
      </c>
      <c r="M153" s="73"/>
      <c r="N153" s="242">
        <v>3011.1158009681903</v>
      </c>
      <c r="O153" s="242">
        <v>1686.4314506658579</v>
      </c>
      <c r="P153" s="242">
        <v>3567.4085163790546</v>
      </c>
      <c r="Q153" s="73"/>
      <c r="R153" s="73"/>
      <c r="S153" s="73"/>
      <c r="T153" s="73"/>
      <c r="U153" s="73"/>
      <c r="V153" s="73"/>
      <c r="W153" s="73"/>
      <c r="X153" s="73"/>
      <c r="Y153" s="73"/>
    </row>
    <row r="154" spans="5:42" x14ac:dyDescent="0.25">
      <c r="E154" s="27"/>
      <c r="F154" s="62" t="s">
        <v>248</v>
      </c>
      <c r="G154" s="62" t="s">
        <v>207</v>
      </c>
      <c r="J154" s="69"/>
      <c r="K154" s="69"/>
      <c r="L154" s="243">
        <v>6776.3134396925334</v>
      </c>
      <c r="M154" s="69"/>
      <c r="N154" s="243">
        <v>11611.49230438714</v>
      </c>
      <c r="O154" s="243">
        <v>8984.8679440460419</v>
      </c>
      <c r="P154" s="243">
        <v>15947.85528160144</v>
      </c>
      <c r="Q154" s="69"/>
      <c r="R154" s="69"/>
      <c r="S154" s="69"/>
      <c r="T154" s="69"/>
      <c r="U154" s="69"/>
      <c r="V154" s="69"/>
      <c r="W154" s="69"/>
      <c r="X154" s="69"/>
      <c r="Y154" s="69"/>
    </row>
    <row r="155" spans="5:42" x14ac:dyDescent="0.25">
      <c r="E155" s="27"/>
      <c r="F155" s="62" t="s">
        <v>249</v>
      </c>
      <c r="G155" s="62" t="s">
        <v>207</v>
      </c>
      <c r="J155" s="69"/>
      <c r="K155" s="69"/>
      <c r="L155" s="243">
        <v>6240.353318225415</v>
      </c>
      <c r="M155" s="69"/>
      <c r="N155" s="243">
        <v>13344.988586952404</v>
      </c>
      <c r="O155" s="243">
        <v>11124.122216437956</v>
      </c>
      <c r="P155" s="243">
        <v>21435.274723202045</v>
      </c>
      <c r="Q155" s="69"/>
      <c r="R155" s="69"/>
      <c r="S155" s="69"/>
      <c r="T155" s="69"/>
      <c r="U155" s="69"/>
      <c r="V155" s="69"/>
      <c r="W155" s="69"/>
      <c r="X155" s="69"/>
      <c r="Y155" s="69"/>
    </row>
    <row r="156" spans="5:42" x14ac:dyDescent="0.25">
      <c r="E156" s="27"/>
      <c r="F156" s="62" t="s">
        <v>212</v>
      </c>
      <c r="G156" s="62" t="s">
        <v>212</v>
      </c>
      <c r="J156" s="69"/>
      <c r="K156" s="69"/>
      <c r="L156" s="243">
        <v>329.14209769752659</v>
      </c>
      <c r="M156" s="69"/>
      <c r="N156" s="243">
        <v>50.369824306887061</v>
      </c>
      <c r="O156" s="243">
        <v>22.78279633936506</v>
      </c>
      <c r="P156" s="243">
        <v>3.883254107596525</v>
      </c>
      <c r="Q156" s="69"/>
      <c r="R156" s="69"/>
      <c r="S156" s="69"/>
      <c r="T156" s="69"/>
      <c r="U156" s="69"/>
      <c r="V156" s="69"/>
      <c r="W156" s="69"/>
      <c r="X156" s="69"/>
      <c r="Y156" s="69"/>
    </row>
    <row r="157" spans="5:42" x14ac:dyDescent="0.25">
      <c r="E157" s="27"/>
      <c r="F157" s="62" t="s">
        <v>250</v>
      </c>
      <c r="G157" s="62" t="s">
        <v>251</v>
      </c>
      <c r="J157" s="69"/>
      <c r="K157" s="69"/>
      <c r="L157" s="69"/>
      <c r="M157" s="69"/>
      <c r="N157" s="243">
        <v>31311.11664898145</v>
      </c>
      <c r="O157" s="243">
        <v>15492.665490854277</v>
      </c>
      <c r="P157" s="243">
        <v>26066.370017835598</v>
      </c>
      <c r="Q157" s="69"/>
      <c r="R157" s="69"/>
      <c r="S157" s="69"/>
      <c r="T157" s="69"/>
      <c r="U157" s="69"/>
      <c r="V157" s="69"/>
      <c r="W157" s="69"/>
      <c r="X157" s="69"/>
      <c r="Y157" s="69"/>
    </row>
    <row r="158" spans="5:42" x14ac:dyDescent="0.25">
      <c r="E158" s="27"/>
      <c r="F158" s="62" t="s">
        <v>252</v>
      </c>
      <c r="G158" s="62" t="s">
        <v>251</v>
      </c>
      <c r="J158" s="69"/>
      <c r="K158" s="69"/>
      <c r="L158" s="69"/>
      <c r="M158" s="69"/>
      <c r="N158" s="243">
        <v>78.536877116187682</v>
      </c>
      <c r="O158" s="243">
        <v>96.232427542300513</v>
      </c>
      <c r="P158" s="243">
        <v>292.15071022911991</v>
      </c>
      <c r="Q158" s="69"/>
      <c r="R158" s="69"/>
      <c r="S158" s="69"/>
      <c r="T158" s="69"/>
      <c r="U158" s="69"/>
      <c r="V158" s="69"/>
      <c r="W158" s="69"/>
      <c r="X158" s="69"/>
      <c r="Y158" s="69"/>
    </row>
    <row r="159" spans="5:42" x14ac:dyDescent="0.25">
      <c r="E159" s="27"/>
      <c r="F159" s="70" t="s">
        <v>253</v>
      </c>
      <c r="G159" s="70" t="s">
        <v>254</v>
      </c>
      <c r="H159" s="28"/>
      <c r="I159" s="28"/>
      <c r="J159" s="71"/>
      <c r="K159" s="71"/>
      <c r="L159" s="71"/>
      <c r="M159" s="71"/>
      <c r="N159" s="245">
        <v>2017.9348560350672</v>
      </c>
      <c r="O159" s="245">
        <v>1303.0787351616623</v>
      </c>
      <c r="P159" s="245">
        <v>521.8798913374834</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212</v>
      </c>
      <c r="I161" t="s">
        <v>154</v>
      </c>
      <c r="J161" s="315">
        <v>3424.3592896174864</v>
      </c>
      <c r="K161" s="315">
        <v>0</v>
      </c>
      <c r="L161" s="315">
        <v>47</v>
      </c>
      <c r="M161" s="315">
        <v>0</v>
      </c>
      <c r="N161" s="315">
        <v>10</v>
      </c>
      <c r="O161" s="315">
        <v>0</v>
      </c>
      <c r="P161" s="315">
        <v>5.0000000000000009</v>
      </c>
      <c r="Q161" s="315">
        <v>0</v>
      </c>
      <c r="R161" s="315">
        <v>0</v>
      </c>
      <c r="S161" s="315">
        <v>0</v>
      </c>
      <c r="T161" s="315">
        <v>0</v>
      </c>
      <c r="U161" s="315">
        <v>0</v>
      </c>
      <c r="V161" s="315">
        <v>0</v>
      </c>
      <c r="W161" s="315">
        <v>0</v>
      </c>
      <c r="X161" s="315">
        <v>0</v>
      </c>
      <c r="Y161" s="315">
        <v>0</v>
      </c>
      <c r="AQ161" t="s">
        <v>901</v>
      </c>
    </row>
    <row r="162" spans="3:43" x14ac:dyDescent="0.25">
      <c r="G162" s="12"/>
    </row>
    <row r="163" spans="3:43" x14ac:dyDescent="0.25">
      <c r="C163" s="26" t="str">
        <f ca="1">INDEX('Version control'!$H$36:$H$59,MATCH($A$1,'Version control'!$F$36:$F$59,0),1)&amp;"-C: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154</v>
      </c>
      <c r="AQ165" t="s">
        <v>1138</v>
      </c>
    </row>
    <row r="166" spans="3:43" x14ac:dyDescent="0.25">
      <c r="D166" s="24" t="s">
        <v>1127</v>
      </c>
      <c r="G166" s="12"/>
    </row>
    <row r="167" spans="3:43" x14ac:dyDescent="0.25">
      <c r="G167" s="12"/>
    </row>
    <row r="168" spans="3:43" x14ac:dyDescent="0.25">
      <c r="E168" s="27" t="s">
        <v>987</v>
      </c>
      <c r="G168" s="12"/>
      <c r="J168" s="289" t="s">
        <v>978</v>
      </c>
      <c r="K168" s="289" t="s">
        <v>983</v>
      </c>
      <c r="L168" s="289" t="s">
        <v>984</v>
      </c>
      <c r="M168" s="289" t="s">
        <v>985</v>
      </c>
      <c r="N168" s="289" t="s">
        <v>986</v>
      </c>
    </row>
    <row r="169" spans="3:43" x14ac:dyDescent="0.25">
      <c r="E169" s="27"/>
      <c r="F169" s="68" t="s">
        <v>247</v>
      </c>
      <c r="G169" s="68" t="s">
        <v>167</v>
      </c>
      <c r="H169" s="409"/>
      <c r="I169" s="19"/>
      <c r="J169" s="246">
        <v>0</v>
      </c>
      <c r="K169" s="246">
        <v>3.996570722045123E-2</v>
      </c>
      <c r="L169" s="246">
        <v>0.14983087840355441</v>
      </c>
      <c r="M169" s="246">
        <v>0.1867633735693886</v>
      </c>
      <c r="N169" s="246">
        <v>0.62344004080660564</v>
      </c>
    </row>
    <row r="170" spans="3:43" x14ac:dyDescent="0.25">
      <c r="E170" s="27"/>
      <c r="F170" s="340" t="s">
        <v>248</v>
      </c>
      <c r="G170" s="340" t="s">
        <v>167</v>
      </c>
      <c r="H170" s="410"/>
      <c r="I170" s="300"/>
      <c r="J170" s="356">
        <v>0</v>
      </c>
      <c r="K170" s="356">
        <f>K169</f>
        <v>3.996570722045123E-2</v>
      </c>
      <c r="L170" s="356">
        <f t="shared" ref="L170:N171" si="0">L169</f>
        <v>0.14983087840355441</v>
      </c>
      <c r="M170" s="356">
        <f t="shared" si="0"/>
        <v>0.1867633735693886</v>
      </c>
      <c r="N170" s="356">
        <f t="shared" si="0"/>
        <v>0.62344004080660564</v>
      </c>
    </row>
    <row r="171" spans="3:43" x14ac:dyDescent="0.25">
      <c r="E171" s="27"/>
      <c r="F171" s="70" t="s">
        <v>249</v>
      </c>
      <c r="G171" s="70" t="s">
        <v>167</v>
      </c>
      <c r="H171" s="411"/>
      <c r="I171" s="28"/>
      <c r="J171" s="247">
        <v>0</v>
      </c>
      <c r="K171" s="247">
        <f>K170</f>
        <v>3.996570722045123E-2</v>
      </c>
      <c r="L171" s="247">
        <f t="shared" si="0"/>
        <v>0.14983087840355441</v>
      </c>
      <c r="M171" s="247">
        <f t="shared" si="0"/>
        <v>0.1867633735693886</v>
      </c>
      <c r="N171" s="247">
        <f t="shared" si="0"/>
        <v>0.62344004080660564</v>
      </c>
    </row>
    <row r="172" spans="3:43" x14ac:dyDescent="0.25">
      <c r="E172" s="250"/>
      <c r="F172" s="225"/>
      <c r="G172" s="225"/>
      <c r="H172" s="249"/>
      <c r="I172" s="249"/>
      <c r="J172" s="251"/>
      <c r="K172" s="251"/>
      <c r="L172" s="251"/>
      <c r="M172" s="251"/>
      <c r="N172" s="251"/>
    </row>
    <row r="173" spans="3:43" x14ac:dyDescent="0.25">
      <c r="E173" s="27" t="s">
        <v>988</v>
      </c>
      <c r="G173" s="12"/>
      <c r="J173" s="289" t="s">
        <v>978</v>
      </c>
      <c r="K173" s="289" t="s">
        <v>983</v>
      </c>
      <c r="L173" s="289" t="s">
        <v>984</v>
      </c>
      <c r="M173" s="289" t="s">
        <v>985</v>
      </c>
      <c r="N173" s="289" t="s">
        <v>986</v>
      </c>
    </row>
    <row r="174" spans="3:43" x14ac:dyDescent="0.25">
      <c r="E174" s="27"/>
      <c r="F174" s="68" t="s">
        <v>247</v>
      </c>
      <c r="G174" s="68" t="s">
        <v>167</v>
      </c>
      <c r="H174" s="409"/>
      <c r="I174" s="19"/>
      <c r="J174" s="246">
        <v>0</v>
      </c>
      <c r="K174" s="246">
        <v>3.996570722045123E-2</v>
      </c>
      <c r="L174" s="246">
        <v>0.14983087840355441</v>
      </c>
      <c r="M174" s="246">
        <v>0.1867633735693886</v>
      </c>
      <c r="N174" s="246">
        <v>0.62344004080660564</v>
      </c>
    </row>
    <row r="175" spans="3:43" x14ac:dyDescent="0.25">
      <c r="E175" s="27"/>
      <c r="F175" s="340" t="s">
        <v>248</v>
      </c>
      <c r="G175" s="340" t="s">
        <v>167</v>
      </c>
      <c r="H175" s="410"/>
      <c r="I175" s="300"/>
      <c r="J175" s="356">
        <v>0</v>
      </c>
      <c r="K175" s="356">
        <f>K174</f>
        <v>3.996570722045123E-2</v>
      </c>
      <c r="L175" s="356">
        <f t="shared" ref="L175:L176" si="1">L174</f>
        <v>0.14983087840355441</v>
      </c>
      <c r="M175" s="356">
        <f t="shared" ref="M175:M176" si="2">M174</f>
        <v>0.1867633735693886</v>
      </c>
      <c r="N175" s="356">
        <f t="shared" ref="N175:N176" si="3">N174</f>
        <v>0.62344004080660564</v>
      </c>
    </row>
    <row r="176" spans="3:43" x14ac:dyDescent="0.25">
      <c r="E176" s="27"/>
      <c r="F176" s="70" t="s">
        <v>249</v>
      </c>
      <c r="G176" s="70" t="s">
        <v>167</v>
      </c>
      <c r="H176" s="411"/>
      <c r="I176" s="28"/>
      <c r="J176" s="247">
        <v>0</v>
      </c>
      <c r="K176" s="247">
        <f>K175</f>
        <v>3.996570722045123E-2</v>
      </c>
      <c r="L176" s="247">
        <f t="shared" si="1"/>
        <v>0.14983087840355441</v>
      </c>
      <c r="M176" s="247">
        <f t="shared" si="2"/>
        <v>0.1867633735693886</v>
      </c>
      <c r="N176" s="247">
        <f t="shared" si="3"/>
        <v>0.62344004080660564</v>
      </c>
    </row>
    <row r="177" spans="3:43" x14ac:dyDescent="0.25">
      <c r="E177" s="250"/>
      <c r="F177" s="225"/>
      <c r="G177" s="225"/>
      <c r="H177" s="249"/>
      <c r="I177" s="249"/>
      <c r="J177" s="251"/>
      <c r="K177" s="251"/>
      <c r="L177" s="251"/>
      <c r="M177" s="251"/>
      <c r="N177" s="251"/>
    </row>
    <row r="178" spans="3:43" x14ac:dyDescent="0.25">
      <c r="E178" s="27" t="s">
        <v>989</v>
      </c>
      <c r="G178" s="12"/>
      <c r="J178" s="289" t="s">
        <v>978</v>
      </c>
      <c r="K178" s="289" t="s">
        <v>983</v>
      </c>
      <c r="L178" s="289" t="s">
        <v>984</v>
      </c>
      <c r="M178" s="289" t="s">
        <v>985</v>
      </c>
      <c r="N178" s="289" t="s">
        <v>986</v>
      </c>
    </row>
    <row r="179" spans="3:43" x14ac:dyDescent="0.25">
      <c r="E179" s="27"/>
      <c r="F179" s="68" t="s">
        <v>247</v>
      </c>
      <c r="G179" s="68" t="s">
        <v>167</v>
      </c>
      <c r="H179" s="409"/>
      <c r="I179" s="19"/>
      <c r="J179" s="246">
        <v>0</v>
      </c>
      <c r="K179" s="246">
        <v>3.996570722045123E-2</v>
      </c>
      <c r="L179" s="246">
        <v>0.14983087840355441</v>
      </c>
      <c r="M179" s="246">
        <v>0.1867633735693886</v>
      </c>
      <c r="N179" s="246">
        <v>0.62344004080660564</v>
      </c>
    </row>
    <row r="180" spans="3:43" x14ac:dyDescent="0.25">
      <c r="E180" s="27"/>
      <c r="F180" s="340" t="s">
        <v>248</v>
      </c>
      <c r="G180" s="340" t="s">
        <v>167</v>
      </c>
      <c r="H180" s="410"/>
      <c r="I180" s="300"/>
      <c r="J180" s="356">
        <v>0</v>
      </c>
      <c r="K180" s="356">
        <f>K179</f>
        <v>3.996570722045123E-2</v>
      </c>
      <c r="L180" s="356">
        <f t="shared" ref="L180:L181" si="4">L179</f>
        <v>0.14983087840355441</v>
      </c>
      <c r="M180" s="356">
        <f t="shared" ref="M180:M181" si="5">M179</f>
        <v>0.1867633735693886</v>
      </c>
      <c r="N180" s="356">
        <f t="shared" ref="N180:N181" si="6">N179</f>
        <v>0.62344004080660564</v>
      </c>
    </row>
    <row r="181" spans="3:43" x14ac:dyDescent="0.25">
      <c r="E181" s="27"/>
      <c r="F181" s="70" t="s">
        <v>249</v>
      </c>
      <c r="G181" s="70" t="s">
        <v>167</v>
      </c>
      <c r="H181" s="411"/>
      <c r="I181" s="28"/>
      <c r="J181" s="247">
        <v>0</v>
      </c>
      <c r="K181" s="247">
        <f>K180</f>
        <v>3.996570722045123E-2</v>
      </c>
      <c r="L181" s="247">
        <f t="shared" si="4"/>
        <v>0.14983087840355441</v>
      </c>
      <c r="M181" s="247">
        <f t="shared" si="5"/>
        <v>0.1867633735693886</v>
      </c>
      <c r="N181" s="247">
        <f t="shared" si="6"/>
        <v>0.62344004080660564</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control'!$H$36:$H$59,MATCH($A$1,'Version control'!$F$36:$F$59,0),1)&amp;"-D: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258</v>
      </c>
      <c r="H185" s="53"/>
    </row>
    <row r="186" spans="3:43" x14ac:dyDescent="0.25">
      <c r="G186" s="12"/>
      <c r="I186" t="s">
        <v>154</v>
      </c>
      <c r="AQ186" t="s">
        <v>259</v>
      </c>
    </row>
    <row r="187" spans="3:43" x14ac:dyDescent="0.25">
      <c r="D187" s="78"/>
      <c r="E187" t="s">
        <v>260</v>
      </c>
      <c r="G187" t="s">
        <v>261</v>
      </c>
      <c r="H187" s="41"/>
      <c r="J187" s="243">
        <v>253.13373247962596</v>
      </c>
      <c r="K187" s="69"/>
      <c r="L187" s="243">
        <v>742.22260051721889</v>
      </c>
      <c r="M187" s="69"/>
      <c r="N187" s="243">
        <v>1480.8362698875537</v>
      </c>
      <c r="O187" s="243">
        <v>1155.9518448856218</v>
      </c>
      <c r="P187" s="69"/>
      <c r="Q187" s="69"/>
      <c r="R187" s="243"/>
      <c r="S187" s="243"/>
      <c r="T187" s="243"/>
      <c r="U187" s="243"/>
      <c r="V187" s="243"/>
      <c r="W187" s="243"/>
      <c r="X187" s="69"/>
      <c r="Y187" s="69"/>
    </row>
    <row r="188" spans="3:43" x14ac:dyDescent="0.25">
      <c r="D188" s="78"/>
      <c r="E188" t="s">
        <v>262</v>
      </c>
      <c r="G188" t="s">
        <v>261</v>
      </c>
      <c r="H188" s="41"/>
      <c r="J188" s="69"/>
      <c r="K188" s="69"/>
      <c r="L188" s="69"/>
      <c r="M188" s="69"/>
      <c r="N188" s="69"/>
      <c r="O188" s="69"/>
      <c r="P188" s="243">
        <v>10671.557449351454</v>
      </c>
      <c r="Q188" s="69"/>
      <c r="R188" s="69"/>
      <c r="S188" s="69"/>
      <c r="T188" s="69"/>
      <c r="U188" s="69"/>
      <c r="V188" s="69"/>
      <c r="W188" s="69"/>
      <c r="X188" s="243">
        <v>6678.7161499432686</v>
      </c>
      <c r="Y188" s="243">
        <v>6678.7161499432686</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263</v>
      </c>
      <c r="G190" t="s">
        <v>264</v>
      </c>
      <c r="I190" t="s">
        <v>154</v>
      </c>
      <c r="J190" s="69"/>
      <c r="K190" s="69"/>
      <c r="L190" s="69"/>
      <c r="M190" s="69"/>
      <c r="N190" s="69"/>
      <c r="O190" s="69"/>
      <c r="P190" s="69"/>
      <c r="Q190" s="243">
        <v>286.15161957169067</v>
      </c>
      <c r="R190" s="69"/>
      <c r="S190" s="69"/>
      <c r="T190" s="69"/>
      <c r="U190" s="69"/>
      <c r="V190" s="69"/>
      <c r="W190" s="69"/>
      <c r="X190" s="69"/>
      <c r="Y190" s="69"/>
      <c r="AQ190" t="s">
        <v>265</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control'!$H$36:$H$59,MATCH($A$1,'Version control'!$F$36:$F$59,0),1)&amp;"-E: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268</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156</v>
      </c>
      <c r="G198" s="19" t="s">
        <v>269</v>
      </c>
      <c r="H198" s="19"/>
      <c r="I198" s="19"/>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1"/>
      <c r="AM198" s="381"/>
      <c r="AN198" s="381"/>
      <c r="AO198" s="381"/>
    </row>
    <row r="199" spans="3:43" x14ac:dyDescent="0.25">
      <c r="D199" s="27"/>
      <c r="F199" s="300" t="s">
        <v>157</v>
      </c>
      <c r="G199" s="300" t="s">
        <v>269</v>
      </c>
      <c r="H199" s="300"/>
      <c r="I199" s="300"/>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row>
    <row r="200" spans="3:43" x14ac:dyDescent="0.25">
      <c r="D200" s="27"/>
      <c r="F200" s="300" t="s">
        <v>158</v>
      </c>
      <c r="G200" s="300" t="s">
        <v>269</v>
      </c>
      <c r="H200" s="300"/>
      <c r="I200" s="300"/>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row>
    <row r="201" spans="3:43" x14ac:dyDescent="0.25">
      <c r="D201" s="27"/>
      <c r="F201" s="300" t="s">
        <v>159</v>
      </c>
      <c r="G201" s="300" t="s">
        <v>270</v>
      </c>
      <c r="H201" s="300"/>
      <c r="I201" s="300"/>
      <c r="J201" s="379"/>
      <c r="K201" s="319"/>
      <c r="L201" s="379"/>
      <c r="M201" s="379"/>
      <c r="N201" s="379"/>
      <c r="O201" s="379"/>
      <c r="P201" s="379"/>
      <c r="Q201" s="319"/>
      <c r="R201" s="379"/>
      <c r="S201" s="379"/>
      <c r="T201" s="379"/>
      <c r="U201" s="379"/>
      <c r="V201" s="379"/>
      <c r="W201" s="379"/>
      <c r="X201" s="379"/>
      <c r="Y201" s="379"/>
      <c r="Z201" s="379"/>
      <c r="AA201" s="379"/>
      <c r="AB201" s="379"/>
      <c r="AC201" s="379"/>
      <c r="AD201" s="379"/>
      <c r="AE201" s="379"/>
      <c r="AF201" s="379"/>
      <c r="AG201" s="319"/>
      <c r="AH201" s="319"/>
      <c r="AI201" s="319"/>
      <c r="AJ201" s="319"/>
      <c r="AK201" s="319"/>
      <c r="AL201" s="319"/>
      <c r="AM201" s="319"/>
      <c r="AN201" s="379"/>
      <c r="AO201" s="379"/>
    </row>
    <row r="202" spans="3:43" x14ac:dyDescent="0.25">
      <c r="D202" s="27"/>
      <c r="F202" s="300" t="s">
        <v>160</v>
      </c>
      <c r="G202" s="300" t="s">
        <v>271</v>
      </c>
      <c r="H202" s="300"/>
      <c r="I202" s="300"/>
      <c r="J202" s="319"/>
      <c r="K202" s="319"/>
      <c r="L202" s="319"/>
      <c r="M202" s="319"/>
      <c r="N202" s="319"/>
      <c r="O202" s="319"/>
      <c r="P202" s="319"/>
      <c r="Q202" s="319"/>
      <c r="R202" s="379"/>
      <c r="S202" s="379"/>
      <c r="T202" s="379"/>
      <c r="U202" s="379"/>
      <c r="V202" s="379"/>
      <c r="W202" s="379"/>
      <c r="X202" s="379"/>
      <c r="Y202" s="379"/>
      <c r="Z202" s="379"/>
      <c r="AA202" s="379"/>
      <c r="AB202" s="379"/>
      <c r="AC202" s="379"/>
      <c r="AD202" s="379"/>
      <c r="AE202" s="379"/>
      <c r="AF202" s="379"/>
      <c r="AG202" s="319"/>
      <c r="AH202" s="319"/>
      <c r="AI202" s="319"/>
      <c r="AJ202" s="319"/>
      <c r="AK202" s="319"/>
      <c r="AL202" s="319"/>
      <c r="AM202" s="319"/>
      <c r="AN202" s="319"/>
      <c r="AO202" s="319"/>
    </row>
    <row r="203" spans="3:43" x14ac:dyDescent="0.25">
      <c r="C203" s="300"/>
      <c r="D203" s="382"/>
      <c r="E203" s="300"/>
      <c r="F203" s="300" t="s">
        <v>161</v>
      </c>
      <c r="G203" s="300" t="s">
        <v>271</v>
      </c>
      <c r="H203" s="300"/>
      <c r="I203" s="300"/>
      <c r="J203" s="319"/>
      <c r="K203" s="319"/>
      <c r="L203" s="319"/>
      <c r="M203" s="319"/>
      <c r="N203" s="319"/>
      <c r="O203" s="319"/>
      <c r="P203" s="319"/>
      <c r="Q203" s="319"/>
      <c r="R203" s="379"/>
      <c r="S203" s="379"/>
      <c r="T203" s="379"/>
      <c r="U203" s="379"/>
      <c r="V203" s="379"/>
      <c r="W203" s="379"/>
      <c r="X203" s="379"/>
      <c r="Y203" s="379"/>
      <c r="Z203" s="379"/>
      <c r="AA203" s="379"/>
      <c r="AB203" s="379"/>
      <c r="AC203" s="379"/>
      <c r="AD203" s="379"/>
      <c r="AE203" s="379"/>
      <c r="AF203" s="379"/>
      <c r="AG203" s="319"/>
      <c r="AH203" s="319"/>
      <c r="AI203" s="319"/>
      <c r="AJ203" s="319"/>
      <c r="AK203" s="319"/>
      <c r="AL203" s="319"/>
      <c r="AM203" s="319"/>
      <c r="AN203" s="319"/>
      <c r="AO203" s="319"/>
    </row>
    <row r="204" spans="3:43" x14ac:dyDescent="0.25">
      <c r="C204" s="300"/>
      <c r="D204" s="382"/>
      <c r="E204" s="300"/>
      <c r="F204" s="28" t="s">
        <v>162</v>
      </c>
      <c r="G204" s="28" t="s">
        <v>272</v>
      </c>
      <c r="H204" s="28"/>
      <c r="I204" s="28"/>
      <c r="J204" s="71"/>
      <c r="K204" s="71"/>
      <c r="L204" s="71"/>
      <c r="M204" s="71"/>
      <c r="N204" s="71"/>
      <c r="O204" s="71"/>
      <c r="P204" s="71"/>
      <c r="Q204" s="71"/>
      <c r="R204" s="380"/>
      <c r="S204" s="380"/>
      <c r="T204" s="380"/>
      <c r="U204" s="380"/>
      <c r="V204" s="380"/>
      <c r="W204" s="380"/>
      <c r="X204" s="380"/>
      <c r="Y204" s="380"/>
      <c r="Z204" s="380"/>
      <c r="AA204" s="380"/>
      <c r="AB204" s="380"/>
      <c r="AC204" s="380"/>
      <c r="AD204" s="380"/>
      <c r="AE204" s="380"/>
      <c r="AF204" s="380"/>
      <c r="AG204" s="71"/>
      <c r="AH204" s="380"/>
      <c r="AI204" s="380"/>
      <c r="AJ204" s="380"/>
      <c r="AK204" s="71"/>
      <c r="AL204" s="380"/>
      <c r="AM204" s="71"/>
      <c r="AN204" s="380"/>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control'!$H$36:$H$59,MATCH($A$1,'Version control'!$F$36:$F$59,0),1)&amp;"-F: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4" x14ac:dyDescent="0.2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4" x14ac:dyDescent="0.2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4"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4" ht="60" x14ac:dyDescent="0.25">
      <c r="F212" s="300"/>
      <c r="G212" s="300"/>
      <c r="H212" s="300"/>
      <c r="I212" s="300"/>
      <c r="J212" s="386" t="s">
        <v>908</v>
      </c>
      <c r="K212" s="386" t="s">
        <v>829</v>
      </c>
      <c r="L212" s="386" t="s">
        <v>909</v>
      </c>
      <c r="M212" s="386" t="s">
        <v>910</v>
      </c>
      <c r="N212" s="386" t="s">
        <v>911</v>
      </c>
      <c r="O212" s="386" t="s">
        <v>912</v>
      </c>
      <c r="P212" s="386" t="s">
        <v>913</v>
      </c>
      <c r="Q212" s="386" t="s">
        <v>830</v>
      </c>
      <c r="R212" s="386" t="s">
        <v>914</v>
      </c>
      <c r="S212" s="386" t="s">
        <v>915</v>
      </c>
      <c r="T212" s="386" t="s">
        <v>916</v>
      </c>
      <c r="U212" s="386" t="s">
        <v>917</v>
      </c>
      <c r="V212" s="386" t="s">
        <v>918</v>
      </c>
      <c r="W212" s="386" t="s">
        <v>919</v>
      </c>
      <c r="X212" s="386" t="s">
        <v>920</v>
      </c>
      <c r="Y212" s="386" t="s">
        <v>921</v>
      </c>
      <c r="Z212" s="386" t="s">
        <v>922</v>
      </c>
      <c r="AA212" s="386" t="s">
        <v>923</v>
      </c>
      <c r="AB212" s="386" t="s">
        <v>924</v>
      </c>
      <c r="AC212" s="386" t="s">
        <v>925</v>
      </c>
      <c r="AD212" s="386" t="s">
        <v>926</v>
      </c>
      <c r="AE212" s="386" t="s">
        <v>927</v>
      </c>
      <c r="AF212" s="386" t="s">
        <v>928</v>
      </c>
      <c r="AG212" s="386" t="s">
        <v>839</v>
      </c>
      <c r="AH212" s="386" t="s">
        <v>831</v>
      </c>
      <c r="AI212" s="386" t="s">
        <v>832</v>
      </c>
      <c r="AJ212" s="386" t="s">
        <v>833</v>
      </c>
      <c r="AK212" s="386" t="s">
        <v>842</v>
      </c>
      <c r="AL212" s="386" t="s">
        <v>834</v>
      </c>
      <c r="AM212" s="386" t="s">
        <v>841</v>
      </c>
      <c r="AN212" s="386" t="s">
        <v>835</v>
      </c>
      <c r="AO212" s="386" t="s">
        <v>840</v>
      </c>
      <c r="AP212" s="300"/>
      <c r="AQ212" s="300"/>
      <c r="AR212" s="300"/>
    </row>
    <row r="213" spans="2:44" x14ac:dyDescent="0.25">
      <c r="E213" s="23" t="s">
        <v>276</v>
      </c>
      <c r="F213" s="300"/>
      <c r="G213" s="300" t="s">
        <v>277</v>
      </c>
      <c r="H213" s="300"/>
      <c r="I213" s="300"/>
      <c r="J213" s="329"/>
      <c r="K213" s="329"/>
      <c r="L213" s="329"/>
      <c r="M213" s="329"/>
      <c r="N213" s="329"/>
      <c r="O213" s="329"/>
      <c r="P213" s="329"/>
      <c r="Q213" s="329"/>
      <c r="R213" s="329"/>
      <c r="S213" s="329"/>
      <c r="T213" s="329"/>
      <c r="U213" s="329"/>
      <c r="V213" s="329"/>
      <c r="W213" s="329"/>
      <c r="X213" s="329"/>
      <c r="Y213" s="329"/>
      <c r="Z213" s="329"/>
      <c r="AA213" s="329"/>
      <c r="AB213" s="329"/>
      <c r="AC213" s="329"/>
      <c r="AD213" s="329"/>
      <c r="AE213" s="329"/>
      <c r="AF213" s="329"/>
      <c r="AG213" s="329"/>
      <c r="AH213" s="329"/>
      <c r="AI213" s="329"/>
      <c r="AJ213" s="329"/>
      <c r="AK213" s="329"/>
      <c r="AL213" s="329"/>
      <c r="AM213" s="329"/>
      <c r="AN213" s="329"/>
      <c r="AO213" s="329"/>
      <c r="AP213" s="300"/>
      <c r="AQ213" s="300"/>
      <c r="AR213" s="300"/>
    </row>
    <row r="214" spans="2:44" x14ac:dyDescent="0.25">
      <c r="G214" s="12"/>
    </row>
    <row r="215" spans="2:44" x14ac:dyDescent="0.2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4" x14ac:dyDescent="0.25">
      <c r="G216" s="12"/>
    </row>
    <row r="217" spans="2:44" x14ac:dyDescent="0.25">
      <c r="E217" s="27" t="s">
        <v>1113</v>
      </c>
      <c r="G217" s="12"/>
    </row>
    <row r="218" spans="2:44" x14ac:dyDescent="0.25">
      <c r="E218" s="27"/>
      <c r="F218" s="68" t="s">
        <v>247</v>
      </c>
      <c r="G218" s="68" t="s">
        <v>209</v>
      </c>
      <c r="H218" s="409" t="b">
        <f>SUM(J169:N169)=1</f>
        <v>1</v>
      </c>
    </row>
    <row r="219" spans="2:44" x14ac:dyDescent="0.25">
      <c r="E219" s="27"/>
      <c r="F219" s="340" t="s">
        <v>248</v>
      </c>
      <c r="G219" s="340" t="s">
        <v>209</v>
      </c>
      <c r="H219" s="410" t="b">
        <f t="shared" ref="H219:H220" si="7">SUM(J170:N170)=1</f>
        <v>1</v>
      </c>
    </row>
    <row r="220" spans="2:44" x14ac:dyDescent="0.25">
      <c r="E220" s="27"/>
      <c r="F220" s="70" t="s">
        <v>249</v>
      </c>
      <c r="G220" s="70" t="s">
        <v>209</v>
      </c>
      <c r="H220" s="411" t="b">
        <f t="shared" si="7"/>
        <v>1</v>
      </c>
    </row>
    <row r="221" spans="2:44" x14ac:dyDescent="0.25">
      <c r="E221" s="250"/>
      <c r="F221" s="225"/>
      <c r="G221" s="225"/>
      <c r="H221" s="249"/>
    </row>
    <row r="222" spans="2:44" x14ac:dyDescent="0.25">
      <c r="E222" s="27" t="s">
        <v>1114</v>
      </c>
      <c r="G222" s="12"/>
    </row>
    <row r="223" spans="2:44" x14ac:dyDescent="0.25">
      <c r="E223" s="27"/>
      <c r="F223" s="68" t="s">
        <v>247</v>
      </c>
      <c r="G223" s="68" t="s">
        <v>209</v>
      </c>
      <c r="H223" s="409" t="b">
        <f>SUM(J174:N174)=1</f>
        <v>1</v>
      </c>
    </row>
    <row r="224" spans="2:44" x14ac:dyDescent="0.25">
      <c r="E224" s="27"/>
      <c r="F224" s="340" t="s">
        <v>248</v>
      </c>
      <c r="G224" s="340" t="s">
        <v>209</v>
      </c>
      <c r="H224" s="410" t="b">
        <f t="shared" ref="H224:H225" si="8">SUM(J175:N175)=1</f>
        <v>1</v>
      </c>
    </row>
    <row r="225" spans="2:43" x14ac:dyDescent="0.25">
      <c r="E225" s="27"/>
      <c r="F225" s="70" t="s">
        <v>249</v>
      </c>
      <c r="G225" s="70" t="s">
        <v>209</v>
      </c>
      <c r="H225" s="411" t="b">
        <f t="shared" si="8"/>
        <v>1</v>
      </c>
    </row>
    <row r="226" spans="2:43" x14ac:dyDescent="0.25">
      <c r="E226" s="250"/>
      <c r="F226" s="225"/>
      <c r="G226" s="225"/>
      <c r="H226" s="249"/>
    </row>
    <row r="227" spans="2:43" x14ac:dyDescent="0.25">
      <c r="E227" s="27" t="s">
        <v>1115</v>
      </c>
      <c r="G227" s="12"/>
    </row>
    <row r="228" spans="2:43" x14ac:dyDescent="0.25">
      <c r="E228" s="27"/>
      <c r="F228" s="68" t="s">
        <v>247</v>
      </c>
      <c r="G228" s="68" t="s">
        <v>209</v>
      </c>
      <c r="H228" s="409" t="b">
        <f>SUM(J179:N179)=1</f>
        <v>1</v>
      </c>
    </row>
    <row r="229" spans="2:43" x14ac:dyDescent="0.25">
      <c r="E229" s="27"/>
      <c r="F229" s="340" t="s">
        <v>248</v>
      </c>
      <c r="G229" s="340" t="s">
        <v>209</v>
      </c>
      <c r="H229" s="410" t="b">
        <f t="shared" ref="H229:H230" si="9">SUM(J180:N180)=1</f>
        <v>1</v>
      </c>
    </row>
    <row r="230" spans="2:43" x14ac:dyDescent="0.25">
      <c r="E230" s="27"/>
      <c r="F230" s="70" t="s">
        <v>249</v>
      </c>
      <c r="G230" s="70" t="s">
        <v>209</v>
      </c>
      <c r="H230" s="411" t="b">
        <f t="shared" si="9"/>
        <v>1</v>
      </c>
    </row>
    <row r="231" spans="2:43" x14ac:dyDescent="0.25">
      <c r="G231" s="12"/>
    </row>
    <row r="232" spans="2:43" x14ac:dyDescent="0.25">
      <c r="E232" t="s">
        <v>1116</v>
      </c>
      <c r="G232" s="6" t="s">
        <v>55</v>
      </c>
      <c r="H232" s="20">
        <f>COUNTIF(H218:H230,FALSE)</f>
        <v>0</v>
      </c>
    </row>
    <row r="233" spans="2:43" x14ac:dyDescent="0.25">
      <c r="G233" s="12"/>
    </row>
    <row r="234" spans="2:43" x14ac:dyDescent="0.25">
      <c r="E234" t="s">
        <v>232</v>
      </c>
      <c r="G234" s="6" t="s">
        <v>55</v>
      </c>
      <c r="H234" s="20">
        <f t="array" ref="H234">SUM(IF(ISERROR(H13:Y214), 1))</f>
        <v>0</v>
      </c>
    </row>
    <row r="235" spans="2:43" x14ac:dyDescent="0.25">
      <c r="G235" s="12"/>
    </row>
    <row r="236" spans="2:43" x14ac:dyDescent="0.25">
      <c r="E236" t="s">
        <v>239</v>
      </c>
      <c r="G236" s="6" t="s">
        <v>55</v>
      </c>
      <c r="H236" s="93">
        <f xml:space="preserve"> H232 + H234</f>
        <v>0</v>
      </c>
    </row>
    <row r="238" spans="2:43" x14ac:dyDescent="0.2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R15:Y16 J16:P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26:Y133 J185:Y185 J207:AO207 J193:AO193 J190:Y191 J41:Y48 J135:Y142 J32:Y39 J59:Y66 J50:Y57 J70:Y77 J23:Y30 K179:N181 J144:Y151 J153:Y160 J182:Y182 J117:Y124 K169:N172 K174:N177 J79:Y86 J88:Y95 J97:Y104 J106:Y113 J187:Y188">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24" activePane="bottomRight" state="frozen"/>
      <selection pane="topRight"/>
      <selection pane="bottomLeft"/>
      <selection pane="bottomRight" activeCell="K15" sqref="K15"/>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2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278</v>
      </c>
    </row>
    <row r="11" spans="1:27" x14ac:dyDescent="0.2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control'!$H$36:$H$59,MATCH($A$1,'Version control'!$F$36:$F$59,0),1)&amp;"-A: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279</v>
      </c>
      <c r="G15" s="23" t="s">
        <v>167</v>
      </c>
      <c r="I15" t="s">
        <v>154</v>
      </c>
      <c r="J15" s="84"/>
      <c r="K15" s="248">
        <v>5.649040831841079E-2</v>
      </c>
      <c r="L15" s="248">
        <v>2.5568682496299511E-2</v>
      </c>
      <c r="M15" s="84"/>
      <c r="N15" s="248">
        <v>2.6631596666738533E-2</v>
      </c>
      <c r="O15" s="84"/>
      <c r="P15" s="67"/>
      <c r="Q15" s="248">
        <v>0.34000000000000008</v>
      </c>
      <c r="R15" s="56"/>
      <c r="S15" s="56"/>
      <c r="U15" s="53" t="s">
        <v>280</v>
      </c>
    </row>
    <row r="17" spans="3:27" x14ac:dyDescent="0.25">
      <c r="E17" s="23" t="s">
        <v>281</v>
      </c>
      <c r="G17" s="23" t="s">
        <v>167</v>
      </c>
      <c r="H17" s="23"/>
      <c r="I17" s="85"/>
      <c r="J17" s="84"/>
      <c r="K17" s="56"/>
      <c r="L17" s="56"/>
      <c r="M17" s="56"/>
      <c r="N17" s="56"/>
      <c r="O17" s="56"/>
      <c r="P17" s="248">
        <v>0.69256562916818787</v>
      </c>
      <c r="Q17" s="56"/>
      <c r="R17" s="56"/>
      <c r="S17" s="56"/>
    </row>
    <row r="19" spans="3:27" x14ac:dyDescent="0.25">
      <c r="E19" s="23" t="s">
        <v>282</v>
      </c>
      <c r="G19" s="23" t="s">
        <v>283</v>
      </c>
      <c r="I19" t="s">
        <v>154</v>
      </c>
      <c r="J19" s="69"/>
      <c r="K19" s="243">
        <v>1</v>
      </c>
      <c r="L19" s="243">
        <v>1.0069999999999999</v>
      </c>
      <c r="M19" s="243">
        <v>1.0109999999999999</v>
      </c>
      <c r="N19" s="243">
        <v>1.034</v>
      </c>
      <c r="O19" s="243">
        <v>1.0409999999999999</v>
      </c>
      <c r="P19" s="69"/>
      <c r="Q19" s="243">
        <v>1.054</v>
      </c>
      <c r="R19" s="243">
        <v>1.071</v>
      </c>
      <c r="S19" s="243">
        <v>1.093</v>
      </c>
      <c r="U19" s="53" t="s">
        <v>284</v>
      </c>
    </row>
    <row r="20" spans="3:27" x14ac:dyDescent="0.25">
      <c r="J20" s="79"/>
      <c r="K20" s="79"/>
      <c r="L20" s="79"/>
      <c r="M20" s="79"/>
      <c r="N20" s="79"/>
      <c r="O20" s="79"/>
      <c r="P20" s="79"/>
      <c r="Q20" s="79"/>
      <c r="R20" s="79"/>
      <c r="S20" s="79"/>
    </row>
    <row r="21" spans="3:27" x14ac:dyDescent="0.25">
      <c r="E21" s="23" t="s">
        <v>285</v>
      </c>
      <c r="G21" s="23" t="s">
        <v>286</v>
      </c>
      <c r="I21" t="s">
        <v>154</v>
      </c>
      <c r="J21" s="69"/>
      <c r="K21" s="243">
        <v>0.16610219800523407</v>
      </c>
      <c r="L21" s="243">
        <f>K21</f>
        <v>0.16610219800523407</v>
      </c>
      <c r="M21" s="243">
        <f t="shared" ref="M21:S21" si="0">L21</f>
        <v>0.16610219800523407</v>
      </c>
      <c r="N21" s="243">
        <f t="shared" si="0"/>
        <v>0.16610219800523407</v>
      </c>
      <c r="O21" s="243">
        <f t="shared" si="0"/>
        <v>0.16610219800523407</v>
      </c>
      <c r="P21" s="243">
        <f t="shared" si="0"/>
        <v>0.16610219800523407</v>
      </c>
      <c r="Q21" s="243">
        <f t="shared" si="0"/>
        <v>0.16610219800523407</v>
      </c>
      <c r="R21" s="243">
        <f t="shared" si="0"/>
        <v>0.16610219800523407</v>
      </c>
      <c r="S21" s="243">
        <f t="shared" si="0"/>
        <v>0.16610219800523407</v>
      </c>
      <c r="U21" s="53" t="s">
        <v>287</v>
      </c>
    </row>
    <row r="23" spans="3:27" x14ac:dyDescent="0.25">
      <c r="C23" s="26" t="str">
        <f ca="1">INDEX('Version control'!$H$36:$H$59,MATCH($A$1,'Version control'!$F$36:$F$59,0),1)&amp;"-B: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154</v>
      </c>
      <c r="U24" t="s">
        <v>288</v>
      </c>
    </row>
    <row r="25" spans="3:27" x14ac:dyDescent="0.25">
      <c r="C25" s="27"/>
      <c r="E25" s="27" t="s">
        <v>289</v>
      </c>
    </row>
    <row r="26" spans="3:27" x14ac:dyDescent="0.25">
      <c r="F26" s="54" t="s">
        <v>186</v>
      </c>
      <c r="G26" s="54" t="s">
        <v>167</v>
      </c>
      <c r="H26" s="19"/>
      <c r="I26" s="19"/>
      <c r="J26" s="55"/>
      <c r="K26" s="55"/>
      <c r="L26" s="246">
        <v>0</v>
      </c>
      <c r="M26" s="246">
        <v>0</v>
      </c>
      <c r="N26" s="246">
        <v>0</v>
      </c>
      <c r="O26" s="246">
        <v>0</v>
      </c>
      <c r="P26" s="246">
        <v>0</v>
      </c>
      <c r="Q26" s="246">
        <v>0.38684969697494365</v>
      </c>
      <c r="R26" s="246">
        <v>0.64124825573068889</v>
      </c>
      <c r="S26" s="246">
        <v>0.89564681448643413</v>
      </c>
    </row>
    <row r="27" spans="3:27" x14ac:dyDescent="0.25">
      <c r="F27" s="23" t="s">
        <v>185</v>
      </c>
      <c r="G27" s="23" t="s">
        <v>167</v>
      </c>
      <c r="J27" s="56"/>
      <c r="K27" s="56"/>
      <c r="L27" s="241">
        <v>0</v>
      </c>
      <c r="M27" s="241">
        <v>0</v>
      </c>
      <c r="N27" s="241">
        <v>0</v>
      </c>
      <c r="O27" s="241">
        <v>0</v>
      </c>
      <c r="P27" s="241">
        <v>0</v>
      </c>
      <c r="Q27" s="241">
        <v>0.38684969697494365</v>
      </c>
      <c r="R27" s="241">
        <v>0.64124825573068889</v>
      </c>
      <c r="S27" s="60"/>
    </row>
    <row r="28" spans="3:27" x14ac:dyDescent="0.25">
      <c r="F28" s="23" t="s">
        <v>184</v>
      </c>
      <c r="G28" s="23" t="s">
        <v>167</v>
      </c>
      <c r="J28" s="56"/>
      <c r="K28" s="56"/>
      <c r="L28" s="241">
        <v>0</v>
      </c>
      <c r="M28" s="241">
        <v>0</v>
      </c>
      <c r="N28" s="241">
        <v>0</v>
      </c>
      <c r="O28" s="241">
        <v>0.25764106948138837</v>
      </c>
      <c r="P28" s="241">
        <v>0.25764106948138837</v>
      </c>
      <c r="Q28" s="241">
        <v>0.51528213896277675</v>
      </c>
      <c r="R28" s="60"/>
      <c r="S28" s="60"/>
    </row>
    <row r="29" spans="3:27" x14ac:dyDescent="0.25">
      <c r="F29" s="57" t="s">
        <v>183</v>
      </c>
      <c r="G29" s="57" t="s">
        <v>167</v>
      </c>
      <c r="H29" s="28"/>
      <c r="I29" s="28"/>
      <c r="J29" s="58"/>
      <c r="K29" s="58"/>
      <c r="L29" s="247">
        <v>0</v>
      </c>
      <c r="M29" s="247">
        <v>0</v>
      </c>
      <c r="N29" s="247">
        <v>0</v>
      </c>
      <c r="O29" s="247">
        <v>0.25764106948138837</v>
      </c>
      <c r="P29" s="61"/>
      <c r="Q29" s="61"/>
      <c r="R29" s="61"/>
      <c r="S29" s="61"/>
    </row>
    <row r="31" spans="3:27" x14ac:dyDescent="0.25">
      <c r="C31" s="26" t="str">
        <f ca="1">INDEX('Version control'!$H$36:$H$59,MATCH($A$1,'Version control'!$F$36:$F$59,0),1)&amp;"-C: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290</v>
      </c>
      <c r="G33" s="23" t="s">
        <v>277</v>
      </c>
      <c r="I33" t="s">
        <v>154</v>
      </c>
      <c r="J33" s="69"/>
      <c r="K33" s="69"/>
      <c r="L33" s="243">
        <v>52351668.257857002</v>
      </c>
      <c r="M33" s="243">
        <v>12394111.152143944</v>
      </c>
      <c r="N33" s="243">
        <v>12597790.288510997</v>
      </c>
      <c r="O33" s="243">
        <v>24284610.94556376</v>
      </c>
      <c r="P33" s="243">
        <v>25926729.677932981</v>
      </c>
      <c r="Q33" s="243">
        <v>154966442.12460211</v>
      </c>
      <c r="R33" s="243">
        <v>75500847.569057524</v>
      </c>
      <c r="S33" s="243">
        <v>173310019.94654039</v>
      </c>
    </row>
    <row r="35" spans="2:27" x14ac:dyDescent="0.25">
      <c r="C35" s="26" t="str">
        <f ca="1">INDEX('Version control'!$H$36:$H$59,MATCH($A$1,'Version control'!$F$36:$F$59,0),1)&amp;"-D: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291</v>
      </c>
    </row>
    <row r="38" spans="2:27" x14ac:dyDescent="0.25">
      <c r="C38" s="24"/>
    </row>
    <row r="39" spans="2:27" x14ac:dyDescent="0.25">
      <c r="D39" s="27"/>
      <c r="E39" s="27" t="s">
        <v>292</v>
      </c>
      <c r="I39" t="s">
        <v>154</v>
      </c>
      <c r="U39" t="s">
        <v>293</v>
      </c>
    </row>
    <row r="40" spans="2:27" x14ac:dyDescent="0.25">
      <c r="F40" s="19" t="s">
        <v>294</v>
      </c>
      <c r="G40" s="68" t="s">
        <v>167</v>
      </c>
      <c r="H40" s="19"/>
      <c r="I40" s="19"/>
      <c r="J40" s="55"/>
      <c r="K40" s="246">
        <v>0.80138586782665089</v>
      </c>
      <c r="L40" s="246">
        <v>0.53080630647635507</v>
      </c>
      <c r="M40" s="246">
        <v>0.53080630647635507</v>
      </c>
      <c r="N40" s="246">
        <v>0.56672841997802437</v>
      </c>
      <c r="O40" s="246">
        <v>0.56672841997802437</v>
      </c>
      <c r="P40" s="246">
        <v>0.53080630647635507</v>
      </c>
      <c r="Q40" s="246">
        <v>0.56672841997802437</v>
      </c>
      <c r="R40" s="246">
        <v>0.56672841997802437</v>
      </c>
      <c r="S40" s="246">
        <v>0.56672841997802437</v>
      </c>
    </row>
    <row r="41" spans="2:27" x14ac:dyDescent="0.25">
      <c r="F41" t="s">
        <v>295</v>
      </c>
      <c r="G41" s="62" t="s">
        <v>167</v>
      </c>
      <c r="J41" s="56"/>
      <c r="K41" s="241">
        <v>0.19861413217334903</v>
      </c>
      <c r="L41" s="241">
        <v>0.40381137907243758</v>
      </c>
      <c r="M41" s="241">
        <v>0.40381137907243758</v>
      </c>
      <c r="N41" s="241">
        <v>0.34095948258592967</v>
      </c>
      <c r="O41" s="241">
        <v>0.34095948258592967</v>
      </c>
      <c r="P41" s="241">
        <v>0.40381137907243758</v>
      </c>
      <c r="Q41" s="241">
        <v>0.34095948258592967</v>
      </c>
      <c r="R41" s="241">
        <v>0.34095948258592967</v>
      </c>
      <c r="S41" s="241">
        <v>0.34095948258592967</v>
      </c>
    </row>
    <row r="42" spans="2:27" x14ac:dyDescent="0.25">
      <c r="F42" s="28" t="s">
        <v>257</v>
      </c>
      <c r="G42" s="70" t="s">
        <v>167</v>
      </c>
      <c r="H42" s="28"/>
      <c r="I42" s="28"/>
      <c r="J42" s="58"/>
      <c r="K42" s="247">
        <v>0</v>
      </c>
      <c r="L42" s="247">
        <v>6.5382314451207277E-2</v>
      </c>
      <c r="M42" s="247">
        <v>6.5382314451207277E-2</v>
      </c>
      <c r="N42" s="247">
        <v>9.2312097436045848E-2</v>
      </c>
      <c r="O42" s="247">
        <v>9.2312097436045848E-2</v>
      </c>
      <c r="P42" s="247">
        <v>6.5382314451207277E-2</v>
      </c>
      <c r="Q42" s="247">
        <v>9.2312097436045848E-2</v>
      </c>
      <c r="R42" s="247">
        <v>9.2312097436045848E-2</v>
      </c>
      <c r="S42" s="247">
        <v>9.2312097436045848E-2</v>
      </c>
    </row>
    <row r="43" spans="2:27" x14ac:dyDescent="0.25">
      <c r="F43" s="28" t="s">
        <v>296</v>
      </c>
      <c r="G43" s="70" t="s">
        <v>167</v>
      </c>
      <c r="H43" s="28"/>
      <c r="I43" s="28"/>
      <c r="J43" s="58"/>
      <c r="K43" s="247">
        <v>0.75258519802029278</v>
      </c>
      <c r="L43" s="247">
        <v>0.50667755760103239</v>
      </c>
      <c r="M43" s="247">
        <v>0.50667755760103239</v>
      </c>
      <c r="N43" s="247">
        <v>0.55070546890745764</v>
      </c>
      <c r="O43" s="247">
        <v>0.55070546890745764</v>
      </c>
      <c r="P43" s="247">
        <v>0.50667755760103239</v>
      </c>
      <c r="Q43" s="247">
        <v>0.55070546890745764</v>
      </c>
      <c r="R43" s="247">
        <v>0.55070546890745764</v>
      </c>
      <c r="S43" s="247">
        <v>0.55070546890745764</v>
      </c>
    </row>
    <row r="45" spans="2:27" x14ac:dyDescent="0.2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232</v>
      </c>
      <c r="G47" s="6" t="s">
        <v>55</v>
      </c>
      <c r="H47" s="20">
        <f t="array" ref="H47">SUM(IF(ISERROR(H15:AA44), 1))</f>
        <v>0</v>
      </c>
    </row>
    <row r="49" spans="2:27" x14ac:dyDescent="0.25">
      <c r="E49" t="s">
        <v>297</v>
      </c>
      <c r="G49" s="6" t="s">
        <v>55</v>
      </c>
      <c r="H49" s="20">
        <f>IF(K19 = 1, 0, 1)</f>
        <v>0</v>
      </c>
    </row>
    <row r="51" spans="2:27" x14ac:dyDescent="0.25">
      <c r="E51" s="27" t="s">
        <v>298</v>
      </c>
    </row>
    <row r="52" spans="2:27" x14ac:dyDescent="0.25">
      <c r="E52" s="24" t="s">
        <v>299</v>
      </c>
    </row>
    <row r="53" spans="2:27" x14ac:dyDescent="0.2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239</v>
      </c>
      <c r="G56" s="6" t="s">
        <v>55</v>
      </c>
      <c r="H56" s="93">
        <f>SUM(H47:H54)</f>
        <v>0</v>
      </c>
    </row>
    <row r="58" spans="2:27" x14ac:dyDescent="0.2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7">
    <dataValidation type="decimal" operator="greaterThan" allowBlank="1" showInputMessage="1" showErrorMessage="1" sqref="K19:O19 Q19:S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Q15 K15:L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abSelected="1" zoomScale="80" zoomScaleNormal="80" workbookViewId="0">
      <pane ySplit="5" topLeftCell="A51" activePane="bottomLeft" state="frozen"/>
      <selection pane="bottomLeft" activeCell="H30" sqref="H30:H33"/>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8" t="s">
        <v>143</v>
      </c>
      <c r="H5" s="83" t="s">
        <v>144</v>
      </c>
      <c r="J5" s="51" t="s">
        <v>145</v>
      </c>
    </row>
    <row r="6" spans="1:27" x14ac:dyDescent="0.25">
      <c r="G6" s="12"/>
    </row>
    <row r="7" spans="1:27" x14ac:dyDescent="0.2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301</v>
      </c>
      <c r="G9" s="12"/>
    </row>
    <row r="10" spans="1:27" x14ac:dyDescent="0.25">
      <c r="G10" s="12"/>
    </row>
    <row r="11" spans="1:27" x14ac:dyDescent="0.2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control'!$H$36:$H$59,MATCH($A$1,'Version control'!$F$36:$F$59,0),1)&amp;"-A: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302</v>
      </c>
      <c r="E15" s="27"/>
      <c r="G15" s="12"/>
      <c r="I15" t="s">
        <v>154</v>
      </c>
      <c r="J15" t="s">
        <v>303</v>
      </c>
    </row>
    <row r="16" spans="1:27" x14ac:dyDescent="0.25">
      <c r="E16" s="54" t="s">
        <v>296</v>
      </c>
      <c r="F16" s="54"/>
      <c r="G16" s="75" t="s">
        <v>304</v>
      </c>
      <c r="H16" s="242">
        <v>261</v>
      </c>
    </row>
    <row r="17" spans="3:27" x14ac:dyDescent="0.25">
      <c r="E17" s="23" t="s">
        <v>305</v>
      </c>
      <c r="F17" s="23"/>
      <c r="G17" s="12" t="s">
        <v>304</v>
      </c>
      <c r="H17" s="243">
        <v>3249</v>
      </c>
    </row>
    <row r="18" spans="3:27" x14ac:dyDescent="0.25">
      <c r="E18" s="57" t="s">
        <v>257</v>
      </c>
      <c r="F18" s="57"/>
      <c r="G18" s="76" t="s">
        <v>304</v>
      </c>
      <c r="H18" s="245">
        <v>5274</v>
      </c>
    </row>
    <row r="19" spans="3:27" x14ac:dyDescent="0.25">
      <c r="G19" s="12"/>
      <c r="H19" s="79"/>
    </row>
    <row r="20" spans="3:27" x14ac:dyDescent="0.25">
      <c r="D20" s="27" t="s">
        <v>306</v>
      </c>
      <c r="E20" s="27"/>
      <c r="G20" s="12"/>
      <c r="H20" s="79"/>
      <c r="I20" t="s">
        <v>154</v>
      </c>
      <c r="J20" t="s">
        <v>303</v>
      </c>
    </row>
    <row r="21" spans="3:27" x14ac:dyDescent="0.25">
      <c r="E21" s="19" t="s">
        <v>294</v>
      </c>
      <c r="F21" s="19"/>
      <c r="G21" s="75" t="s">
        <v>304</v>
      </c>
      <c r="H21" s="242">
        <v>780</v>
      </c>
    </row>
    <row r="22" spans="3:27" x14ac:dyDescent="0.25">
      <c r="E22" t="s">
        <v>295</v>
      </c>
      <c r="G22" s="12" t="s">
        <v>304</v>
      </c>
      <c r="H22" s="243">
        <v>2730</v>
      </c>
    </row>
    <row r="23" spans="3:27" x14ac:dyDescent="0.25">
      <c r="E23" s="28" t="s">
        <v>257</v>
      </c>
      <c r="F23" s="28"/>
      <c r="G23" s="76" t="s">
        <v>304</v>
      </c>
      <c r="H23" s="245">
        <v>5274</v>
      </c>
    </row>
    <row r="24" spans="3:27" x14ac:dyDescent="0.25">
      <c r="G24" s="12"/>
    </row>
    <row r="25" spans="3:27" x14ac:dyDescent="0.25">
      <c r="C25" s="26" t="str">
        <f ca="1">INDEX('Version control'!$H$36:$H$59,MATCH($A$1,'Version control'!$F$36:$F$59,0),1)&amp;"-B: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307</v>
      </c>
      <c r="E27" s="24"/>
      <c r="G27" s="12"/>
    </row>
    <row r="28" spans="3:27" x14ac:dyDescent="0.25">
      <c r="D28" s="24"/>
      <c r="E28" s="24"/>
      <c r="G28" s="12"/>
    </row>
    <row r="29" spans="3:27" x14ac:dyDescent="0.25">
      <c r="D29" s="27" t="s">
        <v>308</v>
      </c>
      <c r="E29" s="27"/>
      <c r="G29" s="12"/>
      <c r="I29" t="s">
        <v>154</v>
      </c>
      <c r="J29" t="s">
        <v>309</v>
      </c>
    </row>
    <row r="30" spans="3:27" x14ac:dyDescent="0.25">
      <c r="E30" s="54" t="s">
        <v>175</v>
      </c>
      <c r="F30" s="19"/>
      <c r="G30" s="68" t="s">
        <v>167</v>
      </c>
      <c r="H30" s="246">
        <v>0.3378546825678212</v>
      </c>
      <c r="J30" s="470">
        <v>1.9894641489770493E-12</v>
      </c>
    </row>
    <row r="31" spans="3:27" x14ac:dyDescent="0.25">
      <c r="E31" s="23" t="s">
        <v>177</v>
      </c>
      <c r="G31" s="62" t="s">
        <v>167</v>
      </c>
      <c r="H31" s="241">
        <v>0.48529035029231349</v>
      </c>
      <c r="J31" s="470">
        <v>3.0609403900427878E-12</v>
      </c>
    </row>
    <row r="32" spans="3:27" x14ac:dyDescent="0.25">
      <c r="E32" s="23" t="s">
        <v>178</v>
      </c>
      <c r="G32" s="62" t="s">
        <v>167</v>
      </c>
      <c r="H32" s="241">
        <v>0.20072349959460251</v>
      </c>
      <c r="J32" s="470">
        <v>2.1923018955760654E-12</v>
      </c>
    </row>
    <row r="33" spans="3:27" x14ac:dyDescent="0.25">
      <c r="E33" s="57" t="s">
        <v>179</v>
      </c>
      <c r="F33" s="28"/>
      <c r="G33" s="70" t="s">
        <v>167</v>
      </c>
      <c r="H33" s="247">
        <v>8.1602927143683501E-2</v>
      </c>
      <c r="J33" s="470">
        <v>1.2652101588628284E-12</v>
      </c>
    </row>
    <row r="34" spans="3:27" x14ac:dyDescent="0.25">
      <c r="G34" s="12"/>
    </row>
    <row r="35" spans="3:27" x14ac:dyDescent="0.25">
      <c r="C35" s="26" t="str">
        <f ca="1">INDEX('Version control'!$H$36:$H$59,MATCH($A$1,'Version control'!$F$36:$F$59,0),1)&amp;"-C: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310</v>
      </c>
      <c r="E37" s="24"/>
      <c r="G37" s="12"/>
      <c r="H37" s="12"/>
      <c r="I37" t="s">
        <v>154</v>
      </c>
      <c r="J37" t="s">
        <v>1162</v>
      </c>
      <c r="K37" s="12"/>
      <c r="L37" s="12"/>
      <c r="M37" s="12"/>
      <c r="N37" s="12"/>
      <c r="O37" s="12"/>
      <c r="P37" s="12"/>
      <c r="Q37" s="12"/>
      <c r="R37" s="12"/>
      <c r="S37" s="12"/>
    </row>
    <row r="38" spans="3:27" x14ac:dyDescent="0.25">
      <c r="D38" s="24" t="s">
        <v>1159</v>
      </c>
      <c r="E38" s="24"/>
      <c r="G38" s="12"/>
      <c r="H38" s="12"/>
      <c r="I38" s="12"/>
      <c r="J38" s="87"/>
      <c r="K38" s="12"/>
      <c r="L38" s="12"/>
      <c r="M38" s="12"/>
      <c r="N38" s="12"/>
      <c r="O38" s="12"/>
      <c r="P38" s="12"/>
      <c r="Q38" s="12"/>
      <c r="R38" s="12"/>
      <c r="S38" s="12"/>
    </row>
    <row r="39" spans="3:27" x14ac:dyDescent="0.25">
      <c r="E39" s="27"/>
    </row>
    <row r="40" spans="3:27" x14ac:dyDescent="0.25">
      <c r="E40" t="s">
        <v>311</v>
      </c>
      <c r="G40" t="s">
        <v>277</v>
      </c>
      <c r="H40" s="243">
        <v>477047796.08339959</v>
      </c>
    </row>
    <row r="41" spans="3:27" x14ac:dyDescent="0.25">
      <c r="E41" t="s">
        <v>312</v>
      </c>
      <c r="G41" t="s">
        <v>277</v>
      </c>
      <c r="H41" s="243">
        <v>-888269.99618322682</v>
      </c>
    </row>
    <row r="42" spans="3:27" x14ac:dyDescent="0.25">
      <c r="E42" t="s">
        <v>313</v>
      </c>
      <c r="G42" t="s">
        <v>277</v>
      </c>
      <c r="H42" s="243">
        <v>6578042.8396281498</v>
      </c>
    </row>
    <row r="43" spans="3:27" x14ac:dyDescent="0.25">
      <c r="E43" s="28" t="s">
        <v>314</v>
      </c>
      <c r="F43" s="28"/>
      <c r="G43" s="28" t="s">
        <v>283</v>
      </c>
      <c r="H43" s="245">
        <v>1.1266442534942276</v>
      </c>
    </row>
    <row r="44" spans="3:27" x14ac:dyDescent="0.25">
      <c r="E44" t="s">
        <v>315</v>
      </c>
      <c r="G44" t="s">
        <v>277</v>
      </c>
      <c r="H44" s="88">
        <f>SUM(H40:H42)</f>
        <v>482737568.92684454</v>
      </c>
    </row>
    <row r="45" spans="3:27" x14ac:dyDescent="0.25">
      <c r="E45" t="s">
        <v>316</v>
      </c>
      <c r="G45" t="s">
        <v>277</v>
      </c>
      <c r="H45" s="88">
        <f>H44 * (H43 - 1)</f>
        <v>61135939.050358459</v>
      </c>
    </row>
    <row r="46" spans="3:27" x14ac:dyDescent="0.25">
      <c r="H46" s="79"/>
    </row>
    <row r="47" spans="3:27" x14ac:dyDescent="0.25">
      <c r="E47" t="s">
        <v>317</v>
      </c>
      <c r="G47" t="s">
        <v>277</v>
      </c>
      <c r="H47" s="243">
        <v>867764.60941973107</v>
      </c>
    </row>
    <row r="48" spans="3:27" x14ac:dyDescent="0.25">
      <c r="E48" t="s">
        <v>318</v>
      </c>
      <c r="G48" t="s">
        <v>277</v>
      </c>
      <c r="H48" s="243">
        <v>-22262865.164692782</v>
      </c>
    </row>
    <row r="49" spans="1:8" x14ac:dyDescent="0.25">
      <c r="E49" t="s">
        <v>319</v>
      </c>
      <c r="G49" t="s">
        <v>277</v>
      </c>
      <c r="H49" s="243">
        <v>-9560524.1735556945</v>
      </c>
    </row>
    <row r="50" spans="1:8" x14ac:dyDescent="0.25">
      <c r="E50" t="s">
        <v>320</v>
      </c>
      <c r="G50" t="s">
        <v>277</v>
      </c>
      <c r="H50" s="243">
        <v>3678944.6618309133</v>
      </c>
    </row>
    <row r="51" spans="1:8" x14ac:dyDescent="0.25">
      <c r="E51" t="s">
        <v>321</v>
      </c>
      <c r="G51" t="s">
        <v>277</v>
      </c>
      <c r="H51" s="243">
        <v>404687.59422140842</v>
      </c>
    </row>
    <row r="52" spans="1:8" x14ac:dyDescent="0.25">
      <c r="E52" t="s">
        <v>322</v>
      </c>
      <c r="G52" t="s">
        <v>277</v>
      </c>
      <c r="H52" s="243">
        <v>57466.007065370039</v>
      </c>
    </row>
    <row r="53" spans="1:8" x14ac:dyDescent="0.25">
      <c r="E53" t="s">
        <v>871</v>
      </c>
      <c r="G53" t="s">
        <v>277</v>
      </c>
      <c r="H53" s="243">
        <v>896834.97929005558</v>
      </c>
    </row>
    <row r="54" spans="1:8" x14ac:dyDescent="0.25">
      <c r="E54" t="s">
        <v>872</v>
      </c>
      <c r="G54" t="s">
        <v>277</v>
      </c>
      <c r="H54" s="243">
        <v>1508723.5032712726</v>
      </c>
    </row>
    <row r="55" spans="1:8" s="425" customFormat="1" x14ac:dyDescent="0.25">
      <c r="A55"/>
      <c r="E55" s="309" t="s">
        <v>1151</v>
      </c>
      <c r="G55" s="425" t="s">
        <v>277</v>
      </c>
      <c r="H55" s="243">
        <v>0</v>
      </c>
    </row>
    <row r="56" spans="1:8" x14ac:dyDescent="0.25">
      <c r="E56" s="28" t="s">
        <v>323</v>
      </c>
      <c r="F56" s="28"/>
      <c r="G56" s="28" t="s">
        <v>277</v>
      </c>
      <c r="H56" s="245"/>
    </row>
    <row r="57" spans="1:8" s="425" customFormat="1" x14ac:dyDescent="0.25">
      <c r="E57" s="425" t="s">
        <v>324</v>
      </c>
      <c r="G57" s="425" t="s">
        <v>277</v>
      </c>
      <c r="H57" s="426">
        <f>SUM(H47:H56)</f>
        <v>-24408967.983149722</v>
      </c>
    </row>
    <row r="58" spans="1:8" x14ac:dyDescent="0.25">
      <c r="H58" s="79"/>
    </row>
    <row r="59" spans="1:8" x14ac:dyDescent="0.25">
      <c r="E59" t="s">
        <v>325</v>
      </c>
      <c r="G59" t="s">
        <v>277</v>
      </c>
      <c r="H59" s="243">
        <v>7293950.9668608001</v>
      </c>
    </row>
    <row r="60" spans="1:8" x14ac:dyDescent="0.25">
      <c r="E60" t="s">
        <v>326</v>
      </c>
      <c r="G60" t="s">
        <v>277</v>
      </c>
      <c r="H60" s="243">
        <v>25607696.909583416</v>
      </c>
    </row>
    <row r="61" spans="1:8" x14ac:dyDescent="0.25">
      <c r="E61" t="s">
        <v>327</v>
      </c>
      <c r="G61" t="s">
        <v>277</v>
      </c>
      <c r="H61" s="243">
        <v>0</v>
      </c>
    </row>
    <row r="62" spans="1:8" x14ac:dyDescent="0.25">
      <c r="E62" t="s">
        <v>328</v>
      </c>
      <c r="G62" t="s">
        <v>277</v>
      </c>
      <c r="H62" s="243">
        <v>1778281.2997778989</v>
      </c>
    </row>
    <row r="63" spans="1:8" x14ac:dyDescent="0.25">
      <c r="E63" t="s">
        <v>329</v>
      </c>
      <c r="G63" t="s">
        <v>277</v>
      </c>
      <c r="H63" s="243">
        <v>0</v>
      </c>
    </row>
    <row r="64" spans="1:8" x14ac:dyDescent="0.25">
      <c r="E64" t="s">
        <v>330</v>
      </c>
      <c r="G64" t="s">
        <v>277</v>
      </c>
      <c r="H64" s="243">
        <v>0</v>
      </c>
    </row>
    <row r="65" spans="5:8" x14ac:dyDescent="0.25">
      <c r="E65" t="s">
        <v>331</v>
      </c>
      <c r="G65" t="s">
        <v>277</v>
      </c>
      <c r="H65" s="243">
        <v>0</v>
      </c>
    </row>
    <row r="66" spans="5:8" x14ac:dyDescent="0.25">
      <c r="E66" t="s">
        <v>332</v>
      </c>
      <c r="G66" t="s">
        <v>277</v>
      </c>
      <c r="H66" s="243">
        <v>0</v>
      </c>
    </row>
    <row r="67" spans="5:8" x14ac:dyDescent="0.25">
      <c r="E67" t="s">
        <v>333</v>
      </c>
      <c r="G67" t="s">
        <v>277</v>
      </c>
      <c r="H67" s="243">
        <v>0</v>
      </c>
    </row>
    <row r="68" spans="5:8" x14ac:dyDescent="0.25">
      <c r="E68" t="s">
        <v>334</v>
      </c>
      <c r="G68" t="s">
        <v>277</v>
      </c>
      <c r="H68" s="243">
        <v>0</v>
      </c>
    </row>
    <row r="69" spans="5:8" x14ac:dyDescent="0.25">
      <c r="E69" s="28" t="s">
        <v>335</v>
      </c>
      <c r="F69" s="28"/>
      <c r="G69" s="28" t="s">
        <v>277</v>
      </c>
      <c r="H69" s="245">
        <v>0</v>
      </c>
    </row>
    <row r="70" spans="5:8" x14ac:dyDescent="0.25">
      <c r="E70" t="s">
        <v>336</v>
      </c>
      <c r="G70" t="s">
        <v>277</v>
      </c>
      <c r="H70" s="88">
        <f>SUM(H59:H69)</f>
        <v>34679929.176222116</v>
      </c>
    </row>
    <row r="71" spans="5:8" x14ac:dyDescent="0.25">
      <c r="H71" s="79"/>
    </row>
    <row r="72" spans="5:8" x14ac:dyDescent="0.25">
      <c r="E72" s="28" t="s">
        <v>337</v>
      </c>
      <c r="F72" s="28"/>
      <c r="G72" s="28" t="s">
        <v>277</v>
      </c>
      <c r="H72" s="245">
        <v>-17751037.628490083</v>
      </c>
    </row>
    <row r="73" spans="5:8" x14ac:dyDescent="0.25">
      <c r="E73" t="s">
        <v>338</v>
      </c>
      <c r="G73" t="s">
        <v>277</v>
      </c>
      <c r="H73" s="88">
        <f>H72 + H70 + H57 + H45 + H44</f>
        <v>536393431.5417853</v>
      </c>
    </row>
    <row r="74" spans="5:8" x14ac:dyDescent="0.25">
      <c r="H74" s="79"/>
    </row>
    <row r="75" spans="5:8" x14ac:dyDescent="0.25">
      <c r="E75" t="s">
        <v>339</v>
      </c>
      <c r="G75" t="s">
        <v>277</v>
      </c>
      <c r="H75" s="243"/>
    </row>
    <row r="76" spans="5:8" x14ac:dyDescent="0.25">
      <c r="E76" t="s">
        <v>340</v>
      </c>
      <c r="G76" t="s">
        <v>277</v>
      </c>
      <c r="H76" s="243"/>
    </row>
    <row r="77" spans="5:8" x14ac:dyDescent="0.25">
      <c r="E77" t="s">
        <v>341</v>
      </c>
      <c r="G77" t="s">
        <v>277</v>
      </c>
      <c r="H77" s="243"/>
    </row>
    <row r="78" spans="5:8" x14ac:dyDescent="0.25">
      <c r="E78" t="s">
        <v>342</v>
      </c>
      <c r="G78" t="s">
        <v>277</v>
      </c>
      <c r="H78" s="243"/>
    </row>
    <row r="79" spans="5:8" x14ac:dyDescent="0.25">
      <c r="E79" s="28" t="s">
        <v>343</v>
      </c>
      <c r="F79" s="28"/>
      <c r="G79" s="28" t="s">
        <v>277</v>
      </c>
      <c r="H79" s="245"/>
    </row>
    <row r="80" spans="5:8" x14ac:dyDescent="0.25">
      <c r="E80" s="28" t="s">
        <v>344</v>
      </c>
      <c r="F80" s="28"/>
      <c r="G80" s="28" t="s">
        <v>277</v>
      </c>
      <c r="H80" s="90">
        <f>SUM(H75:H79)</f>
        <v>0</v>
      </c>
    </row>
    <row r="81" spans="3:27" x14ac:dyDescent="0.25">
      <c r="E81" t="s">
        <v>345</v>
      </c>
      <c r="G81" t="s">
        <v>277</v>
      </c>
      <c r="H81" s="89">
        <f>H73+H80</f>
        <v>536393431.5417853</v>
      </c>
    </row>
    <row r="82" spans="3:27" x14ac:dyDescent="0.25">
      <c r="H82" s="79"/>
    </row>
    <row r="83" spans="3:27" x14ac:dyDescent="0.25">
      <c r="E83" t="s">
        <v>346</v>
      </c>
      <c r="G83" t="s">
        <v>277</v>
      </c>
      <c r="H83" s="243">
        <v>7278350.5694150897</v>
      </c>
      <c r="J83" s="471">
        <v>0</v>
      </c>
    </row>
    <row r="84" spans="3:27" x14ac:dyDescent="0.25">
      <c r="E84" t="s">
        <v>347</v>
      </c>
      <c r="G84" t="s">
        <v>277</v>
      </c>
      <c r="H84" s="243"/>
    </row>
    <row r="85" spans="3:27" x14ac:dyDescent="0.25">
      <c r="E85" t="s">
        <v>348</v>
      </c>
      <c r="G85" t="s">
        <v>277</v>
      </c>
      <c r="H85" s="243"/>
    </row>
    <row r="86" spans="3:27" x14ac:dyDescent="0.25">
      <c r="E86" s="28" t="s">
        <v>349</v>
      </c>
      <c r="F86" s="28"/>
      <c r="G86" s="28" t="s">
        <v>277</v>
      </c>
      <c r="H86" s="245"/>
    </row>
    <row r="87" spans="3:27" x14ac:dyDescent="0.25">
      <c r="E87" t="s">
        <v>350</v>
      </c>
      <c r="G87" t="s">
        <v>277</v>
      </c>
      <c r="H87" s="88">
        <f>SUM(H83:H86)</f>
        <v>7278350.5694150897</v>
      </c>
    </row>
    <row r="88" spans="3:27" x14ac:dyDescent="0.25">
      <c r="E88" s="19" t="s">
        <v>351</v>
      </c>
      <c r="F88" s="19"/>
      <c r="G88" s="19" t="s">
        <v>277</v>
      </c>
      <c r="H88" s="91">
        <f>H81-H87</f>
        <v>529115080.97237021</v>
      </c>
    </row>
    <row r="89" spans="3:27" x14ac:dyDescent="0.25">
      <c r="H89" s="92"/>
    </row>
    <row r="90" spans="3:27" x14ac:dyDescent="0.25">
      <c r="C90" s="26" t="str">
        <f ca="1">INDEX('Version control'!$H$36:$H$59,MATCH($A$1,'Version control'!$F$36:$F$59,0),1)&amp;"-D: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167</v>
      </c>
      <c r="H92" s="248">
        <v>3.2399999999999998E-2</v>
      </c>
      <c r="I92" t="s">
        <v>154</v>
      </c>
      <c r="J92" s="3" t="s">
        <v>165</v>
      </c>
    </row>
    <row r="93" spans="3:27" x14ac:dyDescent="0.25">
      <c r="E93" s="23" t="s">
        <v>127</v>
      </c>
      <c r="G93" s="23" t="s">
        <v>353</v>
      </c>
      <c r="H93" s="233">
        <v>366</v>
      </c>
    </row>
    <row r="94" spans="3:27" x14ac:dyDescent="0.25">
      <c r="E94" t="s">
        <v>354</v>
      </c>
      <c r="G94" t="s">
        <v>147</v>
      </c>
      <c r="H94" s="93">
        <f>days_in_year * hours_in_day</f>
        <v>8784</v>
      </c>
    </row>
    <row r="96" spans="3:27" x14ac:dyDescent="0.25">
      <c r="C96" s="26" t="str">
        <f ca="1">INDEX('Version control'!$H$36:$H$59,MATCH($A$1,'Version control'!$F$36:$F$59,0),1)&amp;"-E: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10309583.570449628</v>
      </c>
      <c r="I98" t="s">
        <v>154</v>
      </c>
      <c r="J98" t="s">
        <v>357</v>
      </c>
    </row>
    <row r="99" spans="2:27" x14ac:dyDescent="0.25">
      <c r="H99" s="79"/>
    </row>
    <row r="100" spans="2:27" x14ac:dyDescent="0.25">
      <c r="C100" s="26" t="str">
        <f ca="1">INDEX('Version control'!$H$36:$H$59,MATCH($A$1,'Version control'!$F$36:$F$59,0),1)&amp;"-F: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154</v>
      </c>
      <c r="J102" t="s">
        <v>170</v>
      </c>
    </row>
    <row r="103" spans="2:27" x14ac:dyDescent="0.25">
      <c r="F103" s="54" t="s">
        <v>359</v>
      </c>
      <c r="G103" s="19" t="s">
        <v>356</v>
      </c>
      <c r="H103" s="242">
        <v>51910347.550715439</v>
      </c>
    </row>
    <row r="104" spans="2:27" x14ac:dyDescent="0.25">
      <c r="F104" s="23" t="s">
        <v>360</v>
      </c>
      <c r="G104" t="s">
        <v>356</v>
      </c>
      <c r="H104" s="243">
        <v>195431317.47271985</v>
      </c>
      <c r="R104" s="78"/>
      <c r="S104" s="78"/>
    </row>
    <row r="105" spans="2:27" x14ac:dyDescent="0.25">
      <c r="F105" s="57" t="s">
        <v>361</v>
      </c>
      <c r="G105" s="28" t="s">
        <v>356</v>
      </c>
      <c r="H105" s="245">
        <v>33072605.267400634</v>
      </c>
      <c r="R105" s="78"/>
      <c r="S105" s="78"/>
    </row>
    <row r="107" spans="2:27" x14ac:dyDescent="0.2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232</v>
      </c>
      <c r="G109" s="6" t="s">
        <v>55</v>
      </c>
      <c r="H109" s="20">
        <f t="array" ref="H109">SUM(IF(ISERROR(H6:H106), 1))</f>
        <v>0</v>
      </c>
    </row>
    <row r="111" spans="2:27" x14ac:dyDescent="0.25">
      <c r="E111" s="27" t="s">
        <v>362</v>
      </c>
    </row>
    <row r="112" spans="2:27" x14ac:dyDescent="0.25">
      <c r="F112" s="19" t="s">
        <v>363</v>
      </c>
      <c r="G112" s="63" t="s">
        <v>55</v>
      </c>
      <c r="H112" s="64">
        <f>IF(SUM(H16:H18) = hours_in_year, 0, 1)</f>
        <v>0</v>
      </c>
    </row>
    <row r="113" spans="2:27" x14ac:dyDescent="0.25">
      <c r="F113" s="28" t="s">
        <v>364</v>
      </c>
      <c r="G113" s="40" t="s">
        <v>55</v>
      </c>
      <c r="H113" s="65">
        <f>IF(SUM(H21:H23) = hours_in_year, 0, 1)</f>
        <v>0</v>
      </c>
    </row>
    <row r="115" spans="2:27" x14ac:dyDescent="0.25">
      <c r="E115" t="s">
        <v>239</v>
      </c>
      <c r="G115" s="6" t="s">
        <v>55</v>
      </c>
      <c r="H115" s="93">
        <f>SUM(H109,H112:H113)</f>
        <v>0</v>
      </c>
    </row>
    <row r="117" spans="2:27" x14ac:dyDescent="0.2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http://schemas.microsoft.com/office/2006/documentManagement/types"/>
    <ds:schemaRef ds:uri="http://purl.org/dc/terms/"/>
    <ds:schemaRef ds:uri="df11e38d-df47-44a9-bb81-9cb5331e96c9"/>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dcbf8a88-e063-4a69-82e9-42d02808f636"/>
    <ds:schemaRef ds:uri="http://www.w3.org/XML/1998/namespace"/>
  </ds:schemaRefs>
</ds:datastoreItem>
</file>

<file path=customXml/itemProps2.xml><?xml version="1.0" encoding="utf-8"?>
<ds:datastoreItem xmlns:ds="http://schemas.openxmlformats.org/officeDocument/2006/customXml" ds:itemID="{A4D0CFD6-4F5A-41D7-99DC-91165D475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2021-12-07T10:58:59Z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