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T:\RevApr22\Publish\02 - SoLR Adjusted Versions Jan 22\Option 1 Full SOLR\For Publishing\"/>
    </mc:Choice>
  </mc:AlternateContent>
  <workbookProtection lockStructure="1"/>
  <bookViews>
    <workbookView xWindow="-4056" yWindow="-17388" windowWidth="30936" windowHeight="16896" tabRatio="933" firstSheet="20" activeTab="8"/>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inputs'!$H$153</definedName>
    <definedName name="days_in_year" comment="Days in the charging year">'General inputs'!$H$92</definedName>
    <definedName name="DNO_name" comment="Name of DNO">Cover!$D$21</definedName>
    <definedName name="hours_in_day" comment="Hours per day">'Fixed inputs'!$H$15</definedName>
    <definedName name="hours_in_year" comment="Hours in the charging year">'General inputs'!$H$93</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PowerFactor" comment="Power factor, equal to 0.95">'Fixed inputs'!$H$37</definedName>
    <definedName name="ten" comment="Equal to 10">'Fixed inputs'!$H$16</definedName>
    <definedName name="thousand" comment="Equal to 1000">'Fixed inputs'!$H$18</definedName>
  </definedNames>
  <calcPr calcId="162913" iterate="1"/>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80" i="87" l="1"/>
  <c r="K175" i="87"/>
  <c r="L180" i="87" l="1"/>
  <c r="L175" i="87"/>
  <c r="L181" i="87"/>
  <c r="N175" i="87"/>
  <c r="K181" i="87"/>
  <c r="K170" i="87"/>
  <c r="M180" i="87"/>
  <c r="L170" i="87"/>
  <c r="N170" i="87"/>
  <c r="N180" i="87"/>
  <c r="M170" i="87"/>
  <c r="M175" i="87"/>
  <c r="K176" i="87"/>
  <c r="L176" i="87"/>
  <c r="N171" i="87" l="1"/>
  <c r="M171" i="87"/>
  <c r="N181" i="87"/>
  <c r="M181" i="87"/>
  <c r="N176" i="87"/>
  <c r="M176" i="87"/>
  <c r="K171" i="87"/>
  <c r="L171" i="87"/>
  <c r="AO54" i="65" l="1"/>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32" i="87" s="1"/>
  <c r="H218" i="87"/>
  <c r="AO196" i="41" l="1"/>
  <c r="AN196" i="41"/>
  <c r="AM196" i="41"/>
  <c r="AL196" i="41"/>
  <c r="AK196" i="41"/>
  <c r="AJ196" i="41"/>
  <c r="AI196" i="41"/>
  <c r="AH196" i="41"/>
  <c r="AB196" i="41"/>
  <c r="W196" i="41"/>
  <c r="R196" i="41"/>
  <c r="Q196" i="41"/>
  <c r="L196" i="41"/>
  <c r="K196"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5" i="41"/>
  <c r="AN205" i="41"/>
  <c r="AM205" i="41"/>
  <c r="AL205" i="41"/>
  <c r="AK205" i="41"/>
  <c r="AJ205" i="41"/>
  <c r="AI205" i="41"/>
  <c r="AH205" i="41"/>
  <c r="AB205" i="41"/>
  <c r="W205" i="41"/>
  <c r="R205" i="41"/>
  <c r="Q205" i="41"/>
  <c r="L205" i="41"/>
  <c r="K205"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G94" i="41"/>
  <c r="AF94" i="41"/>
  <c r="AE94" i="41"/>
  <c r="AD94" i="41"/>
  <c r="AC94"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AA94" i="41"/>
  <c r="Z94" i="41"/>
  <c r="Y94" i="41"/>
  <c r="X94"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V94" i="41"/>
  <c r="U94" i="41"/>
  <c r="T94" i="41"/>
  <c r="S94"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P94" i="41"/>
  <c r="O94" i="41"/>
  <c r="N94" i="41"/>
  <c r="M94" i="41"/>
  <c r="J101" i="41"/>
  <c r="J100" i="41"/>
  <c r="J99" i="41"/>
  <c r="J98" i="41"/>
  <c r="J97" i="41"/>
  <c r="J96" i="41"/>
  <c r="J95" i="41"/>
  <c r="AO147" i="41" a="1"/>
  <c r="AO147" i="41" s="1"/>
  <c r="AN147" i="41" a="1"/>
  <c r="AN147" i="41" s="1"/>
  <c r="AM147" i="41" a="1"/>
  <c r="AM147" i="41" s="1"/>
  <c r="AL147" i="41" a="1"/>
  <c r="AL147" i="41" s="1"/>
  <c r="AK147" i="41" a="1"/>
  <c r="AK147" i="41" s="1"/>
  <c r="AJ147" i="41" a="1"/>
  <c r="AJ147" i="41" s="1"/>
  <c r="AI147" i="41" a="1"/>
  <c r="AI147" i="41" s="1"/>
  <c r="AH147" i="41" a="1"/>
  <c r="AH147" i="41" s="1"/>
  <c r="AB147" i="41" a="1"/>
  <c r="AB147" i="41" s="1"/>
  <c r="W147" i="41" a="1"/>
  <c r="W147" i="41" s="1"/>
  <c r="R147" i="41" a="1"/>
  <c r="R147" i="41" s="1"/>
  <c r="Q147" i="41" a="1"/>
  <c r="Q147" i="41" s="1"/>
  <c r="L147" i="41" a="1"/>
  <c r="L147" i="41" s="1"/>
  <c r="K147" i="41" a="1"/>
  <c r="K147" i="41" s="1"/>
  <c r="H123" i="41"/>
  <c r="AG34" i="41"/>
  <c r="AF34" i="41"/>
  <c r="AF205" i="41" s="1"/>
  <c r="AE34" i="41"/>
  <c r="AE205" i="41" s="1"/>
  <c r="AD34" i="41"/>
  <c r="AD205" i="41" s="1"/>
  <c r="AC34" i="41"/>
  <c r="AC205" i="41" s="1"/>
  <c r="AA34" i="41"/>
  <c r="AA205" i="41" s="1"/>
  <c r="Z34" i="41"/>
  <c r="Z205" i="41" s="1"/>
  <c r="Y34" i="41"/>
  <c r="Y205" i="41" s="1"/>
  <c r="X34" i="41"/>
  <c r="X205" i="41" s="1"/>
  <c r="V34" i="41"/>
  <c r="V205" i="41" s="1"/>
  <c r="U34" i="41"/>
  <c r="U205" i="41" s="1"/>
  <c r="T34" i="41"/>
  <c r="T205" i="41" s="1"/>
  <c r="S34" i="41"/>
  <c r="S205" i="41" s="1"/>
  <c r="P34" i="41"/>
  <c r="P205" i="41" s="1"/>
  <c r="O34" i="41"/>
  <c r="O205" i="41" s="1"/>
  <c r="N34" i="41"/>
  <c r="N205" i="41" s="1"/>
  <c r="M34" i="41"/>
  <c r="M205" i="41" s="1"/>
  <c r="AG33" i="41"/>
  <c r="AG196" i="41" s="1"/>
  <c r="AF33" i="41"/>
  <c r="AE33" i="41"/>
  <c r="AD33" i="41"/>
  <c r="AC33" i="41"/>
  <c r="AA33" i="41"/>
  <c r="Z33" i="41"/>
  <c r="Y33" i="41"/>
  <c r="X33" i="41"/>
  <c r="V33" i="41"/>
  <c r="U33" i="41"/>
  <c r="T33" i="41"/>
  <c r="S33" i="41"/>
  <c r="P33" i="41"/>
  <c r="O33" i="41"/>
  <c r="N33" i="41"/>
  <c r="M33" i="41"/>
  <c r="J34" i="41"/>
  <c r="J205"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3" i="41" l="1"/>
  <c r="K375" i="41" s="1"/>
  <c r="K386" i="41" s="1"/>
  <c r="K309" i="41"/>
  <c r="K308" i="41"/>
  <c r="K307" i="41"/>
  <c r="K341" i="41"/>
  <c r="K340" i="41"/>
  <c r="W373" i="41"/>
  <c r="W375" i="41" s="1"/>
  <c r="W386" i="41" s="1"/>
  <c r="W309" i="41"/>
  <c r="W308" i="41"/>
  <c r="W307" i="41"/>
  <c r="W341" i="41"/>
  <c r="W340" i="41"/>
  <c r="AI373" i="41"/>
  <c r="AI375" i="41" s="1"/>
  <c r="AI386" i="41" s="1"/>
  <c r="AI309" i="41"/>
  <c r="AI308" i="41"/>
  <c r="AI307" i="41"/>
  <c r="AI341" i="41"/>
  <c r="AI340" i="41"/>
  <c r="AM373" i="41"/>
  <c r="AM375" i="41" s="1"/>
  <c r="AM386" i="41" s="1"/>
  <c r="AM309" i="41"/>
  <c r="AM308" i="41"/>
  <c r="AM307" i="41"/>
  <c r="AM341" i="41"/>
  <c r="AM340" i="41"/>
  <c r="L373" i="41"/>
  <c r="L375" i="41" s="1"/>
  <c r="L386" i="41" s="1"/>
  <c r="L341" i="41"/>
  <c r="L340" i="41"/>
  <c r="L309" i="41"/>
  <c r="L308" i="41"/>
  <c r="L307" i="41"/>
  <c r="AB373" i="41"/>
  <c r="AB375" i="41" s="1"/>
  <c r="AB386" i="41" s="1"/>
  <c r="AB341" i="41"/>
  <c r="AB340" i="41"/>
  <c r="AB309" i="41"/>
  <c r="AB308" i="41"/>
  <c r="AB307" i="41"/>
  <c r="AJ373" i="41"/>
  <c r="AJ375" i="41" s="1"/>
  <c r="AJ386" i="41" s="1"/>
  <c r="AJ341" i="41"/>
  <c r="AJ340" i="41"/>
  <c r="AJ309" i="41"/>
  <c r="AJ308" i="41"/>
  <c r="AJ307" i="41"/>
  <c r="AN373" i="41"/>
  <c r="AN375" i="41" s="1"/>
  <c r="AN386" i="41" s="1"/>
  <c r="AN309" i="41"/>
  <c r="AN308" i="41"/>
  <c r="AN307" i="41"/>
  <c r="AN341" i="41"/>
  <c r="AN340" i="41"/>
  <c r="Q153" i="41"/>
  <c r="Q341" i="41"/>
  <c r="Q340" i="41"/>
  <c r="Q373" i="41"/>
  <c r="Q375" i="41" s="1"/>
  <c r="Q386" i="41" s="1"/>
  <c r="Q309" i="41"/>
  <c r="Q308" i="41"/>
  <c r="Q307" i="41"/>
  <c r="AK153" i="41"/>
  <c r="AK373" i="41"/>
  <c r="AK375" i="41" s="1"/>
  <c r="AK386" i="41" s="1"/>
  <c r="AK341" i="41"/>
  <c r="AK340" i="41"/>
  <c r="AK309" i="41"/>
  <c r="AK308" i="41"/>
  <c r="AK307" i="41"/>
  <c r="AO153" i="41"/>
  <c r="AO341" i="41"/>
  <c r="AO340" i="41"/>
  <c r="AO373" i="41"/>
  <c r="AO375" i="41" s="1"/>
  <c r="AO386" i="41" s="1"/>
  <c r="AO309" i="41"/>
  <c r="AO308" i="41"/>
  <c r="AO307" i="41"/>
  <c r="R153" i="41"/>
  <c r="R341" i="41"/>
  <c r="R340" i="41"/>
  <c r="R309" i="41"/>
  <c r="R308" i="41"/>
  <c r="R307" i="41"/>
  <c r="R373" i="41"/>
  <c r="R375" i="41" s="1"/>
  <c r="R386" i="41" s="1"/>
  <c r="AH341" i="41"/>
  <c r="AH340" i="41"/>
  <c r="AH309" i="41"/>
  <c r="AH308" i="41"/>
  <c r="AH307" i="41"/>
  <c r="AH373" i="41"/>
  <c r="AH375" i="41" s="1"/>
  <c r="AH386" i="41" s="1"/>
  <c r="AL373" i="41"/>
  <c r="AL375" i="41" s="1"/>
  <c r="AL386" i="41" s="1"/>
  <c r="AL341" i="41"/>
  <c r="AL340" i="41"/>
  <c r="AL309" i="41"/>
  <c r="AL308" i="41"/>
  <c r="AL307" i="41"/>
  <c r="O111" i="41"/>
  <c r="O110" i="41"/>
  <c r="O109" i="41"/>
  <c r="O108" i="41"/>
  <c r="O107" i="41"/>
  <c r="O106" i="41"/>
  <c r="O105" i="41"/>
  <c r="O104" i="41"/>
  <c r="J111" i="41"/>
  <c r="J107" i="41"/>
  <c r="J110" i="41"/>
  <c r="J106" i="41"/>
  <c r="J109" i="41"/>
  <c r="J105" i="41"/>
  <c r="J108" i="41"/>
  <c r="P111" i="41"/>
  <c r="P110" i="41"/>
  <c r="P109" i="41"/>
  <c r="P108" i="41"/>
  <c r="P107" i="41"/>
  <c r="P106" i="41"/>
  <c r="P105" i="41"/>
  <c r="P104" i="41"/>
  <c r="V111" i="41"/>
  <c r="V110" i="41"/>
  <c r="V109" i="41"/>
  <c r="V108" i="41"/>
  <c r="V107" i="41"/>
  <c r="V106" i="41"/>
  <c r="V105" i="41"/>
  <c r="V104" i="41"/>
  <c r="AA111" i="41"/>
  <c r="AA110" i="41"/>
  <c r="AA109" i="41"/>
  <c r="AA108" i="41"/>
  <c r="AA107" i="41"/>
  <c r="AA106" i="41"/>
  <c r="AA105" i="41"/>
  <c r="AA104" i="41"/>
  <c r="AG111" i="41"/>
  <c r="AG107" i="41"/>
  <c r="AG110" i="41"/>
  <c r="AG106" i="41"/>
  <c r="AG109" i="41"/>
  <c r="AG105" i="41"/>
  <c r="AG108" i="41"/>
  <c r="AG104" i="41"/>
  <c r="M109" i="41"/>
  <c r="M107" i="41"/>
  <c r="M104" i="41"/>
  <c r="M110" i="41"/>
  <c r="M106" i="41"/>
  <c r="M111" i="41"/>
  <c r="M108" i="41"/>
  <c r="M105" i="41"/>
  <c r="X109" i="41"/>
  <c r="X107" i="41"/>
  <c r="X104" i="41"/>
  <c r="X110" i="41"/>
  <c r="X106" i="41"/>
  <c r="X111" i="41"/>
  <c r="X108" i="41"/>
  <c r="X105" i="41"/>
  <c r="AD110" i="41"/>
  <c r="AD106" i="41"/>
  <c r="AD109" i="41"/>
  <c r="AD105" i="41"/>
  <c r="AD108" i="41"/>
  <c r="AD104" i="41"/>
  <c r="AD111" i="41"/>
  <c r="AD107" i="41"/>
  <c r="S110" i="41"/>
  <c r="S106" i="41"/>
  <c r="S104" i="41"/>
  <c r="S111" i="41"/>
  <c r="S108" i="41"/>
  <c r="S105" i="41"/>
  <c r="S109" i="41"/>
  <c r="S107" i="41"/>
  <c r="AC111" i="41"/>
  <c r="AC107" i="41"/>
  <c r="AC108" i="41"/>
  <c r="AC104" i="41"/>
  <c r="AC110" i="41"/>
  <c r="AC106" i="41"/>
  <c r="AC109" i="41"/>
  <c r="AC105" i="41"/>
  <c r="N111" i="41"/>
  <c r="N110" i="41"/>
  <c r="N109" i="41"/>
  <c r="N108" i="41"/>
  <c r="N107" i="41"/>
  <c r="N106" i="41"/>
  <c r="N105" i="41"/>
  <c r="N104" i="41"/>
  <c r="T111" i="41"/>
  <c r="T110" i="41"/>
  <c r="T109" i="41"/>
  <c r="T108" i="41"/>
  <c r="T107" i="41"/>
  <c r="T106" i="41"/>
  <c r="T105" i="41"/>
  <c r="T104" i="41"/>
  <c r="Y111" i="41"/>
  <c r="Y110" i="41"/>
  <c r="Y109" i="41"/>
  <c r="Y108" i="41"/>
  <c r="Y107" i="41"/>
  <c r="Y106" i="41"/>
  <c r="Y105" i="41"/>
  <c r="Y104" i="41"/>
  <c r="AE109" i="41"/>
  <c r="AE105" i="41"/>
  <c r="AE110" i="41"/>
  <c r="AE106" i="41"/>
  <c r="AE108" i="41"/>
  <c r="AE104" i="41"/>
  <c r="AE111" i="41"/>
  <c r="AE107" i="41"/>
  <c r="U111" i="41"/>
  <c r="U110" i="41"/>
  <c r="U109" i="41"/>
  <c r="U108" i="41"/>
  <c r="U107" i="41"/>
  <c r="U106" i="41"/>
  <c r="U105" i="41"/>
  <c r="U104" i="41"/>
  <c r="Z111" i="41"/>
  <c r="Z110" i="41"/>
  <c r="Z109" i="41"/>
  <c r="Z108" i="41"/>
  <c r="Z107" i="41"/>
  <c r="Z106" i="41"/>
  <c r="Z105" i="41"/>
  <c r="Z104" i="41"/>
  <c r="AF108" i="41"/>
  <c r="AF104" i="41"/>
  <c r="AF111" i="41"/>
  <c r="AF107" i="41"/>
  <c r="AF109" i="41"/>
  <c r="AF105" i="41"/>
  <c r="AF110" i="41"/>
  <c r="AF106" i="41"/>
  <c r="L153" i="41"/>
  <c r="AB153" i="41"/>
  <c r="AJ153" i="41"/>
  <c r="AN153" i="41"/>
  <c r="AH153" i="41"/>
  <c r="AL153" i="41"/>
  <c r="K153" i="41"/>
  <c r="W153" i="41"/>
  <c r="AI153" i="41"/>
  <c r="AM153" i="41"/>
  <c r="R343" i="41" l="1"/>
  <c r="R385" i="41" s="1"/>
  <c r="AN343" i="41"/>
  <c r="AN385" i="41" s="1"/>
  <c r="AB311" i="41"/>
  <c r="AB384" i="41" s="1"/>
  <c r="AM343" i="41"/>
  <c r="AM385" i="41" s="1"/>
  <c r="W343" i="41"/>
  <c r="W385" i="41" s="1"/>
  <c r="AH343" i="41"/>
  <c r="AH385" i="41" s="1"/>
  <c r="AI343" i="41"/>
  <c r="AI385" i="41" s="1"/>
  <c r="K343" i="41"/>
  <c r="K385" i="41" s="1"/>
  <c r="R311" i="41"/>
  <c r="R384" i="41" s="1"/>
  <c r="AK343" i="41"/>
  <c r="AK385" i="41" s="1"/>
  <c r="Q311" i="41"/>
  <c r="Q384" i="41" s="1"/>
  <c r="AN311" i="41"/>
  <c r="AN384" i="41" s="1"/>
  <c r="AJ311" i="41"/>
  <c r="AJ384" i="41" s="1"/>
  <c r="L311" i="41"/>
  <c r="L384" i="41" s="1"/>
  <c r="AM311" i="41"/>
  <c r="AM384" i="41" s="1"/>
  <c r="W311" i="41"/>
  <c r="W384" i="41" s="1"/>
  <c r="AL343" i="41"/>
  <c r="AL385" i="41" s="1"/>
  <c r="AH311" i="41"/>
  <c r="AH384" i="41" s="1"/>
  <c r="AL311" i="41"/>
  <c r="AL384" i="41" s="1"/>
  <c r="AK311" i="41"/>
  <c r="AK384" i="41" s="1"/>
  <c r="AI311" i="41"/>
  <c r="AI384" i="41" s="1"/>
  <c r="K311" i="41"/>
  <c r="K384" i="41" s="1"/>
  <c r="AO311" i="41"/>
  <c r="AO384" i="41" s="1"/>
  <c r="AO343" i="41"/>
  <c r="AO385" i="41" s="1"/>
  <c r="AJ343" i="41"/>
  <c r="AJ385" i="41" s="1"/>
  <c r="AB343" i="41"/>
  <c r="AB385" i="41" s="1"/>
  <c r="L343" i="41"/>
  <c r="L385" i="41" s="1"/>
  <c r="Q343" i="41"/>
  <c r="Q385" i="41" s="1"/>
  <c r="AO166" i="41"/>
  <c r="AO174" i="41" s="1"/>
  <c r="AN166" i="41"/>
  <c r="AN174" i="41" s="1"/>
  <c r="AM166" i="41"/>
  <c r="AM174" i="41" s="1"/>
  <c r="AL166" i="41"/>
  <c r="AL174" i="41" s="1"/>
  <c r="AK166" i="41"/>
  <c r="AK174" i="41" s="1"/>
  <c r="AJ166" i="41"/>
  <c r="AJ174" i="41" s="1"/>
  <c r="AI166" i="41"/>
  <c r="AI174" i="41" s="1"/>
  <c r="AH166" i="41"/>
  <c r="AH174" i="41" s="1"/>
  <c r="R388" i="41" l="1"/>
  <c r="AH388" i="41"/>
  <c r="W388" i="41"/>
  <c r="AJ388" i="41"/>
  <c r="AK388" i="41"/>
  <c r="AN388" i="41"/>
  <c r="L388" i="41"/>
  <c r="AL388" i="41"/>
  <c r="AM388" i="41"/>
  <c r="Q388" i="41"/>
  <c r="AB388" i="41"/>
  <c r="K388" i="41"/>
  <c r="AI388" i="41"/>
  <c r="AO388" i="41"/>
  <c r="J94" i="41"/>
  <c r="J104"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6" i="41" l="1"/>
  <c r="Q174" i="41" s="1"/>
  <c r="R166" i="41"/>
  <c r="R174" i="41" s="1"/>
  <c r="W166" i="41"/>
  <c r="W174" i="41" s="1"/>
  <c r="L166" i="41"/>
  <c r="L174" i="41" s="1"/>
  <c r="AB166" i="41"/>
  <c r="AB174" i="41" s="1"/>
  <c r="AO149" i="41"/>
  <c r="AN149" i="41"/>
  <c r="AM149" i="41"/>
  <c r="AL149" i="41"/>
  <c r="AK149" i="41"/>
  <c r="AJ149" i="41"/>
  <c r="AI149" i="41"/>
  <c r="AH149" i="41"/>
  <c r="AB149" i="41"/>
  <c r="W149" i="41"/>
  <c r="R149" i="41"/>
  <c r="Q149" i="41"/>
  <c r="L149" i="41"/>
  <c r="K149" i="41"/>
  <c r="J21" i="23" l="1" a="1"/>
  <c r="J21" i="23" s="1"/>
  <c r="J46" i="31" a="1"/>
  <c r="J46" i="31" s="1"/>
  <c r="J84" i="31" a="1"/>
  <c r="J84" i="31" s="1"/>
  <c r="AO207" i="41"/>
  <c r="AN207" i="41"/>
  <c r="AM207" i="41"/>
  <c r="AL207" i="41"/>
  <c r="AK207" i="41"/>
  <c r="AJ207" i="41"/>
  <c r="AI207" i="41"/>
  <c r="AH207" i="41"/>
  <c r="AB207" i="41"/>
  <c r="W207" i="41"/>
  <c r="R207" i="41"/>
  <c r="Q207" i="41"/>
  <c r="L207"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8" i="41"/>
  <c r="AB198" i="41"/>
  <c r="AK198" i="41"/>
  <c r="AO198" i="41"/>
  <c r="Q198" i="41"/>
  <c r="AH198" i="41"/>
  <c r="AL198" i="41"/>
  <c r="R198" i="41"/>
  <c r="AI198" i="41"/>
  <c r="AM198" i="41"/>
  <c r="K198" i="41"/>
  <c r="W198" i="41"/>
  <c r="AJ198" i="41"/>
  <c r="AN198" i="41"/>
  <c r="Y158" i="22" l="1"/>
  <c r="W158" i="22"/>
  <c r="U158" i="22"/>
  <c r="S158" i="22"/>
  <c r="R158" i="22"/>
  <c r="M158" i="22"/>
  <c r="L158" i="22"/>
  <c r="L651" i="22" s="1"/>
  <c r="L50" i="105" s="1"/>
  <c r="K158" i="22"/>
  <c r="Y157" i="22"/>
  <c r="X157" i="22"/>
  <c r="W157" i="22"/>
  <c r="V157" i="22"/>
  <c r="U157" i="22"/>
  <c r="T157" i="22"/>
  <c r="S157" i="22"/>
  <c r="R157" i="22"/>
  <c r="M157" i="22"/>
  <c r="L157" i="22"/>
  <c r="L645" i="22" s="1"/>
  <c r="L49" i="105" s="1"/>
  <c r="K157" i="22"/>
  <c r="Y156" i="22"/>
  <c r="X156" i="22"/>
  <c r="W156" i="22"/>
  <c r="V156" i="22"/>
  <c r="U156" i="22"/>
  <c r="T156" i="22"/>
  <c r="S156" i="22"/>
  <c r="R156" i="22"/>
  <c r="M156" i="22"/>
  <c r="L156" i="22"/>
  <c r="L639" i="22" s="1"/>
  <c r="L48" i="105" s="1"/>
  <c r="K156" i="22"/>
  <c r="Y155" i="22"/>
  <c r="W155" i="22"/>
  <c r="U155" i="22"/>
  <c r="Y154" i="22"/>
  <c r="W154" i="22"/>
  <c r="U154" i="22"/>
  <c r="Y153" i="22"/>
  <c r="W153" i="22"/>
  <c r="U153" i="22"/>
  <c r="Y152" i="22"/>
  <c r="W152" i="22"/>
  <c r="U152" i="22"/>
  <c r="U111" i="22"/>
  <c r="R111" i="22"/>
  <c r="P111" i="22"/>
  <c r="P607" i="22" s="1"/>
  <c r="AB39" i="105" s="1"/>
  <c r="O111" i="22"/>
  <c r="O607" i="22" s="1"/>
  <c r="W39" i="105" s="1"/>
  <c r="M111" i="22"/>
  <c r="L111" i="22"/>
  <c r="L607" i="22" s="1"/>
  <c r="L39" i="105" s="1"/>
  <c r="K111" i="22"/>
  <c r="U110" i="22"/>
  <c r="T110" i="22"/>
  <c r="R110" i="22"/>
  <c r="P110" i="22"/>
  <c r="P601" i="22" s="1"/>
  <c r="AB38" i="105" s="1"/>
  <c r="O110" i="22"/>
  <c r="O601" i="22" s="1"/>
  <c r="W38" i="105" s="1"/>
  <c r="M110" i="22"/>
  <c r="L110" i="22"/>
  <c r="L601" i="22" s="1"/>
  <c r="L38" i="105" s="1"/>
  <c r="K110" i="22"/>
  <c r="U109" i="22"/>
  <c r="T109" i="22"/>
  <c r="R109" i="22"/>
  <c r="P109" i="22"/>
  <c r="P595" i="22" s="1"/>
  <c r="AB37" i="105" s="1"/>
  <c r="O109" i="22"/>
  <c r="O595" i="22" s="1"/>
  <c r="W37" i="105" s="1"/>
  <c r="M109" i="22"/>
  <c r="L109" i="22"/>
  <c r="L595" i="22" s="1"/>
  <c r="L37" i="105" s="1"/>
  <c r="K109" i="22"/>
  <c r="U108" i="22"/>
  <c r="P108" i="22"/>
  <c r="P589" i="22" s="1"/>
  <c r="O108" i="22"/>
  <c r="O589" i="22" s="1"/>
  <c r="U107" i="22"/>
  <c r="P107" i="22"/>
  <c r="P583" i="22" s="1"/>
  <c r="AB35" i="105" s="1"/>
  <c r="O107" i="22"/>
  <c r="O583" i="22" s="1"/>
  <c r="W35" i="105" s="1"/>
  <c r="U106" i="22"/>
  <c r="P106" i="22"/>
  <c r="P577" i="22" s="1"/>
  <c r="AB34" i="105" s="1"/>
  <c r="O106" i="22"/>
  <c r="O577" i="22" s="1"/>
  <c r="W34" i="105" s="1"/>
  <c r="U105" i="22"/>
  <c r="P105" i="22"/>
  <c r="P571" i="22" s="1"/>
  <c r="AB33" i="105" s="1"/>
  <c r="O105" i="22"/>
  <c r="O571" i="22" s="1"/>
  <c r="W33" i="105" s="1"/>
  <c r="Y64" i="22"/>
  <c r="W64" i="22"/>
  <c r="U64" i="22"/>
  <c r="S64" i="22"/>
  <c r="R64" i="22"/>
  <c r="M64" i="22"/>
  <c r="M563" i="22" s="1"/>
  <c r="Q28" i="105" s="1"/>
  <c r="L64" i="22"/>
  <c r="L563" i="22" s="1"/>
  <c r="L28" i="105" s="1"/>
  <c r="K64" i="22"/>
  <c r="Y63" i="22"/>
  <c r="X63" i="22"/>
  <c r="W63" i="22"/>
  <c r="V63" i="22"/>
  <c r="U63" i="22"/>
  <c r="T63" i="22"/>
  <c r="S63" i="22"/>
  <c r="R63" i="22"/>
  <c r="M63" i="22"/>
  <c r="M557" i="22" s="1"/>
  <c r="Q27" i="105" s="1"/>
  <c r="L63" i="22"/>
  <c r="L557" i="22" s="1"/>
  <c r="L27" i="105" s="1"/>
  <c r="K63" i="22"/>
  <c r="Y62" i="22"/>
  <c r="X62" i="22"/>
  <c r="W62" i="22"/>
  <c r="V62" i="22"/>
  <c r="U62" i="22"/>
  <c r="T62" i="22"/>
  <c r="S62" i="22"/>
  <c r="R62" i="22"/>
  <c r="M62" i="22"/>
  <c r="M551" i="22" s="1"/>
  <c r="Q26" i="105" s="1"/>
  <c r="L62" i="22"/>
  <c r="L551" i="22" s="1"/>
  <c r="L26" i="105" s="1"/>
  <c r="K62" i="22"/>
  <c r="M61" i="22"/>
  <c r="M545" i="22" s="1"/>
  <c r="Q25" i="105" s="1"/>
  <c r="K61" i="22"/>
  <c r="L194" i="22"/>
  <c r="L655" i="22" s="1"/>
  <c r="P50" i="105" s="1"/>
  <c r="L193" i="22"/>
  <c r="L649" i="22" s="1"/>
  <c r="P49" i="105" s="1"/>
  <c r="L192" i="22"/>
  <c r="L643" i="22" s="1"/>
  <c r="P48" i="105" s="1"/>
  <c r="P147" i="22"/>
  <c r="P611" i="22" s="1"/>
  <c r="AF39" i="105" s="1"/>
  <c r="O147" i="22"/>
  <c r="O611" i="22" s="1"/>
  <c r="AA39" i="105" s="1"/>
  <c r="L147" i="22"/>
  <c r="L611" i="22" s="1"/>
  <c r="P39" i="105" s="1"/>
  <c r="P146" i="22"/>
  <c r="P605" i="22" s="1"/>
  <c r="AF38" i="105" s="1"/>
  <c r="O146" i="22"/>
  <c r="O605" i="22" s="1"/>
  <c r="AA38" i="105" s="1"/>
  <c r="L146" i="22"/>
  <c r="L605" i="22" s="1"/>
  <c r="P38" i="105" s="1"/>
  <c r="P145" i="22"/>
  <c r="P599" i="22" s="1"/>
  <c r="AF37" i="105" s="1"/>
  <c r="O145" i="22"/>
  <c r="O599" i="22" s="1"/>
  <c r="AA37" i="105" s="1"/>
  <c r="L145" i="22"/>
  <c r="L599" i="22" s="1"/>
  <c r="P37" i="105" s="1"/>
  <c r="P144" i="22"/>
  <c r="P593" i="22" s="1"/>
  <c r="O144" i="22"/>
  <c r="O593" i="22" s="1"/>
  <c r="P143" i="22"/>
  <c r="P587" i="22" s="1"/>
  <c r="AF35" i="105" s="1"/>
  <c r="O143" i="22"/>
  <c r="O587" i="22" s="1"/>
  <c r="AA35" i="105" s="1"/>
  <c r="P142" i="22"/>
  <c r="P581" i="22" s="1"/>
  <c r="AF34" i="105" s="1"/>
  <c r="O142" i="22"/>
  <c r="O581" i="22" s="1"/>
  <c r="AA34" i="105" s="1"/>
  <c r="P141" i="22"/>
  <c r="P575" i="22" s="1"/>
  <c r="AF33" i="105" s="1"/>
  <c r="O141" i="22"/>
  <c r="O575" i="22" s="1"/>
  <c r="AA33" i="105" s="1"/>
  <c r="L100" i="22"/>
  <c r="L567" i="22" s="1"/>
  <c r="P28" i="105" s="1"/>
  <c r="L99" i="22"/>
  <c r="L561" i="22" s="1"/>
  <c r="P27" i="105" s="1"/>
  <c r="L98" i="22"/>
  <c r="L555" i="22" s="1"/>
  <c r="P26" i="105" s="1"/>
  <c r="L185" i="22"/>
  <c r="L654" i="22" s="1"/>
  <c r="O50" i="105" s="1"/>
  <c r="L184" i="22"/>
  <c r="L648" i="22" s="1"/>
  <c r="O49" i="105" s="1"/>
  <c r="L183" i="22"/>
  <c r="L642" i="22" s="1"/>
  <c r="O48" i="105" s="1"/>
  <c r="P138" i="22"/>
  <c r="P610" i="22" s="1"/>
  <c r="AE39" i="105" s="1"/>
  <c r="O138" i="22"/>
  <c r="O610" i="22" s="1"/>
  <c r="Z39" i="105" s="1"/>
  <c r="L138" i="22"/>
  <c r="L610" i="22" s="1"/>
  <c r="O39" i="105" s="1"/>
  <c r="P137" i="22"/>
  <c r="P604" i="22" s="1"/>
  <c r="AE38" i="105" s="1"/>
  <c r="O137" i="22"/>
  <c r="O604" i="22" s="1"/>
  <c r="Z38" i="105" s="1"/>
  <c r="L137" i="22"/>
  <c r="L604" i="22" s="1"/>
  <c r="O38" i="105" s="1"/>
  <c r="P136" i="22"/>
  <c r="P598" i="22" s="1"/>
  <c r="AE37" i="105" s="1"/>
  <c r="O136" i="22"/>
  <c r="O598" i="22" s="1"/>
  <c r="Z37" i="105" s="1"/>
  <c r="L136" i="22"/>
  <c r="L598" i="22" s="1"/>
  <c r="O37" i="105" s="1"/>
  <c r="P135" i="22"/>
  <c r="P592" i="22" s="1"/>
  <c r="O135" i="22"/>
  <c r="O592" i="22" s="1"/>
  <c r="P134" i="22"/>
  <c r="P586" i="22" s="1"/>
  <c r="AE35" i="105" s="1"/>
  <c r="O134" i="22"/>
  <c r="O586" i="22" s="1"/>
  <c r="Z35" i="105" s="1"/>
  <c r="P133" i="22"/>
  <c r="P580" i="22" s="1"/>
  <c r="AE34" i="105" s="1"/>
  <c r="O133" i="22"/>
  <c r="O580" i="22" s="1"/>
  <c r="Z34" i="105" s="1"/>
  <c r="P132" i="22"/>
  <c r="P574" i="22" s="1"/>
  <c r="AE33" i="105" s="1"/>
  <c r="O132" i="22"/>
  <c r="O574" i="22" s="1"/>
  <c r="Z33" i="105" s="1"/>
  <c r="L91" i="22"/>
  <c r="L566" i="22" s="1"/>
  <c r="O28" i="105" s="1"/>
  <c r="L90" i="22"/>
  <c r="L560" i="22" s="1"/>
  <c r="O27" i="105" s="1"/>
  <c r="L89" i="22"/>
  <c r="L554" i="22" s="1"/>
  <c r="O26" i="105" s="1"/>
  <c r="L176" i="22"/>
  <c r="L653" i="22" s="1"/>
  <c r="N50" i="105" s="1"/>
  <c r="L175" i="22"/>
  <c r="L647" i="22" s="1"/>
  <c r="N49" i="105" s="1"/>
  <c r="L174" i="22"/>
  <c r="L641" i="22" s="1"/>
  <c r="N48" i="105" s="1"/>
  <c r="P129" i="22"/>
  <c r="P609" i="22" s="1"/>
  <c r="AD39" i="105" s="1"/>
  <c r="O129" i="22"/>
  <c r="O609" i="22" s="1"/>
  <c r="Y39" i="105" s="1"/>
  <c r="L129" i="22"/>
  <c r="L609" i="22" s="1"/>
  <c r="N39" i="105" s="1"/>
  <c r="P128" i="22"/>
  <c r="P603" i="22" s="1"/>
  <c r="AD38" i="105" s="1"/>
  <c r="O128" i="22"/>
  <c r="O603" i="22" s="1"/>
  <c r="Y38" i="105" s="1"/>
  <c r="L128" i="22"/>
  <c r="L603" i="22" s="1"/>
  <c r="N38" i="105" s="1"/>
  <c r="P127" i="22"/>
  <c r="P597" i="22" s="1"/>
  <c r="AD37" i="105" s="1"/>
  <c r="O127" i="22"/>
  <c r="O597" i="22" s="1"/>
  <c r="Y37" i="105" s="1"/>
  <c r="L127" i="22"/>
  <c r="L597" i="22" s="1"/>
  <c r="N37" i="105" s="1"/>
  <c r="P126" i="22"/>
  <c r="P591" i="22" s="1"/>
  <c r="O126" i="22"/>
  <c r="O591" i="22" s="1"/>
  <c r="P125" i="22"/>
  <c r="P585" i="22" s="1"/>
  <c r="AD35" i="105" s="1"/>
  <c r="O125" i="22"/>
  <c r="O585" i="22" s="1"/>
  <c r="Y35" i="105" s="1"/>
  <c r="P124" i="22"/>
  <c r="P579" i="22" s="1"/>
  <c r="AD34" i="105" s="1"/>
  <c r="O124" i="22"/>
  <c r="O579" i="22" s="1"/>
  <c r="Y34" i="105" s="1"/>
  <c r="P123" i="22"/>
  <c r="P573" i="22" s="1"/>
  <c r="AD33" i="105" s="1"/>
  <c r="O123" i="22"/>
  <c r="O573" i="22" s="1"/>
  <c r="Y33" i="105" s="1"/>
  <c r="L82" i="22"/>
  <c r="L565" i="22" s="1"/>
  <c r="N28" i="105" s="1"/>
  <c r="L81" i="22"/>
  <c r="L559" i="22" s="1"/>
  <c r="N27" i="105" s="1"/>
  <c r="L80" i="22"/>
  <c r="L553" i="22" s="1"/>
  <c r="N26" i="105" s="1"/>
  <c r="O114" i="22"/>
  <c r="O572" i="22" s="1"/>
  <c r="X33" i="105" s="1"/>
  <c r="P114" i="22"/>
  <c r="O115" i="22"/>
  <c r="P115" i="22"/>
  <c r="P578" i="22" s="1"/>
  <c r="AC34" i="105" s="1"/>
  <c r="O116" i="22"/>
  <c r="O584" i="22" s="1"/>
  <c r="X35" i="105" s="1"/>
  <c r="P116" i="22"/>
  <c r="O117" i="22"/>
  <c r="P117" i="22"/>
  <c r="P590" i="22" s="1"/>
  <c r="J118" i="22"/>
  <c r="L118" i="22"/>
  <c r="O118" i="22"/>
  <c r="O596" i="22" s="1"/>
  <c r="X37" i="105" s="1"/>
  <c r="P118" i="22"/>
  <c r="Q118" i="22"/>
  <c r="J119" i="22"/>
  <c r="L119" i="22"/>
  <c r="O119" i="22"/>
  <c r="P119" i="22"/>
  <c r="P602" i="22" s="1"/>
  <c r="AC38" i="105" s="1"/>
  <c r="Q119" i="22"/>
  <c r="J120" i="22"/>
  <c r="L120" i="22"/>
  <c r="O120" i="22"/>
  <c r="O608" i="22" s="1"/>
  <c r="X39" i="105" s="1"/>
  <c r="P120" i="22"/>
  <c r="Q120" i="22"/>
  <c r="Q167" i="22"/>
  <c r="L167" i="22"/>
  <c r="L652" i="22" s="1"/>
  <c r="M50" i="105" s="1"/>
  <c r="J167" i="22"/>
  <c r="Q166" i="22"/>
  <c r="L166" i="22"/>
  <c r="L646" i="22" s="1"/>
  <c r="M49" i="105" s="1"/>
  <c r="J166" i="22"/>
  <c r="Q165" i="22"/>
  <c r="L165" i="22"/>
  <c r="L640" i="22" s="1"/>
  <c r="M48" i="105" s="1"/>
  <c r="J165" i="22"/>
  <c r="Q73" i="22"/>
  <c r="L73" i="22"/>
  <c r="J73" i="22"/>
  <c r="Q72" i="22"/>
  <c r="L72" i="22"/>
  <c r="J72" i="22"/>
  <c r="Q71" i="22"/>
  <c r="L71" i="22"/>
  <c r="J71" i="22"/>
  <c r="H22" i="72" a="1"/>
  <c r="H22" i="72" s="1"/>
  <c r="AC36" i="105" l="1"/>
  <c r="AC141" i="105" s="1"/>
  <c r="AE36" i="105"/>
  <c r="AE141" i="105" s="1"/>
  <c r="Y36" i="105"/>
  <c r="Y141" i="105" s="1"/>
  <c r="AA36" i="105"/>
  <c r="AA141" i="105" s="1"/>
  <c r="AD36" i="105"/>
  <c r="AD141" i="105" s="1"/>
  <c r="AF36" i="105"/>
  <c r="AF141" i="105" s="1"/>
  <c r="W36" i="105"/>
  <c r="W141" i="105" s="1"/>
  <c r="Z36" i="105"/>
  <c r="Z141" i="105" s="1"/>
  <c r="AB36" i="105"/>
  <c r="AB141" i="105" s="1"/>
  <c r="AF147" i="105"/>
  <c r="AD147" i="105"/>
  <c r="AE147" i="105"/>
  <c r="AA147" i="105"/>
  <c r="Z147" i="105"/>
  <c r="Y147" i="105"/>
  <c r="AB147" i="105"/>
  <c r="W147" i="105"/>
  <c r="J279" i="22"/>
  <c r="J552" i="22"/>
  <c r="J26" i="105" s="1"/>
  <c r="Q292" i="22"/>
  <c r="Q646" i="22"/>
  <c r="AG49" i="105" s="1"/>
  <c r="P254" i="22"/>
  <c r="P584" i="22"/>
  <c r="AC3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W233" i="22"/>
  <c r="W615" i="22"/>
  <c r="AM44" i="105" s="1"/>
  <c r="U244" i="22"/>
  <c r="U621" i="22"/>
  <c r="AK45" i="105" s="1"/>
  <c r="Y244" i="22"/>
  <c r="Y621" i="22"/>
  <c r="AO45"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J280" i="22"/>
  <c r="J596" i="22"/>
  <c r="J37" i="105" s="1"/>
  <c r="P232" i="22"/>
  <c r="P572" i="22"/>
  <c r="AC33" i="105" s="1"/>
  <c r="L301" i="22"/>
  <c r="L564" i="22"/>
  <c r="M28" i="105" s="1"/>
  <c r="Q301" i="22"/>
  <c r="Q564" i="22"/>
  <c r="AG28" i="105" s="1"/>
  <c r="J281" i="22"/>
  <c r="J640" i="22"/>
  <c r="J48" i="105" s="1"/>
  <c r="K279" i="22"/>
  <c r="K551" i="22"/>
  <c r="K26" i="105" s="1"/>
  <c r="T279" i="22"/>
  <c r="T551" i="22"/>
  <c r="AJ26" i="105" s="1"/>
  <c r="X279" i="22"/>
  <c r="X551" i="22"/>
  <c r="AN26" i="105" s="1"/>
  <c r="R290" i="22"/>
  <c r="R557" i="22"/>
  <c r="AH27" i="105" s="1"/>
  <c r="V290" i="22"/>
  <c r="V557" i="22"/>
  <c r="AL27" i="105" s="1"/>
  <c r="K301" i="22"/>
  <c r="K563" i="22"/>
  <c r="K28" i="105" s="1"/>
  <c r="V232" i="22"/>
  <c r="V571" i="22"/>
  <c r="AL33" i="105" s="1"/>
  <c r="X243" i="22"/>
  <c r="X577" i="22"/>
  <c r="AN34" i="105" s="1"/>
  <c r="V254" i="22"/>
  <c r="V583" i="22"/>
  <c r="AL35"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P302" i="22"/>
  <c r="P608" i="22"/>
  <c r="AC39" i="105" s="1"/>
  <c r="J302" i="22"/>
  <c r="J608" i="22"/>
  <c r="J39" i="105" s="1"/>
  <c r="P280" i="22"/>
  <c r="P596" i="22"/>
  <c r="AC37" i="105" s="1"/>
  <c r="Q291" i="22"/>
  <c r="Q602" i="22"/>
  <c r="AG38" i="105" s="1"/>
  <c r="L291" i="22"/>
  <c r="L602" i="22"/>
  <c r="M38" i="105" s="1"/>
  <c r="J290" i="22"/>
  <c r="J558" i="22"/>
  <c r="J27" i="105" s="1"/>
  <c r="Q281" i="22"/>
  <c r="Q640" i="22"/>
  <c r="AG48" i="105" s="1"/>
  <c r="Q303" i="22"/>
  <c r="Q652" i="22"/>
  <c r="AG50" i="105" s="1"/>
  <c r="J291" i="22"/>
  <c r="J602" i="22"/>
  <c r="J38"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W244" i="22"/>
  <c r="W621" i="22"/>
  <c r="AM45" i="105" s="1"/>
  <c r="U255" i="22"/>
  <c r="U627" i="22"/>
  <c r="AK46" i="105" s="1"/>
  <c r="Y255" i="22"/>
  <c r="Y627" i="22"/>
  <c r="AO46" i="105" s="1"/>
  <c r="W270" i="22"/>
  <c r="W633" i="22"/>
  <c r="U281" i="22"/>
  <c r="U639" i="22"/>
  <c r="AK48" i="105" s="1"/>
  <c r="Y281" i="22"/>
  <c r="Y639" i="22"/>
  <c r="AO48" i="105" s="1"/>
  <c r="S292" i="22"/>
  <c r="S645" i="22"/>
  <c r="AI49" i="105" s="1"/>
  <c r="W292" i="22"/>
  <c r="W645" i="22"/>
  <c r="AM49" i="105" s="1"/>
  <c r="U303" i="22"/>
  <c r="U651" i="22"/>
  <c r="AK50" i="105" s="1"/>
  <c r="Y303" i="22"/>
  <c r="Y651" i="22"/>
  <c r="AO50" i="105" s="1"/>
  <c r="L279" i="22"/>
  <c r="L552" i="22"/>
  <c r="M26" i="105" s="1"/>
  <c r="Q279" i="22"/>
  <c r="Q552" i="22"/>
  <c r="AG26" i="105" s="1"/>
  <c r="J303" i="22"/>
  <c r="J652" i="22"/>
  <c r="J50" i="105" s="1"/>
  <c r="L290" i="22"/>
  <c r="L558" i="22"/>
  <c r="M27" i="105" s="1"/>
  <c r="Q290" i="22"/>
  <c r="Q558" i="22"/>
  <c r="AG27" i="105" s="1"/>
  <c r="J292" i="22"/>
  <c r="J646" i="22"/>
  <c r="J49" i="105" s="1"/>
  <c r="Q302" i="22"/>
  <c r="Q608" i="22"/>
  <c r="AG39" i="105" s="1"/>
  <c r="L302" i="22"/>
  <c r="L608" i="22"/>
  <c r="M39" i="105" s="1"/>
  <c r="O291" i="22"/>
  <c r="O602" i="22"/>
  <c r="X38" i="105" s="1"/>
  <c r="Q280" i="22"/>
  <c r="Q596" i="22"/>
  <c r="AG37" i="105" s="1"/>
  <c r="L280" i="22"/>
  <c r="L596" i="22"/>
  <c r="M37" i="105" s="1"/>
  <c r="O269" i="22"/>
  <c r="O590" i="22"/>
  <c r="O243" i="22"/>
  <c r="O578" i="22"/>
  <c r="X34" i="105" s="1"/>
  <c r="K202" i="22"/>
  <c r="K268" i="22" s="1"/>
  <c r="K545" i="22"/>
  <c r="K25" i="105" s="1"/>
  <c r="R279" i="22"/>
  <c r="R551" i="22"/>
  <c r="AH26" i="105" s="1"/>
  <c r="V279" i="22"/>
  <c r="V551" i="22"/>
  <c r="AL26" i="105" s="1"/>
  <c r="K290" i="22"/>
  <c r="K557" i="22"/>
  <c r="K27" i="105" s="1"/>
  <c r="T290" i="22"/>
  <c r="T557" i="22"/>
  <c r="AJ27" i="105" s="1"/>
  <c r="X290" i="22"/>
  <c r="X557" i="22"/>
  <c r="AN27" i="105" s="1"/>
  <c r="R301" i="22"/>
  <c r="R563" i="22"/>
  <c r="AH28" i="105" s="1"/>
  <c r="X232" i="22"/>
  <c r="X571" i="22"/>
  <c r="AN33" i="105" s="1"/>
  <c r="V243" i="22"/>
  <c r="V577" i="22"/>
  <c r="AL34" i="105" s="1"/>
  <c r="X254" i="22"/>
  <c r="X583" i="22"/>
  <c r="AN35" i="105" s="1"/>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X302" i="22"/>
  <c r="X607" i="22"/>
  <c r="AN39" i="105" s="1"/>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M279" i="22"/>
  <c r="M301" i="22"/>
  <c r="M202" i="22"/>
  <c r="M268" i="22" s="1"/>
  <c r="M290" i="22"/>
  <c r="L292" i="22"/>
  <c r="L281" i="22"/>
  <c r="L303" i="22"/>
  <c r="O302" i="22"/>
  <c r="O280" i="22"/>
  <c r="O254" i="22"/>
  <c r="O232" i="22"/>
  <c r="P291" i="22"/>
  <c r="P269" i="22"/>
  <c r="P243" i="22"/>
  <c r="AH45" i="41"/>
  <c r="AH25" i="65" s="1"/>
  <c r="AH115" i="65" s="1"/>
  <c r="AH37" i="82" s="1"/>
  <c r="AH44" i="41"/>
  <c r="AH24" i="65" s="1"/>
  <c r="AH114" i="65" s="1"/>
  <c r="AH36" i="82" s="1"/>
  <c r="AL45" i="41"/>
  <c r="AL25" i="65" s="1"/>
  <c r="AL115" i="65" s="1"/>
  <c r="AK37" i="82" s="1"/>
  <c r="AL44" i="41"/>
  <c r="AL24" i="65" s="1"/>
  <c r="AL114" i="65" s="1"/>
  <c r="AK36" i="82" s="1"/>
  <c r="AI45" i="41"/>
  <c r="AI25" i="65" s="1"/>
  <c r="AI115" i="65" s="1"/>
  <c r="AI37" i="82" s="1"/>
  <c r="AI44" i="41"/>
  <c r="AI24" i="65" s="1"/>
  <c r="AI114" i="65" s="1"/>
  <c r="AI36" i="82" s="1"/>
  <c r="AM45" i="41"/>
  <c r="AM25" i="65" s="1"/>
  <c r="AM115" i="65" s="1"/>
  <c r="AM44" i="41"/>
  <c r="AM24" i="65" s="1"/>
  <c r="AM114" i="65" s="1"/>
  <c r="AJ45" i="41"/>
  <c r="AJ25" i="65" s="1"/>
  <c r="AJ115" i="65" s="1"/>
  <c r="AJ37" i="82" s="1"/>
  <c r="AJ44" i="41"/>
  <c r="AJ24" i="65" s="1"/>
  <c r="AJ114" i="65" s="1"/>
  <c r="AJ36" i="82" s="1"/>
  <c r="AN45" i="41"/>
  <c r="AN25" i="65" s="1"/>
  <c r="AN115" i="65" s="1"/>
  <c r="AL37" i="82" s="1"/>
  <c r="AN44" i="41"/>
  <c r="AN24" i="65" s="1"/>
  <c r="AN114" i="65" s="1"/>
  <c r="AL36"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AO36" i="105" l="1"/>
  <c r="AO141" i="105" s="1"/>
  <c r="AO47" i="105"/>
  <c r="AO142" i="105" s="1"/>
  <c r="AK36" i="105"/>
  <c r="AK141" i="105" s="1"/>
  <c r="AN36" i="105"/>
  <c r="AN141" i="105" s="1"/>
  <c r="AK47" i="105"/>
  <c r="AK142" i="105" s="1"/>
  <c r="AL36" i="105"/>
  <c r="AL141" i="105" s="1"/>
  <c r="X36" i="105"/>
  <c r="X141" i="105" s="1"/>
  <c r="AM47" i="105"/>
  <c r="AM142" i="105" s="1"/>
  <c r="AM36" i="105"/>
  <c r="AM141" i="105" s="1"/>
  <c r="AI36" i="105"/>
  <c r="AI141" i="105" s="1"/>
  <c r="AC147" i="105"/>
  <c r="AM147" i="105"/>
  <c r="AK148" i="105"/>
  <c r="AL147" i="105"/>
  <c r="AK147" i="105"/>
  <c r="AN147" i="105"/>
  <c r="AI147" i="105"/>
  <c r="AO148" i="105"/>
  <c r="AM148" i="105"/>
  <c r="AO147" i="105"/>
  <c r="X147" i="105"/>
  <c r="AO126" i="65"/>
  <c r="AN126" i="65"/>
  <c r="AM126" i="65"/>
  <c r="AH126" i="65"/>
  <c r="AK125" i="65"/>
  <c r="AJ125" i="65"/>
  <c r="AI125" i="65"/>
  <c r="AL125" i="65"/>
  <c r="AK126" i="65"/>
  <c r="AJ126" i="65"/>
  <c r="AI126" i="65"/>
  <c r="AL126" i="65"/>
  <c r="AN125" i="65"/>
  <c r="AM125" i="65"/>
  <c r="AH125" i="65"/>
  <c r="K53" i="86" l="1"/>
  <c r="N53" i="86"/>
  <c r="O53" i="86"/>
  <c r="Q53" i="86"/>
  <c r="R53" i="86"/>
  <c r="P54" i="86"/>
  <c r="M54" i="86"/>
  <c r="S53" i="86"/>
  <c r="L54" i="86"/>
  <c r="N38" i="53" l="1"/>
  <c r="O38" i="53"/>
  <c r="P38" i="53"/>
  <c r="Y23" i="112" l="1"/>
  <c r="X23" i="112"/>
  <c r="W23" i="112"/>
  <c r="V23" i="112"/>
  <c r="U23" i="112"/>
  <c r="T23" i="112"/>
  <c r="S23" i="112"/>
  <c r="R23" i="112"/>
  <c r="Q23" i="112"/>
  <c r="P23" i="112"/>
  <c r="O23" i="112"/>
  <c r="N23" i="112"/>
  <c r="M23" i="112"/>
  <c r="L23" i="112"/>
  <c r="K23" i="112"/>
  <c r="J23" i="112"/>
  <c r="K26" i="112" l="1"/>
  <c r="L26" i="112"/>
  <c r="M26" i="112"/>
  <c r="N26" i="112"/>
  <c r="O26" i="112"/>
  <c r="P26" i="112"/>
  <c r="Q26" i="112"/>
  <c r="R26" i="112"/>
  <c r="S26" i="112"/>
  <c r="T26" i="112"/>
  <c r="U26" i="112"/>
  <c r="V26" i="112"/>
  <c r="W26" i="112"/>
  <c r="X26" i="112"/>
  <c r="Y26" i="112"/>
  <c r="K27" i="112"/>
  <c r="L27" i="112"/>
  <c r="M27" i="112"/>
  <c r="N27" i="112"/>
  <c r="O27" i="112"/>
  <c r="P27" i="112"/>
  <c r="Q27" i="112"/>
  <c r="R27" i="112"/>
  <c r="S27" i="112"/>
  <c r="T27" i="112"/>
  <c r="U27" i="112"/>
  <c r="V27" i="112"/>
  <c r="W27" i="112"/>
  <c r="X27" i="112"/>
  <c r="Y27" i="112"/>
  <c r="J27" i="112"/>
  <c r="J26" i="112"/>
  <c r="Y22" i="112"/>
  <c r="W22" i="112"/>
  <c r="U22" i="112"/>
  <c r="Y21" i="112"/>
  <c r="X21" i="112"/>
  <c r="W21" i="112"/>
  <c r="V21" i="112"/>
  <c r="U21" i="112"/>
  <c r="S21" i="112"/>
  <c r="P21" i="112"/>
  <c r="O21" i="112"/>
  <c r="M20" i="112"/>
  <c r="K20" i="112"/>
  <c r="A2" i="112"/>
  <c r="A1" i="112"/>
  <c r="C16" i="112" s="1"/>
  <c r="G195" i="85" s="1"/>
  <c r="V45" i="112" l="1"/>
  <c r="M44" i="112"/>
  <c r="U45" i="112"/>
  <c r="M45" i="112"/>
  <c r="T44" i="112"/>
  <c r="L44" i="112"/>
  <c r="T45" i="112"/>
  <c r="S44" i="112"/>
  <c r="K44" i="112"/>
  <c r="S45" i="112"/>
  <c r="K45" i="112"/>
  <c r="R44" i="112"/>
  <c r="R45" i="112"/>
  <c r="Y44" i="112"/>
  <c r="Q44" i="112"/>
  <c r="Y45" i="112"/>
  <c r="P44" i="112"/>
  <c r="X45" i="112"/>
  <c r="W44" i="112"/>
  <c r="O44" i="112"/>
  <c r="U44" i="112"/>
  <c r="Q45" i="112"/>
  <c r="X44" i="112"/>
  <c r="W45" i="112"/>
  <c r="V44" i="112"/>
  <c r="N44" i="112"/>
  <c r="C33" i="112"/>
  <c r="G196" i="85" s="1"/>
  <c r="C48" i="112"/>
  <c r="G197" i="85" s="1"/>
  <c r="V46" i="112" l="1"/>
  <c r="U46" i="112"/>
  <c r="W46" i="112"/>
  <c r="X46" i="112"/>
  <c r="K46" i="112"/>
  <c r="Q46" i="112"/>
  <c r="R46" i="112"/>
  <c r="M46" i="112"/>
  <c r="Y46" i="112"/>
  <c r="S46" i="112"/>
  <c r="T46" i="112"/>
  <c r="H23" i="81"/>
  <c r="X29" i="41" l="1"/>
  <c r="AN48" i="41" s="1"/>
  <c r="AN47" i="65" s="1"/>
  <c r="AL43" i="82" s="1"/>
  <c r="R29" i="41"/>
  <c r="AH48" i="41" s="1"/>
  <c r="AH47" i="65" s="1"/>
  <c r="AH43" i="82" s="1"/>
  <c r="W29" i="41"/>
  <c r="AM48" i="41" s="1"/>
  <c r="AM47" i="65" s="1"/>
  <c r="M29" i="41"/>
  <c r="Q48" i="41" s="1"/>
  <c r="Q47" i="65" s="1"/>
  <c r="Q43" i="82" s="1"/>
  <c r="Q29" i="41"/>
  <c r="AG48" i="41" s="1"/>
  <c r="AG47" i="65" s="1"/>
  <c r="AG43" i="82" s="1"/>
  <c r="U29" i="41"/>
  <c r="AK48" i="41" s="1"/>
  <c r="AK47" i="65" s="1"/>
  <c r="T29" i="41"/>
  <c r="AJ48" i="41" s="1"/>
  <c r="AJ47" i="65" s="1"/>
  <c r="AJ43" i="82" s="1"/>
  <c r="S29" i="41"/>
  <c r="AI48" i="41" s="1"/>
  <c r="AI47" i="65" s="1"/>
  <c r="AI43" i="82" s="1"/>
  <c r="Y29" i="41"/>
  <c r="AO48" i="41" s="1"/>
  <c r="AO47" i="65" s="1"/>
  <c r="K29" i="41"/>
  <c r="K48" i="41" s="1"/>
  <c r="K47" i="65" s="1"/>
  <c r="K43" i="82" s="1"/>
  <c r="V29" i="41"/>
  <c r="AL48" i="41" s="1"/>
  <c r="AL47" i="65" s="1"/>
  <c r="AK43" i="82" s="1"/>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63" i="53"/>
  <c r="Y85" i="53" s="1"/>
  <c r="X63" i="53"/>
  <c r="X85" i="53" s="1"/>
  <c r="W63" i="53"/>
  <c r="W85" i="53" s="1"/>
  <c r="V63" i="53"/>
  <c r="V85" i="53" s="1"/>
  <c r="U63" i="53"/>
  <c r="U85" i="53" s="1"/>
  <c r="T63" i="53"/>
  <c r="T85" i="53" s="1"/>
  <c r="S63" i="53"/>
  <c r="S85" i="53" s="1"/>
  <c r="R63" i="53"/>
  <c r="R85" i="53" s="1"/>
  <c r="Q63" i="53"/>
  <c r="Q85" i="53" s="1"/>
  <c r="P63" i="53"/>
  <c r="O63" i="53"/>
  <c r="N63" i="53"/>
  <c r="M63" i="53"/>
  <c r="L63" i="53"/>
  <c r="K63" i="53"/>
  <c r="J63" i="53"/>
  <c r="Y62" i="53"/>
  <c r="Y83" i="53" s="1"/>
  <c r="X62" i="53"/>
  <c r="X83" i="53" s="1"/>
  <c r="W62" i="53"/>
  <c r="W83" i="53" s="1"/>
  <c r="V62" i="53"/>
  <c r="V83" i="53" s="1"/>
  <c r="U62" i="53"/>
  <c r="U83" i="53" s="1"/>
  <c r="T62" i="53"/>
  <c r="T83" i="53" s="1"/>
  <c r="S62" i="53"/>
  <c r="S83" i="53" s="1"/>
  <c r="R62" i="53"/>
  <c r="R83" i="53" s="1"/>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W336" i="22"/>
  <c r="W341" i="22"/>
  <c r="Y337" i="22"/>
  <c r="Y336" i="22"/>
  <c r="Y346" i="22"/>
  <c r="Y350" i="22"/>
  <c r="U337" i="22"/>
  <c r="U344" i="22"/>
  <c r="U348" i="22"/>
  <c r="S336" i="22"/>
  <c r="S350" i="22"/>
  <c r="S338" i="22"/>
  <c r="V335" i="22"/>
  <c r="X341" i="22"/>
  <c r="X349" i="22"/>
  <c r="X339" i="22"/>
  <c r="W340" i="22"/>
  <c r="W347" i="22"/>
  <c r="W335" i="22"/>
  <c r="W338" i="22"/>
  <c r="R340" i="22"/>
  <c r="R349" i="22"/>
  <c r="Y345" i="22"/>
  <c r="U340" i="22"/>
  <c r="X337" i="22"/>
  <c r="X335" i="22"/>
  <c r="W346" i="22"/>
  <c r="R348" i="22"/>
  <c r="Y341" i="22"/>
  <c r="Y340" i="22"/>
  <c r="Y347" i="22"/>
  <c r="U335" i="22"/>
  <c r="U341" i="22"/>
  <c r="U345" i="22"/>
  <c r="U349" i="22"/>
  <c r="S340" i="22"/>
  <c r="S335" i="22"/>
  <c r="V340" i="22"/>
  <c r="V348" i="22"/>
  <c r="V339" i="22"/>
  <c r="V337" i="22"/>
  <c r="X336" i="22"/>
  <c r="T340" i="22"/>
  <c r="W344" i="22"/>
  <c r="W348" i="22"/>
  <c r="W339" i="22"/>
  <c r="R339" i="22"/>
  <c r="Y339" i="22"/>
  <c r="U338" i="22"/>
  <c r="S337" i="22"/>
  <c r="S341" i="22"/>
  <c r="V336" i="22"/>
  <c r="X348" i="22"/>
  <c r="T349" i="22"/>
  <c r="W350" i="22"/>
  <c r="Y335" i="22"/>
  <c r="Y344" i="22"/>
  <c r="Y348" i="22"/>
  <c r="U339" i="22"/>
  <c r="U336" i="22"/>
  <c r="U346" i="22"/>
  <c r="U350" i="22"/>
  <c r="S348" i="22"/>
  <c r="S339" i="22"/>
  <c r="V349" i="22"/>
  <c r="V338" i="22"/>
  <c r="V341" i="22"/>
  <c r="X340" i="22"/>
  <c r="X358" i="22" s="1"/>
  <c r="X338" i="22"/>
  <c r="T348" i="22"/>
  <c r="T339" i="22"/>
  <c r="W345" i="22"/>
  <c r="W349" i="22"/>
  <c r="W337" i="22"/>
  <c r="R350" i="22"/>
  <c r="R341" i="22"/>
  <c r="V285" i="22"/>
  <c r="X273" i="22"/>
  <c r="W247" i="22"/>
  <c r="X285" i="22"/>
  <c r="W285" i="22"/>
  <c r="W307" i="22"/>
  <c r="X296" i="22"/>
  <c r="U306" i="22"/>
  <c r="X306" i="22"/>
  <c r="Y258" i="22"/>
  <c r="R284" i="22"/>
  <c r="U284" i="22"/>
  <c r="W306" i="22"/>
  <c r="Y306" i="22"/>
  <c r="W273" i="22"/>
  <c r="S247" i="22"/>
  <c r="S296" i="22"/>
  <c r="W295" i="22"/>
  <c r="W284" i="22"/>
  <c r="U273" i="22"/>
  <c r="W248" i="22"/>
  <c r="Y296" i="22"/>
  <c r="V284" i="22"/>
  <c r="V306" i="22"/>
  <c r="Y295" i="22"/>
  <c r="V273" i="22"/>
  <c r="V258" i="22"/>
  <c r="Y247" i="22"/>
  <c r="V295" i="22"/>
  <c r="V296" i="22"/>
  <c r="Y273" i="22"/>
  <c r="S258" i="22"/>
  <c r="U247" i="22"/>
  <c r="Y248" i="22"/>
  <c r="T285" i="22"/>
  <c r="W296" i="22"/>
  <c r="R295" i="22"/>
  <c r="U258" i="22"/>
  <c r="U248" i="22"/>
  <c r="Y274" i="22"/>
  <c r="Y307" i="22"/>
  <c r="T296" i="22"/>
  <c r="S284" i="22"/>
  <c r="W274" i="22"/>
  <c r="S273" i="22"/>
  <c r="W258" i="22"/>
  <c r="S306" i="22"/>
  <c r="R306" i="22"/>
  <c r="V247" i="22"/>
  <c r="U295" i="22"/>
  <c r="W259" i="22"/>
  <c r="T284" i="22"/>
  <c r="X258" i="22"/>
  <c r="T295" i="22"/>
  <c r="S307" i="22"/>
  <c r="S295" i="22"/>
  <c r="S285" i="22"/>
  <c r="R307" i="22"/>
  <c r="R296" i="22"/>
  <c r="R285" i="22"/>
  <c r="U237" i="22"/>
  <c r="U236" i="22"/>
  <c r="U307" i="22"/>
  <c r="U296" i="22"/>
  <c r="U285" i="22"/>
  <c r="U274" i="22"/>
  <c r="Y259" i="22"/>
  <c r="U259" i="22"/>
  <c r="Y237" i="22"/>
  <c r="Y236" i="22"/>
  <c r="Y284" i="22"/>
  <c r="P98" i="73"/>
  <c r="P85" i="72"/>
  <c r="P116" i="71"/>
  <c r="P27" i="80"/>
  <c r="M99" i="73"/>
  <c r="M86" i="72"/>
  <c r="M117" i="71"/>
  <c r="M28" i="80"/>
  <c r="O99" i="73"/>
  <c r="O86" i="72"/>
  <c r="O117" i="71"/>
  <c r="O28" i="80"/>
  <c r="K98" i="73"/>
  <c r="K85" i="72"/>
  <c r="K116" i="71"/>
  <c r="K27" i="80"/>
  <c r="X236" i="22"/>
  <c r="X295" i="22"/>
  <c r="X247" i="22"/>
  <c r="S236" i="22"/>
  <c r="Y285" i="22"/>
  <c r="N86" i="72"/>
  <c r="N117" i="71"/>
  <c r="N99" i="73"/>
  <c r="N28" i="80"/>
  <c r="J98" i="73"/>
  <c r="J85" i="72"/>
  <c r="J116" i="71"/>
  <c r="J27" i="80"/>
  <c r="X284" i="22"/>
  <c r="W237" i="22"/>
  <c r="W236" i="22"/>
  <c r="V236" i="22"/>
  <c r="L86" i="72"/>
  <c r="L117" i="71"/>
  <c r="L99" i="73"/>
  <c r="L28" i="80"/>
  <c r="Q98" i="73"/>
  <c r="Q85" i="72"/>
  <c r="Q116" i="71"/>
  <c r="Q27" i="80"/>
  <c r="X286" i="22" l="1"/>
  <c r="X511" i="22"/>
  <c r="Y359" i="22"/>
  <c r="U357" i="22"/>
  <c r="R359" i="22"/>
  <c r="Y357" i="22"/>
  <c r="V357" i="22"/>
  <c r="U358" i="22"/>
  <c r="Y358" i="22"/>
  <c r="S358" i="22"/>
  <c r="S359" i="22"/>
  <c r="U359" i="22"/>
  <c r="W358" i="22"/>
  <c r="X357" i="22"/>
  <c r="S357" i="22"/>
  <c r="R357" i="22"/>
  <c r="W357" i="22"/>
  <c r="R358" i="22"/>
  <c r="T358" i="22"/>
  <c r="V358" i="22"/>
  <c r="T357" i="22"/>
  <c r="W359" i="22"/>
  <c r="V286" i="22"/>
  <c r="X297" i="22"/>
  <c r="S286" i="22"/>
  <c r="W308" i="22"/>
  <c r="R286" i="22"/>
  <c r="U308" i="22"/>
  <c r="Y308" i="22"/>
  <c r="S297" i="22"/>
  <c r="W286" i="22"/>
  <c r="W188" i="80" s="1"/>
  <c r="U286" i="22"/>
  <c r="V297" i="22"/>
  <c r="Y297" i="22"/>
  <c r="Y189" i="80" s="1"/>
  <c r="R308" i="22"/>
  <c r="T297" i="22"/>
  <c r="T189" i="80" s="1"/>
  <c r="S308" i="22"/>
  <c r="W297" i="22"/>
  <c r="U297" i="22"/>
  <c r="R297" i="22"/>
  <c r="T286" i="22"/>
  <c r="Y286" i="22"/>
  <c r="Y188" i="80" s="1"/>
  <c r="X188" i="80"/>
  <c r="AN58" i="41" l="1"/>
  <c r="AN80" i="41" s="1"/>
  <c r="U511" i="22"/>
  <c r="V511" i="22"/>
  <c r="W511" i="22"/>
  <c r="S511" i="22"/>
  <c r="T511" i="22"/>
  <c r="R511" i="22"/>
  <c r="Y511" i="22"/>
  <c r="U505" i="22"/>
  <c r="AK57" i="41" s="1"/>
  <c r="U517" i="22"/>
  <c r="AK59" i="41" s="1"/>
  <c r="W517" i="22"/>
  <c r="AM59" i="41" s="1"/>
  <c r="S517" i="22"/>
  <c r="AI59" i="41" s="1"/>
  <c r="R517" i="22"/>
  <c r="AH59" i="41" s="1"/>
  <c r="Y517" i="22"/>
  <c r="AO59" i="41" s="1"/>
  <c r="X505" i="22"/>
  <c r="AN57" i="41" s="1"/>
  <c r="S505" i="22"/>
  <c r="AI57" i="41" s="1"/>
  <c r="V505" i="22"/>
  <c r="AL57" i="41" s="1"/>
  <c r="T505" i="22"/>
  <c r="AJ57" i="41" s="1"/>
  <c r="W505" i="22"/>
  <c r="AM57" i="41" s="1"/>
  <c r="Y505" i="22"/>
  <c r="AO57" i="41" s="1"/>
  <c r="R505" i="22"/>
  <c r="AH57" i="41" s="1"/>
  <c r="Y191" i="80"/>
  <c r="Y192" i="80" s="1"/>
  <c r="V188" i="80"/>
  <c r="X189" i="80"/>
  <c r="X191" i="80" s="1"/>
  <c r="X192" i="80" s="1"/>
  <c r="S188" i="80"/>
  <c r="U188" i="80"/>
  <c r="R188" i="80"/>
  <c r="R189" i="80"/>
  <c r="S189" i="80"/>
  <c r="V189" i="80"/>
  <c r="W189" i="80"/>
  <c r="W191" i="80" s="1"/>
  <c r="W192" i="80" s="1"/>
  <c r="U189" i="80"/>
  <c r="T188" i="80"/>
  <c r="T191" i="80" s="1"/>
  <c r="T192" i="80" s="1"/>
  <c r="AL58" i="41" l="1"/>
  <c r="AL80" i="41" s="1"/>
  <c r="AO58" i="41"/>
  <c r="AO80" i="41" s="1"/>
  <c r="AH58" i="41"/>
  <c r="AH80" i="41" s="1"/>
  <c r="AI58" i="41"/>
  <c r="AI80" i="41" s="1"/>
  <c r="AK58" i="41"/>
  <c r="AK80" i="41" s="1"/>
  <c r="AJ58" i="41"/>
  <c r="AJ80" i="41" s="1"/>
  <c r="AM58" i="41"/>
  <c r="AM80" i="41" s="1"/>
  <c r="AO79" i="41"/>
  <c r="AJ79" i="41"/>
  <c r="AI79" i="41"/>
  <c r="AH79" i="41"/>
  <c r="AM79" i="41"/>
  <c r="AL79" i="41"/>
  <c r="AK79" i="41"/>
  <c r="AN79" i="41"/>
  <c r="U191" i="80"/>
  <c r="U192" i="80" s="1"/>
  <c r="V191" i="80"/>
  <c r="V192" i="80" s="1"/>
  <c r="S191" i="80"/>
  <c r="S192" i="80" s="1"/>
  <c r="R191" i="80"/>
  <c r="R192" i="80" s="1"/>
  <c r="Y194" i="90" l="1"/>
  <c r="X194" i="90"/>
  <c r="Y193" i="90"/>
  <c r="X193" i="90"/>
  <c r="Y192" i="90"/>
  <c r="X192" i="90"/>
  <c r="Y191" i="90"/>
  <c r="X191" i="90"/>
  <c r="Y190" i="90"/>
  <c r="X190" i="90"/>
  <c r="Y225" i="53"/>
  <c r="X293" i="73"/>
  <c r="Y293" i="73"/>
  <c r="Y93" i="74"/>
  <c r="X93" i="74"/>
  <c r="Y91" i="74"/>
  <c r="X90" i="74"/>
  <c r="Y89" i="74"/>
  <c r="Y87" i="74"/>
  <c r="X87" i="74"/>
  <c r="X86" i="74"/>
  <c r="Y85" i="74"/>
  <c r="Y79" i="74"/>
  <c r="Y77" i="74"/>
  <c r="X77" i="74"/>
  <c r="Y75" i="74"/>
  <c r="X75" i="74"/>
  <c r="X74" i="74"/>
  <c r="Y73" i="74"/>
  <c r="X84" i="74"/>
  <c r="X72" i="74"/>
  <c r="W194" i="90"/>
  <c r="V194" i="90"/>
  <c r="W193" i="90"/>
  <c r="V193" i="90"/>
  <c r="W192" i="90"/>
  <c r="V192" i="90"/>
  <c r="W191" i="90"/>
  <c r="V191" i="90"/>
  <c r="W190" i="90"/>
  <c r="V190" i="90"/>
  <c r="V78" i="83"/>
  <c r="V226" i="53"/>
  <c r="W293" i="73"/>
  <c r="V293" i="73"/>
  <c r="V93" i="74"/>
  <c r="V91" i="74"/>
  <c r="V89" i="74"/>
  <c r="V87" i="74"/>
  <c r="V85" i="74"/>
  <c r="V79" i="74"/>
  <c r="V77" i="74"/>
  <c r="V75" i="74"/>
  <c r="V73" i="74"/>
  <c r="U194" i="90"/>
  <c r="T194" i="90"/>
  <c r="U193" i="90"/>
  <c r="T193" i="90"/>
  <c r="U192" i="90"/>
  <c r="T192" i="90"/>
  <c r="U191" i="90"/>
  <c r="T191" i="90"/>
  <c r="U190" i="90"/>
  <c r="T190" i="90"/>
  <c r="T225" i="53"/>
  <c r="U78" i="83"/>
  <c r="T78" i="83"/>
  <c r="U226" i="53"/>
  <c r="U224" i="53"/>
  <c r="T293" i="73"/>
  <c r="U293" i="73"/>
  <c r="U93" i="74"/>
  <c r="T92" i="74"/>
  <c r="U91" i="74"/>
  <c r="U89" i="74"/>
  <c r="T88" i="74"/>
  <c r="U87" i="74"/>
  <c r="U85" i="74"/>
  <c r="T84" i="74"/>
  <c r="U79" i="74"/>
  <c r="U77" i="74"/>
  <c r="T76" i="74"/>
  <c r="U75" i="74"/>
  <c r="U73" i="74"/>
  <c r="T72" i="74"/>
  <c r="S194" i="90"/>
  <c r="R194" i="90"/>
  <c r="S193" i="90"/>
  <c r="R193" i="90"/>
  <c r="S192" i="90"/>
  <c r="R192" i="90"/>
  <c r="S191" i="90"/>
  <c r="R191" i="90"/>
  <c r="S190" i="90"/>
  <c r="R190" i="90"/>
  <c r="R226" i="53"/>
  <c r="S225" i="53"/>
  <c r="S293" i="73"/>
  <c r="R293" i="73"/>
  <c r="Q194" i="90"/>
  <c r="Q193" i="90"/>
  <c r="Q192" i="90"/>
  <c r="Q191" i="90"/>
  <c r="Q190" i="90"/>
  <c r="Q78" i="83"/>
  <c r="Q27" i="76"/>
  <c r="Q157" i="74"/>
  <c r="Q156" i="74"/>
  <c r="K194" i="90"/>
  <c r="J194" i="90"/>
  <c r="K193" i="90"/>
  <c r="J193" i="90"/>
  <c r="K192" i="90"/>
  <c r="J192" i="90"/>
  <c r="K191" i="90"/>
  <c r="J191" i="90"/>
  <c r="K190" i="90"/>
  <c r="J190" i="90"/>
  <c r="J226" i="53"/>
  <c r="K225" i="53"/>
  <c r="K293" i="73"/>
  <c r="J293" i="73"/>
  <c r="M194" i="90"/>
  <c r="L194" i="90"/>
  <c r="M193" i="90"/>
  <c r="L193" i="90"/>
  <c r="M192" i="90"/>
  <c r="L192" i="90"/>
  <c r="M191" i="90"/>
  <c r="L191" i="90"/>
  <c r="M190" i="90"/>
  <c r="L190" i="90"/>
  <c r="L225" i="53"/>
  <c r="M224" i="53"/>
  <c r="L293" i="73"/>
  <c r="P194" i="90"/>
  <c r="O194" i="90"/>
  <c r="N194" i="90"/>
  <c r="P193" i="90"/>
  <c r="O193" i="90"/>
  <c r="N193" i="90"/>
  <c r="P192" i="90"/>
  <c r="O192" i="90"/>
  <c r="N192" i="90"/>
  <c r="P191" i="90"/>
  <c r="O191" i="90"/>
  <c r="N191" i="90"/>
  <c r="P190" i="90"/>
  <c r="O190" i="90"/>
  <c r="N190"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54" i="112" l="1"/>
  <c r="X225" i="53"/>
  <c r="T224" i="53"/>
  <c r="Y78" i="83"/>
  <c r="V225" i="53"/>
  <c r="U225" i="53"/>
  <c r="W78" i="83"/>
  <c r="T226" i="53"/>
  <c r="Q226" i="53"/>
  <c r="W225" i="53"/>
  <c r="Y54" i="112" l="1"/>
  <c r="C13" i="106"/>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93" i="89"/>
  <c r="H49" i="86"/>
  <c r="H79" i="89"/>
  <c r="H86" i="89"/>
  <c r="S70" i="31"/>
  <c r="S72" i="31"/>
  <c r="K66" i="31"/>
  <c r="R80" i="31"/>
  <c r="K70" i="31"/>
  <c r="S66" i="31"/>
  <c r="Q70" i="31"/>
  <c r="S73" i="31"/>
  <c r="Q76" i="31"/>
  <c r="Q80" i="31"/>
  <c r="A2" i="90"/>
  <c r="A1" i="90"/>
  <c r="C161" i="90" s="1"/>
  <c r="G89" i="85" s="1"/>
  <c r="H113" i="53"/>
  <c r="H169" i="53"/>
  <c r="H129" i="53"/>
  <c r="P44" i="23"/>
  <c r="N44" i="23"/>
  <c r="Q44" i="23"/>
  <c r="Q27" i="31"/>
  <c r="Q29" i="31" s="1"/>
  <c r="L45" i="23"/>
  <c r="L46" i="23"/>
  <c r="H168" i="53"/>
  <c r="H120" i="53"/>
  <c r="H112" i="53"/>
  <c r="H152" i="53"/>
  <c r="H144" i="53"/>
  <c r="H160" i="53"/>
  <c r="H128" i="53"/>
  <c r="H106" i="53"/>
  <c r="H47" i="86" a="1"/>
  <c r="H47" i="86" s="1"/>
  <c r="K27" i="31"/>
  <c r="J28" i="31" s="1"/>
  <c r="L54" i="81"/>
  <c r="S44" i="23"/>
  <c r="M44" i="23"/>
  <c r="O44" i="23"/>
  <c r="R44" i="23"/>
  <c r="L44" i="23"/>
  <c r="H104" i="53"/>
  <c r="H136" i="53"/>
  <c r="H105" i="53"/>
  <c r="H153" i="53"/>
  <c r="H121" i="53"/>
  <c r="H145" i="53"/>
  <c r="H137" i="53"/>
  <c r="H161" i="53"/>
  <c r="H88" i="81"/>
  <c r="H87" i="81"/>
  <c r="H86" i="81"/>
  <c r="H84" i="81"/>
  <c r="J98" i="81"/>
  <c r="H187" i="90" a="1"/>
  <c r="H187" i="90" s="1"/>
  <c r="H24" i="81"/>
  <c r="H25" i="81" s="1"/>
  <c r="H121" i="81" s="1"/>
  <c r="H19" i="76" s="1"/>
  <c r="H25" i="22"/>
  <c r="H24" i="22"/>
  <c r="H23" i="22"/>
  <c r="H22" i="22"/>
  <c r="A2" i="89"/>
  <c r="A1" i="89"/>
  <c r="C89" i="89" s="1"/>
  <c r="G103" i="85" s="1"/>
  <c r="A2" i="87"/>
  <c r="A1" i="87"/>
  <c r="C163" i="87" s="1"/>
  <c r="G92" i="85" s="1"/>
  <c r="L43" i="23"/>
  <c r="H39" i="81"/>
  <c r="Q19" i="31"/>
  <c r="N19" i="31"/>
  <c r="A2" i="86"/>
  <c r="A1" i="86"/>
  <c r="C23" i="86" s="1"/>
  <c r="G97" i="85" s="1"/>
  <c r="H103" i="53"/>
  <c r="H167" i="53"/>
  <c r="H119" i="53"/>
  <c r="H135" i="53"/>
  <c r="H143" i="53"/>
  <c r="H159" i="53"/>
  <c r="H151" i="53"/>
  <c r="H127" i="53"/>
  <c r="H111" i="53"/>
  <c r="K19" i="31"/>
  <c r="H39" i="70"/>
  <c r="H37" i="31"/>
  <c r="P38" i="31" s="1"/>
  <c r="P46" i="81"/>
  <c r="N47" i="81" s="1"/>
  <c r="A2" i="85"/>
  <c r="A1" i="85"/>
  <c r="A2" i="84"/>
  <c r="A1" i="84"/>
  <c r="J20" i="31"/>
  <c r="J21" i="31" s="1"/>
  <c r="J23" i="31" s="1"/>
  <c r="A1" i="55"/>
  <c r="A2" i="83"/>
  <c r="A1" i="83"/>
  <c r="C204" i="83" s="1"/>
  <c r="G163" i="85" s="1"/>
  <c r="A2" i="82"/>
  <c r="A1" i="82"/>
  <c r="C57" i="82" s="1"/>
  <c r="G236" i="85" s="1"/>
  <c r="A2" i="81"/>
  <c r="A1" i="81"/>
  <c r="C104" i="81" s="1"/>
  <c r="G156" i="85" s="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J29" i="31"/>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P54" i="81"/>
  <c r="K76" i="81"/>
  <c r="K108" i="81" s="1"/>
  <c r="K29" i="31" l="1"/>
  <c r="J53" i="82" s="1"/>
  <c r="C147" i="65"/>
  <c r="G220" i="85" s="1"/>
  <c r="C40" i="65"/>
  <c r="G215" i="85" s="1"/>
  <c r="C377" i="41"/>
  <c r="G211" i="85" s="1"/>
  <c r="C232" i="41"/>
  <c r="G207" i="85" s="1"/>
  <c r="C345" i="41"/>
  <c r="G210" i="85" s="1"/>
  <c r="C213" i="41"/>
  <c r="G206" i="85" s="1"/>
  <c r="C313" i="41"/>
  <c r="G209" i="85" s="1"/>
  <c r="C286" i="41"/>
  <c r="G208" i="85" s="1"/>
  <c r="C409" i="41"/>
  <c r="G212" i="85" s="1"/>
  <c r="C151" i="41"/>
  <c r="G201" i="85" s="1"/>
  <c r="C192" i="41"/>
  <c r="G204" i="85" s="1"/>
  <c r="C200" i="41"/>
  <c r="G205" i="85" s="1"/>
  <c r="C159" i="41"/>
  <c r="G202" i="85" s="1"/>
  <c r="C176" i="41"/>
  <c r="G203" i="85" s="1"/>
  <c r="C523" i="22"/>
  <c r="G123" i="85" s="1"/>
  <c r="C657" i="22"/>
  <c r="G124" i="85" s="1"/>
  <c r="C448" i="22"/>
  <c r="G121" i="85" s="1"/>
  <c r="C477" i="22"/>
  <c r="G122" i="85" s="1"/>
  <c r="C88" i="41"/>
  <c r="G200" i="85" s="1"/>
  <c r="C390" i="22"/>
  <c r="G119" i="85" s="1"/>
  <c r="C419" i="22"/>
  <c r="G120" i="85" s="1"/>
  <c r="C332" i="22"/>
  <c r="G117" i="85" s="1"/>
  <c r="C361" i="22"/>
  <c r="G118" i="85" s="1"/>
  <c r="C206" i="87"/>
  <c r="G95" i="85" s="1"/>
  <c r="C183" i="87"/>
  <c r="G93" i="85" s="1"/>
  <c r="C192" i="87"/>
  <c r="G94" i="85" s="1"/>
  <c r="C155" i="90"/>
  <c r="G88" i="85" s="1"/>
  <c r="AF162" i="65"/>
  <c r="AF67" i="105" s="1"/>
  <c r="AB162" i="65"/>
  <c r="AB67" i="105" s="1"/>
  <c r="AB108"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W108"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B105" i="105" s="1"/>
  <c r="AM159" i="65"/>
  <c r="AM64" i="105" s="1"/>
  <c r="AM105" i="105" s="1"/>
  <c r="AL159" i="65"/>
  <c r="AL64" i="105" s="1"/>
  <c r="AK168" i="65"/>
  <c r="AK73" i="105" s="1"/>
  <c r="AK115" i="105" s="1"/>
  <c r="W159" i="65"/>
  <c r="W64" i="105" s="1"/>
  <c r="W105"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AB109" i="105" s="1"/>
  <c r="Z163" i="65"/>
  <c r="Z68" i="105" s="1"/>
  <c r="W163" i="65"/>
  <c r="W68" i="105" s="1"/>
  <c r="W109"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N172" i="65"/>
  <c r="AN77" i="105" s="1"/>
  <c r="AH163" i="65"/>
  <c r="AH68" i="105" s="1"/>
  <c r="AJ163" i="65"/>
  <c r="AJ68" i="105" s="1"/>
  <c r="AI172" i="65"/>
  <c r="AI77" i="105" s="1"/>
  <c r="AH172" i="65"/>
  <c r="AH77" i="105" s="1"/>
  <c r="AL172" i="65"/>
  <c r="AL7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B106" i="105" s="1"/>
  <c r="AK160" i="65"/>
  <c r="AK65" i="105" s="1"/>
  <c r="AK106" i="105" s="1"/>
  <c r="W160" i="65"/>
  <c r="W65" i="105" s="1"/>
  <c r="W106"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B110" i="105" s="1"/>
  <c r="AK164" i="65"/>
  <c r="AK69" i="105" s="1"/>
  <c r="AK110" i="105" s="1"/>
  <c r="AN164" i="65"/>
  <c r="AN69" i="105" s="1"/>
  <c r="W164" i="65"/>
  <c r="W69" i="105" s="1"/>
  <c r="W110"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N173" i="65"/>
  <c r="AN78" i="105" s="1"/>
  <c r="AJ164" i="65"/>
  <c r="AJ69" i="105" s="1"/>
  <c r="AH164" i="65"/>
  <c r="AH69" i="105" s="1"/>
  <c r="AJ173" i="65"/>
  <c r="AJ78" i="105" s="1"/>
  <c r="AH173" i="65"/>
  <c r="AH78" i="105" s="1"/>
  <c r="AL173" i="65"/>
  <c r="AL78" i="105" s="1"/>
  <c r="AI161" i="65"/>
  <c r="AI66" i="105" s="1"/>
  <c r="W161" i="65"/>
  <c r="W66" i="105" s="1"/>
  <c r="W107" i="105" s="1"/>
  <c r="AE161" i="65"/>
  <c r="AE66" i="105" s="1"/>
  <c r="AM170" i="65"/>
  <c r="AM75" i="105" s="1"/>
  <c r="AM117" i="105" s="1"/>
  <c r="AA161" i="65"/>
  <c r="AA66" i="105" s="1"/>
  <c r="AM161" i="65"/>
  <c r="AM66" i="105" s="1"/>
  <c r="AM107" i="105" s="1"/>
  <c r="AB161" i="65"/>
  <c r="AB66" i="105" s="1"/>
  <c r="AB107"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B111" i="105" s="1"/>
  <c r="AK165" i="65"/>
  <c r="AK70" i="105" s="1"/>
  <c r="AK111" i="105" s="1"/>
  <c r="X165" i="65"/>
  <c r="X70" i="105" s="1"/>
  <c r="AF165" i="65"/>
  <c r="AF70" i="105" s="1"/>
  <c r="Z165" i="65"/>
  <c r="Z70" i="105" s="1"/>
  <c r="AO174" i="65"/>
  <c r="AO79" i="105" s="1"/>
  <c r="AO121" i="105" s="1"/>
  <c r="AD165" i="65"/>
  <c r="AD70" i="105" s="1"/>
  <c r="AN165" i="65"/>
  <c r="AN70" i="105" s="1"/>
  <c r="W165" i="65"/>
  <c r="W70" i="105" s="1"/>
  <c r="W111" i="105" s="1"/>
  <c r="AO165" i="65"/>
  <c r="AO70" i="105" s="1"/>
  <c r="AO111" i="105" s="1"/>
  <c r="Y165" i="65"/>
  <c r="Y70" i="105" s="1"/>
  <c r="AL165" i="65"/>
  <c r="AL70" i="105" s="1"/>
  <c r="AM174" i="65"/>
  <c r="AM79" i="105" s="1"/>
  <c r="AM121" i="105" s="1"/>
  <c r="AK174" i="65"/>
  <c r="AK79" i="105" s="1"/>
  <c r="AK121" i="105" s="1"/>
  <c r="C53" i="22"/>
  <c r="G115" i="85" s="1"/>
  <c r="C225" i="22"/>
  <c r="G116" i="85" s="1"/>
  <c r="C69" i="41"/>
  <c r="G199" i="85" s="1"/>
  <c r="C163" i="105"/>
  <c r="G229" i="85" s="1"/>
  <c r="C152" i="105"/>
  <c r="G228" i="85" s="1"/>
  <c r="C52" i="105"/>
  <c r="G222" i="85" s="1"/>
  <c r="H172" i="53"/>
  <c r="H156" i="53"/>
  <c r="Q209" i="53" s="1"/>
  <c r="Q257" i="53" s="1"/>
  <c r="H116" i="53"/>
  <c r="H108" i="53"/>
  <c r="Q179" i="53" s="1"/>
  <c r="Q251" i="53" s="1"/>
  <c r="H148" i="53"/>
  <c r="Q204" i="53" s="1"/>
  <c r="Q256" i="53" s="1"/>
  <c r="K53" i="82"/>
  <c r="M53" i="82"/>
  <c r="H45" i="80"/>
  <c r="H51" i="80"/>
  <c r="P77" i="31"/>
  <c r="P65" i="31"/>
  <c r="O45" i="70"/>
  <c r="N45" i="70"/>
  <c r="M45" i="70"/>
  <c r="L45" i="70"/>
  <c r="K45" i="70"/>
  <c r="J45" i="70"/>
  <c r="Q45" i="70"/>
  <c r="P45" i="70"/>
  <c r="C107" i="65"/>
  <c r="G218" i="85" s="1"/>
  <c r="C118" i="65"/>
  <c r="G219" i="85" s="1"/>
  <c r="A3" i="112"/>
  <c r="R54" i="112"/>
  <c r="O47" i="81"/>
  <c r="C52" i="65"/>
  <c r="G216" i="85" s="1"/>
  <c r="C92" i="65"/>
  <c r="G217" i="85" s="1"/>
  <c r="C151" i="90"/>
  <c r="G87" i="85" s="1"/>
  <c r="M47" i="81"/>
  <c r="P47" i="81"/>
  <c r="O38" i="31"/>
  <c r="S127" i="31"/>
  <c r="C65" i="53"/>
  <c r="G130" i="85" s="1"/>
  <c r="C265" i="53"/>
  <c r="G135" i="85" s="1"/>
  <c r="C13" i="87"/>
  <c r="G90" i="85" s="1"/>
  <c r="C36" i="53"/>
  <c r="G127" i="85" s="1"/>
  <c r="H107" i="53"/>
  <c r="Q178" i="53" s="1"/>
  <c r="Q240" i="53" s="1"/>
  <c r="H123" i="53"/>
  <c r="Q188" i="53" s="1"/>
  <c r="Q242" i="53" s="1"/>
  <c r="H90" i="81"/>
  <c r="H122" i="81" s="1"/>
  <c r="H20" i="76" s="1"/>
  <c r="P76" i="31"/>
  <c r="M38" i="31"/>
  <c r="M65" i="31" s="1"/>
  <c r="H131" i="53"/>
  <c r="Q193" i="53" s="1"/>
  <c r="Q243" i="53" s="1"/>
  <c r="P72" i="31"/>
  <c r="N31" i="81"/>
  <c r="P28" i="31"/>
  <c r="P29" i="31" s="1"/>
  <c r="N38" i="31"/>
  <c r="H46" i="80"/>
  <c r="L31" i="81"/>
  <c r="H139" i="53"/>
  <c r="Q198" i="53" s="1"/>
  <c r="Q244" i="53" s="1"/>
  <c r="R31" i="81"/>
  <c r="H52" i="80"/>
  <c r="S131" i="31"/>
  <c r="O31" i="81"/>
  <c r="H49" i="80"/>
  <c r="N53"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Q219" i="53"/>
  <c r="Q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Q184" i="53"/>
  <c r="Q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M31" i="81"/>
  <c r="H124" i="53"/>
  <c r="Q189" i="53" s="1"/>
  <c r="Q253" i="53" s="1"/>
  <c r="P79" i="31"/>
  <c r="Q67"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K65" i="31"/>
  <c r="J80" i="31"/>
  <c r="R70" i="31"/>
  <c r="R131" i="31" s="1"/>
  <c r="H190" i="90"/>
  <c r="H192" i="90"/>
  <c r="H53" i="86"/>
  <c r="H193" i="90"/>
  <c r="H194" i="90"/>
  <c r="A3" i="80"/>
  <c r="S134" i="31"/>
  <c r="H53" i="80"/>
  <c r="S31" i="81"/>
  <c r="S133" i="31"/>
  <c r="H48" i="80"/>
  <c r="H47" i="80"/>
  <c r="L53" i="82"/>
  <c r="H112" i="89"/>
  <c r="H111" i="89"/>
  <c r="Q31" i="81"/>
  <c r="K31" i="8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M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1"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95" i="89"/>
  <c r="G104" i="85" s="1"/>
  <c r="C31" i="86"/>
  <c r="G98" i="85" s="1"/>
  <c r="C38" i="23"/>
  <c r="G113" i="85" s="1"/>
  <c r="C37" i="76"/>
  <c r="G166" i="85" s="1"/>
  <c r="C138" i="105"/>
  <c r="G226" i="85" s="1"/>
  <c r="C15" i="41"/>
  <c r="G198" i="85" s="1"/>
  <c r="C17" i="76"/>
  <c r="G164" i="85" s="1"/>
  <c r="C13" i="89"/>
  <c r="G100" i="85" s="1"/>
  <c r="C35" i="89"/>
  <c r="G102" i="85" s="1"/>
  <c r="C99" i="89"/>
  <c r="G105" i="85" s="1"/>
  <c r="C92" i="105"/>
  <c r="G224" i="85" s="1"/>
  <c r="C13" i="86"/>
  <c r="G96" i="85" s="1"/>
  <c r="C25" i="89"/>
  <c r="G101" i="85" s="1"/>
  <c r="C35" i="86"/>
  <c r="G99" i="85" s="1"/>
  <c r="C16" i="65"/>
  <c r="G213" i="85" s="1"/>
  <c r="G214" i="85"/>
  <c r="C18" i="87"/>
  <c r="G91" i="85" s="1"/>
  <c r="C144" i="105"/>
  <c r="G227" i="85" s="1"/>
  <c r="C13" i="90"/>
  <c r="G80" i="85" s="1"/>
  <c r="C20" i="90"/>
  <c r="G81" i="85" s="1"/>
  <c r="C99"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G233" i="85" s="1"/>
  <c r="C67" i="82"/>
  <c r="G237" i="85" s="1"/>
  <c r="C27" i="82"/>
  <c r="G234" i="85" s="1"/>
  <c r="C13" i="83"/>
  <c r="G159" i="85" s="1"/>
  <c r="C118" i="83"/>
  <c r="G160" i="85" s="1"/>
  <c r="C175" i="83"/>
  <c r="G162" i="85" s="1"/>
  <c r="C33" i="90"/>
  <c r="G82" i="85" s="1"/>
  <c r="C84" i="90"/>
  <c r="G84" i="85" s="1"/>
  <c r="C141" i="90"/>
  <c r="G86" i="85" s="1"/>
  <c r="C13" i="105"/>
  <c r="G221" i="85" s="1"/>
  <c r="C81" i="105"/>
  <c r="G223" i="85" s="1"/>
  <c r="C124" i="105"/>
  <c r="G225" i="85" s="1"/>
  <c r="C178" i="105"/>
  <c r="G230" i="85" s="1"/>
  <c r="C43"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62" i="81"/>
  <c r="G152" i="85" s="1"/>
  <c r="C80" i="81"/>
  <c r="G154" i="85" s="1"/>
  <c r="C45" i="82"/>
  <c r="G235" i="85" s="1"/>
  <c r="C146" i="83"/>
  <c r="G161" i="85" s="1"/>
  <c r="H35" i="72" l="1" a="1"/>
  <c r="H39" i="72" s="1"/>
  <c r="M114" i="31"/>
  <c r="AL111" i="105"/>
  <c r="AN111" i="105"/>
  <c r="AF111" i="105"/>
  <c r="AC111" i="105"/>
  <c r="AN107" i="105"/>
  <c r="AC107" i="105"/>
  <c r="AE107" i="105"/>
  <c r="X110" i="105"/>
  <c r="AL110" i="105"/>
  <c r="AI106" i="105"/>
  <c r="X106" i="105"/>
  <c r="AL106" i="105"/>
  <c r="AI109" i="105"/>
  <c r="X109" i="105"/>
  <c r="AA109" i="105"/>
  <c r="AC109" i="105"/>
  <c r="Z105" i="105"/>
  <c r="W112" i="105"/>
  <c r="AB112" i="105"/>
  <c r="AC105" i="105"/>
  <c r="AI108" i="105"/>
  <c r="Z108" i="105"/>
  <c r="Y111" i="105"/>
  <c r="AD111" i="105"/>
  <c r="X111" i="105"/>
  <c r="AA111" i="105"/>
  <c r="AF107" i="105"/>
  <c r="Y110" i="105"/>
  <c r="AI110" i="105"/>
  <c r="AE110" i="105"/>
  <c r="AN106" i="105"/>
  <c r="Y106" i="105"/>
  <c r="AE106" i="105"/>
  <c r="AF109" i="105"/>
  <c r="AD109" i="105"/>
  <c r="AN105" i="105"/>
  <c r="AD105" i="105"/>
  <c r="AK112" i="105"/>
  <c r="AL108" i="105"/>
  <c r="AD108" i="105"/>
  <c r="AC108" i="105"/>
  <c r="AF108" i="105"/>
  <c r="Z107" i="105"/>
  <c r="X107" i="105"/>
  <c r="AD107" i="105"/>
  <c r="AA107" i="105"/>
  <c r="AI107" i="105"/>
  <c r="AN110" i="105"/>
  <c r="AA110" i="105"/>
  <c r="Z110" i="105"/>
  <c r="AA106" i="105"/>
  <c r="Z106" i="105"/>
  <c r="AE109" i="105"/>
  <c r="Z109" i="105"/>
  <c r="AE105" i="105"/>
  <c r="AL105" i="105"/>
  <c r="AO112" i="105"/>
  <c r="Y108" i="105"/>
  <c r="X108" i="105"/>
  <c r="Z111" i="105"/>
  <c r="AL107" i="105"/>
  <c r="Y107" i="105"/>
  <c r="AF110" i="105"/>
  <c r="AC110" i="105"/>
  <c r="AD110" i="105"/>
  <c r="AF106" i="105"/>
  <c r="AC106" i="105"/>
  <c r="AD106" i="105"/>
  <c r="AN109" i="105"/>
  <c r="AL109" i="105"/>
  <c r="Y109" i="105"/>
  <c r="X105" i="105"/>
  <c r="AF105" i="105"/>
  <c r="Y105" i="105"/>
  <c r="AA108" i="105"/>
  <c r="AE108" i="105"/>
  <c r="AN108" i="105"/>
  <c r="AJ120" i="105"/>
  <c r="AI120" i="105"/>
  <c r="AL119" i="105"/>
  <c r="AH109" i="105"/>
  <c r="AH110" i="105"/>
  <c r="AH119" i="105"/>
  <c r="AN119" i="105"/>
  <c r="AL120" i="105"/>
  <c r="AJ110" i="105"/>
  <c r="AI119" i="105"/>
  <c r="AJ119" i="105"/>
  <c r="AH120" i="105"/>
  <c r="AN120" i="105"/>
  <c r="AJ109" i="105"/>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3"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Q54" i="112"/>
  <c r="M54" i="112"/>
  <c r="V54" i="112"/>
  <c r="T54" i="112"/>
  <c r="S54" i="112"/>
  <c r="K54" i="112"/>
  <c r="W54" i="112"/>
  <c r="U54" i="112"/>
  <c r="H196" i="90"/>
  <c r="A4" i="90" s="1"/>
  <c r="P31" i="81"/>
  <c r="H56" i="86"/>
  <c r="A4" i="86" s="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R218" i="53"/>
  <c r="S218" i="53"/>
  <c r="R199" i="53"/>
  <c r="S199" i="53"/>
  <c r="S189" i="53"/>
  <c r="R189" i="53"/>
  <c r="S183" i="53"/>
  <c r="R183" i="53"/>
  <c r="S213" i="53"/>
  <c r="S247" i="53" s="1"/>
  <c r="R213" i="53"/>
  <c r="R247" i="53" s="1"/>
  <c r="R214" i="53"/>
  <c r="R258" i="53" s="1"/>
  <c r="S214" i="53"/>
  <c r="S258" i="53" s="1"/>
  <c r="R203" i="53"/>
  <c r="S203" i="53"/>
  <c r="S208" i="53"/>
  <c r="R208" i="53"/>
  <c r="S194" i="53"/>
  <c r="R194"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H44" i="72" l="1"/>
  <c r="H42" i="72"/>
  <c r="H43" i="72"/>
  <c r="H38" i="72"/>
  <c r="H41" i="72"/>
  <c r="H35" i="72"/>
  <c r="H36" i="72"/>
  <c r="H40" i="72"/>
  <c r="H37" i="72"/>
  <c r="Y112" i="105"/>
  <c r="AF112" i="105"/>
  <c r="AL112" i="105"/>
  <c r="X112" i="105"/>
  <c r="AN112" i="105"/>
  <c r="AC112" i="105"/>
  <c r="AD112"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L340" i="22"/>
  <c r="L456" i="22"/>
  <c r="L427" i="22"/>
  <c r="L398" i="22"/>
  <c r="L369" i="22"/>
  <c r="Q377" i="22"/>
  <c r="K350" i="22"/>
  <c r="P341" i="22"/>
  <c r="P457" i="22"/>
  <c r="P399" i="22"/>
  <c r="P428" i="22"/>
  <c r="P370" i="22"/>
  <c r="P340" i="22"/>
  <c r="P456" i="22"/>
  <c r="P427" i="22"/>
  <c r="P398" i="22"/>
  <c r="P369" i="22"/>
  <c r="O339" i="22"/>
  <c r="O455" i="22"/>
  <c r="O426" i="22"/>
  <c r="O397" i="22"/>
  <c r="O368" i="22"/>
  <c r="O338" i="22"/>
  <c r="O454" i="22"/>
  <c r="O425" i="22"/>
  <c r="O396" i="22"/>
  <c r="O367" i="22"/>
  <c r="J369" i="22"/>
  <c r="Q369" i="22"/>
  <c r="Q368" i="22"/>
  <c r="L348" i="22"/>
  <c r="L464" i="22"/>
  <c r="L435" i="22"/>
  <c r="L377" i="22"/>
  <c r="L406" i="22"/>
  <c r="K340" i="22"/>
  <c r="L339" i="22"/>
  <c r="L455" i="22"/>
  <c r="L426" i="22"/>
  <c r="L397" i="22"/>
  <c r="L368" i="22"/>
  <c r="Q378" i="22"/>
  <c r="M340" i="22"/>
  <c r="M358" i="22" s="1"/>
  <c r="O335" i="22"/>
  <c r="O451" i="22"/>
  <c r="O422" i="22"/>
  <c r="O393" i="22"/>
  <c r="O364" i="22"/>
  <c r="O336" i="22"/>
  <c r="O452" i="22"/>
  <c r="O423" i="22"/>
  <c r="O394" i="22"/>
  <c r="O365" i="22"/>
  <c r="L349" i="22"/>
  <c r="L465" i="22"/>
  <c r="L436" i="22"/>
  <c r="L378" i="22"/>
  <c r="L407" i="22"/>
  <c r="Q379" i="22"/>
  <c r="M341" i="22"/>
  <c r="P339" i="22"/>
  <c r="P455" i="22"/>
  <c r="P426" i="22"/>
  <c r="P397" i="22"/>
  <c r="P368" i="22"/>
  <c r="P338" i="22"/>
  <c r="P454" i="22"/>
  <c r="P396" i="22"/>
  <c r="P425" i="22"/>
  <c r="P367" i="22"/>
  <c r="O341" i="22"/>
  <c r="O457" i="22"/>
  <c r="O428" i="22"/>
  <c r="O399" i="22"/>
  <c r="O370" i="22"/>
  <c r="J370" i="22"/>
  <c r="L350" i="22"/>
  <c r="L466" i="22"/>
  <c r="L437" i="22"/>
  <c r="L379" i="22"/>
  <c r="L408" i="22"/>
  <c r="K341" i="22"/>
  <c r="P335" i="22"/>
  <c r="P451" i="22"/>
  <c r="P422" i="22"/>
  <c r="P393" i="22"/>
  <c r="P364" i="22"/>
  <c r="J379" i="22"/>
  <c r="J377" i="22"/>
  <c r="L341" i="22"/>
  <c r="L457" i="22"/>
  <c r="L428" i="22"/>
  <c r="L399" i="22"/>
  <c r="L417" i="22" s="1"/>
  <c r="L370" i="22"/>
  <c r="M350" i="22"/>
  <c r="M348" i="22"/>
  <c r="K349" i="22"/>
  <c r="P337" i="22"/>
  <c r="P453" i="22"/>
  <c r="P424" i="22"/>
  <c r="P395" i="22"/>
  <c r="P366" i="22"/>
  <c r="O340" i="22"/>
  <c r="O456" i="22"/>
  <c r="O427" i="22"/>
  <c r="O398" i="22"/>
  <c r="O369" i="22"/>
  <c r="O337" i="22"/>
  <c r="O453" i="22"/>
  <c r="O424" i="22"/>
  <c r="O395" i="22"/>
  <c r="O366" i="22"/>
  <c r="J368" i="22"/>
  <c r="Q370" i="22"/>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J36" i="55"/>
  <c r="R254" i="53"/>
  <c r="R253" i="53"/>
  <c r="S254" i="53"/>
  <c r="S245" i="53"/>
  <c r="S253" i="53"/>
  <c r="S248" i="53"/>
  <c r="R246" i="53"/>
  <c r="R245" i="53"/>
  <c r="R241" i="53"/>
  <c r="S255" i="53"/>
  <c r="R248" i="53"/>
  <c r="S246" i="53"/>
  <c r="S241" i="53"/>
  <c r="R255" i="53"/>
  <c r="L21" i="31"/>
  <c r="L23" i="31" s="1"/>
  <c r="M20" i="31"/>
  <c r="K295" i="22"/>
  <c r="M284" i="22"/>
  <c r="M307" i="22"/>
  <c r="L295" i="22"/>
  <c r="Q296" i="22"/>
  <c r="Q285" i="22"/>
  <c r="P236" i="22"/>
  <c r="O295" i="22"/>
  <c r="O284" i="22"/>
  <c r="J284" i="22"/>
  <c r="J296" i="22"/>
  <c r="Q306" i="22"/>
  <c r="K307" i="22"/>
  <c r="K306" i="22"/>
  <c r="M295" i="22"/>
  <c r="M285" i="22"/>
  <c r="L307" i="22"/>
  <c r="P306" i="22"/>
  <c r="P284" i="22"/>
  <c r="O236" i="22"/>
  <c r="O273" i="22"/>
  <c r="J306" i="22"/>
  <c r="Q295" i="22"/>
  <c r="K296" i="22"/>
  <c r="K284" i="22"/>
  <c r="L306" i="22"/>
  <c r="L296" i="22"/>
  <c r="P247" i="22"/>
  <c r="P295" i="22"/>
  <c r="O258" i="22"/>
  <c r="O247" i="22"/>
  <c r="J307" i="22"/>
  <c r="Q284" i="22"/>
  <c r="K285" i="22"/>
  <c r="M306" i="22"/>
  <c r="M296" i="22"/>
  <c r="L284" i="22"/>
  <c r="Q307" i="22"/>
  <c r="L285" i="22"/>
  <c r="P258" i="22"/>
  <c r="P273" i="22"/>
  <c r="O306" i="22"/>
  <c r="J295" i="22"/>
  <c r="J285" i="22"/>
  <c r="J34" i="55"/>
  <c r="H70" i="23" a="1"/>
  <c r="H70" i="23" s="1"/>
  <c r="A4" i="23" s="1"/>
  <c r="A4" i="70"/>
  <c r="J38" i="55"/>
  <c r="L473" i="22" l="1"/>
  <c r="L509" i="22" s="1"/>
  <c r="P57" i="41" s="1"/>
  <c r="L357" i="22"/>
  <c r="L444" i="22"/>
  <c r="L508" i="22" s="1"/>
  <c r="O57" i="41" s="1"/>
  <c r="L505" i="22"/>
  <c r="L57" i="41" s="1"/>
  <c r="K359" i="22"/>
  <c r="L519" i="22"/>
  <c r="N59" i="41" s="1"/>
  <c r="M511" i="22"/>
  <c r="Q58" i="41" s="1"/>
  <c r="J386" i="22"/>
  <c r="J506" i="22" s="1"/>
  <c r="J57" i="41" s="1"/>
  <c r="L359" i="22"/>
  <c r="L475" i="22"/>
  <c r="L386" i="22"/>
  <c r="L506" i="22" s="1"/>
  <c r="M57" i="41" s="1"/>
  <c r="Q388" i="22"/>
  <c r="Q386" i="22"/>
  <c r="Q506" i="22" s="1"/>
  <c r="AG57" i="41" s="1"/>
  <c r="L445" i="22"/>
  <c r="L388" i="22"/>
  <c r="L474" i="22"/>
  <c r="M357"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K357" i="22"/>
  <c r="L415" i="22"/>
  <c r="L507" i="22" s="1"/>
  <c r="N57" i="41" s="1"/>
  <c r="Q387" i="22"/>
  <c r="J388" i="22"/>
  <c r="M359" i="22"/>
  <c r="L387" i="22"/>
  <c r="L358" i="22"/>
  <c r="L446" i="22"/>
  <c r="K358" i="22"/>
  <c r="J387" i="22"/>
  <c r="L416" i="22"/>
  <c r="N40" i="81"/>
  <c r="N48" i="81" s="1"/>
  <c r="N55" i="81" s="1"/>
  <c r="N56" i="81" s="1"/>
  <c r="N114" i="81" s="1"/>
  <c r="S55" i="81"/>
  <c r="S56" i="81" s="1"/>
  <c r="S114" i="81" s="1"/>
  <c r="M40" i="81"/>
  <c r="M48" i="81" s="1"/>
  <c r="M55" i="81" s="1"/>
  <c r="M56" i="81" s="1"/>
  <c r="M114"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L56" i="81" s="1"/>
  <c r="L114"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K286" i="22"/>
  <c r="K188" i="80" s="1"/>
  <c r="Q286" i="22"/>
  <c r="Q188" i="80" s="1"/>
  <c r="K308" i="22"/>
  <c r="L286" i="22"/>
  <c r="M21" i="31"/>
  <c r="N20" i="31"/>
  <c r="J308" i="22"/>
  <c r="J297" i="22"/>
  <c r="Q308" i="22"/>
  <c r="M308" i="22"/>
  <c r="L308" i="22"/>
  <c r="M297" i="22"/>
  <c r="J286" i="22"/>
  <c r="L297" i="22"/>
  <c r="M286" i="22"/>
  <c r="K297" i="22"/>
  <c r="Q297" i="22"/>
  <c r="J40" i="55"/>
  <c r="K505" i="22" l="1"/>
  <c r="K57" i="41" s="1"/>
  <c r="M505" i="22"/>
  <c r="Q57" i="41" s="1"/>
  <c r="K511" i="22"/>
  <c r="K58" i="41" s="1"/>
  <c r="L520" i="22"/>
  <c r="O59" i="41" s="1"/>
  <c r="L512" i="22"/>
  <c r="M58" i="41" s="1"/>
  <c r="Q512" i="22"/>
  <c r="AG58" i="41" s="1"/>
  <c r="L515" i="22"/>
  <c r="P58" i="41" s="1"/>
  <c r="L518" i="22"/>
  <c r="M59" i="41" s="1"/>
  <c r="L521" i="22"/>
  <c r="P59" i="41" s="1"/>
  <c r="J518" i="22"/>
  <c r="J59" i="41" s="1"/>
  <c r="L514" i="22"/>
  <c r="O58" i="41" s="1"/>
  <c r="Q518" i="22"/>
  <c r="AG59" i="41" s="1"/>
  <c r="L513" i="22"/>
  <c r="N58" i="41" s="1"/>
  <c r="J512" i="22"/>
  <c r="J58" i="41" s="1"/>
  <c r="L511" i="22"/>
  <c r="L58" i="41" s="1"/>
  <c r="M517" i="22"/>
  <c r="Q59" i="41" s="1"/>
  <c r="L517" i="22"/>
  <c r="L59" i="41" s="1"/>
  <c r="K517" i="22"/>
  <c r="K59" i="41" s="1"/>
  <c r="N129" i="81"/>
  <c r="L145" i="31"/>
  <c r="P55" i="81"/>
  <c r="P56" i="81" s="1"/>
  <c r="P114" i="81" s="1"/>
  <c r="M158" i="31"/>
  <c r="O145" i="31"/>
  <c r="L177" i="3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L174" i="31"/>
  <c r="L155" i="31"/>
  <c r="M174" i="31"/>
  <c r="Q55" i="81"/>
  <c r="Q56" i="81" s="1"/>
  <c r="Q114" i="81" s="1"/>
  <c r="R174" i="31"/>
  <c r="N155" i="31"/>
  <c r="Q155" i="31"/>
  <c r="J157" i="31"/>
  <c r="S174" i="31"/>
  <c r="O176" i="31"/>
  <c r="K157" i="31"/>
  <c r="Q157" i="31"/>
  <c r="J176" i="31"/>
  <c r="M155" i="31"/>
  <c r="J155" i="31"/>
  <c r="N157" i="31"/>
  <c r="L157" i="31"/>
  <c r="M148" i="31"/>
  <c r="O55" i="81"/>
  <c r="O56" i="81" s="1"/>
  <c r="O114" i="81" s="1"/>
  <c r="N174" i="31"/>
  <c r="K174" i="31"/>
  <c r="P174" i="31"/>
  <c r="R176" i="31"/>
  <c r="S176" i="31"/>
  <c r="P155" i="31"/>
  <c r="R155" i="31"/>
  <c r="K155" i="31"/>
  <c r="S155" i="31"/>
  <c r="R157" i="31"/>
  <c r="O157" i="31"/>
  <c r="R148" i="31"/>
  <c r="Q174" i="31"/>
  <c r="M176" i="31"/>
  <c r="Q147" i="31"/>
  <c r="R55" i="81"/>
  <c r="R56" i="81" s="1"/>
  <c r="R114" i="81" s="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K175" i="31"/>
  <c r="O153" i="31"/>
  <c r="L153" i="31"/>
  <c r="R153" i="31"/>
  <c r="Q153" i="31"/>
  <c r="N153" i="31"/>
  <c r="M153" i="31"/>
  <c r="J153" i="31"/>
  <c r="S153" i="31"/>
  <c r="Q154" i="31"/>
  <c r="L154" i="31"/>
  <c r="L188" i="80"/>
  <c r="H129" i="81"/>
  <c r="N21" i="31"/>
  <c r="N23" i="31" s="1"/>
  <c r="O20" i="31"/>
  <c r="M23" i="31"/>
  <c r="P22" i="31"/>
  <c r="P23" i="31" s="1"/>
  <c r="L189" i="80"/>
  <c r="J189" i="80"/>
  <c r="Q189" i="80"/>
  <c r="Q191" i="80" s="1"/>
  <c r="Q192" i="80" s="1"/>
  <c r="K189" i="80"/>
  <c r="K191" i="80" s="1"/>
  <c r="K192" i="80" s="1"/>
  <c r="J188" i="80"/>
  <c r="M189" i="80"/>
  <c r="M188" i="80"/>
  <c r="R93" i="72" l="1" a="1"/>
  <c r="H53" i="73" a="1"/>
  <c r="H53" i="73" s="1"/>
  <c r="J80" i="73" a="1"/>
  <c r="J55" i="83" a="1"/>
  <c r="H20" i="83" a="1"/>
  <c r="J34" i="80" a="1"/>
  <c r="H51" i="72" a="1"/>
  <c r="L191" i="80"/>
  <c r="L192" i="80" s="1"/>
  <c r="P20" i="31"/>
  <c r="O21" i="31"/>
  <c r="O23" i="31" s="1"/>
  <c r="K255" i="80"/>
  <c r="K258" i="80"/>
  <c r="K252" i="80"/>
  <c r="K259" i="80"/>
  <c r="K257" i="80"/>
  <c r="K253" i="80"/>
  <c r="K256" i="80"/>
  <c r="K254" i="80"/>
  <c r="M191" i="80"/>
  <c r="M192" i="80" s="1"/>
  <c r="J191" i="80"/>
  <c r="J192" i="80" s="1"/>
  <c r="S93" i="72" l="1"/>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H58" i="73"/>
  <c r="H55" i="73"/>
  <c r="H57" i="73"/>
  <c r="H60" i="73"/>
  <c r="H54" i="73"/>
  <c r="H59" i="73"/>
  <c r="H56" i="73"/>
  <c r="J34" i="80"/>
  <c r="U34" i="80"/>
  <c r="U35" i="80"/>
  <c r="U36" i="80"/>
  <c r="U37" i="80"/>
  <c r="U38" i="80"/>
  <c r="U39" i="80"/>
  <c r="U40" i="80"/>
  <c r="U41" i="80"/>
  <c r="U42" i="80"/>
  <c r="Y34" i="80"/>
  <c r="Y35" i="80"/>
  <c r="Y36" i="80"/>
  <c r="Y37" i="80"/>
  <c r="Y38" i="80"/>
  <c r="Y39" i="80"/>
  <c r="Y40" i="80"/>
  <c r="Y41" i="80"/>
  <c r="Y42" i="80"/>
  <c r="M34" i="80"/>
  <c r="M35" i="80"/>
  <c r="M36" i="80"/>
  <c r="M37" i="80"/>
  <c r="M38" i="80"/>
  <c r="M39" i="80"/>
  <c r="M40" i="80"/>
  <c r="M41" i="80"/>
  <c r="M42" i="80"/>
  <c r="M202" i="80" s="1"/>
  <c r="M206" i="80" s="1"/>
  <c r="Q34" i="80"/>
  <c r="Q35" i="80"/>
  <c r="Q36" i="80"/>
  <c r="Q37" i="80"/>
  <c r="Q38" i="80"/>
  <c r="Q39" i="80"/>
  <c r="Q40" i="80"/>
  <c r="Q41" i="80"/>
  <c r="Q42" i="80"/>
  <c r="T42" i="80"/>
  <c r="T41" i="80"/>
  <c r="T40" i="80"/>
  <c r="T39" i="80"/>
  <c r="T38" i="80"/>
  <c r="T37" i="80"/>
  <c r="T36" i="80"/>
  <c r="T35" i="80"/>
  <c r="T34" i="80"/>
  <c r="S42" i="80"/>
  <c r="S204" i="80" s="1"/>
  <c r="S41" i="80"/>
  <c r="S40" i="80"/>
  <c r="S39" i="80"/>
  <c r="S38" i="80"/>
  <c r="S37" i="80"/>
  <c r="S36" i="80"/>
  <c r="P42" i="80"/>
  <c r="P41" i="80"/>
  <c r="P40" i="80"/>
  <c r="P39" i="80"/>
  <c r="P38" i="80"/>
  <c r="P37" i="80"/>
  <c r="L41" i="80"/>
  <c r="L39" i="80"/>
  <c r="L37" i="80"/>
  <c r="X35" i="80"/>
  <c r="P34" i="80"/>
  <c r="K42" i="80"/>
  <c r="K202" i="80" s="1"/>
  <c r="K206" i="80" s="1"/>
  <c r="W40" i="80"/>
  <c r="O39" i="80"/>
  <c r="K38" i="80"/>
  <c r="W36" i="80"/>
  <c r="S35" i="80"/>
  <c r="S34" i="80"/>
  <c r="R42" i="80"/>
  <c r="R202" i="80" s="1"/>
  <c r="R41" i="80"/>
  <c r="R40" i="80"/>
  <c r="R39" i="80"/>
  <c r="R38" i="80"/>
  <c r="R37" i="80"/>
  <c r="R36" i="80"/>
  <c r="R35" i="80"/>
  <c r="R34" i="80"/>
  <c r="X42" i="80"/>
  <c r="X204" i="80" s="1"/>
  <c r="X40" i="80"/>
  <c r="X38" i="80"/>
  <c r="X36" i="80"/>
  <c r="P35" i="80"/>
  <c r="L34" i="80"/>
  <c r="W41" i="80"/>
  <c r="O40" i="80"/>
  <c r="K39" i="80"/>
  <c r="W37" i="80"/>
  <c r="O36" i="80"/>
  <c r="O35" i="80"/>
  <c r="O34" i="80"/>
  <c r="N42" i="80"/>
  <c r="N41" i="80"/>
  <c r="N40" i="80"/>
  <c r="N39" i="80"/>
  <c r="N38" i="80"/>
  <c r="N37" i="80"/>
  <c r="N36" i="80"/>
  <c r="N35" i="80"/>
  <c r="N34" i="80"/>
  <c r="X39" i="80"/>
  <c r="X37" i="80"/>
  <c r="X34" i="80"/>
  <c r="O42" i="80"/>
  <c r="W39" i="80"/>
  <c r="K37" i="80"/>
  <c r="W34" i="80"/>
  <c r="V41" i="80"/>
  <c r="V39" i="80"/>
  <c r="L42" i="80"/>
  <c r="L40" i="80"/>
  <c r="L38" i="80"/>
  <c r="P36" i="80"/>
  <c r="L35" i="80"/>
  <c r="W42" i="80"/>
  <c r="O41" i="80"/>
  <c r="K40" i="80"/>
  <c r="W38" i="80"/>
  <c r="O37" i="80"/>
  <c r="K36" i="80"/>
  <c r="K35" i="80"/>
  <c r="K34" i="80"/>
  <c r="J42" i="80"/>
  <c r="J202" i="80" s="1"/>
  <c r="J41" i="80"/>
  <c r="J40" i="80"/>
  <c r="J39" i="80"/>
  <c r="J38" i="80"/>
  <c r="J37" i="80"/>
  <c r="J36" i="80"/>
  <c r="J35" i="80"/>
  <c r="X41" i="80"/>
  <c r="L36" i="80"/>
  <c r="K41" i="80"/>
  <c r="O38" i="80"/>
  <c r="W35" i="80"/>
  <c r="V42" i="80"/>
  <c r="V40" i="80"/>
  <c r="V38" i="80"/>
  <c r="V37" i="80"/>
  <c r="V36" i="80"/>
  <c r="V34" i="80"/>
  <c r="V35" i="80"/>
  <c r="H20" i="83"/>
  <c r="H23" i="83"/>
  <c r="H27" i="83"/>
  <c r="H26" i="83"/>
  <c r="H24" i="83"/>
  <c r="H22" i="83"/>
  <c r="H25" i="83"/>
  <c r="H21" i="83"/>
  <c r="J55" i="83"/>
  <c r="M55" i="83"/>
  <c r="M56" i="83"/>
  <c r="M57" i="83"/>
  <c r="M58" i="83"/>
  <c r="M59" i="83"/>
  <c r="M60" i="83"/>
  <c r="M61" i="83"/>
  <c r="M62" i="83"/>
  <c r="M63" i="83"/>
  <c r="M64" i="83"/>
  <c r="Q55" i="83"/>
  <c r="Q123" i="83" s="1"/>
  <c r="Q56" i="83"/>
  <c r="Q124" i="83" s="1"/>
  <c r="Q57" i="83"/>
  <c r="Q58" i="83"/>
  <c r="Q59" i="83"/>
  <c r="Q60" i="83"/>
  <c r="Q61" i="83"/>
  <c r="Q62" i="83"/>
  <c r="Q63" i="83"/>
  <c r="Q64" i="83"/>
  <c r="U55" i="83"/>
  <c r="U56" i="83"/>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W64" i="83"/>
  <c r="W62" i="83"/>
  <c r="W60" i="83"/>
  <c r="W58" i="83"/>
  <c r="W56" i="83"/>
  <c r="V64" i="83"/>
  <c r="V132" i="83" s="1"/>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W63" i="83"/>
  <c r="W61" i="83"/>
  <c r="W59" i="83"/>
  <c r="W57" i="83"/>
  <c r="W55" i="83"/>
  <c r="V63" i="83"/>
  <c r="V61" i="83"/>
  <c r="V59" i="83"/>
  <c r="V57" i="83"/>
  <c r="V55" i="83"/>
  <c r="V123" i="83" s="1"/>
  <c r="T61" i="83"/>
  <c r="T57" i="83"/>
  <c r="S63" i="83"/>
  <c r="S59" i="83"/>
  <c r="S55" i="83"/>
  <c r="S123" i="83" s="1"/>
  <c r="R61" i="83"/>
  <c r="R57" i="83"/>
  <c r="H51" i="72"/>
  <c r="H54" i="72"/>
  <c r="H58" i="72"/>
  <c r="H52" i="72"/>
  <c r="H57" i="72"/>
  <c r="H55" i="72"/>
  <c r="V164" i="72" s="1"/>
  <c r="V199" i="72" s="1"/>
  <c r="V229" i="72" s="1"/>
  <c r="H53" i="72"/>
  <c r="H56" i="72"/>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Q202" i="80"/>
  <c r="Q20" i="31"/>
  <c r="P21" i="31"/>
  <c r="M255" i="80"/>
  <c r="M259" i="80"/>
  <c r="M258" i="80"/>
  <c r="M257" i="80"/>
  <c r="M253" i="80"/>
  <c r="M254" i="80"/>
  <c r="M252" i="80"/>
  <c r="M256" i="80"/>
  <c r="S74" i="74"/>
  <c r="S78" i="74"/>
  <c r="S77" i="74"/>
  <c r="S73" i="74"/>
  <c r="S76" i="74"/>
  <c r="S75" i="74"/>
  <c r="S72" i="74"/>
  <c r="X127" i="83" l="1"/>
  <c r="R127" i="83"/>
  <c r="X166" i="72"/>
  <c r="X201" i="72" s="1"/>
  <c r="X231" i="72" s="1"/>
  <c r="T167" i="72"/>
  <c r="T202" i="72" s="1"/>
  <c r="T232" i="72" s="1"/>
  <c r="Y164" i="72"/>
  <c r="Y199" i="72" s="1"/>
  <c r="Y229" i="72" s="1"/>
  <c r="S126" i="83"/>
  <c r="Y160" i="72"/>
  <c r="Y195" i="72" s="1"/>
  <c r="Y225" i="72" s="1"/>
  <c r="Y131" i="83"/>
  <c r="X165" i="72"/>
  <c r="X200" i="72" s="1"/>
  <c r="X230" i="72" s="1"/>
  <c r="U162" i="72"/>
  <c r="U197" i="72" s="1"/>
  <c r="U227" i="72" s="1"/>
  <c r="U166" i="72"/>
  <c r="U201" i="72" s="1"/>
  <c r="U231" i="72" s="1"/>
  <c r="U163" i="72"/>
  <c r="U198" i="72" s="1"/>
  <c r="U228" i="72" s="1"/>
  <c r="S161" i="72"/>
  <c r="S196" i="72" s="1"/>
  <c r="S226" i="72" s="1"/>
  <c r="V160" i="72"/>
  <c r="V195" i="72" s="1"/>
  <c r="V225" i="72" s="1"/>
  <c r="S166" i="72"/>
  <c r="S201" i="72" s="1"/>
  <c r="S231" i="72" s="1"/>
  <c r="X125" i="83"/>
  <c r="T160" i="72"/>
  <c r="T195" i="72" s="1"/>
  <c r="T225" i="72" s="1"/>
  <c r="W164" i="72"/>
  <c r="W199" i="72" s="1"/>
  <c r="W229" i="72" s="1"/>
  <c r="U164" i="72"/>
  <c r="U199" i="72" s="1"/>
  <c r="U229" i="72" s="1"/>
  <c r="R163" i="72"/>
  <c r="R198" i="72" s="1"/>
  <c r="R228" i="72" s="1"/>
  <c r="V163" i="72"/>
  <c r="V198" i="72" s="1"/>
  <c r="V228" i="72" s="1"/>
  <c r="W165" i="72"/>
  <c r="W200" i="72" s="1"/>
  <c r="W230" i="72" s="1"/>
  <c r="T163" i="72"/>
  <c r="T198" i="72" s="1"/>
  <c r="T228" i="72" s="1"/>
  <c r="R164" i="72"/>
  <c r="R199" i="72" s="1"/>
  <c r="R229" i="72" s="1"/>
  <c r="Y163" i="72"/>
  <c r="Y198" i="72" s="1"/>
  <c r="Y228" i="72" s="1"/>
  <c r="U167" i="72"/>
  <c r="U202" i="72" s="1"/>
  <c r="U232" i="72" s="1"/>
  <c r="U131" i="83"/>
  <c r="V161" i="72"/>
  <c r="V196" i="72" s="1"/>
  <c r="V226" i="72" s="1"/>
  <c r="X163" i="72"/>
  <c r="X198" i="72" s="1"/>
  <c r="X228" i="72" s="1"/>
  <c r="T164" i="72"/>
  <c r="T199" i="72" s="1"/>
  <c r="T229" i="72" s="1"/>
  <c r="X164" i="72"/>
  <c r="X199" i="72" s="1"/>
  <c r="X229" i="72" s="1"/>
  <c r="V165" i="72"/>
  <c r="V200" i="72" s="1"/>
  <c r="V230" i="72" s="1"/>
  <c r="S163" i="72"/>
  <c r="S198" i="72" s="1"/>
  <c r="S228" i="72" s="1"/>
  <c r="W163" i="72"/>
  <c r="W198" i="72" s="1"/>
  <c r="W228" i="72" s="1"/>
  <c r="S164" i="72"/>
  <c r="S199" i="72" s="1"/>
  <c r="S229" i="72" s="1"/>
  <c r="S127" i="83"/>
  <c r="T129" i="83"/>
  <c r="S160" i="72"/>
  <c r="S195" i="72" s="1"/>
  <c r="S225" i="72" s="1"/>
  <c r="V166" i="72"/>
  <c r="V201" i="72" s="1"/>
  <c r="V231" i="72" s="1"/>
  <c r="X160" i="72"/>
  <c r="X195" i="72" s="1"/>
  <c r="X225" i="72" s="1"/>
  <c r="Y166" i="72"/>
  <c r="Y201" i="72" s="1"/>
  <c r="Y231" i="72" s="1"/>
  <c r="Y125" i="83"/>
  <c r="R129" i="83"/>
  <c r="W125" i="83"/>
  <c r="S125" i="83"/>
  <c r="R160" i="72"/>
  <c r="R195" i="72" s="1"/>
  <c r="R225" i="72" s="1"/>
  <c r="T166" i="72"/>
  <c r="T201" i="72" s="1"/>
  <c r="T231" i="72" s="1"/>
  <c r="W160" i="72"/>
  <c r="W195" i="72" s="1"/>
  <c r="W225" i="72" s="1"/>
  <c r="U160" i="72"/>
  <c r="U195" i="72" s="1"/>
  <c r="U225" i="72" s="1"/>
  <c r="Q125" i="83"/>
  <c r="Q125" i="72" s="1"/>
  <c r="Q195" i="72" s="1"/>
  <c r="Q225" i="72" s="1"/>
  <c r="S129" i="83"/>
  <c r="R166" i="72"/>
  <c r="R201" i="72" s="1"/>
  <c r="R231" i="72" s="1"/>
  <c r="W166" i="72"/>
  <c r="W201" i="72" s="1"/>
  <c r="W231" i="72" s="1"/>
  <c r="R125" i="83"/>
  <c r="X129" i="83"/>
  <c r="U129" i="83"/>
  <c r="Q127" i="83"/>
  <c r="Q127" i="72" s="1"/>
  <c r="Q197" i="72" s="1"/>
  <c r="Q227" i="72" s="1"/>
  <c r="R126" i="83"/>
  <c r="T165" i="72"/>
  <c r="T200" i="72" s="1"/>
  <c r="T230" i="72" s="1"/>
  <c r="Y162" i="72"/>
  <c r="Y197" i="72" s="1"/>
  <c r="Y227" i="72" s="1"/>
  <c r="R162" i="72"/>
  <c r="R197" i="72" s="1"/>
  <c r="R227" i="72" s="1"/>
  <c r="S162" i="72"/>
  <c r="S197" i="72" s="1"/>
  <c r="S227" i="72" s="1"/>
  <c r="T162" i="72"/>
  <c r="T197" i="72" s="1"/>
  <c r="T227" i="72" s="1"/>
  <c r="V162" i="72"/>
  <c r="V197" i="72" s="1"/>
  <c r="V227" i="72" s="1"/>
  <c r="W162" i="72"/>
  <c r="W197" i="72" s="1"/>
  <c r="W227" i="72" s="1"/>
  <c r="X162" i="72"/>
  <c r="X197" i="72" s="1"/>
  <c r="X227" i="72" s="1"/>
  <c r="Y161" i="72"/>
  <c r="Y196" i="72" s="1"/>
  <c r="Y226" i="72" s="1"/>
  <c r="U165" i="72"/>
  <c r="U200" i="72" s="1"/>
  <c r="U230" i="72" s="1"/>
  <c r="X161" i="72"/>
  <c r="X196" i="72" s="1"/>
  <c r="X226" i="72" s="1"/>
  <c r="R131" i="83"/>
  <c r="U125" i="83"/>
  <c r="R204" i="80"/>
  <c r="R206" i="80" s="1"/>
  <c r="R167" i="72"/>
  <c r="R202" i="72" s="1"/>
  <c r="R232" i="72" s="1"/>
  <c r="T161" i="72"/>
  <c r="T196" i="72" s="1"/>
  <c r="T226" i="72" s="1"/>
  <c r="W161" i="72"/>
  <c r="W196" i="72" s="1"/>
  <c r="W226" i="72" s="1"/>
  <c r="Y165" i="72"/>
  <c r="Y200" i="72" s="1"/>
  <c r="Y230" i="72" s="1"/>
  <c r="Q131" i="83"/>
  <c r="Q131" i="72" s="1"/>
  <c r="Q201" i="72" s="1"/>
  <c r="Q231" i="72" s="1"/>
  <c r="Q126" i="83"/>
  <c r="Q126" i="72" s="1"/>
  <c r="Q196" i="72" s="1"/>
  <c r="Q226" i="72" s="1"/>
  <c r="V125" i="83"/>
  <c r="R165" i="72"/>
  <c r="R200" i="72" s="1"/>
  <c r="R230" i="72" s="1"/>
  <c r="U161" i="72"/>
  <c r="U196" i="72" s="1"/>
  <c r="U226" i="72" s="1"/>
  <c r="W126" i="83"/>
  <c r="S131" i="83"/>
  <c r="S165" i="72"/>
  <c r="S200" i="72" s="1"/>
  <c r="S230" i="72" s="1"/>
  <c r="R161" i="72"/>
  <c r="R196" i="72" s="1"/>
  <c r="R226" i="72" s="1"/>
  <c r="S167" i="72"/>
  <c r="S202" i="72" s="1"/>
  <c r="S232" i="72" s="1"/>
  <c r="V167" i="72"/>
  <c r="V202" i="72" s="1"/>
  <c r="V232" i="72" s="1"/>
  <c r="W167" i="72"/>
  <c r="W202" i="72" s="1"/>
  <c r="W232" i="72" s="1"/>
  <c r="X167" i="72"/>
  <c r="X202" i="72" s="1"/>
  <c r="X232" i="72" s="1"/>
  <c r="Y167" i="72"/>
  <c r="Y202" i="72" s="1"/>
  <c r="Y232" i="72" s="1"/>
  <c r="R130" i="83"/>
  <c r="S130" i="83"/>
  <c r="U130" i="83"/>
  <c r="Q130" i="83"/>
  <c r="Q130" i="72" s="1"/>
  <c r="Q200" i="72" s="1"/>
  <c r="Q230" i="72" s="1"/>
  <c r="T132" i="83"/>
  <c r="Q128" i="83"/>
  <c r="Q128" i="72" s="1"/>
  <c r="Q198" i="72" s="1"/>
  <c r="Q228" i="72" s="1"/>
  <c r="R132" i="83"/>
  <c r="Y204" i="80"/>
  <c r="W132" i="83"/>
  <c r="Y126" i="83"/>
  <c r="X128" i="83"/>
  <c r="Q132" i="83"/>
  <c r="Q132" i="72" s="1"/>
  <c r="Q202" i="72" s="1"/>
  <c r="Q232" i="72" s="1"/>
  <c r="W129" i="83"/>
  <c r="T126" i="83"/>
  <c r="Q129" i="83"/>
  <c r="Q129" i="72" s="1"/>
  <c r="Q199" i="72" s="1"/>
  <c r="Q229" i="72" s="1"/>
  <c r="T128" i="83"/>
  <c r="S132" i="83"/>
  <c r="V128" i="83"/>
  <c r="U132" i="83"/>
  <c r="R128" i="83"/>
  <c r="X132" i="83"/>
  <c r="S128" i="83"/>
  <c r="Y132" i="83"/>
  <c r="U128" i="83"/>
  <c r="V131" i="83"/>
  <c r="Y129" i="83"/>
  <c r="T130" i="83"/>
  <c r="T127" i="83"/>
  <c r="X124" i="83"/>
  <c r="W128" i="83"/>
  <c r="Y202" i="80"/>
  <c r="W130" i="83"/>
  <c r="U202" i="80"/>
  <c r="S202" i="80"/>
  <c r="S206" i="80" s="1"/>
  <c r="L202" i="80"/>
  <c r="U204" i="80"/>
  <c r="V130" i="83"/>
  <c r="V127" i="83"/>
  <c r="V126" i="83"/>
  <c r="X123" i="83"/>
  <c r="U127" i="83"/>
  <c r="X126" i="83"/>
  <c r="U124" i="83"/>
  <c r="V204" i="80"/>
  <c r="T125" i="83"/>
  <c r="X130" i="83"/>
  <c r="Y130" i="83"/>
  <c r="X131" i="83"/>
  <c r="T131" i="83"/>
  <c r="Y127" i="83"/>
  <c r="U126" i="83"/>
  <c r="W123" i="83"/>
  <c r="Y128" i="83"/>
  <c r="W127" i="83"/>
  <c r="V202" i="80"/>
  <c r="W131" i="83"/>
  <c r="V129" i="83"/>
  <c r="U123" i="83"/>
  <c r="X202" i="80"/>
  <c r="X206" i="80" s="1"/>
  <c r="W124" i="83"/>
  <c r="W202" i="80"/>
  <c r="T202" i="80"/>
  <c r="W204" i="80"/>
  <c r="T204" i="80"/>
  <c r="Q21" i="31"/>
  <c r="Q23" i="31" s="1"/>
  <c r="R20" i="31"/>
  <c r="N147" i="41" l="1" a="1"/>
  <c r="Z147" i="41" a="1"/>
  <c r="AG147" i="41" a="1"/>
  <c r="U206" i="80"/>
  <c r="Y206" i="80"/>
  <c r="V206" i="80"/>
  <c r="W206" i="80"/>
  <c r="T206" i="80"/>
  <c r="R21" i="31"/>
  <c r="R23" i="31" s="1"/>
  <c r="S20" i="31"/>
  <c r="S21" i="31" s="1"/>
  <c r="S23" i="31" s="1"/>
  <c r="R73" i="74"/>
  <c r="R72" i="74"/>
  <c r="R76" i="74"/>
  <c r="R75" i="74"/>
  <c r="R78" i="74"/>
  <c r="R77" i="74"/>
  <c r="R74" i="74"/>
  <c r="H214" i="80" l="1" a="1"/>
  <c r="H214" i="80" s="1"/>
  <c r="O147" i="41" a="1"/>
  <c r="J147" i="41" a="1"/>
  <c r="AA147" i="41" a="1"/>
  <c r="AD147" i="41" a="1"/>
  <c r="H183" i="31" a="1"/>
  <c r="H183" i="31" s="1"/>
  <c r="H219" i="80" l="1"/>
  <c r="H218" i="80"/>
  <c r="H222" i="80"/>
  <c r="H220" i="80"/>
  <c r="H232" i="80" s="1"/>
  <c r="H215" i="80"/>
  <c r="H217" i="80"/>
  <c r="H229" i="80" s="1"/>
  <c r="H221" i="80"/>
  <c r="H233" i="80" s="1"/>
  <c r="H216" i="80"/>
  <c r="H228" i="80" s="1"/>
  <c r="H231" i="80"/>
  <c r="H230" i="80"/>
  <c r="H227" i="80"/>
  <c r="H226" i="80"/>
  <c r="J39" i="55"/>
  <c r="A4" i="31"/>
  <c r="K50" i="82" l="1" a="1"/>
  <c r="S241" i="80"/>
  <c r="Y254" i="80"/>
  <c r="T241" i="80"/>
  <c r="X241" i="80"/>
  <c r="W254" i="80"/>
  <c r="R254" i="80"/>
  <c r="V254" i="80"/>
  <c r="Y241" i="80"/>
  <c r="U241" i="80"/>
  <c r="U254" i="80"/>
  <c r="T254" i="80"/>
  <c r="H26" i="73"/>
  <c r="X254" i="80"/>
  <c r="S254" i="80"/>
  <c r="R241" i="80"/>
  <c r="W241" i="80"/>
  <c r="V241" i="80"/>
  <c r="K241" i="80"/>
  <c r="L241" i="80"/>
  <c r="Q241" i="80"/>
  <c r="M241" i="80"/>
  <c r="J241" i="80"/>
  <c r="H29" i="73"/>
  <c r="W257" i="80"/>
  <c r="U257" i="80"/>
  <c r="T244" i="80"/>
  <c r="X244" i="80"/>
  <c r="Y244" i="80"/>
  <c r="T257" i="80"/>
  <c r="V257" i="80"/>
  <c r="Y257" i="80"/>
  <c r="W244" i="80"/>
  <c r="R257" i="80"/>
  <c r="S244" i="80"/>
  <c r="R244" i="80"/>
  <c r="U244" i="80"/>
  <c r="V244" i="80"/>
  <c r="S257" i="80"/>
  <c r="X257" i="80"/>
  <c r="L244" i="80"/>
  <c r="K244" i="80"/>
  <c r="Q244" i="80"/>
  <c r="M244" i="80"/>
  <c r="J244" i="80"/>
  <c r="S240" i="80"/>
  <c r="X240" i="80"/>
  <c r="T240" i="80"/>
  <c r="V240" i="80"/>
  <c r="W253" i="80"/>
  <c r="R253" i="80"/>
  <c r="V253" i="80"/>
  <c r="H25" i="73"/>
  <c r="Y240" i="80"/>
  <c r="W240" i="80"/>
  <c r="U253" i="80"/>
  <c r="T253" i="80"/>
  <c r="S253" i="80"/>
  <c r="X253" i="80"/>
  <c r="Y253" i="80"/>
  <c r="R240" i="80"/>
  <c r="U240" i="80"/>
  <c r="K240" i="80"/>
  <c r="L240" i="80"/>
  <c r="Q240" i="80"/>
  <c r="M240" i="80"/>
  <c r="J240" i="80"/>
  <c r="W255" i="80"/>
  <c r="S255" i="80"/>
  <c r="V255" i="80"/>
  <c r="U255" i="80"/>
  <c r="H27" i="73"/>
  <c r="W242" i="80"/>
  <c r="R242" i="80"/>
  <c r="V242" i="80"/>
  <c r="Y255" i="80"/>
  <c r="T255" i="80"/>
  <c r="U242" i="80"/>
  <c r="T242" i="80"/>
  <c r="R255" i="80"/>
  <c r="X255" i="80"/>
  <c r="S242" i="80"/>
  <c r="Y242" i="80"/>
  <c r="X242" i="80"/>
  <c r="L242" i="80"/>
  <c r="K242" i="80"/>
  <c r="Q242" i="80"/>
  <c r="J242" i="80"/>
  <c r="M242" i="80"/>
  <c r="H30" i="73"/>
  <c r="W258" i="80"/>
  <c r="R258" i="80"/>
  <c r="R245" i="80"/>
  <c r="V245" i="80"/>
  <c r="S245" i="80"/>
  <c r="U245" i="80"/>
  <c r="X245" i="80"/>
  <c r="Y258" i="80"/>
  <c r="T245" i="80"/>
  <c r="U258" i="80"/>
  <c r="W245" i="80"/>
  <c r="T258" i="80"/>
  <c r="S258" i="80"/>
  <c r="X258" i="80"/>
  <c r="Y245" i="80"/>
  <c r="V258" i="80"/>
  <c r="K245" i="80"/>
  <c r="L245" i="80"/>
  <c r="Q245" i="80"/>
  <c r="J245" i="80"/>
  <c r="M245" i="80"/>
  <c r="W239" i="80"/>
  <c r="W252" i="80"/>
  <c r="V252" i="80"/>
  <c r="T252" i="80"/>
  <c r="H24" i="73"/>
  <c r="Y239" i="80"/>
  <c r="U252" i="80"/>
  <c r="R239" i="80"/>
  <c r="S252" i="80"/>
  <c r="V239" i="80"/>
  <c r="Y252" i="80"/>
  <c r="T239" i="80"/>
  <c r="S239" i="80"/>
  <c r="R252" i="80"/>
  <c r="X239" i="80"/>
  <c r="X252" i="80"/>
  <c r="H23" i="73"/>
  <c r="U239" i="80"/>
  <c r="L239" i="80"/>
  <c r="Q239" i="80"/>
  <c r="K239" i="80"/>
  <c r="J239" i="80"/>
  <c r="M239" i="80"/>
  <c r="Y256" i="80"/>
  <c r="X243" i="80"/>
  <c r="R243" i="80"/>
  <c r="T243" i="80"/>
  <c r="S256" i="80"/>
  <c r="V243" i="80"/>
  <c r="R256" i="80"/>
  <c r="H28" i="73"/>
  <c r="S243" i="80"/>
  <c r="X256" i="80"/>
  <c r="V256" i="80"/>
  <c r="Y243" i="80"/>
  <c r="T256" i="80"/>
  <c r="W256" i="80"/>
  <c r="U256" i="80"/>
  <c r="W243" i="80"/>
  <c r="U243" i="80"/>
  <c r="K243" i="80"/>
  <c r="L243" i="80"/>
  <c r="Q243" i="80"/>
  <c r="M243" i="80"/>
  <c r="J243" i="80"/>
  <c r="H31" i="73"/>
  <c r="Y259" i="80"/>
  <c r="X259" i="80"/>
  <c r="X246" i="80"/>
  <c r="T259" i="80"/>
  <c r="S246" i="80"/>
  <c r="T246" i="80"/>
  <c r="U259" i="80"/>
  <c r="W259" i="80"/>
  <c r="R246" i="80"/>
  <c r="V246" i="80"/>
  <c r="V259" i="80"/>
  <c r="Y246" i="80"/>
  <c r="R259" i="80"/>
  <c r="W246" i="80"/>
  <c r="U246" i="80"/>
  <c r="S259" i="80"/>
  <c r="K246" i="80"/>
  <c r="L246" i="80"/>
  <c r="Q246" i="80"/>
  <c r="M246" i="80"/>
  <c r="J246" i="80"/>
  <c r="K50" i="82" l="1"/>
  <c r="N50" i="82"/>
  <c r="M50" i="82"/>
  <c r="L50" i="82"/>
  <c r="O50" i="82"/>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J195" i="73" l="1"/>
  <c r="J265" i="73"/>
  <c r="J28" i="74" s="1"/>
  <c r="J266" i="73"/>
  <c r="J29" i="74" s="1"/>
  <c r="J196" i="73"/>
  <c r="Q264" i="73"/>
  <c r="Q27" i="74" s="1"/>
  <c r="Q194" i="73"/>
  <c r="M199" i="73"/>
  <c r="M269" i="73"/>
  <c r="M32" i="74" s="1"/>
  <c r="L267" i="73"/>
  <c r="L30" i="74" s="1"/>
  <c r="L197" i="73"/>
  <c r="Q270" i="73"/>
  <c r="Q33" i="74" s="1"/>
  <c r="Q200" i="73"/>
  <c r="M195" i="73"/>
  <c r="M265" i="73"/>
  <c r="M28" i="74" s="1"/>
  <c r="K195" i="73"/>
  <c r="K265" i="73"/>
  <c r="K28" i="74" s="1"/>
  <c r="O196" i="73"/>
  <c r="O266" i="73"/>
  <c r="O29" i="74" s="1"/>
  <c r="L264" i="73"/>
  <c r="L27" i="74" s="1"/>
  <c r="L194" i="73"/>
  <c r="K269" i="73"/>
  <c r="K32" i="74" s="1"/>
  <c r="K199" i="73"/>
  <c r="M267" i="73"/>
  <c r="M30" i="74" s="1"/>
  <c r="M197" i="73"/>
  <c r="N267" i="73"/>
  <c r="N30" i="74" s="1"/>
  <c r="N197" i="73"/>
  <c r="O195" i="73"/>
  <c r="O265" i="73"/>
  <c r="O28" i="74" s="1"/>
  <c r="L196" i="73"/>
  <c r="L266" i="73"/>
  <c r="L29" i="74" s="1"/>
  <c r="O194" i="73"/>
  <c r="O264" i="73"/>
  <c r="O27" i="74" s="1"/>
  <c r="P194" i="73"/>
  <c r="P264" i="73"/>
  <c r="P27" i="74" s="1"/>
  <c r="M264" i="73"/>
  <c r="M27" i="74" s="1"/>
  <c r="M194" i="73"/>
  <c r="N194" i="73"/>
  <c r="N264" i="73"/>
  <c r="N27" i="74" s="1"/>
  <c r="N268" i="73"/>
  <c r="N31" i="74" s="1"/>
  <c r="N198" i="73"/>
  <c r="K268" i="73"/>
  <c r="K31" i="74" s="1"/>
  <c r="K198" i="73"/>
  <c r="L199" i="73"/>
  <c r="L269" i="73"/>
  <c r="L32" i="74" s="1"/>
  <c r="Q267" i="73"/>
  <c r="Q30" i="74" s="1"/>
  <c r="Q197" i="73"/>
  <c r="P267" i="73"/>
  <c r="P30" i="74" s="1"/>
  <c r="P197" i="73"/>
  <c r="M200" i="73"/>
  <c r="M270" i="73"/>
  <c r="M33" i="74" s="1"/>
  <c r="P270" i="73"/>
  <c r="P33" i="74" s="1"/>
  <c r="P200" i="73"/>
  <c r="L200" i="73"/>
  <c r="L270" i="73"/>
  <c r="L33" i="74" s="1"/>
  <c r="L195" i="73"/>
  <c r="L265" i="73"/>
  <c r="L28" i="74" s="1"/>
  <c r="Q266" i="73"/>
  <c r="Q29" i="74" s="1"/>
  <c r="Q196" i="73"/>
  <c r="P196" i="73"/>
  <c r="P266" i="73"/>
  <c r="P29" i="74" s="1"/>
  <c r="L268" i="73"/>
  <c r="L31" i="74" s="1"/>
  <c r="L198" i="73"/>
  <c r="P268" i="73"/>
  <c r="P31" i="74" s="1"/>
  <c r="P198" i="73"/>
  <c r="P199" i="73"/>
  <c r="P269" i="73"/>
  <c r="P32" i="74" s="1"/>
  <c r="J199" i="73"/>
  <c r="J269" i="73"/>
  <c r="J32" i="74" s="1"/>
  <c r="Q195" i="73"/>
  <c r="Q265" i="73"/>
  <c r="Q28" i="74" s="1"/>
  <c r="N195" i="73"/>
  <c r="N265" i="73"/>
  <c r="N28" i="74" s="1"/>
  <c r="J264" i="73"/>
  <c r="J27" i="74" s="1"/>
  <c r="J194" i="73"/>
  <c r="O268" i="73"/>
  <c r="O31" i="74" s="1"/>
  <c r="O198" i="73"/>
  <c r="O199" i="73"/>
  <c r="O269" i="73"/>
  <c r="O32" i="74" s="1"/>
  <c r="N269" i="73"/>
  <c r="N32" i="74" s="1"/>
  <c r="N199" i="73"/>
  <c r="K200" i="73"/>
  <c r="K270" i="73"/>
  <c r="K33" i="74" s="1"/>
  <c r="P195" i="73"/>
  <c r="P265" i="73"/>
  <c r="P28" i="74" s="1"/>
  <c r="K196" i="73"/>
  <c r="K266" i="73"/>
  <c r="K29" i="74" s="1"/>
  <c r="M266" i="73"/>
  <c r="M29" i="74" s="1"/>
  <c r="M196" i="73"/>
  <c r="N266" i="73"/>
  <c r="N29" i="74" s="1"/>
  <c r="N196" i="73"/>
  <c r="K264" i="73"/>
  <c r="K27" i="74" s="1"/>
  <c r="K194" i="73"/>
  <c r="Q268" i="73"/>
  <c r="Q31" i="74" s="1"/>
  <c r="Q198" i="73"/>
  <c r="M198" i="73"/>
  <c r="M268" i="73"/>
  <c r="M31" i="74" s="1"/>
  <c r="J268" i="73"/>
  <c r="J31" i="74" s="1"/>
  <c r="J198" i="73"/>
  <c r="Q269" i="73"/>
  <c r="Q32" i="74" s="1"/>
  <c r="Q199" i="73"/>
  <c r="O267" i="73"/>
  <c r="O30" i="74" s="1"/>
  <c r="O197" i="73"/>
  <c r="K197" i="73"/>
  <c r="K267" i="73"/>
  <c r="K30" i="74" s="1"/>
  <c r="J197" i="73"/>
  <c r="J267" i="73"/>
  <c r="J30" i="74" s="1"/>
  <c r="O200" i="73"/>
  <c r="O270" i="73"/>
  <c r="O33" i="74" s="1"/>
  <c r="N270" i="73"/>
  <c r="N33" i="74" s="1"/>
  <c r="N200" i="73"/>
  <c r="J200" i="73"/>
  <c r="J270" i="73"/>
  <c r="J33" i="74" s="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Y207" i="41" l="1"/>
  <c r="O207" i="41"/>
  <c r="AC207" i="41"/>
  <c r="N207" i="41"/>
  <c r="AE207" i="41"/>
  <c r="T207" i="41"/>
  <c r="Z207" i="41"/>
  <c r="AA207" i="41"/>
  <c r="V207" i="41" l="1"/>
  <c r="AD207" i="41"/>
  <c r="P207" i="41"/>
  <c r="U207" i="41"/>
  <c r="M207" i="41"/>
  <c r="AG198" i="41"/>
  <c r="AF207" i="41"/>
  <c r="X207" i="41"/>
  <c r="S207" i="41"/>
  <c r="J207" i="41" l="1"/>
  <c r="AI165" i="65" l="1"/>
  <c r="AI70" i="105" s="1"/>
  <c r="AM165" i="65"/>
  <c r="AM70" i="105" s="1"/>
  <c r="AM111" i="105" s="1"/>
  <c r="AM112" i="105" s="1"/>
  <c r="AI111" i="105" l="1"/>
  <c r="AE165" i="65" l="1"/>
  <c r="AE70" i="105" s="1"/>
  <c r="AE111" i="105" l="1"/>
  <c r="AE112" i="105" s="1"/>
  <c r="AM171" i="65" l="1"/>
  <c r="AM76" i="105" s="1"/>
  <c r="AM118" i="105" s="1"/>
  <c r="AK171" i="65"/>
  <c r="AK76" i="105" s="1"/>
  <c r="AK118" i="105" s="1"/>
  <c r="AO171" i="65"/>
  <c r="AO76" i="105" s="1"/>
  <c r="AO118" i="105" s="1"/>
  <c r="AK169" i="65" l="1"/>
  <c r="AK74" i="105" s="1"/>
  <c r="AK116" i="105" s="1"/>
  <c r="AO169" i="65"/>
  <c r="AO74" i="105" s="1"/>
  <c r="AO116" i="105" s="1"/>
  <c r="AO170" i="65"/>
  <c r="AO75" i="105" s="1"/>
  <c r="AO117" i="105" s="1"/>
  <c r="AM169" i="65"/>
  <c r="AM74" i="105" s="1"/>
  <c r="AM116" i="105" s="1"/>
  <c r="AK170" i="65"/>
  <c r="AK75" i="105" s="1"/>
  <c r="AK117" i="105" s="1"/>
  <c r="AK122" i="105" l="1"/>
  <c r="AI159" i="65" l="1"/>
  <c r="AI64" i="105" s="1"/>
  <c r="AM168" i="65"/>
  <c r="AM73" i="105" s="1"/>
  <c r="AM115" i="105" s="1"/>
  <c r="AM122" i="105" s="1"/>
  <c r="AO168" i="65"/>
  <c r="AO73" i="105" s="1"/>
  <c r="AO115" i="105" s="1"/>
  <c r="AO122" i="105" s="1"/>
  <c r="AI105" i="105" l="1"/>
  <c r="AI112" i="105" s="1"/>
  <c r="Q140" i="105" l="1"/>
  <c r="Q62" i="82" l="1"/>
  <c r="Q206" i="105"/>
  <c r="Q73" i="82" s="1"/>
  <c r="Q207" i="105"/>
  <c r="Q74" i="82" s="1"/>
  <c r="AA159" i="65" l="1"/>
  <c r="AA64" i="105" s="1"/>
  <c r="AA105" i="105" l="1"/>
  <c r="AA112" i="105" s="1"/>
  <c r="K194" i="105"/>
  <c r="K140" i="105" l="1"/>
  <c r="K62" i="82" l="1"/>
  <c r="K206" i="105"/>
  <c r="K73" i="82" s="1"/>
  <c r="K207" i="105"/>
  <c r="K74" i="82" s="1"/>
  <c r="N58" i="22" l="1"/>
  <c r="W58" i="22"/>
  <c r="P59" i="22"/>
  <c r="Y59" i="22"/>
  <c r="S60" i="22"/>
  <c r="N61" i="22"/>
  <c r="W61" i="22"/>
  <c r="P63" i="22"/>
  <c r="Q67" i="22"/>
  <c r="L105" i="22"/>
  <c r="L571" i="22" s="1"/>
  <c r="L33" i="105" s="1"/>
  <c r="N106" i="22"/>
  <c r="T107" i="22"/>
  <c r="N110" i="22"/>
  <c r="Q116" i="22"/>
  <c r="N153" i="22"/>
  <c r="N345" i="22" s="1"/>
  <c r="K154" i="22"/>
  <c r="T154" i="22"/>
  <c r="P155" i="22"/>
  <c r="P156" i="22"/>
  <c r="V158" i="22"/>
  <c r="O58" i="22"/>
  <c r="X58" i="22"/>
  <c r="R59" i="22"/>
  <c r="R533" i="22" s="1"/>
  <c r="AH23" i="105" s="1"/>
  <c r="K60" i="22"/>
  <c r="T60" i="22"/>
  <c r="O61" i="22"/>
  <c r="X61" i="22"/>
  <c r="N64" i="22"/>
  <c r="J68" i="22"/>
  <c r="M105" i="22"/>
  <c r="R106" i="22"/>
  <c r="R209" i="22" s="1"/>
  <c r="R243" i="22" s="1"/>
  <c r="R247" i="22" s="1"/>
  <c r="K108" i="22"/>
  <c r="N111" i="22"/>
  <c r="J117" i="22"/>
  <c r="O153" i="22"/>
  <c r="L154" i="22"/>
  <c r="V154" i="22"/>
  <c r="R155" i="22"/>
  <c r="N157" i="22"/>
  <c r="X158" i="22"/>
  <c r="P58" i="22"/>
  <c r="Y58" i="22"/>
  <c r="S59" i="22"/>
  <c r="L60" i="22"/>
  <c r="U60" i="22"/>
  <c r="P61" i="22"/>
  <c r="Y61" i="22"/>
  <c r="O64" i="22"/>
  <c r="Q68" i="22"/>
  <c r="N105" i="22"/>
  <c r="T106" i="22"/>
  <c r="L108" i="22"/>
  <c r="T111" i="22"/>
  <c r="Q117" i="22"/>
  <c r="P153" i="22"/>
  <c r="M154" i="22"/>
  <c r="X154" i="22"/>
  <c r="S155" i="22"/>
  <c r="O157" i="22"/>
  <c r="J161" i="22"/>
  <c r="R58" i="22"/>
  <c r="K59" i="22"/>
  <c r="T59" i="22"/>
  <c r="T200" i="22" s="1"/>
  <c r="T242" i="22" s="1"/>
  <c r="M60" i="22"/>
  <c r="N682" i="22" s="1"/>
  <c r="V60" i="22"/>
  <c r="R61" i="22"/>
  <c r="R545" i="22" s="1"/>
  <c r="AH25" i="105" s="1"/>
  <c r="N62" i="22"/>
  <c r="N551" i="22" s="1"/>
  <c r="R26" i="105" s="1"/>
  <c r="P64" i="22"/>
  <c r="J69" i="22"/>
  <c r="R105" i="22"/>
  <c r="K107" i="22"/>
  <c r="K583" i="22" s="1"/>
  <c r="K35" i="105" s="1"/>
  <c r="M108" i="22"/>
  <c r="J114" i="22"/>
  <c r="V152" i="22"/>
  <c r="V615" i="22" s="1"/>
  <c r="AL44" i="105" s="1"/>
  <c r="R153" i="22"/>
  <c r="N154" i="22"/>
  <c r="K155" i="22"/>
  <c r="T155" i="22"/>
  <c r="P157" i="22"/>
  <c r="P645" i="22" s="1"/>
  <c r="AB49" i="105" s="1"/>
  <c r="Q161" i="22"/>
  <c r="S58" i="22"/>
  <c r="L59" i="22"/>
  <c r="L533" i="22" s="1"/>
  <c r="L23" i="105" s="1"/>
  <c r="U59" i="22"/>
  <c r="N60" i="22"/>
  <c r="W60" i="22"/>
  <c r="S61" i="22"/>
  <c r="O62" i="22"/>
  <c r="O551" i="22" s="1"/>
  <c r="W26" i="105" s="1"/>
  <c r="T64" i="22"/>
  <c r="T205" i="22" s="1"/>
  <c r="T301" i="22" s="1"/>
  <c r="Q69" i="22"/>
  <c r="T105" i="22"/>
  <c r="L107" i="22"/>
  <c r="N108" i="22"/>
  <c r="Q114" i="22"/>
  <c r="X152" i="22"/>
  <c r="S153" i="22"/>
  <c r="S218" i="22" s="1"/>
  <c r="S244" i="22" s="1"/>
  <c r="S248" i="22" s="1"/>
  <c r="O154" i="22"/>
  <c r="O627" i="22" s="1"/>
  <c r="W46" i="105" s="1"/>
  <c r="L155" i="22"/>
  <c r="V155" i="22"/>
  <c r="N158" i="22"/>
  <c r="J163" i="22"/>
  <c r="T58" i="22"/>
  <c r="M59" i="22"/>
  <c r="V59" i="22"/>
  <c r="V200" i="22" s="1"/>
  <c r="V242" i="22" s="1"/>
  <c r="O60" i="22"/>
  <c r="O539" i="22" s="1"/>
  <c r="W24" i="105" s="1"/>
  <c r="X60" i="22"/>
  <c r="T61" i="22"/>
  <c r="P62" i="22"/>
  <c r="V64" i="22"/>
  <c r="V563" i="22" s="1"/>
  <c r="AL28" i="105" s="1"/>
  <c r="J70" i="22"/>
  <c r="K106" i="22"/>
  <c r="M107" i="22"/>
  <c r="K682" i="22" s="1"/>
  <c r="R108" i="22"/>
  <c r="R211" i="22" s="1"/>
  <c r="J115" i="22"/>
  <c r="K153" i="22"/>
  <c r="T153" i="22"/>
  <c r="P154" i="22"/>
  <c r="P627" i="22" s="1"/>
  <c r="AB46" i="105" s="1"/>
  <c r="M155" i="22"/>
  <c r="X155" i="22"/>
  <c r="O158" i="22"/>
  <c r="O651" i="22" s="1"/>
  <c r="W50" i="105" s="1"/>
  <c r="Q163" i="22"/>
  <c r="Q219" i="22" s="1"/>
  <c r="Q255" i="22" s="1"/>
  <c r="Q259" i="22" s="1"/>
  <c r="L58" i="22"/>
  <c r="U58" i="22"/>
  <c r="N59" i="22"/>
  <c r="W59" i="22"/>
  <c r="W533" i="22" s="1"/>
  <c r="AM23" i="105" s="1"/>
  <c r="P60" i="22"/>
  <c r="Y60" i="22"/>
  <c r="U61" i="22"/>
  <c r="U545" i="22" s="1"/>
  <c r="AK25" i="105" s="1"/>
  <c r="N63" i="22"/>
  <c r="N557" i="22" s="1"/>
  <c r="R27" i="105" s="1"/>
  <c r="X64" i="22"/>
  <c r="Q70" i="22"/>
  <c r="L106" i="22"/>
  <c r="N107" i="22"/>
  <c r="N583" i="22" s="1"/>
  <c r="R35" i="105" s="1"/>
  <c r="T108" i="22"/>
  <c r="Q115" i="22"/>
  <c r="Q365" i="22" s="1"/>
  <c r="L153" i="22"/>
  <c r="L621" i="22" s="1"/>
  <c r="L45" i="105" s="1"/>
  <c r="V153" i="22"/>
  <c r="V621" i="22" s="1"/>
  <c r="AL45" i="105" s="1"/>
  <c r="R154" i="22"/>
  <c r="N155" i="22"/>
  <c r="N156" i="22"/>
  <c r="P158" i="22"/>
  <c r="P651" i="22" s="1"/>
  <c r="AB50" i="105" s="1"/>
  <c r="J164" i="22"/>
  <c r="M58" i="22"/>
  <c r="V58" i="22"/>
  <c r="V199" i="22" s="1"/>
  <c r="V231" i="22" s="1"/>
  <c r="O59" i="22"/>
  <c r="O533" i="22" s="1"/>
  <c r="W23" i="105" s="1"/>
  <c r="X59" i="22"/>
  <c r="R60" i="22"/>
  <c r="L61" i="22"/>
  <c r="V61" i="22"/>
  <c r="V202" i="22" s="1"/>
  <c r="O63" i="22"/>
  <c r="J67" i="22"/>
  <c r="K105" i="22"/>
  <c r="M106" i="22"/>
  <c r="M681" i="22" s="1"/>
  <c r="R107" i="22"/>
  <c r="N109" i="22"/>
  <c r="J116" i="22"/>
  <c r="M153" i="22"/>
  <c r="M218" i="22" s="1"/>
  <c r="M244" i="22" s="1"/>
  <c r="M248" i="22" s="1"/>
  <c r="X153" i="22"/>
  <c r="S154" i="22"/>
  <c r="O155" i="22"/>
  <c r="O633" i="22" s="1"/>
  <c r="W47" i="105" s="1"/>
  <c r="W142" i="105" s="1"/>
  <c r="O156" i="22"/>
  <c r="O639" i="22" s="1"/>
  <c r="W48" i="105" s="1"/>
  <c r="T158" i="22"/>
  <c r="Q164" i="22"/>
  <c r="P563" i="22"/>
  <c r="AB28" i="105" s="1"/>
  <c r="Q200" i="22"/>
  <c r="Q242" i="22" s="1"/>
  <c r="Q534" i="22"/>
  <c r="AG23" i="105" s="1"/>
  <c r="L335" i="22"/>
  <c r="N577" i="22"/>
  <c r="R34" i="105" s="1"/>
  <c r="N336" i="22"/>
  <c r="T210" i="22"/>
  <c r="T254" i="22" s="1"/>
  <c r="T258" i="22" s="1"/>
  <c r="T583" i="22"/>
  <c r="AJ35" i="105" s="1"/>
  <c r="T337" i="22"/>
  <c r="N601" i="22"/>
  <c r="R38" i="105" s="1"/>
  <c r="N340" i="22"/>
  <c r="Q578" i="22"/>
  <c r="AG34" i="105" s="1"/>
  <c r="Q209" i="22"/>
  <c r="Q243" i="22" s="1"/>
  <c r="Q247" i="22" s="1"/>
  <c r="V217" i="22"/>
  <c r="V233" i="22" s="1"/>
  <c r="V237" i="22" s="1"/>
  <c r="R218" i="22"/>
  <c r="R244" i="22" s="1"/>
  <c r="R248" i="22" s="1"/>
  <c r="R621" i="22"/>
  <c r="AH45" i="105" s="1"/>
  <c r="R345" i="22"/>
  <c r="N627" i="22"/>
  <c r="R46" i="105" s="1"/>
  <c r="N346" i="22"/>
  <c r="K220" i="22"/>
  <c r="K633" i="22"/>
  <c r="K47" i="105" s="1"/>
  <c r="K347" i="22"/>
  <c r="T633" i="22"/>
  <c r="AJ47" i="105" s="1"/>
  <c r="T220" i="22"/>
  <c r="T347" i="22"/>
  <c r="L527" i="22"/>
  <c r="L22" i="105" s="1"/>
  <c r="K200" i="22"/>
  <c r="K242" i="22" s="1"/>
  <c r="K533" i="22"/>
  <c r="K23" i="105" s="1"/>
  <c r="M201" i="22"/>
  <c r="M253" i="22" s="1"/>
  <c r="M682" i="22"/>
  <c r="M539" i="22"/>
  <c r="Q24" i="105" s="1"/>
  <c r="R202" i="22"/>
  <c r="S199" i="22"/>
  <c r="S231" i="22" s="1"/>
  <c r="S527" i="22"/>
  <c r="AI22" i="105" s="1"/>
  <c r="U200" i="22"/>
  <c r="U242" i="22" s="1"/>
  <c r="U249" i="22" s="1"/>
  <c r="U533" i="22"/>
  <c r="AK23" i="105" s="1"/>
  <c r="U354" i="22"/>
  <c r="U487" i="22" s="1"/>
  <c r="AK54" i="41" s="1"/>
  <c r="N539" i="22"/>
  <c r="R24" i="105" s="1"/>
  <c r="W539" i="22"/>
  <c r="AM24" i="105" s="1"/>
  <c r="W201" i="22"/>
  <c r="W253" i="22" s="1"/>
  <c r="W260" i="22" s="1"/>
  <c r="W355" i="22"/>
  <c r="W493" i="22" s="1"/>
  <c r="AM55" i="41" s="1"/>
  <c r="S202" i="22"/>
  <c r="S545" i="22"/>
  <c r="AI25" i="105" s="1"/>
  <c r="T563" i="22"/>
  <c r="AJ28" i="105" s="1"/>
  <c r="J540" i="22"/>
  <c r="J24" i="105" s="1"/>
  <c r="J201" i="22"/>
  <c r="J253" i="22" s="1"/>
  <c r="M208" i="22"/>
  <c r="M232" i="22" s="1"/>
  <c r="M236" i="22" s="1"/>
  <c r="M571" i="22"/>
  <c r="Q33" i="105" s="1"/>
  <c r="M335" i="22"/>
  <c r="K211" i="22"/>
  <c r="K589" i="22"/>
  <c r="K36" i="105" s="1"/>
  <c r="K338" i="22"/>
  <c r="N607" i="22"/>
  <c r="R39" i="105" s="1"/>
  <c r="N341" i="22"/>
  <c r="J210" i="22"/>
  <c r="J254" i="22" s="1"/>
  <c r="J258" i="22" s="1"/>
  <c r="J584" i="22"/>
  <c r="J35" i="105" s="1"/>
  <c r="J366" i="22"/>
  <c r="X217" i="22"/>
  <c r="X233" i="22" s="1"/>
  <c r="X237" i="22" s="1"/>
  <c r="X615" i="22"/>
  <c r="AN44" i="105" s="1"/>
  <c r="X344" i="22"/>
  <c r="X353" i="22" s="1"/>
  <c r="X481" i="22" s="1"/>
  <c r="AN53" i="41" s="1"/>
  <c r="O346" i="22"/>
  <c r="L633" i="22"/>
  <c r="L47" i="105" s="1"/>
  <c r="L142" i="105" s="1"/>
  <c r="L347" i="22"/>
  <c r="V220" i="22"/>
  <c r="V633" i="22"/>
  <c r="AL47" i="105" s="1"/>
  <c r="V347" i="22"/>
  <c r="N651" i="22"/>
  <c r="R50" i="105" s="1"/>
  <c r="N350" i="22"/>
  <c r="Q217" i="22"/>
  <c r="Q233" i="22" s="1"/>
  <c r="Q237" i="22" s="1"/>
  <c r="Q616" i="22"/>
  <c r="AG44" i="105" s="1"/>
  <c r="Q373" i="22"/>
  <c r="Q220" i="22"/>
  <c r="Q634" i="22"/>
  <c r="AG47" i="105" s="1"/>
  <c r="Q376" i="22"/>
  <c r="R199" i="22"/>
  <c r="R231" i="22" s="1"/>
  <c r="R527" i="22"/>
  <c r="AH22" i="105" s="1"/>
  <c r="T533" i="22"/>
  <c r="AJ23" i="105" s="1"/>
  <c r="V201" i="22"/>
  <c r="V253" i="22" s="1"/>
  <c r="V539" i="22"/>
  <c r="AL24" i="105" s="1"/>
  <c r="K58" i="22"/>
  <c r="T199" i="22"/>
  <c r="T231" i="22" s="1"/>
  <c r="T527" i="22"/>
  <c r="AJ22" i="105" s="1"/>
  <c r="M533" i="22"/>
  <c r="Q23" i="105" s="1"/>
  <c r="M200" i="22"/>
  <c r="M242" i="22" s="1"/>
  <c r="V533" i="22"/>
  <c r="AL23" i="105" s="1"/>
  <c r="X201" i="22"/>
  <c r="X253" i="22" s="1"/>
  <c r="X539" i="22"/>
  <c r="AN24" i="105" s="1"/>
  <c r="T545" i="22"/>
  <c r="AJ25" i="105" s="1"/>
  <c r="T202" i="22"/>
  <c r="P551" i="22"/>
  <c r="AB26" i="105" s="1"/>
  <c r="V205" i="22"/>
  <c r="V301" i="22" s="1"/>
  <c r="N571" i="22"/>
  <c r="R33" i="105" s="1"/>
  <c r="N335" i="22"/>
  <c r="T209" i="22"/>
  <c r="T243" i="22" s="1"/>
  <c r="T247" i="22" s="1"/>
  <c r="T577" i="22"/>
  <c r="AJ34" i="105" s="1"/>
  <c r="T336" i="22"/>
  <c r="L589" i="22"/>
  <c r="L36" i="105" s="1"/>
  <c r="L141" i="105" s="1"/>
  <c r="L338" i="22"/>
  <c r="T607" i="22"/>
  <c r="AJ39" i="105" s="1"/>
  <c r="T214" i="22"/>
  <c r="T302" i="22" s="1"/>
  <c r="T306" i="22" s="1"/>
  <c r="T341" i="22"/>
  <c r="K218" i="22"/>
  <c r="K244" i="22" s="1"/>
  <c r="K248" i="22" s="1"/>
  <c r="K621" i="22"/>
  <c r="K45" i="105" s="1"/>
  <c r="K345" i="22"/>
  <c r="T218" i="22"/>
  <c r="T244" i="22" s="1"/>
  <c r="T248" i="22" s="1"/>
  <c r="T621" i="22"/>
  <c r="AJ45" i="105" s="1"/>
  <c r="T345" i="22"/>
  <c r="M633" i="22"/>
  <c r="Q47" i="105" s="1"/>
  <c r="M220" i="22"/>
  <c r="M347" i="22"/>
  <c r="X220" i="22"/>
  <c r="X633" i="22"/>
  <c r="AN47" i="105" s="1"/>
  <c r="X347" i="22"/>
  <c r="X356" i="22" s="1"/>
  <c r="X499" i="22" s="1"/>
  <c r="AN56" i="41" s="1"/>
  <c r="O350" i="22"/>
  <c r="O359" i="22" s="1"/>
  <c r="O517" i="22" s="1"/>
  <c r="W59" i="41" s="1"/>
  <c r="X205" i="22"/>
  <c r="X301" i="22" s="1"/>
  <c r="X563" i="22"/>
  <c r="AN28" i="105" s="1"/>
  <c r="Q201" i="22"/>
  <c r="Q253" i="22" s="1"/>
  <c r="Q540" i="22"/>
  <c r="AG24" i="105" s="1"/>
  <c r="R208" i="22"/>
  <c r="R232" i="22" s="1"/>
  <c r="R236" i="22" s="1"/>
  <c r="R571" i="22"/>
  <c r="AH33" i="105" s="1"/>
  <c r="R335" i="22"/>
  <c r="K210" i="22"/>
  <c r="K254" i="22" s="1"/>
  <c r="K258" i="22" s="1"/>
  <c r="M211" i="22"/>
  <c r="M589" i="22"/>
  <c r="Q36" i="105" s="1"/>
  <c r="M338" i="22"/>
  <c r="J208" i="22"/>
  <c r="J232" i="22" s="1"/>
  <c r="J236" i="22" s="1"/>
  <c r="J572" i="22"/>
  <c r="J33" i="105" s="1"/>
  <c r="J364" i="22"/>
  <c r="Q210" i="22"/>
  <c r="Q254" i="22" s="1"/>
  <c r="Q258" i="22" s="1"/>
  <c r="Q584" i="22"/>
  <c r="AG35" i="105" s="1"/>
  <c r="Q366" i="22"/>
  <c r="R219" i="22"/>
  <c r="R255" i="22" s="1"/>
  <c r="R259" i="22" s="1"/>
  <c r="R627" i="22"/>
  <c r="AH46" i="105" s="1"/>
  <c r="R346" i="22"/>
  <c r="N633" i="22"/>
  <c r="R47" i="105" s="1"/>
  <c r="R142" i="105" s="1"/>
  <c r="N347" i="22"/>
  <c r="N639" i="22"/>
  <c r="R48" i="105" s="1"/>
  <c r="N348" i="22"/>
  <c r="N533" i="22"/>
  <c r="R23" i="105" s="1"/>
  <c r="U202" i="22"/>
  <c r="M527" i="22"/>
  <c r="Q22" i="105" s="1"/>
  <c r="M199" i="22"/>
  <c r="M231" i="22" s="1"/>
  <c r="X533" i="22"/>
  <c r="AN23" i="105" s="1"/>
  <c r="X200" i="22"/>
  <c r="X242" i="22" s="1"/>
  <c r="R201" i="22"/>
  <c r="R253" i="22" s="1"/>
  <c r="R539" i="22"/>
  <c r="AH24" i="105" s="1"/>
  <c r="L545" i="22"/>
  <c r="L25" i="105" s="1"/>
  <c r="O557" i="22"/>
  <c r="W27" i="105" s="1"/>
  <c r="J528" i="22"/>
  <c r="J22" i="105" s="1"/>
  <c r="J199" i="22"/>
  <c r="J231" i="22" s="1"/>
  <c r="J546" i="22"/>
  <c r="J25" i="105" s="1"/>
  <c r="J202" i="22"/>
  <c r="T208" i="22"/>
  <c r="T232" i="22" s="1"/>
  <c r="T236" i="22" s="1"/>
  <c r="T571" i="22"/>
  <c r="AJ33" i="105" s="1"/>
  <c r="T335" i="22"/>
  <c r="L583" i="22"/>
  <c r="L35" i="105" s="1"/>
  <c r="L337" i="22"/>
  <c r="N589" i="22"/>
  <c r="R36" i="105" s="1"/>
  <c r="R141" i="105" s="1"/>
  <c r="N338" i="22"/>
  <c r="J211" i="22"/>
  <c r="J590" i="22"/>
  <c r="J36" i="105" s="1"/>
  <c r="J367" i="22"/>
  <c r="M345" i="22"/>
  <c r="X218" i="22"/>
  <c r="X244" i="22" s="1"/>
  <c r="X248" i="22" s="1"/>
  <c r="X621" i="22"/>
  <c r="AN45" i="105" s="1"/>
  <c r="X345" i="22"/>
  <c r="X354" i="22" s="1"/>
  <c r="X487" i="22" s="1"/>
  <c r="AN54" i="41" s="1"/>
  <c r="S219" i="22"/>
  <c r="S255" i="22" s="1"/>
  <c r="S259" i="22" s="1"/>
  <c r="S627" i="22"/>
  <c r="AI46" i="105" s="1"/>
  <c r="S346" i="22"/>
  <c r="S355" i="22" s="1"/>
  <c r="S493" i="22" s="1"/>
  <c r="AI55" i="41" s="1"/>
  <c r="O347" i="22"/>
  <c r="O356" i="22" s="1"/>
  <c r="O499" i="22" s="1"/>
  <c r="W56" i="41" s="1"/>
  <c r="T223" i="22"/>
  <c r="T303" i="22" s="1"/>
  <c r="T307" i="22" s="1"/>
  <c r="T651" i="22"/>
  <c r="AJ50" i="105" s="1"/>
  <c r="T350" i="22"/>
  <c r="J219" i="22"/>
  <c r="J255" i="22" s="1"/>
  <c r="J259" i="22" s="1"/>
  <c r="J628" i="22"/>
  <c r="J46" i="105" s="1"/>
  <c r="J375" i="22"/>
  <c r="N527" i="22"/>
  <c r="R22" i="105" s="1"/>
  <c r="W199" i="22"/>
  <c r="W231" i="22" s="1"/>
  <c r="W238" i="22" s="1"/>
  <c r="W527" i="22"/>
  <c r="AM22" i="105" s="1"/>
  <c r="W353" i="22"/>
  <c r="W481" i="22" s="1"/>
  <c r="AM53" i="41" s="1"/>
  <c r="P533" i="22"/>
  <c r="AB23" i="105" s="1"/>
  <c r="Y200" i="22"/>
  <c r="Y242" i="22" s="1"/>
  <c r="Y249" i="22" s="1"/>
  <c r="Y533" i="22"/>
  <c r="AO23" i="105" s="1"/>
  <c r="Y354" i="22"/>
  <c r="Y487" i="22" s="1"/>
  <c r="AO54" i="41" s="1"/>
  <c r="S201" i="22"/>
  <c r="S253" i="22" s="1"/>
  <c r="S539" i="22"/>
  <c r="AI24" i="105" s="1"/>
  <c r="N545" i="22"/>
  <c r="R25" i="105" s="1"/>
  <c r="W202" i="22"/>
  <c r="W545" i="22"/>
  <c r="AM25" i="105" s="1"/>
  <c r="W356" i="22"/>
  <c r="W499" i="22" s="1"/>
  <c r="AM56" i="41" s="1"/>
  <c r="P557" i="22"/>
  <c r="AB27" i="105" s="1"/>
  <c r="K209" i="22"/>
  <c r="K243" i="22" s="1"/>
  <c r="K247" i="22" s="1"/>
  <c r="K577" i="22"/>
  <c r="K34" i="105" s="1"/>
  <c r="K336" i="22"/>
  <c r="K354" i="22" s="1"/>
  <c r="K487" i="22" s="1"/>
  <c r="K54" i="41" s="1"/>
  <c r="M210" i="22"/>
  <c r="M254" i="22" s="1"/>
  <c r="M258" i="22" s="1"/>
  <c r="M337" i="22"/>
  <c r="Q208" i="22"/>
  <c r="Q232" i="22" s="1"/>
  <c r="Q236" i="22" s="1"/>
  <c r="Q572" i="22"/>
  <c r="AG33" i="105" s="1"/>
  <c r="Q364" i="22"/>
  <c r="N621" i="22"/>
  <c r="R45" i="105" s="1"/>
  <c r="K219" i="22"/>
  <c r="K255" i="22" s="1"/>
  <c r="K259" i="22" s="1"/>
  <c r="K627" i="22"/>
  <c r="K46" i="105" s="1"/>
  <c r="K346" i="22"/>
  <c r="T219" i="22"/>
  <c r="T255" i="22" s="1"/>
  <c r="T259" i="22" s="1"/>
  <c r="T627" i="22"/>
  <c r="AJ46" i="105" s="1"/>
  <c r="T346" i="22"/>
  <c r="P633" i="22"/>
  <c r="AB47" i="105" s="1"/>
  <c r="AB142" i="105" s="1"/>
  <c r="P347" i="22"/>
  <c r="P356" i="22" s="1"/>
  <c r="P499" i="22" s="1"/>
  <c r="AB56" i="41" s="1"/>
  <c r="P639" i="22"/>
  <c r="AB48" i="105" s="1"/>
  <c r="P348" i="22"/>
  <c r="P357" i="22" s="1"/>
  <c r="P505" i="22" s="1"/>
  <c r="AB57" i="41" s="1"/>
  <c r="V223" i="22"/>
  <c r="V303" i="22" s="1"/>
  <c r="V307" i="22" s="1"/>
  <c r="V651" i="22"/>
  <c r="AL50" i="105" s="1"/>
  <c r="V350" i="22"/>
  <c r="U199" i="22"/>
  <c r="U231" i="22" s="1"/>
  <c r="U238" i="22" s="1"/>
  <c r="U527" i="22"/>
  <c r="AK22" i="105" s="1"/>
  <c r="U353" i="22"/>
  <c r="U481" i="22" s="1"/>
  <c r="AK53" i="41" s="1"/>
  <c r="Y201" i="22"/>
  <c r="Y253" i="22" s="1"/>
  <c r="Y260" i="22" s="1"/>
  <c r="Y539" i="22"/>
  <c r="AO24" i="105" s="1"/>
  <c r="Y355" i="22"/>
  <c r="Y493" i="22" s="1"/>
  <c r="AO55" i="41" s="1"/>
  <c r="O527" i="22"/>
  <c r="W22" i="105" s="1"/>
  <c r="X199" i="22"/>
  <c r="X231" i="22" s="1"/>
  <c r="X527" i="22"/>
  <c r="AN22" i="105" s="1"/>
  <c r="R200" i="22"/>
  <c r="R242" i="22" s="1"/>
  <c r="K201" i="22"/>
  <c r="K253" i="22" s="1"/>
  <c r="K539" i="22"/>
  <c r="K24" i="105" s="1"/>
  <c r="T201" i="22"/>
  <c r="T253" i="22" s="1"/>
  <c r="T539" i="22"/>
  <c r="AJ24" i="105" s="1"/>
  <c r="O545" i="22"/>
  <c r="W25" i="105" s="1"/>
  <c r="X202" i="22"/>
  <c r="X545" i="22"/>
  <c r="AN25" i="105" s="1"/>
  <c r="N563" i="22"/>
  <c r="R28" i="105" s="1"/>
  <c r="Q199" i="22"/>
  <c r="Q231" i="22" s="1"/>
  <c r="Q528" i="22"/>
  <c r="AG22" i="105" s="1"/>
  <c r="Q546" i="22"/>
  <c r="AG25" i="105" s="1"/>
  <c r="Q202" i="22"/>
  <c r="L577" i="22"/>
  <c r="L34" i="105" s="1"/>
  <c r="L336" i="22"/>
  <c r="T589" i="22"/>
  <c r="AJ36" i="105" s="1"/>
  <c r="T211" i="22"/>
  <c r="T338" i="22"/>
  <c r="J209" i="22"/>
  <c r="J243" i="22" s="1"/>
  <c r="J247" i="22" s="1"/>
  <c r="J578" i="22"/>
  <c r="J34" i="105" s="1"/>
  <c r="J365" i="22"/>
  <c r="Q211" i="22"/>
  <c r="Q590" i="22"/>
  <c r="AG36" i="105" s="1"/>
  <c r="Q367" i="22"/>
  <c r="Q385" i="22" s="1"/>
  <c r="Q500" i="22" s="1"/>
  <c r="AG56" i="41" s="1"/>
  <c r="O621" i="22"/>
  <c r="W45" i="105" s="1"/>
  <c r="O345" i="22"/>
  <c r="L627" i="22"/>
  <c r="L46" i="105" s="1"/>
  <c r="L346" i="22"/>
  <c r="V219" i="22"/>
  <c r="V255" i="22" s="1"/>
  <c r="V259" i="22" s="1"/>
  <c r="V627" i="22"/>
  <c r="AL46" i="105" s="1"/>
  <c r="V346" i="22"/>
  <c r="V355" i="22" s="1"/>
  <c r="V493" i="22" s="1"/>
  <c r="AL55" i="41" s="1"/>
  <c r="R220" i="22"/>
  <c r="R633" i="22"/>
  <c r="AH47" i="105" s="1"/>
  <c r="R347" i="22"/>
  <c r="N645" i="22"/>
  <c r="R49" i="105" s="1"/>
  <c r="N349" i="22"/>
  <c r="X223" i="22"/>
  <c r="X303" i="22" s="1"/>
  <c r="X307" i="22" s="1"/>
  <c r="X651" i="22"/>
  <c r="AN50" i="105" s="1"/>
  <c r="X350" i="22"/>
  <c r="X359" i="22" s="1"/>
  <c r="X517" i="22" s="1"/>
  <c r="AN59" i="41" s="1"/>
  <c r="P539" i="22"/>
  <c r="AB24" i="105" s="1"/>
  <c r="P527" i="22"/>
  <c r="AB22" i="105" s="1"/>
  <c r="Y199" i="22"/>
  <c r="Y231" i="22" s="1"/>
  <c r="Y238" i="22" s="1"/>
  <c r="Y527" i="22"/>
  <c r="AO22" i="105" s="1"/>
  <c r="Y353" i="22"/>
  <c r="Y481" i="22" s="1"/>
  <c r="AO53" i="41" s="1"/>
  <c r="S200" i="22"/>
  <c r="S242" i="22" s="1"/>
  <c r="S533" i="22"/>
  <c r="AI23" i="105" s="1"/>
  <c r="L539" i="22"/>
  <c r="L24" i="105" s="1"/>
  <c r="U201" i="22"/>
  <c r="U253" i="22" s="1"/>
  <c r="U260" i="22" s="1"/>
  <c r="U539" i="22"/>
  <c r="AK24" i="105" s="1"/>
  <c r="U355" i="22"/>
  <c r="U493" i="22" s="1"/>
  <c r="AK55" i="41" s="1"/>
  <c r="P545" i="22"/>
  <c r="AB25" i="105" s="1"/>
  <c r="Y202" i="22"/>
  <c r="Y545" i="22"/>
  <c r="AO25" i="105" s="1"/>
  <c r="Y356" i="22"/>
  <c r="Y499" i="22" s="1"/>
  <c r="AO56" i="41" s="1"/>
  <c r="O563" i="22"/>
  <c r="W28" i="105" s="1"/>
  <c r="J200" i="22"/>
  <c r="J242" i="22" s="1"/>
  <c r="J534" i="22"/>
  <c r="J23" i="105" s="1"/>
  <c r="K208" i="22"/>
  <c r="K232" i="22" s="1"/>
  <c r="K236" i="22" s="1"/>
  <c r="K571" i="22"/>
  <c r="K33" i="105" s="1"/>
  <c r="K335" i="22"/>
  <c r="M209" i="22"/>
  <c r="M243" i="22" s="1"/>
  <c r="M247" i="22" s="1"/>
  <c r="R210" i="22"/>
  <c r="R254" i="22" s="1"/>
  <c r="R258" i="22" s="1"/>
  <c r="R583" i="22"/>
  <c r="AH35" i="105" s="1"/>
  <c r="R337" i="22"/>
  <c r="N595" i="22"/>
  <c r="R37" i="105" s="1"/>
  <c r="N339" i="22"/>
  <c r="P621" i="22"/>
  <c r="AB45" i="105" s="1"/>
  <c r="P345" i="22"/>
  <c r="P354" i="22" s="1"/>
  <c r="P487" i="22" s="1"/>
  <c r="AB54" i="41" s="1"/>
  <c r="M627" i="22"/>
  <c r="Q46" i="105" s="1"/>
  <c r="M219" i="22"/>
  <c r="M255" i="22" s="1"/>
  <c r="M259" i="22" s="1"/>
  <c r="M346" i="22"/>
  <c r="X219" i="22"/>
  <c r="X255" i="22" s="1"/>
  <c r="X259" i="22" s="1"/>
  <c r="X627" i="22"/>
  <c r="AN46" i="105" s="1"/>
  <c r="X346" i="22"/>
  <c r="X355" i="22" s="1"/>
  <c r="X493" i="22" s="1"/>
  <c r="AN55" i="41" s="1"/>
  <c r="S220" i="22"/>
  <c r="S633" i="22"/>
  <c r="AI47" i="105" s="1"/>
  <c r="S347" i="22"/>
  <c r="S356" i="22" s="1"/>
  <c r="S499" i="22" s="1"/>
  <c r="AI56" i="41" s="1"/>
  <c r="O645" i="22"/>
  <c r="W49" i="105" s="1"/>
  <c r="O349" i="22"/>
  <c r="O358" i="22" s="1"/>
  <c r="O511" i="22" s="1"/>
  <c r="W58" i="41" s="1"/>
  <c r="J217" i="22"/>
  <c r="J233" i="22" s="1"/>
  <c r="J237" i="22" s="1"/>
  <c r="J616" i="22"/>
  <c r="J44" i="105" s="1"/>
  <c r="J373" i="22"/>
  <c r="J220" i="22"/>
  <c r="J634" i="22"/>
  <c r="J47" i="105" s="1"/>
  <c r="J376" i="22"/>
  <c r="V238" i="22" l="1"/>
  <c r="V527" i="22"/>
  <c r="AL22" i="105" s="1"/>
  <c r="L345" i="22"/>
  <c r="L354" i="22" s="1"/>
  <c r="L487" i="22" s="1"/>
  <c r="L54" i="41" s="1"/>
  <c r="M583" i="22"/>
  <c r="Q35" i="105" s="1"/>
  <c r="R336" i="22"/>
  <c r="V344" i="22"/>
  <c r="V353" i="22" s="1"/>
  <c r="V481" i="22" s="1"/>
  <c r="AL53" i="41" s="1"/>
  <c r="AL164" i="41" s="1"/>
  <c r="S345" i="22"/>
  <c r="S354" i="22" s="1"/>
  <c r="S487" i="22" s="1"/>
  <c r="AI54" i="41" s="1"/>
  <c r="R577" i="22"/>
  <c r="AH34" i="105" s="1"/>
  <c r="J682" i="22"/>
  <c r="S621" i="22"/>
  <c r="AI45" i="105" s="1"/>
  <c r="L682" i="22"/>
  <c r="U356" i="22"/>
  <c r="U499" i="22" s="1"/>
  <c r="AK56" i="41" s="1"/>
  <c r="K337" i="22"/>
  <c r="P349" i="22"/>
  <c r="P358" i="22" s="1"/>
  <c r="P511" i="22" s="1"/>
  <c r="AB58" i="41" s="1"/>
  <c r="X238" i="22"/>
  <c r="X56" i="80" s="1"/>
  <c r="Q382" i="22"/>
  <c r="Q482" i="22" s="1"/>
  <c r="AG53" i="41" s="1"/>
  <c r="S260" i="22"/>
  <c r="K152" i="22"/>
  <c r="M577" i="22"/>
  <c r="Q34" i="105" s="1"/>
  <c r="Q147" i="105" s="1"/>
  <c r="Q375" i="22"/>
  <c r="O354" i="22"/>
  <c r="O487" i="22" s="1"/>
  <c r="W54" i="41" s="1"/>
  <c r="R152" i="22"/>
  <c r="M621" i="22"/>
  <c r="Q45" i="105" s="1"/>
  <c r="Q162" i="22"/>
  <c r="O152" i="22"/>
  <c r="Q628" i="22"/>
  <c r="AG46" i="105" s="1"/>
  <c r="V359" i="22"/>
  <c r="V517" i="22" s="1"/>
  <c r="AL59" i="41" s="1"/>
  <c r="P350" i="22"/>
  <c r="P359" i="22" s="1"/>
  <c r="P517" i="22" s="1"/>
  <c r="AB59" i="41" s="1"/>
  <c r="L681" i="22"/>
  <c r="S152" i="22"/>
  <c r="P152" i="22"/>
  <c r="V356" i="22"/>
  <c r="V499" i="22" s="1"/>
  <c r="AL56" i="41" s="1"/>
  <c r="V345" i="22"/>
  <c r="V354" i="22" s="1"/>
  <c r="V487" i="22" s="1"/>
  <c r="AL54" i="41" s="1"/>
  <c r="N681" i="22"/>
  <c r="L152" i="22"/>
  <c r="L615" i="22" s="1"/>
  <c r="L44" i="105" s="1"/>
  <c r="L148" i="105" s="1"/>
  <c r="V545" i="22"/>
  <c r="AL25" i="105" s="1"/>
  <c r="AL182" i="105" s="1"/>
  <c r="V218" i="22"/>
  <c r="V244" i="22" s="1"/>
  <c r="V248" i="22" s="1"/>
  <c r="V249" i="22" s="1"/>
  <c r="J162" i="22"/>
  <c r="K681" i="22"/>
  <c r="N337" i="22"/>
  <c r="N355" i="22" s="1"/>
  <c r="N493" i="22" s="1"/>
  <c r="R55" i="41" s="1"/>
  <c r="R338" i="22"/>
  <c r="R356" i="22" s="1"/>
  <c r="R499" i="22" s="1"/>
  <c r="AH56" i="41" s="1"/>
  <c r="W354" i="22"/>
  <c r="W487" i="22" s="1"/>
  <c r="AM54" i="41" s="1"/>
  <c r="P346" i="22"/>
  <c r="P355" i="22" s="1"/>
  <c r="P493" i="22" s="1"/>
  <c r="AB55" i="41" s="1"/>
  <c r="N152" i="22"/>
  <c r="N615" i="22" s="1"/>
  <c r="R44" i="105" s="1"/>
  <c r="R148" i="105" s="1"/>
  <c r="J681" i="22"/>
  <c r="T152" i="22"/>
  <c r="R589" i="22"/>
  <c r="AH36" i="105" s="1"/>
  <c r="W200" i="22"/>
  <c r="W242" i="22" s="1"/>
  <c r="W249" i="22" s="1"/>
  <c r="W57" i="80" s="1"/>
  <c r="O348" i="22"/>
  <c r="O357" i="22" s="1"/>
  <c r="O505" i="22" s="1"/>
  <c r="W57" i="41" s="1"/>
  <c r="M336" i="22"/>
  <c r="O355" i="22"/>
  <c r="O493" i="22" s="1"/>
  <c r="W55" i="41" s="1"/>
  <c r="M152" i="22"/>
  <c r="L355" i="22"/>
  <c r="L493" i="22" s="1"/>
  <c r="L55" i="41" s="1"/>
  <c r="N359" i="22"/>
  <c r="N517" i="22" s="1"/>
  <c r="R59" i="41" s="1"/>
  <c r="K356" i="22"/>
  <c r="K499" i="22" s="1"/>
  <c r="K56" i="41" s="1"/>
  <c r="N354" i="22"/>
  <c r="N487" i="22" s="1"/>
  <c r="R54" i="41" s="1"/>
  <c r="N356" i="22"/>
  <c r="N499" i="22" s="1"/>
  <c r="R56" i="41" s="1"/>
  <c r="J382" i="22"/>
  <c r="J482" i="22" s="1"/>
  <c r="J53" i="41" s="1"/>
  <c r="R249" i="22"/>
  <c r="M356" i="22"/>
  <c r="M499" i="22" s="1"/>
  <c r="Q56" i="41" s="1"/>
  <c r="L356" i="22"/>
  <c r="L499" i="22" s="1"/>
  <c r="L56" i="41" s="1"/>
  <c r="R355" i="22"/>
  <c r="R493" i="22" s="1"/>
  <c r="AH55" i="41" s="1"/>
  <c r="S249" i="22"/>
  <c r="S57" i="80" s="1"/>
  <c r="T260" i="22"/>
  <c r="T33" i="53" s="1"/>
  <c r="R354" i="22"/>
  <c r="R487" i="22" s="1"/>
  <c r="AH54" i="41" s="1"/>
  <c r="T354" i="22"/>
  <c r="T487" i="22" s="1"/>
  <c r="AJ54" i="41" s="1"/>
  <c r="T359" i="22"/>
  <c r="T517" i="22" s="1"/>
  <c r="AJ59" i="41" s="1"/>
  <c r="N357" i="22"/>
  <c r="N505" i="22" s="1"/>
  <c r="R57" i="41" s="1"/>
  <c r="Q238" i="22"/>
  <c r="Q31" i="53" s="1"/>
  <c r="M355" i="22"/>
  <c r="M493" i="22" s="1"/>
  <c r="Q55" i="41" s="1"/>
  <c r="J385" i="22"/>
  <c r="J500" i="22" s="1"/>
  <c r="J56" i="41" s="1"/>
  <c r="J153" i="41" s="1"/>
  <c r="K260" i="22"/>
  <c r="K58" i="80" s="1"/>
  <c r="K355" i="22"/>
  <c r="K493" i="22" s="1"/>
  <c r="K55" i="41" s="1"/>
  <c r="Q384" i="22"/>
  <c r="Q494" i="22" s="1"/>
  <c r="AG55" i="41" s="1"/>
  <c r="J384" i="22"/>
  <c r="J494" i="22" s="1"/>
  <c r="J55" i="41" s="1"/>
  <c r="T356" i="22"/>
  <c r="T499" i="22" s="1"/>
  <c r="AJ56" i="41" s="1"/>
  <c r="M354" i="22"/>
  <c r="M487" i="22" s="1"/>
  <c r="Q54" i="41" s="1"/>
  <c r="AB146" i="105"/>
  <c r="AB63" i="82" s="1"/>
  <c r="AB174" i="105"/>
  <c r="AO164" i="41"/>
  <c r="AH142" i="105"/>
  <c r="AO174" i="105"/>
  <c r="AO146" i="105"/>
  <c r="R270" i="22"/>
  <c r="R274" i="22" s="1"/>
  <c r="R22" i="112"/>
  <c r="Q268" i="22"/>
  <c r="Q20" i="112"/>
  <c r="AN170" i="105"/>
  <c r="AN172" i="105" s="1"/>
  <c r="AL64" i="82" s="1"/>
  <c r="AN197" i="105"/>
  <c r="AN184" i="105"/>
  <c r="AN188" i="105"/>
  <c r="AN198" i="105"/>
  <c r="AN183" i="105"/>
  <c r="AN182" i="105"/>
  <c r="AN187" i="105"/>
  <c r="AN186" i="105"/>
  <c r="AN185" i="105"/>
  <c r="W174" i="105"/>
  <c r="W65" i="82" s="1"/>
  <c r="W146" i="105"/>
  <c r="W63" i="82" s="1"/>
  <c r="X270" i="22"/>
  <c r="X274" i="22" s="1"/>
  <c r="X22" i="112"/>
  <c r="AG142" i="105"/>
  <c r="AL142" i="105"/>
  <c r="T308" i="22"/>
  <c r="W33" i="53"/>
  <c r="W58" i="80"/>
  <c r="K249" i="22"/>
  <c r="T270" i="22"/>
  <c r="T274" i="22" s="1"/>
  <c r="T22" i="112"/>
  <c r="T615" i="22"/>
  <c r="AJ44" i="105" s="1"/>
  <c r="T217" i="22"/>
  <c r="T233" i="22" s="1"/>
  <c r="T237" i="22" s="1"/>
  <c r="T238" i="22" s="1"/>
  <c r="T344" i="22"/>
  <c r="T353" i="22" s="1"/>
  <c r="T481" i="22" s="1"/>
  <c r="AJ53" i="41" s="1"/>
  <c r="S33" i="53"/>
  <c r="S58" i="80"/>
  <c r="K217" i="22"/>
  <c r="K233" i="22" s="1"/>
  <c r="K237" i="22" s="1"/>
  <c r="K615" i="22"/>
  <c r="K44" i="105" s="1"/>
  <c r="K344" i="22"/>
  <c r="K353" i="22" s="1"/>
  <c r="K481" i="22" s="1"/>
  <c r="K53" i="41" s="1"/>
  <c r="U33" i="53"/>
  <c r="U264" i="22"/>
  <c r="U17" i="111" s="1"/>
  <c r="U58" i="80"/>
  <c r="Y31" i="53"/>
  <c r="Y56" i="80"/>
  <c r="S217" i="22"/>
  <c r="S233" i="22" s="1"/>
  <c r="S237" i="22" s="1"/>
  <c r="S615" i="22"/>
  <c r="AI44" i="105" s="1"/>
  <c r="S344" i="22"/>
  <c r="S353" i="22" s="1"/>
  <c r="S481" i="22" s="1"/>
  <c r="AI53" i="41" s="1"/>
  <c r="T269" i="22"/>
  <c r="T273" i="22" s="1"/>
  <c r="T21" i="112"/>
  <c r="AG170" i="105"/>
  <c r="AG172" i="105" s="1"/>
  <c r="AG64" i="82" s="1"/>
  <c r="X268" i="22"/>
  <c r="X20" i="112"/>
  <c r="R217" i="22"/>
  <c r="R233" i="22" s="1"/>
  <c r="R237" i="22" s="1"/>
  <c r="R615" i="22"/>
  <c r="AH44" i="105" s="1"/>
  <c r="R344" i="22"/>
  <c r="R353" i="22" s="1"/>
  <c r="R481" i="22" s="1"/>
  <c r="AH53" i="41" s="1"/>
  <c r="AM193" i="105"/>
  <c r="AM195" i="105"/>
  <c r="AM183" i="105"/>
  <c r="AM182" i="105"/>
  <c r="AM170" i="105"/>
  <c r="AM172" i="105" s="1"/>
  <c r="AM188" i="105"/>
  <c r="AM187" i="105"/>
  <c r="AM194" i="105"/>
  <c r="AM186" i="105"/>
  <c r="AM185" i="105"/>
  <c r="AM184" i="105"/>
  <c r="AM197" i="105"/>
  <c r="AM196" i="105"/>
  <c r="AM140" i="105"/>
  <c r="AM207" i="105" s="1"/>
  <c r="AM198" i="105"/>
  <c r="AM199" i="105"/>
  <c r="R174" i="105"/>
  <c r="R146" i="105"/>
  <c r="R63" i="82" s="1"/>
  <c r="J238" i="22"/>
  <c r="L140" i="105"/>
  <c r="L194" i="105"/>
  <c r="L196" i="105"/>
  <c r="L170" i="105"/>
  <c r="L172" i="105" s="1"/>
  <c r="L64" i="82" s="1"/>
  <c r="L182" i="105"/>
  <c r="L199" i="105"/>
  <c r="L197" i="105"/>
  <c r="L195" i="105"/>
  <c r="L193" i="105"/>
  <c r="L188" i="105"/>
  <c r="L187" i="105"/>
  <c r="L186" i="105"/>
  <c r="L185" i="105"/>
  <c r="L184" i="105"/>
  <c r="L183" i="105"/>
  <c r="L198" i="105"/>
  <c r="Q170" i="105"/>
  <c r="Q172" i="105" s="1"/>
  <c r="Q64" i="82" s="1"/>
  <c r="X308" i="22"/>
  <c r="V308" i="22"/>
  <c r="Q270" i="22"/>
  <c r="Q274" i="22" s="1"/>
  <c r="Q22" i="112"/>
  <c r="V270" i="22"/>
  <c r="V274" i="22" s="1"/>
  <c r="V22" i="112"/>
  <c r="AJ141" i="105"/>
  <c r="W268" i="22"/>
  <c r="W275" i="22" s="1"/>
  <c r="W20" i="112"/>
  <c r="Y32" i="53"/>
  <c r="Y57" i="80"/>
  <c r="P615" i="22"/>
  <c r="AB44" i="105" s="1"/>
  <c r="AB148" i="105" s="1"/>
  <c r="P344" i="22"/>
  <c r="P353" i="22" s="1"/>
  <c r="P481" i="22" s="1"/>
  <c r="AB53" i="41" s="1"/>
  <c r="M270" i="22"/>
  <c r="M274" i="22" s="1"/>
  <c r="M22" i="112"/>
  <c r="X260" i="22"/>
  <c r="T249" i="22"/>
  <c r="AI146" i="105"/>
  <c r="AI63" i="82" s="1"/>
  <c r="L174" i="105"/>
  <c r="L65" i="82" s="1"/>
  <c r="L146" i="105"/>
  <c r="L63" i="82" s="1"/>
  <c r="N358" i="22"/>
  <c r="N511" i="22" s="1"/>
  <c r="R58" i="41" s="1"/>
  <c r="L147" i="105"/>
  <c r="S238" i="22"/>
  <c r="K142" i="105"/>
  <c r="AG141" i="105"/>
  <c r="Y33" i="53"/>
  <c r="Y264" i="22"/>
  <c r="Y17" i="111" s="1"/>
  <c r="Y58" i="80"/>
  <c r="J622" i="22"/>
  <c r="J45" i="105" s="1"/>
  <c r="J218" i="22"/>
  <c r="J244" i="22" s="1"/>
  <c r="J248" i="22" s="1"/>
  <c r="J249" i="22" s="1"/>
  <c r="J374" i="22"/>
  <c r="J383" i="22" s="1"/>
  <c r="J488" i="22" s="1"/>
  <c r="J54" i="41" s="1"/>
  <c r="Q142" i="105"/>
  <c r="AI142" i="105"/>
  <c r="Y268" i="22"/>
  <c r="Y275" i="22" s="1"/>
  <c r="Y20" i="112"/>
  <c r="Q269" i="22"/>
  <c r="Q273" i="22" s="1"/>
  <c r="Q21" i="112"/>
  <c r="AN164" i="41"/>
  <c r="AK164" i="41"/>
  <c r="R187" i="105"/>
  <c r="R186" i="105"/>
  <c r="R185" i="105"/>
  <c r="R184" i="105"/>
  <c r="R183" i="105"/>
  <c r="R182" i="105"/>
  <c r="R198" i="105"/>
  <c r="R170" i="105"/>
  <c r="R172" i="105" s="1"/>
  <c r="R64" i="82" s="1"/>
  <c r="R140" i="105"/>
  <c r="R194" i="105"/>
  <c r="R196" i="105"/>
  <c r="R199" i="105"/>
  <c r="R197" i="105"/>
  <c r="R195" i="105"/>
  <c r="R193" i="105"/>
  <c r="R188" i="105"/>
  <c r="R260" i="22"/>
  <c r="V56" i="80"/>
  <c r="V31" i="53"/>
  <c r="Q218" i="22"/>
  <c r="Q244" i="22" s="1"/>
  <c r="Q248" i="22" s="1"/>
  <c r="Q249" i="22" s="1"/>
  <c r="Q622" i="22"/>
  <c r="AG45" i="105" s="1"/>
  <c r="Q374" i="22"/>
  <c r="Q383" i="22" s="1"/>
  <c r="Q488" i="22" s="1"/>
  <c r="AG54" i="41" s="1"/>
  <c r="O615" i="22"/>
  <c r="W44" i="105" s="1"/>
  <c r="W148" i="105" s="1"/>
  <c r="O344" i="22"/>
  <c r="O353" i="22" s="1"/>
  <c r="O481" i="22" s="1"/>
  <c r="W53" i="41" s="1"/>
  <c r="Q141" i="105"/>
  <c r="K527" i="22"/>
  <c r="K22" i="105" s="1"/>
  <c r="K199" i="22"/>
  <c r="K231" i="22" s="1"/>
  <c r="K238" i="22" s="1"/>
  <c r="K141" i="105"/>
  <c r="K270" i="22"/>
  <c r="K274" i="22" s="1"/>
  <c r="K22" i="112"/>
  <c r="AL148" i="105"/>
  <c r="T355" i="22"/>
  <c r="T493" i="22" s="1"/>
  <c r="AJ55" i="41" s="1"/>
  <c r="T58" i="80"/>
  <c r="AK174" i="105"/>
  <c r="AK146" i="105"/>
  <c r="AM164" i="41"/>
  <c r="J269" i="22"/>
  <c r="J273" i="22" s="1"/>
  <c r="J21" i="112"/>
  <c r="M269" i="22"/>
  <c r="M273" i="22" s="1"/>
  <c r="M21" i="112"/>
  <c r="N344" i="22"/>
  <c r="N353" i="22" s="1"/>
  <c r="N481" i="22" s="1"/>
  <c r="R53" i="41" s="1"/>
  <c r="M249" i="22"/>
  <c r="R238" i="22"/>
  <c r="K269" i="22"/>
  <c r="K273" i="22" s="1"/>
  <c r="K21" i="112"/>
  <c r="J260" i="22"/>
  <c r="AI170" i="105"/>
  <c r="AI172" i="105" s="1"/>
  <c r="AI64" i="82" s="1"/>
  <c r="AI186" i="105"/>
  <c r="AI197" i="105"/>
  <c r="AI183" i="105"/>
  <c r="AI198" i="105"/>
  <c r="AI185" i="105"/>
  <c r="AI187" i="105"/>
  <c r="AI184" i="105"/>
  <c r="AI188" i="105"/>
  <c r="AI199" i="105"/>
  <c r="AI182" i="105"/>
  <c r="AI140" i="105"/>
  <c r="R268" i="22"/>
  <c r="R20" i="112"/>
  <c r="AO198" i="105"/>
  <c r="AO196" i="105"/>
  <c r="AO197" i="105"/>
  <c r="AO140" i="105"/>
  <c r="AO207" i="105" s="1"/>
  <c r="AO194" i="105"/>
  <c r="AO188" i="105"/>
  <c r="AO185" i="105"/>
  <c r="AO183" i="105"/>
  <c r="AO187" i="105"/>
  <c r="AO186" i="105"/>
  <c r="AO184" i="105"/>
  <c r="AO195" i="105"/>
  <c r="AO193" i="105"/>
  <c r="AO182" i="105"/>
  <c r="AO199" i="105"/>
  <c r="AO170" i="105"/>
  <c r="AO172" i="105" s="1"/>
  <c r="W193" i="105"/>
  <c r="W188" i="105"/>
  <c r="W187" i="105"/>
  <c r="W186" i="105"/>
  <c r="W185" i="105"/>
  <c r="W184" i="105"/>
  <c r="W183" i="105"/>
  <c r="W182" i="105"/>
  <c r="W198" i="105"/>
  <c r="W140" i="105"/>
  <c r="W194" i="105"/>
  <c r="W196" i="105"/>
  <c r="W199" i="105"/>
  <c r="W170" i="105"/>
  <c r="W172" i="105" s="1"/>
  <c r="W64" i="82" s="1"/>
  <c r="W197" i="105"/>
  <c r="W195" i="105"/>
  <c r="AJ147" i="105"/>
  <c r="J270" i="22"/>
  <c r="J274" i="22" s="1"/>
  <c r="J22" i="112"/>
  <c r="S270" i="22"/>
  <c r="S274" i="22" s="1"/>
  <c r="S22" i="112"/>
  <c r="AB184" i="105"/>
  <c r="AB183" i="105"/>
  <c r="AB182" i="105"/>
  <c r="AB170" i="105"/>
  <c r="AB172" i="105" s="1"/>
  <c r="AB64" i="82" s="1"/>
  <c r="AB198" i="105"/>
  <c r="AB140" i="105"/>
  <c r="AB194" i="105"/>
  <c r="AB196" i="105"/>
  <c r="AB199" i="105"/>
  <c r="AB197" i="105"/>
  <c r="AB195" i="105"/>
  <c r="AB193" i="105"/>
  <c r="AB188" i="105"/>
  <c r="AB187" i="105"/>
  <c r="AB186" i="105"/>
  <c r="AB185" i="105"/>
  <c r="U31" i="53"/>
  <c r="U56" i="80"/>
  <c r="AH141" i="105"/>
  <c r="AM174" i="105"/>
  <c r="AM146" i="105"/>
  <c r="J268" i="22"/>
  <c r="J20" i="112"/>
  <c r="AL188" i="105"/>
  <c r="AL184" i="105"/>
  <c r="AL197" i="105"/>
  <c r="X249" i="22"/>
  <c r="AK199" i="105"/>
  <c r="AK193" i="105"/>
  <c r="AK140" i="105"/>
  <c r="AK196" i="105"/>
  <c r="AK188" i="105"/>
  <c r="AK183" i="105"/>
  <c r="AK195" i="105"/>
  <c r="AK198" i="105"/>
  <c r="AK194" i="105"/>
  <c r="AK186" i="105"/>
  <c r="AK185" i="105"/>
  <c r="AK184" i="105"/>
  <c r="AK182" i="105"/>
  <c r="AK187" i="105"/>
  <c r="AK170" i="105"/>
  <c r="AK172" i="105" s="1"/>
  <c r="AK197" i="105"/>
  <c r="Q260" i="22"/>
  <c r="T268" i="22"/>
  <c r="T20" i="112"/>
  <c r="S268" i="22"/>
  <c r="S20" i="112"/>
  <c r="U57" i="80"/>
  <c r="U32" i="53"/>
  <c r="AH170" i="105"/>
  <c r="AH172" i="105" s="1"/>
  <c r="AH64" i="82" s="1"/>
  <c r="AH197" i="105"/>
  <c r="AH198" i="105"/>
  <c r="AH186" i="105"/>
  <c r="AH187" i="105"/>
  <c r="AH199" i="105"/>
  <c r="AH188" i="105"/>
  <c r="AH140" i="105"/>
  <c r="M260" i="22"/>
  <c r="L344" i="22"/>
  <c r="L353" i="22" s="1"/>
  <c r="L481" i="22" s="1"/>
  <c r="L53" i="41" s="1"/>
  <c r="K147" i="105"/>
  <c r="R32" i="53"/>
  <c r="R57" i="80"/>
  <c r="AG153" i="41"/>
  <c r="AG114" i="41"/>
  <c r="AG126" i="41" s="1"/>
  <c r="AG119" i="41"/>
  <c r="AG131" i="41" s="1"/>
  <c r="AG116" i="41"/>
  <c r="AG128" i="41" s="1"/>
  <c r="AG121" i="41"/>
  <c r="AG133" i="41" s="1"/>
  <c r="AG120" i="41"/>
  <c r="AG132" i="41" s="1"/>
  <c r="AG117" i="41"/>
  <c r="AG129" i="41" s="1"/>
  <c r="AG115" i="41"/>
  <c r="AG127" i="41" s="1"/>
  <c r="AG118" i="41"/>
  <c r="AG130" i="41" s="1"/>
  <c r="R269" i="22"/>
  <c r="R273" i="22" s="1"/>
  <c r="R21" i="112"/>
  <c r="W56" i="80"/>
  <c r="W31" i="53"/>
  <c r="J170" i="105"/>
  <c r="J172" i="105" s="1"/>
  <c r="J64" i="82" s="1"/>
  <c r="V268" i="22"/>
  <c r="V20" i="112"/>
  <c r="U268" i="22"/>
  <c r="U275" i="22" s="1"/>
  <c r="U20" i="112"/>
  <c r="R147" i="105"/>
  <c r="AJ170" i="105"/>
  <c r="AJ172" i="105" s="1"/>
  <c r="AJ64" i="82" s="1"/>
  <c r="AJ187" i="105"/>
  <c r="AJ197" i="105"/>
  <c r="AJ186" i="105"/>
  <c r="AJ198" i="105"/>
  <c r="V260" i="22"/>
  <c r="J114" i="41" l="1"/>
  <c r="J126" i="41" s="1"/>
  <c r="X31" i="53"/>
  <c r="W264" i="22"/>
  <c r="W17" i="111" s="1"/>
  <c r="K33" i="53"/>
  <c r="W32" i="53"/>
  <c r="AL185" i="105"/>
  <c r="AL187" i="105"/>
  <c r="AL183" i="105"/>
  <c r="AL198" i="105"/>
  <c r="AL186" i="105"/>
  <c r="AL170" i="105"/>
  <c r="AL172" i="105" s="1"/>
  <c r="AK64" i="82" s="1"/>
  <c r="J117" i="41"/>
  <c r="J129" i="41" s="1"/>
  <c r="X275" i="22"/>
  <c r="J116" i="41"/>
  <c r="J128" i="41" s="1"/>
  <c r="J119" i="41"/>
  <c r="J131" i="41" s="1"/>
  <c r="J120" i="41"/>
  <c r="J132" i="41" s="1"/>
  <c r="J115" i="41"/>
  <c r="J127" i="41" s="1"/>
  <c r="Y34" i="53"/>
  <c r="Y48" i="53" s="1"/>
  <c r="Y54" i="53" s="1"/>
  <c r="Y93" i="53" s="1"/>
  <c r="J121" i="41"/>
  <c r="J133" i="41" s="1"/>
  <c r="J118" i="41"/>
  <c r="J130" i="41" s="1"/>
  <c r="J680" i="22"/>
  <c r="J685" i="22" s="1"/>
  <c r="L680" i="22"/>
  <c r="L685" i="22" s="1"/>
  <c r="K680" i="22"/>
  <c r="K685" i="22" s="1"/>
  <c r="N680" i="22"/>
  <c r="N685" i="22" s="1"/>
  <c r="M680" i="22"/>
  <c r="M685" i="22" s="1"/>
  <c r="M344" i="22"/>
  <c r="M353" i="22" s="1"/>
  <c r="M481" i="22" s="1"/>
  <c r="Q53" i="41" s="1"/>
  <c r="Q164" i="41" s="1"/>
  <c r="M615" i="22"/>
  <c r="Q44" i="105" s="1"/>
  <c r="Q148" i="105" s="1"/>
  <c r="M217" i="22"/>
  <c r="M233" i="22" s="1"/>
  <c r="M237" i="22" s="1"/>
  <c r="M238" i="22" s="1"/>
  <c r="AG164" i="41"/>
  <c r="AG166" i="41" s="1"/>
  <c r="AG174" i="41" s="1"/>
  <c r="V275" i="22"/>
  <c r="V16" i="111" s="1"/>
  <c r="W34" i="53"/>
  <c r="W49" i="53" s="1"/>
  <c r="S32" i="53"/>
  <c r="S264" i="22"/>
  <c r="S17" i="111" s="1"/>
  <c r="T275" i="22"/>
  <c r="T16" i="111" s="1"/>
  <c r="M275" i="22"/>
  <c r="M16" i="111" s="1"/>
  <c r="R200" i="105"/>
  <c r="T264" i="22"/>
  <c r="T17" i="111" s="1"/>
  <c r="Q56" i="80"/>
  <c r="W200" i="105"/>
  <c r="S275" i="22"/>
  <c r="S18" i="74" s="1"/>
  <c r="J275" i="22"/>
  <c r="J16" i="111" s="1"/>
  <c r="K264" i="22"/>
  <c r="K17" i="111" s="1"/>
  <c r="J32" i="53"/>
  <c r="J57" i="80"/>
  <c r="AJ164" i="41"/>
  <c r="Q32" i="53"/>
  <c r="Q57" i="80"/>
  <c r="AH164" i="41"/>
  <c r="AH62" i="82"/>
  <c r="AH206" i="105"/>
  <c r="AH73" i="82" s="1"/>
  <c r="AH207" i="105"/>
  <c r="AH74" i="82" s="1"/>
  <c r="K36" i="112"/>
  <c r="K37" i="112"/>
  <c r="K50" i="112"/>
  <c r="K60" i="112" s="1"/>
  <c r="AI207" i="105"/>
  <c r="AI74" i="82" s="1"/>
  <c r="AI62" i="82"/>
  <c r="W164" i="41"/>
  <c r="R33" i="53"/>
  <c r="R58" i="80"/>
  <c r="R264" i="22"/>
  <c r="R17" i="111" s="1"/>
  <c r="Y49" i="53"/>
  <c r="L200" i="105"/>
  <c r="L207" i="105"/>
  <c r="L74" i="82" s="1"/>
  <c r="L206" i="105"/>
  <c r="L73" i="82" s="1"/>
  <c r="L62" i="82"/>
  <c r="AI148" i="105"/>
  <c r="AN189" i="105"/>
  <c r="Q275" i="22"/>
  <c r="V58" i="80"/>
  <c r="V264" i="22"/>
  <c r="V17" i="111" s="1"/>
  <c r="V33" i="53"/>
  <c r="V18" i="74"/>
  <c r="K164" i="41"/>
  <c r="Y37" i="112"/>
  <c r="Y36" i="112"/>
  <c r="Y50" i="112"/>
  <c r="Y60" i="112" s="1"/>
  <c r="J31" i="53"/>
  <c r="J56" i="80"/>
  <c r="AM189" i="105"/>
  <c r="K148" i="105"/>
  <c r="W59" i="80"/>
  <c r="U59" i="80"/>
  <c r="U18" i="74"/>
  <c r="U16" i="111"/>
  <c r="V37" i="112"/>
  <c r="V36" i="112"/>
  <c r="V50" i="112"/>
  <c r="V60" i="112" s="1"/>
  <c r="V57" i="80"/>
  <c r="V32" i="53"/>
  <c r="AK189" i="105"/>
  <c r="AI189" i="105"/>
  <c r="L164" i="41"/>
  <c r="T36" i="112"/>
  <c r="T37" i="112"/>
  <c r="T50" i="112"/>
  <c r="T60" i="112" s="1"/>
  <c r="W207" i="105"/>
  <c r="W74" i="82" s="1"/>
  <c r="W62" i="82"/>
  <c r="W206" i="105"/>
  <c r="R56" i="80"/>
  <c r="R31" i="53"/>
  <c r="K56" i="80"/>
  <c r="K31" i="53"/>
  <c r="Y16" i="111"/>
  <c r="Y18" i="74"/>
  <c r="T32" i="53"/>
  <c r="T57" i="80"/>
  <c r="Y59" i="80"/>
  <c r="J164" i="41"/>
  <c r="J166" i="41" s="1"/>
  <c r="W36" i="112"/>
  <c r="W37" i="112"/>
  <c r="W50" i="112"/>
  <c r="W60" i="112" s="1"/>
  <c r="X36" i="112"/>
  <c r="X37" i="112"/>
  <c r="X50" i="112"/>
  <c r="X60" i="112" s="1"/>
  <c r="M57" i="80"/>
  <c r="M32" i="53"/>
  <c r="K170" i="105"/>
  <c r="K172" i="105" s="1"/>
  <c r="K64" i="82" s="1"/>
  <c r="R62" i="82"/>
  <c r="R206" i="105"/>
  <c r="R73" i="82" s="1"/>
  <c r="R207" i="105"/>
  <c r="R74" i="82" s="1"/>
  <c r="T56" i="80"/>
  <c r="T31" i="53"/>
  <c r="M58" i="80"/>
  <c r="M264" i="22"/>
  <c r="M17" i="111" s="1"/>
  <c r="M33" i="53"/>
  <c r="Q58" i="80"/>
  <c r="Q33" i="53"/>
  <c r="Q264" i="22"/>
  <c r="Q17" i="111" s="1"/>
  <c r="Q29" i="111" s="1"/>
  <c r="AK200" i="105"/>
  <c r="J37" i="112"/>
  <c r="J36" i="112"/>
  <c r="U34" i="53"/>
  <c r="AB206" i="105"/>
  <c r="AB62" i="82"/>
  <c r="AB207" i="105"/>
  <c r="AB74" i="82" s="1"/>
  <c r="W189" i="105"/>
  <c r="J33" i="53"/>
  <c r="J58" i="80"/>
  <c r="J264" i="22"/>
  <c r="R164" i="41"/>
  <c r="X58" i="80"/>
  <c r="X264" i="22"/>
  <c r="X17" i="111" s="1"/>
  <c r="X33" i="53"/>
  <c r="W16" i="111"/>
  <c r="W18" i="74"/>
  <c r="L189" i="105"/>
  <c r="AM200" i="105"/>
  <c r="X16" i="111"/>
  <c r="X18" i="74"/>
  <c r="AK207" i="105"/>
  <c r="AK206" i="105"/>
  <c r="S31" i="53"/>
  <c r="S34" i="53" s="1"/>
  <c r="S56" i="80"/>
  <c r="S59" i="80" s="1"/>
  <c r="M56" i="80"/>
  <c r="M31" i="53"/>
  <c r="AL189" i="105"/>
  <c r="AB200" i="105"/>
  <c r="AO189" i="105"/>
  <c r="R36" i="112"/>
  <c r="R37" i="112"/>
  <c r="R50" i="112"/>
  <c r="R60" i="112" s="1"/>
  <c r="K275" i="22"/>
  <c r="M36" i="112"/>
  <c r="M37" i="112"/>
  <c r="M50" i="112"/>
  <c r="M60" i="112" s="1"/>
  <c r="R189" i="105"/>
  <c r="AB164" i="41"/>
  <c r="U36" i="112"/>
  <c r="U37" i="112"/>
  <c r="U50" i="112"/>
  <c r="U60" i="112" s="1"/>
  <c r="S36" i="112"/>
  <c r="S37" i="112"/>
  <c r="S50" i="112"/>
  <c r="S60" i="112" s="1"/>
  <c r="X57" i="80"/>
  <c r="X32" i="53"/>
  <c r="X34" i="53" s="1"/>
  <c r="AB189" i="105"/>
  <c r="AO200" i="105"/>
  <c r="R275" i="22"/>
  <c r="AI164" i="41"/>
  <c r="K32" i="53"/>
  <c r="K57" i="80"/>
  <c r="Q37" i="112"/>
  <c r="Q36" i="112"/>
  <c r="Q50" i="112"/>
  <c r="Q60" i="112" s="1"/>
  <c r="W48" i="53" l="1"/>
  <c r="W54" i="53" s="1"/>
  <c r="W93" i="53" s="1"/>
  <c r="T18" i="74"/>
  <c r="Y50" i="53"/>
  <c r="S16" i="111"/>
  <c r="M18" i="74"/>
  <c r="V34" i="53"/>
  <c r="V50" i="53" s="1"/>
  <c r="X59" i="80"/>
  <c r="H687" i="22"/>
  <c r="Q59" i="80"/>
  <c r="Q200" i="80" s="1"/>
  <c r="Q20" i="74" s="1"/>
  <c r="W50" i="53"/>
  <c r="T34" i="53"/>
  <c r="T50" i="53" s="1"/>
  <c r="R34" i="53"/>
  <c r="R48" i="53" s="1"/>
  <c r="R54" i="53" s="1"/>
  <c r="R93" i="53" s="1"/>
  <c r="V59" i="80"/>
  <c r="J18" i="74"/>
  <c r="M34" i="53"/>
  <c r="M71" i="53" s="1"/>
  <c r="M73" i="53" s="1"/>
  <c r="K59" i="80"/>
  <c r="K200" i="80" s="1"/>
  <c r="K20" i="74" s="1"/>
  <c r="K77" i="74" s="1"/>
  <c r="Q34" i="53"/>
  <c r="Q50" i="53" s="1"/>
  <c r="R59" i="80"/>
  <c r="S48" i="53"/>
  <c r="S54" i="53" s="1"/>
  <c r="S93" i="53" s="1"/>
  <c r="S50" i="53"/>
  <c r="S49" i="53"/>
  <c r="Q258" i="80"/>
  <c r="Q253" i="80"/>
  <c r="Q257" i="80"/>
  <c r="Q252" i="80"/>
  <c r="X49" i="53"/>
  <c r="X50" i="53"/>
  <c r="X48" i="53"/>
  <c r="X54" i="53" s="1"/>
  <c r="X93" i="53" s="1"/>
  <c r="X28" i="111"/>
  <c r="X34" i="111" s="1"/>
  <c r="X27" i="111"/>
  <c r="X33" i="111" s="1"/>
  <c r="Y27" i="111"/>
  <c r="Y33" i="111" s="1"/>
  <c r="Y28" i="111"/>
  <c r="Y34" i="111" s="1"/>
  <c r="J34" i="53"/>
  <c r="Q16" i="111"/>
  <c r="Q18" i="74"/>
  <c r="R18" i="74"/>
  <c r="R16" i="111"/>
  <c r="K18" i="74"/>
  <c r="K16" i="111"/>
  <c r="V28" i="111"/>
  <c r="V34" i="111" s="1"/>
  <c r="V27" i="111"/>
  <c r="V33" i="111" s="1"/>
  <c r="U48" i="53"/>
  <c r="U54" i="53" s="1"/>
  <c r="U93" i="53" s="1"/>
  <c r="U50" i="53"/>
  <c r="U49" i="53"/>
  <c r="W278" i="53"/>
  <c r="W272" i="53"/>
  <c r="W296" i="53"/>
  <c r="W289" i="53"/>
  <c r="W283" i="53"/>
  <c r="W273" i="53"/>
  <c r="W286" i="53"/>
  <c r="W285" i="53"/>
  <c r="W288" i="53"/>
  <c r="W298" i="53"/>
  <c r="W301" i="53"/>
  <c r="W275" i="53"/>
  <c r="W299" i="53"/>
  <c r="W276" i="53"/>
  <c r="W295" i="53"/>
  <c r="W297" i="53"/>
  <c r="W302" i="53"/>
  <c r="W277" i="53"/>
  <c r="W287" i="53"/>
  <c r="W280" i="53"/>
  <c r="W290" i="53"/>
  <c r="W300" i="53"/>
  <c r="W291" i="53"/>
  <c r="W279" i="53"/>
  <c r="W294" i="53"/>
  <c r="W284" i="53"/>
  <c r="W274" i="53"/>
  <c r="K34" i="53"/>
  <c r="J43" i="53" s="1"/>
  <c r="J49" i="53" s="1"/>
  <c r="Y296" i="53"/>
  <c r="Y285" i="53"/>
  <c r="Y277" i="53"/>
  <c r="Y274" i="53"/>
  <c r="Y300" i="53"/>
  <c r="Y299" i="53"/>
  <c r="Y290" i="53"/>
  <c r="Y289" i="53"/>
  <c r="Y295" i="53"/>
  <c r="Y298" i="53"/>
  <c r="Y279" i="53"/>
  <c r="Y294" i="53"/>
  <c r="Y273" i="53"/>
  <c r="Y288" i="53"/>
  <c r="Y276" i="53"/>
  <c r="Y286" i="53"/>
  <c r="Y301" i="53"/>
  <c r="Y302" i="53"/>
  <c r="Y272" i="53"/>
  <c r="Y283" i="53"/>
  <c r="Y287" i="53"/>
  <c r="Y275" i="53"/>
  <c r="Y280" i="53"/>
  <c r="Y297" i="53"/>
  <c r="Y291" i="53"/>
  <c r="Y278" i="53"/>
  <c r="Y284" i="53"/>
  <c r="T27" i="111"/>
  <c r="T33" i="111" s="1"/>
  <c r="T28" i="111"/>
  <c r="T34" i="111" s="1"/>
  <c r="M59" i="80"/>
  <c r="M200" i="80" s="1"/>
  <c r="M20" i="74" s="1"/>
  <c r="W27" i="111"/>
  <c r="W33" i="111" s="1"/>
  <c r="W28" i="111"/>
  <c r="W34" i="111" s="1"/>
  <c r="J17" i="111"/>
  <c r="U27" i="111"/>
  <c r="U33" i="111" s="1"/>
  <c r="U28" i="111"/>
  <c r="U34" i="111" s="1"/>
  <c r="J59" i="80"/>
  <c r="J200" i="80" s="1"/>
  <c r="V48" i="53"/>
  <c r="V54" i="53" s="1"/>
  <c r="V93" i="53" s="1"/>
  <c r="V49" i="53"/>
  <c r="J44" i="53"/>
  <c r="J50" i="53" s="1"/>
  <c r="K44" i="53"/>
  <c r="K50" i="53" s="1"/>
  <c r="J28" i="111"/>
  <c r="J34" i="111" s="1"/>
  <c r="J27" i="111"/>
  <c r="J33" i="111" s="1"/>
  <c r="M28" i="111"/>
  <c r="M34" i="111" s="1"/>
  <c r="M27" i="111"/>
  <c r="M33" i="111" s="1"/>
  <c r="T59" i="80"/>
  <c r="K166" i="41"/>
  <c r="K174" i="41" s="1"/>
  <c r="J172" i="41"/>
  <c r="J174" i="41" s="1"/>
  <c r="S28" i="111"/>
  <c r="S34" i="111" s="1"/>
  <c r="S27" i="111"/>
  <c r="S33" i="111" s="1"/>
  <c r="M69" i="53" l="1"/>
  <c r="Q256" i="80"/>
  <c r="Q255" i="80"/>
  <c r="T48" i="53"/>
  <c r="T54" i="53" s="1"/>
  <c r="T93" i="53" s="1"/>
  <c r="R49" i="53"/>
  <c r="R50" i="53"/>
  <c r="Q204" i="80"/>
  <c r="Q206" i="80" s="1"/>
  <c r="Q259" i="80"/>
  <c r="Q254" i="80"/>
  <c r="N689" i="22"/>
  <c r="P170" i="41" s="1"/>
  <c r="P172" i="41" s="1"/>
  <c r="L689" i="22"/>
  <c r="N170" i="41" s="1"/>
  <c r="N172" i="41" s="1"/>
  <c r="J689" i="22"/>
  <c r="K689" i="22"/>
  <c r="M170" i="41" s="1"/>
  <c r="M172" i="41" s="1"/>
  <c r="M689" i="22"/>
  <c r="O170" i="41" s="1"/>
  <c r="O172" i="41" s="1"/>
  <c r="K75" i="74"/>
  <c r="K72" i="74"/>
  <c r="T49" i="53"/>
  <c r="K74" i="74"/>
  <c r="K73" i="74"/>
  <c r="K76" i="74"/>
  <c r="K78" i="74"/>
  <c r="Q48" i="53"/>
  <c r="Q54" i="53" s="1"/>
  <c r="Q93" i="53" s="1"/>
  <c r="Q278" i="53" s="1"/>
  <c r="K43" i="53"/>
  <c r="K49" i="53" s="1"/>
  <c r="Q49" i="53"/>
  <c r="Y101" i="80"/>
  <c r="Y113" i="80" s="1"/>
  <c r="Y102" i="83"/>
  <c r="Y190" i="83" s="1"/>
  <c r="Y61" i="71" s="1"/>
  <c r="Y166" i="71" s="1"/>
  <c r="Y113" i="83"/>
  <c r="Y218" i="83" s="1"/>
  <c r="Y90" i="71" s="1"/>
  <c r="Y195" i="71" s="1"/>
  <c r="Y123" i="80"/>
  <c r="Y135" i="80" s="1"/>
  <c r="Y117" i="80"/>
  <c r="Y129" i="80" s="1"/>
  <c r="Y107" i="83"/>
  <c r="Y212" i="83" s="1"/>
  <c r="Y84" i="71" s="1"/>
  <c r="Y189" i="71" s="1"/>
  <c r="Y108" i="83"/>
  <c r="Y213" i="83" s="1"/>
  <c r="Y85" i="71" s="1"/>
  <c r="Y190" i="71" s="1"/>
  <c r="Y118" i="80"/>
  <c r="Y130" i="80" s="1"/>
  <c r="W112" i="83"/>
  <c r="W217" i="83" s="1"/>
  <c r="W89" i="71" s="1"/>
  <c r="W194" i="71" s="1"/>
  <c r="W122" i="80"/>
  <c r="W134" i="80" s="1"/>
  <c r="W86" i="83"/>
  <c r="W157" i="83" s="1"/>
  <c r="W27" i="71" s="1"/>
  <c r="W132" i="71" s="1"/>
  <c r="W74" i="80"/>
  <c r="W86" i="80" s="1"/>
  <c r="W83" i="83"/>
  <c r="W154" i="83" s="1"/>
  <c r="W24" i="71" s="1"/>
  <c r="W129" i="71" s="1"/>
  <c r="W71" i="80"/>
  <c r="W83" i="80" s="1"/>
  <c r="U300" i="53"/>
  <c r="U289" i="53"/>
  <c r="U278" i="53"/>
  <c r="U302" i="53"/>
  <c r="U275" i="53"/>
  <c r="U276" i="53"/>
  <c r="U273" i="53"/>
  <c r="U290" i="53"/>
  <c r="U291" i="53"/>
  <c r="U279" i="53"/>
  <c r="U274" i="53"/>
  <c r="U301" i="53"/>
  <c r="U285" i="53"/>
  <c r="U280" i="53"/>
  <c r="U294" i="53"/>
  <c r="U287" i="53"/>
  <c r="U296" i="53"/>
  <c r="U272" i="53"/>
  <c r="U288" i="53"/>
  <c r="U298" i="53"/>
  <c r="U297" i="53"/>
  <c r="U283" i="53"/>
  <c r="U299" i="53"/>
  <c r="U284" i="53"/>
  <c r="U286" i="53"/>
  <c r="U277" i="53"/>
  <c r="U295" i="53"/>
  <c r="R28" i="111"/>
  <c r="R34" i="111" s="1"/>
  <c r="R27" i="111"/>
  <c r="R33" i="111" s="1"/>
  <c r="Y109" i="83"/>
  <c r="Y214" i="83" s="1"/>
  <c r="Y86" i="71" s="1"/>
  <c r="Y191" i="71" s="1"/>
  <c r="Y119" i="80"/>
  <c r="Y131" i="80" s="1"/>
  <c r="Y100" i="83"/>
  <c r="Y188" i="83" s="1"/>
  <c r="Y59" i="71" s="1"/>
  <c r="Y164" i="71" s="1"/>
  <c r="Y99" i="80"/>
  <c r="Y111" i="80" s="1"/>
  <c r="W101" i="83"/>
  <c r="W189" i="83" s="1"/>
  <c r="W60" i="71" s="1"/>
  <c r="W165" i="71" s="1"/>
  <c r="W100" i="80"/>
  <c r="W112" i="80" s="1"/>
  <c r="W111" i="83"/>
  <c r="W216" i="83" s="1"/>
  <c r="W88" i="71" s="1"/>
  <c r="W193" i="71" s="1"/>
  <c r="W121" i="80"/>
  <c r="W133" i="80" s="1"/>
  <c r="Q76" i="74"/>
  <c r="Q75" i="74"/>
  <c r="Q78" i="74"/>
  <c r="Q74" i="74"/>
  <c r="Q73" i="74"/>
  <c r="Q77" i="74"/>
  <c r="Q72" i="74"/>
  <c r="R287" i="53"/>
  <c r="R283" i="53"/>
  <c r="R272" i="53"/>
  <c r="R294" i="53"/>
  <c r="R285" i="53"/>
  <c r="R290" i="53"/>
  <c r="R279" i="53"/>
  <c r="R280" i="53"/>
  <c r="R299" i="53"/>
  <c r="R274" i="53"/>
  <c r="R277" i="53"/>
  <c r="R295" i="53"/>
  <c r="R301" i="53"/>
  <c r="R275" i="53"/>
  <c r="R273" i="53"/>
  <c r="R278" i="53"/>
  <c r="R286" i="53"/>
  <c r="R302" i="53"/>
  <c r="R300" i="53"/>
  <c r="R276" i="53"/>
  <c r="R298" i="53"/>
  <c r="R288" i="53"/>
  <c r="R296" i="53"/>
  <c r="R291" i="53"/>
  <c r="R297" i="53"/>
  <c r="R289" i="53"/>
  <c r="R284" i="53"/>
  <c r="V285" i="53"/>
  <c r="V276" i="53"/>
  <c r="V284" i="53"/>
  <c r="V273" i="53"/>
  <c r="V300" i="53"/>
  <c r="V294" i="53"/>
  <c r="V297" i="53"/>
  <c r="V295" i="53"/>
  <c r="V279" i="53"/>
  <c r="V286" i="53"/>
  <c r="V278" i="53"/>
  <c r="V272" i="53"/>
  <c r="V275" i="53"/>
  <c r="V291" i="53"/>
  <c r="V287" i="53"/>
  <c r="V288" i="53"/>
  <c r="V289" i="53"/>
  <c r="V283" i="53"/>
  <c r="V298" i="53"/>
  <c r="V277" i="53"/>
  <c r="V302" i="53"/>
  <c r="V290" i="53"/>
  <c r="V296" i="53"/>
  <c r="V299" i="53"/>
  <c r="V280" i="53"/>
  <c r="V301" i="53"/>
  <c r="V274" i="53"/>
  <c r="Y90" i="83"/>
  <c r="Y161" i="83" s="1"/>
  <c r="Y31" i="71" s="1"/>
  <c r="Y136" i="71" s="1"/>
  <c r="Y78" i="80"/>
  <c r="Y90" i="80" s="1"/>
  <c r="Y86" i="83"/>
  <c r="Y157" i="83" s="1"/>
  <c r="Y27" i="71" s="1"/>
  <c r="Y132" i="71" s="1"/>
  <c r="Y74" i="80"/>
  <c r="Y86" i="80" s="1"/>
  <c r="Y101" i="83"/>
  <c r="Y189" i="83" s="1"/>
  <c r="Y60" i="71" s="1"/>
  <c r="Y165" i="71" s="1"/>
  <c r="Y100" i="80"/>
  <c r="Y112" i="80" s="1"/>
  <c r="K71" i="53"/>
  <c r="K73" i="53" s="1"/>
  <c r="K69" i="53"/>
  <c r="W90" i="83"/>
  <c r="W161" i="83" s="1"/>
  <c r="W31" i="71" s="1"/>
  <c r="W136" i="71" s="1"/>
  <c r="W78" i="80"/>
  <c r="W90" i="80" s="1"/>
  <c r="W85" i="83"/>
  <c r="W156" i="83" s="1"/>
  <c r="W26" i="71" s="1"/>
  <c r="W131" i="71" s="1"/>
  <c r="W73" i="80"/>
  <c r="W85" i="80" s="1"/>
  <c r="W100" i="83"/>
  <c r="W188" i="83" s="1"/>
  <c r="W59" i="71" s="1"/>
  <c r="W164" i="71" s="1"/>
  <c r="W99" i="80"/>
  <c r="W111" i="80" s="1"/>
  <c r="Q287" i="53"/>
  <c r="Q274" i="53"/>
  <c r="Q302" i="53"/>
  <c r="Y96" i="80"/>
  <c r="Y108" i="80" s="1"/>
  <c r="Y97" i="83"/>
  <c r="Y185" i="83" s="1"/>
  <c r="Y56" i="71" s="1"/>
  <c r="Y161" i="71" s="1"/>
  <c r="W93" i="80"/>
  <c r="W105" i="80" s="1"/>
  <c r="W94" i="83"/>
  <c r="W182" i="83" s="1"/>
  <c r="W53" i="71" s="1"/>
  <c r="W158" i="71" s="1"/>
  <c r="W93" i="83"/>
  <c r="W181" i="83" s="1"/>
  <c r="W52" i="71" s="1"/>
  <c r="W157" i="71" s="1"/>
  <c r="M77" i="74"/>
  <c r="M73" i="74"/>
  <c r="M75" i="74"/>
  <c r="M72" i="74"/>
  <c r="M78" i="74"/>
  <c r="M74" i="74"/>
  <c r="M76" i="74"/>
  <c r="Y85" i="83"/>
  <c r="Y156" i="83" s="1"/>
  <c r="Y26" i="71" s="1"/>
  <c r="Y131" i="71" s="1"/>
  <c r="Y73" i="80"/>
  <c r="Y85" i="80" s="1"/>
  <c r="Y99" i="83"/>
  <c r="Y187" i="83" s="1"/>
  <c r="Y58" i="71" s="1"/>
  <c r="Y163" i="71" s="1"/>
  <c r="Y98" i="80"/>
  <c r="Y110" i="80" s="1"/>
  <c r="Y111" i="83"/>
  <c r="Y216" i="83" s="1"/>
  <c r="Y88" i="71" s="1"/>
  <c r="Y193" i="71" s="1"/>
  <c r="Y121" i="80"/>
  <c r="Y133" i="80" s="1"/>
  <c r="W84" i="83"/>
  <c r="W155" i="83" s="1"/>
  <c r="W25" i="71" s="1"/>
  <c r="W130" i="71" s="1"/>
  <c r="W72" i="80"/>
  <c r="W84" i="80" s="1"/>
  <c r="W98" i="83"/>
  <c r="W186" i="83" s="1"/>
  <c r="W57" i="71" s="1"/>
  <c r="W162" i="71" s="1"/>
  <c r="W97" i="80"/>
  <c r="W109" i="80" s="1"/>
  <c r="W113" i="83"/>
  <c r="W218" i="83" s="1"/>
  <c r="W90" i="71" s="1"/>
  <c r="W195" i="71" s="1"/>
  <c r="W123" i="80"/>
  <c r="W135" i="80" s="1"/>
  <c r="W118" i="80"/>
  <c r="W130" i="80" s="1"/>
  <c r="W108" i="83"/>
  <c r="W213" i="83" s="1"/>
  <c r="W85" i="71" s="1"/>
  <c r="W190" i="71" s="1"/>
  <c r="Q28" i="111"/>
  <c r="Q34" i="111" s="1"/>
  <c r="Q27" i="111"/>
  <c r="Q33" i="111" s="1"/>
  <c r="Y98" i="83"/>
  <c r="Y186" i="83" s="1"/>
  <c r="Y57" i="71" s="1"/>
  <c r="Y162" i="71" s="1"/>
  <c r="Y97" i="80"/>
  <c r="Y109" i="80" s="1"/>
  <c r="Y71" i="80"/>
  <c r="Y83" i="80" s="1"/>
  <c r="Y83" i="83"/>
  <c r="Y154" i="83" s="1"/>
  <c r="Y24" i="71" s="1"/>
  <c r="Y129" i="71" s="1"/>
  <c r="Y112" i="83"/>
  <c r="Y217" i="83" s="1"/>
  <c r="Y89" i="71" s="1"/>
  <c r="Y194" i="71" s="1"/>
  <c r="Y122" i="80"/>
  <c r="Y134" i="80" s="1"/>
  <c r="W95" i="83"/>
  <c r="W183" i="83" s="1"/>
  <c r="W54" i="71" s="1"/>
  <c r="W159" i="71" s="1"/>
  <c r="W94" i="80"/>
  <c r="W106" i="80" s="1"/>
  <c r="W87" i="83"/>
  <c r="W158" i="83" s="1"/>
  <c r="W28" i="71" s="1"/>
  <c r="W133" i="71" s="1"/>
  <c r="W75" i="80"/>
  <c r="W87" i="80" s="1"/>
  <c r="W110" i="83"/>
  <c r="W215" i="83" s="1"/>
  <c r="W87" i="71" s="1"/>
  <c r="W192" i="71" s="1"/>
  <c r="W120" i="80"/>
  <c r="W132" i="80" s="1"/>
  <c r="W81" i="83"/>
  <c r="W152" i="83" s="1"/>
  <c r="W82" i="83"/>
  <c r="W153" i="83" s="1"/>
  <c r="W23" i="71" s="1"/>
  <c r="W128" i="71" s="1"/>
  <c r="W70" i="80"/>
  <c r="W82" i="80" s="1"/>
  <c r="T290" i="53"/>
  <c r="T280" i="53"/>
  <c r="T296" i="53"/>
  <c r="T300" i="53"/>
  <c r="T275" i="53"/>
  <c r="T285" i="53"/>
  <c r="T289" i="53"/>
  <c r="T302" i="53"/>
  <c r="T283" i="53"/>
  <c r="T274" i="53"/>
  <c r="T299" i="53"/>
  <c r="T278" i="53"/>
  <c r="T295" i="53"/>
  <c r="T286" i="53"/>
  <c r="T272" i="53"/>
  <c r="T277" i="53"/>
  <c r="T273" i="53"/>
  <c r="T279" i="53"/>
  <c r="T298" i="53"/>
  <c r="T294" i="53"/>
  <c r="T288" i="53"/>
  <c r="T284" i="53"/>
  <c r="T287" i="53"/>
  <c r="T301" i="53"/>
  <c r="T276" i="53"/>
  <c r="T291" i="53"/>
  <c r="T297" i="53"/>
  <c r="J256" i="80"/>
  <c r="J254" i="80"/>
  <c r="J204" i="80"/>
  <c r="J206" i="80" s="1"/>
  <c r="J253" i="80"/>
  <c r="J259" i="80"/>
  <c r="J255" i="80"/>
  <c r="J257" i="80"/>
  <c r="J258" i="80"/>
  <c r="J252" i="80"/>
  <c r="J20" i="74"/>
  <c r="Y93" i="80"/>
  <c r="Y105" i="80" s="1"/>
  <c r="Y93" i="83"/>
  <c r="Y181" i="83" s="1"/>
  <c r="Y52" i="71" s="1"/>
  <c r="Y157" i="71" s="1"/>
  <c r="Y94" i="83"/>
  <c r="Y182" i="83" s="1"/>
  <c r="Y53" i="71" s="1"/>
  <c r="Y158" i="71" s="1"/>
  <c r="Y106" i="83"/>
  <c r="Y211" i="83" s="1"/>
  <c r="Y83" i="71" s="1"/>
  <c r="Y188" i="71" s="1"/>
  <c r="Y105" i="83"/>
  <c r="Y210" i="83" s="1"/>
  <c r="Y82" i="71" s="1"/>
  <c r="Y187" i="71" s="1"/>
  <c r="Y116" i="80"/>
  <c r="Y128" i="80" s="1"/>
  <c r="Y84" i="83"/>
  <c r="Y155" i="83" s="1"/>
  <c r="Y25" i="71" s="1"/>
  <c r="Y130" i="71" s="1"/>
  <c r="Y72" i="80"/>
  <c r="Y84" i="80" s="1"/>
  <c r="W116" i="80"/>
  <c r="W128" i="80" s="1"/>
  <c r="W105" i="83"/>
  <c r="W210" i="83" s="1"/>
  <c r="W82" i="71" s="1"/>
  <c r="W187" i="71" s="1"/>
  <c r="W106" i="83"/>
  <c r="W211" i="83" s="1"/>
  <c r="W83" i="71" s="1"/>
  <c r="W188" i="71" s="1"/>
  <c r="W114" i="83"/>
  <c r="W219" i="83" s="1"/>
  <c r="W91" i="71" s="1"/>
  <c r="W196" i="71" s="1"/>
  <c r="W124" i="80"/>
  <c r="W136" i="80" s="1"/>
  <c r="W99" i="83"/>
  <c r="W187" i="83" s="1"/>
  <c r="W58" i="71" s="1"/>
  <c r="W163" i="71" s="1"/>
  <c r="W98" i="80"/>
  <c r="W110" i="80" s="1"/>
  <c r="W76" i="80"/>
  <c r="W88" i="80" s="1"/>
  <c r="W88" i="83"/>
  <c r="W159" i="83" s="1"/>
  <c r="W29" i="71" s="1"/>
  <c r="W134" i="71" s="1"/>
  <c r="J42" i="53"/>
  <c r="J48" i="53" s="1"/>
  <c r="J54" i="53" s="1"/>
  <c r="X294" i="53"/>
  <c r="X275" i="53"/>
  <c r="X290" i="53"/>
  <c r="X283" i="53"/>
  <c r="X300" i="53"/>
  <c r="X298" i="53"/>
  <c r="X279" i="53"/>
  <c r="X280" i="53"/>
  <c r="X278" i="53"/>
  <c r="X276" i="53"/>
  <c r="X284" i="53"/>
  <c r="X277" i="53"/>
  <c r="X297" i="53"/>
  <c r="X301" i="53"/>
  <c r="X288" i="53"/>
  <c r="X289" i="53"/>
  <c r="X302" i="53"/>
  <c r="X287" i="53"/>
  <c r="X273" i="53"/>
  <c r="X295" i="53"/>
  <c r="X272" i="53"/>
  <c r="X296" i="53"/>
  <c r="X274" i="53"/>
  <c r="X286" i="53"/>
  <c r="X299" i="53"/>
  <c r="X291" i="53"/>
  <c r="X285" i="53"/>
  <c r="Y94" i="80"/>
  <c r="Y106" i="80" s="1"/>
  <c r="Y95" i="83"/>
  <c r="Y183" i="83" s="1"/>
  <c r="Y54" i="71" s="1"/>
  <c r="Y159" i="71" s="1"/>
  <c r="Y70" i="80"/>
  <c r="Y82" i="80" s="1"/>
  <c r="Y82" i="83"/>
  <c r="Y153" i="83" s="1"/>
  <c r="Y23" i="71" s="1"/>
  <c r="Y128" i="71" s="1"/>
  <c r="Y81" i="83"/>
  <c r="Y152" i="83" s="1"/>
  <c r="Y89" i="83"/>
  <c r="Y160" i="83" s="1"/>
  <c r="Y30" i="71" s="1"/>
  <c r="Y135" i="71" s="1"/>
  <c r="Y77" i="80"/>
  <c r="Y89" i="80" s="1"/>
  <c r="Y75" i="80"/>
  <c r="Y87" i="80" s="1"/>
  <c r="Y87" i="83"/>
  <c r="Y158" i="83" s="1"/>
  <c r="Y28" i="71" s="1"/>
  <c r="Y133" i="71" s="1"/>
  <c r="W89" i="83"/>
  <c r="W160" i="83" s="1"/>
  <c r="W30" i="71" s="1"/>
  <c r="W135" i="71" s="1"/>
  <c r="W77" i="80"/>
  <c r="W89" i="80" s="1"/>
  <c r="W109" i="83"/>
  <c r="W214" i="83" s="1"/>
  <c r="W86" i="71" s="1"/>
  <c r="W191" i="71" s="1"/>
  <c r="W119" i="80"/>
  <c r="W131" i="80" s="1"/>
  <c r="W96" i="83"/>
  <c r="W184" i="83" s="1"/>
  <c r="W55" i="71" s="1"/>
  <c r="W160" i="71" s="1"/>
  <c r="W95" i="80"/>
  <c r="W107" i="80" s="1"/>
  <c r="K28" i="111"/>
  <c r="K34" i="111" s="1"/>
  <c r="K27" i="111"/>
  <c r="K33" i="111" s="1"/>
  <c r="K42" i="53"/>
  <c r="K48" i="53" s="1"/>
  <c r="K54" i="53" s="1"/>
  <c r="J69" i="53"/>
  <c r="J71" i="53"/>
  <c r="J73" i="53" s="1"/>
  <c r="Y88" i="83"/>
  <c r="Y159" i="83" s="1"/>
  <c r="Y29" i="71" s="1"/>
  <c r="Y134" i="71" s="1"/>
  <c r="Y76" i="80"/>
  <c r="Y88" i="80" s="1"/>
  <c r="Y124" i="80"/>
  <c r="Y136" i="80" s="1"/>
  <c r="Y114" i="83"/>
  <c r="Y219" i="83" s="1"/>
  <c r="Y91" i="71" s="1"/>
  <c r="Y196" i="71" s="1"/>
  <c r="Y110" i="83"/>
  <c r="Y215" i="83" s="1"/>
  <c r="Y87" i="71" s="1"/>
  <c r="Y192" i="71" s="1"/>
  <c r="Y120" i="80"/>
  <c r="Y132" i="80" s="1"/>
  <c r="Y95" i="80"/>
  <c r="Y107" i="80" s="1"/>
  <c r="Y96" i="83"/>
  <c r="Y184" i="83" s="1"/>
  <c r="Y55" i="71" s="1"/>
  <c r="Y160" i="71" s="1"/>
  <c r="W102" i="83"/>
  <c r="W190" i="83" s="1"/>
  <c r="W61" i="71" s="1"/>
  <c r="W166" i="71" s="1"/>
  <c r="W101" i="80"/>
  <c r="W113" i="80" s="1"/>
  <c r="W117" i="80"/>
  <c r="W129" i="80" s="1"/>
  <c r="W107" i="83"/>
  <c r="W212" i="83" s="1"/>
  <c r="W84" i="71" s="1"/>
  <c r="W189" i="71" s="1"/>
  <c r="W96" i="80"/>
  <c r="W108" i="80" s="1"/>
  <c r="W97" i="83"/>
  <c r="W185" i="83" s="1"/>
  <c r="W56" i="71" s="1"/>
  <c r="W161" i="71" s="1"/>
  <c r="S283" i="53"/>
  <c r="S280" i="53"/>
  <c r="S294" i="53"/>
  <c r="S272" i="53"/>
  <c r="S295" i="53"/>
  <c r="S290" i="53"/>
  <c r="S299" i="53"/>
  <c r="S275" i="53"/>
  <c r="S302" i="53"/>
  <c r="S286" i="53"/>
  <c r="S287" i="53"/>
  <c r="S278" i="53"/>
  <c r="S285" i="53"/>
  <c r="S274" i="53"/>
  <c r="S279" i="53"/>
  <c r="S277" i="53"/>
  <c r="S300" i="53"/>
  <c r="S276" i="53"/>
  <c r="S273" i="53"/>
  <c r="S301" i="53"/>
  <c r="S284" i="53"/>
  <c r="S289" i="53"/>
  <c r="S297" i="53"/>
  <c r="S291" i="53"/>
  <c r="S298" i="53"/>
  <c r="S296" i="53"/>
  <c r="S288" i="53"/>
  <c r="Q300" i="53" l="1"/>
  <c r="Q299" i="53"/>
  <c r="Q297" i="53"/>
  <c r="Q277" i="53"/>
  <c r="L161" i="22"/>
  <c r="P71" i="22"/>
  <c r="L135" i="22"/>
  <c r="P164" i="22"/>
  <c r="P634" i="22" s="1"/>
  <c r="AC47" i="105" s="1"/>
  <c r="P72" i="22"/>
  <c r="P558" i="22" s="1"/>
  <c r="AC27" i="105" s="1"/>
  <c r="L114" i="22"/>
  <c r="P70" i="22"/>
  <c r="P166" i="22"/>
  <c r="L117" i="22"/>
  <c r="L173" i="22"/>
  <c r="L69" i="22"/>
  <c r="L126" i="22"/>
  <c r="L88" i="22"/>
  <c r="L70" i="22"/>
  <c r="L116" i="22"/>
  <c r="L79" i="22"/>
  <c r="P88" i="22"/>
  <c r="L163" i="22"/>
  <c r="P79" i="22"/>
  <c r="L68" i="22"/>
  <c r="L534" i="22" s="1"/>
  <c r="M23" i="105" s="1"/>
  <c r="L182" i="22"/>
  <c r="L164" i="22"/>
  <c r="P173" i="22"/>
  <c r="L115" i="22"/>
  <c r="L578" i="22" s="1"/>
  <c r="M34" i="105" s="1"/>
  <c r="P165" i="22"/>
  <c r="P182" i="22"/>
  <c r="Q298" i="53"/>
  <c r="Q285" i="53"/>
  <c r="Q96" i="83" s="1"/>
  <c r="Q184" i="83" s="1"/>
  <c r="Q55" i="71" s="1"/>
  <c r="Q160" i="71" s="1"/>
  <c r="Q291" i="53"/>
  <c r="Q102" i="83" s="1"/>
  <c r="Q190" i="83" s="1"/>
  <c r="Q61" i="71" s="1"/>
  <c r="Q166" i="71" s="1"/>
  <c r="Q288" i="53"/>
  <c r="Q273" i="53"/>
  <c r="Q83" i="83" s="1"/>
  <c r="Q154" i="83" s="1"/>
  <c r="Q24" i="71" s="1"/>
  <c r="Q129" i="71" s="1"/>
  <c r="Q276" i="53"/>
  <c r="Q86" i="83" s="1"/>
  <c r="Q157" i="83" s="1"/>
  <c r="Q27" i="71" s="1"/>
  <c r="Q132" i="71" s="1"/>
  <c r="Q296" i="53"/>
  <c r="Q108" i="83" s="1"/>
  <c r="Q213" i="83" s="1"/>
  <c r="Q85" i="71" s="1"/>
  <c r="Q190" i="71" s="1"/>
  <c r="Q280" i="53"/>
  <c r="Q90" i="83" s="1"/>
  <c r="Q161" i="83" s="1"/>
  <c r="Q31" i="71" s="1"/>
  <c r="Q136" i="71" s="1"/>
  <c r="Q272" i="53"/>
  <c r="Q295" i="53"/>
  <c r="Q117" i="80" s="1"/>
  <c r="Q129" i="80" s="1"/>
  <c r="Q294" i="53"/>
  <c r="Q116" i="80" s="1"/>
  <c r="Q128" i="80" s="1"/>
  <c r="Q289" i="53"/>
  <c r="Q99" i="80" s="1"/>
  <c r="Q111" i="80" s="1"/>
  <c r="Q284" i="53"/>
  <c r="Q95" i="83" s="1"/>
  <c r="Q183" i="83" s="1"/>
  <c r="Q54" i="71" s="1"/>
  <c r="Q159" i="71" s="1"/>
  <c r="Q290" i="53"/>
  <c r="Q100" i="80" s="1"/>
  <c r="Q112" i="80" s="1"/>
  <c r="Q279" i="53"/>
  <c r="Q77" i="80" s="1"/>
  <c r="Q89" i="80" s="1"/>
  <c r="Q275" i="53"/>
  <c r="Q85" i="83" s="1"/>
  <c r="Q156" i="83" s="1"/>
  <c r="Q26" i="71" s="1"/>
  <c r="Q131" i="71" s="1"/>
  <c r="Q283" i="53"/>
  <c r="Q301" i="53"/>
  <c r="Q113" i="83" s="1"/>
  <c r="Q218" i="83" s="1"/>
  <c r="Q90" i="71" s="1"/>
  <c r="Q195" i="71" s="1"/>
  <c r="Q286" i="53"/>
  <c r="Q97" i="83" s="1"/>
  <c r="Q185" i="83" s="1"/>
  <c r="Q56" i="71" s="1"/>
  <c r="Q161" i="71" s="1"/>
  <c r="Y142" i="80"/>
  <c r="Y168" i="80" s="1"/>
  <c r="Y269" i="80" s="1"/>
  <c r="W149" i="80"/>
  <c r="W175" i="80" s="1"/>
  <c r="W276" i="80" s="1"/>
  <c r="Y147" i="80"/>
  <c r="Y173" i="80" s="1"/>
  <c r="Y274" i="80" s="1"/>
  <c r="Y149" i="80"/>
  <c r="Y175" i="80" s="1"/>
  <c r="Y276" i="80" s="1"/>
  <c r="Y145" i="80"/>
  <c r="Y171" i="80" s="1"/>
  <c r="Y272" i="80" s="1"/>
  <c r="W148" i="80"/>
  <c r="W174" i="80" s="1"/>
  <c r="W275" i="80" s="1"/>
  <c r="S98" i="83"/>
  <c r="S186" i="83" s="1"/>
  <c r="S57" i="71" s="1"/>
  <c r="S162" i="71" s="1"/>
  <c r="S97" i="80"/>
  <c r="S109" i="80" s="1"/>
  <c r="Y22" i="71"/>
  <c r="Y127" i="71" s="1"/>
  <c r="X84" i="83"/>
  <c r="X155" i="83" s="1"/>
  <c r="X25" i="71" s="1"/>
  <c r="X130" i="71" s="1"/>
  <c r="X72" i="80"/>
  <c r="X84" i="80" s="1"/>
  <c r="X99" i="83"/>
  <c r="X187" i="83" s="1"/>
  <c r="X58" i="71" s="1"/>
  <c r="X163" i="71" s="1"/>
  <c r="X98" i="80"/>
  <c r="X110" i="80" s="1"/>
  <c r="X89" i="83"/>
  <c r="X160" i="83" s="1"/>
  <c r="X30" i="71" s="1"/>
  <c r="X135" i="71" s="1"/>
  <c r="X77" i="80"/>
  <c r="X89" i="80" s="1"/>
  <c r="T113" i="83"/>
  <c r="T218" i="83" s="1"/>
  <c r="T90" i="71" s="1"/>
  <c r="T195" i="71" s="1"/>
  <c r="T123" i="80"/>
  <c r="T135" i="80" s="1"/>
  <c r="T87" i="83"/>
  <c r="T158" i="83" s="1"/>
  <c r="T28" i="71" s="1"/>
  <c r="T133" i="71" s="1"/>
  <c r="T75" i="80"/>
  <c r="T87" i="80" s="1"/>
  <c r="T124" i="80"/>
  <c r="T136" i="80" s="1"/>
  <c r="T114" i="83"/>
  <c r="T219" i="83" s="1"/>
  <c r="T91" i="71" s="1"/>
  <c r="T196" i="71" s="1"/>
  <c r="L634" i="22"/>
  <c r="M47" i="105" s="1"/>
  <c r="L376" i="22"/>
  <c r="P547" i="22"/>
  <c r="AD25" i="105" s="1"/>
  <c r="Q106" i="83"/>
  <c r="Q211" i="83" s="1"/>
  <c r="Q83" i="71" s="1"/>
  <c r="Q188" i="71" s="1"/>
  <c r="Q94" i="80"/>
  <c r="Q106" i="80" s="1"/>
  <c r="V78" i="80"/>
  <c r="V90" i="80" s="1"/>
  <c r="V90" i="83"/>
  <c r="V161" i="83" s="1"/>
  <c r="V31" i="71" s="1"/>
  <c r="V136" i="71" s="1"/>
  <c r="V100" i="83"/>
  <c r="V188" i="83" s="1"/>
  <c r="V59" i="71" s="1"/>
  <c r="V164" i="71" s="1"/>
  <c r="V99" i="80"/>
  <c r="V111" i="80" s="1"/>
  <c r="V77" i="80"/>
  <c r="V89" i="80" s="1"/>
  <c r="V89" i="83"/>
  <c r="V160" i="83" s="1"/>
  <c r="V30" i="71" s="1"/>
  <c r="V135" i="71" s="1"/>
  <c r="V95" i="80"/>
  <c r="V107" i="80" s="1"/>
  <c r="V96" i="83"/>
  <c r="V184" i="83" s="1"/>
  <c r="V55" i="71" s="1"/>
  <c r="V160" i="71" s="1"/>
  <c r="R86" i="83"/>
  <c r="R157" i="83" s="1"/>
  <c r="R27" i="71" s="1"/>
  <c r="R132" i="71" s="1"/>
  <c r="R74" i="80"/>
  <c r="R86" i="80" s="1"/>
  <c r="R107" i="83"/>
  <c r="R212" i="83" s="1"/>
  <c r="R84" i="71" s="1"/>
  <c r="R189" i="71" s="1"/>
  <c r="R117" i="80"/>
  <c r="R129" i="80" s="1"/>
  <c r="R105" i="83"/>
  <c r="R210" i="83" s="1"/>
  <c r="R82" i="71" s="1"/>
  <c r="R187" i="71" s="1"/>
  <c r="R116" i="80"/>
  <c r="R128" i="80" s="1"/>
  <c r="R106" i="83"/>
  <c r="R211" i="83" s="1"/>
  <c r="R83" i="71" s="1"/>
  <c r="R188" i="71" s="1"/>
  <c r="U120" i="80"/>
  <c r="U132" i="80" s="1"/>
  <c r="U110" i="83"/>
  <c r="U215" i="83" s="1"/>
  <c r="U87" i="71" s="1"/>
  <c r="U192" i="71" s="1"/>
  <c r="U113" i="83"/>
  <c r="U218" i="83" s="1"/>
  <c r="U90" i="71" s="1"/>
  <c r="U195" i="71" s="1"/>
  <c r="U123" i="80"/>
  <c r="U135" i="80" s="1"/>
  <c r="U124" i="80"/>
  <c r="U136" i="80" s="1"/>
  <c r="U114" i="83"/>
  <c r="U219" i="83" s="1"/>
  <c r="U91" i="71" s="1"/>
  <c r="U196" i="71" s="1"/>
  <c r="J79" i="53"/>
  <c r="J85" i="53" s="1"/>
  <c r="K79" i="53"/>
  <c r="K85" i="53" s="1"/>
  <c r="X118" i="80"/>
  <c r="X130" i="80" s="1"/>
  <c r="X108" i="83"/>
  <c r="X213" i="83" s="1"/>
  <c r="X85" i="71" s="1"/>
  <c r="X190" i="71" s="1"/>
  <c r="X113" i="83"/>
  <c r="X218" i="83" s="1"/>
  <c r="X90" i="71" s="1"/>
  <c r="X195" i="71" s="1"/>
  <c r="X123" i="80"/>
  <c r="X135" i="80" s="1"/>
  <c r="X120" i="80"/>
  <c r="X132" i="80" s="1"/>
  <c r="X110" i="83"/>
  <c r="X215" i="83" s="1"/>
  <c r="X87" i="71" s="1"/>
  <c r="X192" i="71" s="1"/>
  <c r="T98" i="83"/>
  <c r="T186" i="83" s="1"/>
  <c r="T57" i="71" s="1"/>
  <c r="T162" i="71" s="1"/>
  <c r="T97" i="80"/>
  <c r="T109" i="80" s="1"/>
  <c r="T70" i="80"/>
  <c r="T82" i="80" s="1"/>
  <c r="T81" i="83"/>
  <c r="T152" i="83" s="1"/>
  <c r="T82" i="83"/>
  <c r="T153" i="83" s="1"/>
  <c r="T23" i="71" s="1"/>
  <c r="T128" i="71" s="1"/>
  <c r="T100" i="83"/>
  <c r="T188" i="83" s="1"/>
  <c r="T59" i="71" s="1"/>
  <c r="T164" i="71" s="1"/>
  <c r="T99" i="80"/>
  <c r="T111" i="80" s="1"/>
  <c r="W142" i="80"/>
  <c r="W168" i="80" s="1"/>
  <c r="W269" i="80" s="1"/>
  <c r="L546" i="22"/>
  <c r="M25" i="105" s="1"/>
  <c r="P635" i="22"/>
  <c r="AD47" i="105" s="1"/>
  <c r="P405" i="22"/>
  <c r="P414" i="22" s="1"/>
  <c r="P501" i="22" s="1"/>
  <c r="AD56" i="41" s="1"/>
  <c r="Q89" i="83"/>
  <c r="Q160" i="83" s="1"/>
  <c r="Q30" i="71" s="1"/>
  <c r="Q135" i="71" s="1"/>
  <c r="Q94" i="83"/>
  <c r="Q182" i="83" s="1"/>
  <c r="Q53" i="71" s="1"/>
  <c r="Q158" i="71" s="1"/>
  <c r="Q93" i="83"/>
  <c r="Q181" i="83" s="1"/>
  <c r="Q52" i="71" s="1"/>
  <c r="Q157" i="71" s="1"/>
  <c r="Q93" i="80"/>
  <c r="Q105" i="80" s="1"/>
  <c r="V111" i="83"/>
  <c r="V216" i="83" s="1"/>
  <c r="V88" i="71" s="1"/>
  <c r="V193" i="71" s="1"/>
  <c r="V121" i="80"/>
  <c r="V133" i="80" s="1"/>
  <c r="V99" i="83"/>
  <c r="V187" i="83" s="1"/>
  <c r="V58" i="71" s="1"/>
  <c r="V163" i="71" s="1"/>
  <c r="V98" i="80"/>
  <c r="V110" i="80" s="1"/>
  <c r="V107" i="83"/>
  <c r="V212" i="83" s="1"/>
  <c r="V84" i="71" s="1"/>
  <c r="V189" i="71" s="1"/>
  <c r="V117" i="80"/>
  <c r="V129" i="80" s="1"/>
  <c r="R94" i="80"/>
  <c r="R106" i="80" s="1"/>
  <c r="R95" i="83"/>
  <c r="R183" i="83" s="1"/>
  <c r="R54" i="71" s="1"/>
  <c r="R159" i="71" s="1"/>
  <c r="R112" i="83"/>
  <c r="R217" i="83" s="1"/>
  <c r="R89" i="71" s="1"/>
  <c r="R194" i="71" s="1"/>
  <c r="R122" i="80"/>
  <c r="R134" i="80" s="1"/>
  <c r="R87" i="83"/>
  <c r="R158" i="83" s="1"/>
  <c r="R28" i="71" s="1"/>
  <c r="R133" i="71" s="1"/>
  <c r="R75" i="80"/>
  <c r="R87" i="80" s="1"/>
  <c r="R82" i="83"/>
  <c r="R153" i="83" s="1"/>
  <c r="R23" i="71" s="1"/>
  <c r="R128" i="71" s="1"/>
  <c r="R81" i="83"/>
  <c r="R152" i="83" s="1"/>
  <c r="R70" i="80"/>
  <c r="R82" i="80" s="1"/>
  <c r="U107" i="83"/>
  <c r="U212" i="83" s="1"/>
  <c r="U84" i="71" s="1"/>
  <c r="U189" i="71" s="1"/>
  <c r="U117" i="80"/>
  <c r="U129" i="80" s="1"/>
  <c r="U99" i="83"/>
  <c r="U187" i="83" s="1"/>
  <c r="U58" i="71" s="1"/>
  <c r="U163" i="71" s="1"/>
  <c r="U98" i="80"/>
  <c r="U110" i="80" s="1"/>
  <c r="U84" i="83"/>
  <c r="U155" i="83" s="1"/>
  <c r="U25" i="71" s="1"/>
  <c r="U130" i="71" s="1"/>
  <c r="U72" i="80"/>
  <c r="U84" i="80" s="1"/>
  <c r="U88" i="83"/>
  <c r="U159" i="83" s="1"/>
  <c r="U29" i="71" s="1"/>
  <c r="U134" i="71" s="1"/>
  <c r="U76" i="80"/>
  <c r="U88" i="80" s="1"/>
  <c r="S82" i="83"/>
  <c r="S153" i="83" s="1"/>
  <c r="S23" i="71" s="1"/>
  <c r="S128" i="71" s="1"/>
  <c r="S81" i="83"/>
  <c r="S152" i="83" s="1"/>
  <c r="S70" i="80"/>
  <c r="S82" i="80" s="1"/>
  <c r="S99" i="83"/>
  <c r="S187" i="83" s="1"/>
  <c r="S58" i="71" s="1"/>
  <c r="S163" i="71" s="1"/>
  <c r="S98" i="80"/>
  <c r="S110" i="80" s="1"/>
  <c r="S118" i="80"/>
  <c r="S130" i="80" s="1"/>
  <c r="S108" i="83"/>
  <c r="S213" i="83" s="1"/>
  <c r="S85" i="71" s="1"/>
  <c r="S190" i="71" s="1"/>
  <c r="S97" i="83"/>
  <c r="S185" i="83" s="1"/>
  <c r="S56" i="71" s="1"/>
  <c r="S161" i="71" s="1"/>
  <c r="S96" i="80"/>
  <c r="S108" i="80" s="1"/>
  <c r="S90" i="83"/>
  <c r="S161" i="83" s="1"/>
  <c r="S31" i="71" s="1"/>
  <c r="S136" i="71" s="1"/>
  <c r="S78" i="80"/>
  <c r="S90" i="80" s="1"/>
  <c r="S110" i="83"/>
  <c r="S215" i="83" s="1"/>
  <c r="S87" i="71" s="1"/>
  <c r="S192" i="71" s="1"/>
  <c r="S120" i="80"/>
  <c r="S132" i="80" s="1"/>
  <c r="S112" i="83"/>
  <c r="S217" i="83" s="1"/>
  <c r="S89" i="71" s="1"/>
  <c r="S194" i="71" s="1"/>
  <c r="S122" i="80"/>
  <c r="S134" i="80" s="1"/>
  <c r="S114" i="83"/>
  <c r="S219" i="83" s="1"/>
  <c r="S91" i="71" s="1"/>
  <c r="S196" i="71" s="1"/>
  <c r="S124" i="80"/>
  <c r="S136" i="80" s="1"/>
  <c r="S93" i="80"/>
  <c r="S105" i="80" s="1"/>
  <c r="S94" i="83"/>
  <c r="S182" i="83" s="1"/>
  <c r="S53" i="71" s="1"/>
  <c r="S158" i="71" s="1"/>
  <c r="S93" i="83"/>
  <c r="S181" i="83" s="1"/>
  <c r="S52" i="71" s="1"/>
  <c r="S157" i="71" s="1"/>
  <c r="K77" i="53"/>
  <c r="K83" i="53" s="1"/>
  <c r="J77" i="53"/>
  <c r="J83" i="53" s="1"/>
  <c r="X82" i="83"/>
  <c r="X153" i="83" s="1"/>
  <c r="X23" i="71" s="1"/>
  <c r="X128" i="71" s="1"/>
  <c r="X81" i="83"/>
  <c r="X152" i="83" s="1"/>
  <c r="X70" i="80"/>
  <c r="X82" i="80" s="1"/>
  <c r="X109" i="83"/>
  <c r="X214" i="83" s="1"/>
  <c r="X86" i="71" s="1"/>
  <c r="X191" i="71" s="1"/>
  <c r="X119" i="80"/>
  <c r="X131" i="80" s="1"/>
  <c r="X112" i="83"/>
  <c r="X217" i="83" s="1"/>
  <c r="X89" i="71" s="1"/>
  <c r="X194" i="71" s="1"/>
  <c r="X122" i="80"/>
  <c r="X134" i="80" s="1"/>
  <c r="Y144" i="80"/>
  <c r="Y170" i="80" s="1"/>
  <c r="Y271" i="80" s="1"/>
  <c r="T94" i="80"/>
  <c r="T106" i="80" s="1"/>
  <c r="T95" i="83"/>
  <c r="T183" i="83" s="1"/>
  <c r="T54" i="71" s="1"/>
  <c r="T159" i="71" s="1"/>
  <c r="T96" i="80"/>
  <c r="T108" i="80" s="1"/>
  <c r="T97" i="83"/>
  <c r="T185" i="83" s="1"/>
  <c r="T56" i="71" s="1"/>
  <c r="T161" i="71" s="1"/>
  <c r="T96" i="83"/>
  <c r="T184" i="83" s="1"/>
  <c r="T55" i="71" s="1"/>
  <c r="T160" i="71" s="1"/>
  <c r="T95" i="80"/>
  <c r="T107" i="80" s="1"/>
  <c r="Y148" i="80"/>
  <c r="Y174" i="80" s="1"/>
  <c r="Y275" i="80" s="1"/>
  <c r="P376" i="22"/>
  <c r="L616" i="22"/>
  <c r="M44" i="105" s="1"/>
  <c r="L373" i="22"/>
  <c r="Q120" i="80"/>
  <c r="Q132" i="80" s="1"/>
  <c r="Q110" i="83"/>
  <c r="Q215" i="83" s="1"/>
  <c r="Q87" i="71" s="1"/>
  <c r="Q192" i="71" s="1"/>
  <c r="W145" i="80"/>
  <c r="W171" i="80" s="1"/>
  <c r="W272" i="80" s="1"/>
  <c r="Y146" i="80"/>
  <c r="Y172" i="80" s="1"/>
  <c r="Y273" i="80" s="1"/>
  <c r="V118" i="80"/>
  <c r="V130" i="80" s="1"/>
  <c r="V108" i="83"/>
  <c r="V213" i="83" s="1"/>
  <c r="V85" i="71" s="1"/>
  <c r="V190" i="71" s="1"/>
  <c r="V97" i="80"/>
  <c r="V109" i="80" s="1"/>
  <c r="V98" i="83"/>
  <c r="V186" i="83" s="1"/>
  <c r="V57" i="71" s="1"/>
  <c r="V162" i="71" s="1"/>
  <c r="V109" i="83"/>
  <c r="V214" i="83" s="1"/>
  <c r="V86" i="71" s="1"/>
  <c r="V191" i="71" s="1"/>
  <c r="V119" i="80"/>
  <c r="V131" i="80" s="1"/>
  <c r="R100" i="83"/>
  <c r="R188" i="83" s="1"/>
  <c r="R59" i="71" s="1"/>
  <c r="R164" i="71" s="1"/>
  <c r="R99" i="80"/>
  <c r="R111" i="80" s="1"/>
  <c r="R114" i="83"/>
  <c r="R219" i="83" s="1"/>
  <c r="R91" i="71" s="1"/>
  <c r="R196" i="71" s="1"/>
  <c r="R124" i="80"/>
  <c r="R136" i="80" s="1"/>
  <c r="R84" i="83"/>
  <c r="R155" i="83" s="1"/>
  <c r="R25" i="71" s="1"/>
  <c r="R130" i="71" s="1"/>
  <c r="R72" i="80"/>
  <c r="R84" i="80" s="1"/>
  <c r="R94" i="83"/>
  <c r="R182" i="83" s="1"/>
  <c r="R53" i="71" s="1"/>
  <c r="R158" i="71" s="1"/>
  <c r="R93" i="80"/>
  <c r="R105" i="80" s="1"/>
  <c r="R93" i="83"/>
  <c r="R181" i="83" s="1"/>
  <c r="R52" i="71" s="1"/>
  <c r="R157" i="71" s="1"/>
  <c r="U87" i="83"/>
  <c r="U158" i="83" s="1"/>
  <c r="U28" i="71" s="1"/>
  <c r="U133" i="71" s="1"/>
  <c r="U75" i="80"/>
  <c r="U87" i="80" s="1"/>
  <c r="U82" i="83"/>
  <c r="U153" i="83" s="1"/>
  <c r="U23" i="71" s="1"/>
  <c r="U128" i="71" s="1"/>
  <c r="U81" i="83"/>
  <c r="U152" i="83" s="1"/>
  <c r="U70" i="80"/>
  <c r="U82" i="80" s="1"/>
  <c r="U77" i="80"/>
  <c r="U89" i="80" s="1"/>
  <c r="U89" i="83"/>
  <c r="U160" i="83" s="1"/>
  <c r="U30" i="71" s="1"/>
  <c r="U135" i="71" s="1"/>
  <c r="U99" i="80"/>
  <c r="U111" i="80" s="1"/>
  <c r="U100" i="83"/>
  <c r="U188" i="83" s="1"/>
  <c r="U59" i="71" s="1"/>
  <c r="U164" i="71" s="1"/>
  <c r="S106" i="83"/>
  <c r="S211" i="83" s="1"/>
  <c r="S83" i="71" s="1"/>
  <c r="S188" i="71" s="1"/>
  <c r="S116" i="80"/>
  <c r="S128" i="80" s="1"/>
  <c r="S105" i="83"/>
  <c r="S210" i="83" s="1"/>
  <c r="S82" i="71" s="1"/>
  <c r="S187" i="71" s="1"/>
  <c r="S75" i="80"/>
  <c r="S87" i="80" s="1"/>
  <c r="S87" i="83"/>
  <c r="S158" i="83" s="1"/>
  <c r="S28" i="71" s="1"/>
  <c r="S133" i="71" s="1"/>
  <c r="X107" i="83"/>
  <c r="X212" i="83" s="1"/>
  <c r="X84" i="71" s="1"/>
  <c r="X189" i="71" s="1"/>
  <c r="X117" i="80"/>
  <c r="X129" i="80" s="1"/>
  <c r="X75" i="80"/>
  <c r="X87" i="80" s="1"/>
  <c r="X87" i="83"/>
  <c r="X158" i="83" s="1"/>
  <c r="X28" i="71" s="1"/>
  <c r="X133" i="71" s="1"/>
  <c r="X93" i="80"/>
  <c r="X105" i="80" s="1"/>
  <c r="X94" i="83"/>
  <c r="X182" i="83" s="1"/>
  <c r="X53" i="71" s="1"/>
  <c r="X158" i="71" s="1"/>
  <c r="X93" i="83"/>
  <c r="X181" i="83" s="1"/>
  <c r="X52" i="71" s="1"/>
  <c r="X157" i="71" s="1"/>
  <c r="J74" i="74"/>
  <c r="J76" i="74"/>
  <c r="J78" i="74"/>
  <c r="J77" i="74"/>
  <c r="J75" i="74"/>
  <c r="J72" i="74"/>
  <c r="J73" i="74"/>
  <c r="T99" i="83"/>
  <c r="T187" i="83" s="1"/>
  <c r="T58" i="71" s="1"/>
  <c r="T163" i="71" s="1"/>
  <c r="T98" i="80"/>
  <c r="T110" i="80" s="1"/>
  <c r="T107" i="83"/>
  <c r="T212" i="83" s="1"/>
  <c r="T84" i="71" s="1"/>
  <c r="T189" i="71" s="1"/>
  <c r="T117" i="80"/>
  <c r="T129" i="80" s="1"/>
  <c r="T85" i="83"/>
  <c r="T156" i="83" s="1"/>
  <c r="T26" i="71" s="1"/>
  <c r="T131" i="71" s="1"/>
  <c r="T73" i="80"/>
  <c r="T85" i="80" s="1"/>
  <c r="W22" i="71"/>
  <c r="W127" i="71" s="1"/>
  <c r="P546" i="22"/>
  <c r="AC25" i="105" s="1"/>
  <c r="P385" i="22"/>
  <c r="P500" i="22" s="1"/>
  <c r="AC56" i="41" s="1"/>
  <c r="P646" i="22"/>
  <c r="AC49" i="105" s="1"/>
  <c r="P378" i="22"/>
  <c r="P387" i="22" s="1"/>
  <c r="P512" i="22" s="1"/>
  <c r="AC58" i="41" s="1"/>
  <c r="L572" i="22"/>
  <c r="M33" i="105" s="1"/>
  <c r="L364" i="22"/>
  <c r="Q114" i="83"/>
  <c r="Q219" i="83" s="1"/>
  <c r="Q91" i="71" s="1"/>
  <c r="Q196" i="71" s="1"/>
  <c r="Q124" i="80"/>
  <c r="Q136" i="80" s="1"/>
  <c r="Q84" i="83"/>
  <c r="Q155" i="83" s="1"/>
  <c r="Q25" i="71" s="1"/>
  <c r="Q130" i="71" s="1"/>
  <c r="Q72" i="80"/>
  <c r="Q84" i="80" s="1"/>
  <c r="Q98" i="83"/>
  <c r="Q186" i="83" s="1"/>
  <c r="Q57" i="71" s="1"/>
  <c r="Q162" i="71" s="1"/>
  <c r="Q97" i="80"/>
  <c r="Q109" i="80" s="1"/>
  <c r="V101" i="83"/>
  <c r="V189" i="83" s="1"/>
  <c r="V60" i="71" s="1"/>
  <c r="V165" i="71" s="1"/>
  <c r="V100" i="80"/>
  <c r="V112" i="80" s="1"/>
  <c r="V102" i="83"/>
  <c r="V190" i="83" s="1"/>
  <c r="V61" i="71" s="1"/>
  <c r="V166" i="71" s="1"/>
  <c r="V101" i="80"/>
  <c r="V113" i="80" s="1"/>
  <c r="V106" i="83"/>
  <c r="V211" i="83" s="1"/>
  <c r="V83" i="71" s="1"/>
  <c r="V188" i="71" s="1"/>
  <c r="V116" i="80"/>
  <c r="V128" i="80" s="1"/>
  <c r="V105" i="83"/>
  <c r="V210" i="83" s="1"/>
  <c r="V82" i="71" s="1"/>
  <c r="V187" i="71" s="1"/>
  <c r="R109" i="83"/>
  <c r="R214" i="83" s="1"/>
  <c r="R86" i="71" s="1"/>
  <c r="R191" i="71" s="1"/>
  <c r="R119" i="80"/>
  <c r="R131" i="80" s="1"/>
  <c r="R96" i="80"/>
  <c r="R108" i="80" s="1"/>
  <c r="R97" i="83"/>
  <c r="R185" i="83" s="1"/>
  <c r="R56" i="71" s="1"/>
  <c r="R161" i="71" s="1"/>
  <c r="R121" i="80"/>
  <c r="R133" i="80" s="1"/>
  <c r="R111" i="83"/>
  <c r="R216" i="83" s="1"/>
  <c r="R88" i="71" s="1"/>
  <c r="R193" i="71" s="1"/>
  <c r="R98" i="83"/>
  <c r="R186" i="83" s="1"/>
  <c r="R57" i="71" s="1"/>
  <c r="R162" i="71" s="1"/>
  <c r="R97" i="80"/>
  <c r="R109" i="80" s="1"/>
  <c r="U97" i="83"/>
  <c r="U185" i="83" s="1"/>
  <c r="U56" i="71" s="1"/>
  <c r="U161" i="71" s="1"/>
  <c r="U96" i="80"/>
  <c r="U108" i="80" s="1"/>
  <c r="U108" i="83"/>
  <c r="U213" i="83" s="1"/>
  <c r="U85" i="71" s="1"/>
  <c r="U190" i="71" s="1"/>
  <c r="U118" i="80"/>
  <c r="U130" i="80" s="1"/>
  <c r="U102" i="83"/>
  <c r="U190" i="83" s="1"/>
  <c r="U61" i="71" s="1"/>
  <c r="U166" i="71" s="1"/>
  <c r="U101" i="80"/>
  <c r="U113" i="80" s="1"/>
  <c r="U122" i="80"/>
  <c r="U134" i="80" s="1"/>
  <c r="U112" i="83"/>
  <c r="U217" i="83" s="1"/>
  <c r="U89" i="71" s="1"/>
  <c r="U194" i="71" s="1"/>
  <c r="L548" i="22"/>
  <c r="O25" i="105" s="1"/>
  <c r="S100" i="83"/>
  <c r="S188" i="83" s="1"/>
  <c r="S59" i="71" s="1"/>
  <c r="S164" i="71" s="1"/>
  <c r="S99" i="80"/>
  <c r="S111" i="80" s="1"/>
  <c r="S88" i="83"/>
  <c r="S159" i="83" s="1"/>
  <c r="S29" i="71" s="1"/>
  <c r="S134" i="71" s="1"/>
  <c r="S76" i="80"/>
  <c r="S88" i="80" s="1"/>
  <c r="S71" i="80"/>
  <c r="S83" i="80" s="1"/>
  <c r="S83" i="83"/>
  <c r="S154" i="83" s="1"/>
  <c r="S24" i="71" s="1"/>
  <c r="S129" i="71" s="1"/>
  <c r="S74" i="80"/>
  <c r="S86" i="80" s="1"/>
  <c r="S86" i="83"/>
  <c r="S157" i="83" s="1"/>
  <c r="S27" i="71" s="1"/>
  <c r="S132" i="71" s="1"/>
  <c r="S102" i="83"/>
  <c r="S190" i="83" s="1"/>
  <c r="S61" i="71" s="1"/>
  <c r="S166" i="71" s="1"/>
  <c r="S101" i="80"/>
  <c r="S113" i="80" s="1"/>
  <c r="S85" i="83"/>
  <c r="S156" i="83" s="1"/>
  <c r="S26" i="71" s="1"/>
  <c r="S131" i="71" s="1"/>
  <c r="S73" i="80"/>
  <c r="S85" i="80" s="1"/>
  <c r="S109" i="83"/>
  <c r="S214" i="83" s="1"/>
  <c r="S86" i="71" s="1"/>
  <c r="S191" i="71" s="1"/>
  <c r="S119" i="80"/>
  <c r="S131" i="80" s="1"/>
  <c r="S89" i="83"/>
  <c r="S160" i="83" s="1"/>
  <c r="S30" i="71" s="1"/>
  <c r="S135" i="71" s="1"/>
  <c r="S77" i="80"/>
  <c r="S89" i="80" s="1"/>
  <c r="S111" i="83"/>
  <c r="S216" i="83" s="1"/>
  <c r="S88" i="71" s="1"/>
  <c r="S193" i="71" s="1"/>
  <c r="S121" i="80"/>
  <c r="S133" i="80" s="1"/>
  <c r="X95" i="80"/>
  <c r="X107" i="80" s="1"/>
  <c r="X96" i="83"/>
  <c r="X184" i="83" s="1"/>
  <c r="X55" i="71" s="1"/>
  <c r="X160" i="71" s="1"/>
  <c r="X83" i="83"/>
  <c r="X154" i="83" s="1"/>
  <c r="X24" i="71" s="1"/>
  <c r="X129" i="71" s="1"/>
  <c r="X71" i="80"/>
  <c r="X83" i="80" s="1"/>
  <c r="X94" i="80"/>
  <c r="X106" i="80" s="1"/>
  <c r="X95" i="83"/>
  <c r="X183" i="83" s="1"/>
  <c r="X54" i="71" s="1"/>
  <c r="X159" i="71" s="1"/>
  <c r="X101" i="83"/>
  <c r="X189" i="83" s="1"/>
  <c r="X60" i="71" s="1"/>
  <c r="X165" i="71" s="1"/>
  <c r="X100" i="80"/>
  <c r="X112" i="80" s="1"/>
  <c r="T116" i="80"/>
  <c r="T128" i="80" s="1"/>
  <c r="T106" i="83"/>
  <c r="T211" i="83" s="1"/>
  <c r="T83" i="71" s="1"/>
  <c r="T188" i="71" s="1"/>
  <c r="T105" i="83"/>
  <c r="T210" i="83" s="1"/>
  <c r="T82" i="71" s="1"/>
  <c r="T187" i="71" s="1"/>
  <c r="T76" i="80"/>
  <c r="T88" i="80" s="1"/>
  <c r="T88" i="83"/>
  <c r="T159" i="83" s="1"/>
  <c r="T29" i="71" s="1"/>
  <c r="T134" i="71" s="1"/>
  <c r="T122" i="80"/>
  <c r="T134" i="80" s="1"/>
  <c r="T112" i="83"/>
  <c r="T217" i="83" s="1"/>
  <c r="T89" i="71" s="1"/>
  <c r="T194" i="71" s="1"/>
  <c r="L590" i="22"/>
  <c r="M36" i="105" s="1"/>
  <c r="L367" i="22"/>
  <c r="L67" i="22"/>
  <c r="Q88" i="83"/>
  <c r="Q159" i="83" s="1"/>
  <c r="Q29" i="71" s="1"/>
  <c r="Q134" i="71" s="1"/>
  <c r="Q76" i="80"/>
  <c r="Q88" i="80" s="1"/>
  <c r="W150" i="80"/>
  <c r="Y150" i="80"/>
  <c r="V114" i="83"/>
  <c r="V219" i="83" s="1"/>
  <c r="V91" i="71" s="1"/>
  <c r="V196" i="71" s="1"/>
  <c r="V124" i="80"/>
  <c r="V136" i="80" s="1"/>
  <c r="V85" i="83"/>
  <c r="V156" i="83" s="1"/>
  <c r="V26" i="71" s="1"/>
  <c r="V131" i="71" s="1"/>
  <c r="V73" i="80"/>
  <c r="V85" i="80" s="1"/>
  <c r="V112" i="83"/>
  <c r="V217" i="83" s="1"/>
  <c r="V89" i="71" s="1"/>
  <c r="V194" i="71" s="1"/>
  <c r="V122" i="80"/>
  <c r="V134" i="80" s="1"/>
  <c r="R101" i="80"/>
  <c r="R113" i="80" s="1"/>
  <c r="R102" i="83"/>
  <c r="R190" i="83" s="1"/>
  <c r="R61" i="71" s="1"/>
  <c r="R166" i="71" s="1"/>
  <c r="R88" i="83"/>
  <c r="R159" i="83" s="1"/>
  <c r="R29" i="71" s="1"/>
  <c r="R134" i="71" s="1"/>
  <c r="R76" i="80"/>
  <c r="R88" i="80" s="1"/>
  <c r="R78" i="80"/>
  <c r="R90" i="80" s="1"/>
  <c r="R90" i="83"/>
  <c r="R161" i="83" s="1"/>
  <c r="R31" i="71" s="1"/>
  <c r="R136" i="71" s="1"/>
  <c r="U95" i="83"/>
  <c r="U183" i="83" s="1"/>
  <c r="U54" i="71" s="1"/>
  <c r="U159" i="71" s="1"/>
  <c r="U94" i="80"/>
  <c r="U106" i="80" s="1"/>
  <c r="U98" i="83"/>
  <c r="U186" i="83" s="1"/>
  <c r="U57" i="71" s="1"/>
  <c r="U162" i="71" s="1"/>
  <c r="U97" i="80"/>
  <c r="U109" i="80" s="1"/>
  <c r="U100" i="80"/>
  <c r="U112" i="80" s="1"/>
  <c r="U101" i="83"/>
  <c r="U189" i="83" s="1"/>
  <c r="U60" i="71" s="1"/>
  <c r="U165" i="71" s="1"/>
  <c r="W143" i="80"/>
  <c r="W169" i="80" s="1"/>
  <c r="W270" i="80" s="1"/>
  <c r="P548" i="22"/>
  <c r="AE25" i="105" s="1"/>
  <c r="X102" i="83"/>
  <c r="X190" i="83" s="1"/>
  <c r="X61" i="71" s="1"/>
  <c r="X166" i="71" s="1"/>
  <c r="X101" i="80"/>
  <c r="X113" i="80" s="1"/>
  <c r="X98" i="83"/>
  <c r="X186" i="83" s="1"/>
  <c r="X57" i="71" s="1"/>
  <c r="X162" i="71" s="1"/>
  <c r="X97" i="80"/>
  <c r="X109" i="80" s="1"/>
  <c r="X86" i="83"/>
  <c r="X157" i="83" s="1"/>
  <c r="X27" i="71" s="1"/>
  <c r="X132" i="71" s="1"/>
  <c r="X74" i="80"/>
  <c r="X86" i="80" s="1"/>
  <c r="X85" i="83"/>
  <c r="X156" i="83" s="1"/>
  <c r="X26" i="71" s="1"/>
  <c r="X131" i="71" s="1"/>
  <c r="X73" i="80"/>
  <c r="X85" i="80" s="1"/>
  <c r="T109" i="83"/>
  <c r="T214" i="83" s="1"/>
  <c r="T86" i="71" s="1"/>
  <c r="T191" i="71" s="1"/>
  <c r="T119" i="80"/>
  <c r="T131" i="80" s="1"/>
  <c r="T110" i="83"/>
  <c r="T215" i="83" s="1"/>
  <c r="T87" i="71" s="1"/>
  <c r="T192" i="71" s="1"/>
  <c r="T120" i="80"/>
  <c r="T132" i="80" s="1"/>
  <c r="T111" i="83"/>
  <c r="T216" i="83" s="1"/>
  <c r="T88" i="71" s="1"/>
  <c r="T193" i="71" s="1"/>
  <c r="T121" i="80"/>
  <c r="T133" i="80" s="1"/>
  <c r="T108" i="83"/>
  <c r="T213" i="83" s="1"/>
  <c r="T85" i="71" s="1"/>
  <c r="T190" i="71" s="1"/>
  <c r="T118" i="80"/>
  <c r="T130" i="80" s="1"/>
  <c r="Y143" i="80"/>
  <c r="Y169" i="80" s="1"/>
  <c r="Y270" i="80" s="1"/>
  <c r="L540" i="22"/>
  <c r="M24" i="105" s="1"/>
  <c r="L635" i="22"/>
  <c r="N47" i="105" s="1"/>
  <c r="L405" i="22"/>
  <c r="Q109" i="83"/>
  <c r="Q214" i="83" s="1"/>
  <c r="Q86" i="71" s="1"/>
  <c r="Q191" i="71" s="1"/>
  <c r="Q119" i="80"/>
  <c r="Q131" i="80" s="1"/>
  <c r="Q112" i="83"/>
  <c r="Q217" i="83" s="1"/>
  <c r="Q89" i="71" s="1"/>
  <c r="Q194" i="71" s="1"/>
  <c r="Q122" i="80"/>
  <c r="Q134" i="80" s="1"/>
  <c r="V87" i="83"/>
  <c r="V158" i="83" s="1"/>
  <c r="V28" i="71" s="1"/>
  <c r="V133" i="71" s="1"/>
  <c r="V75" i="80"/>
  <c r="V87" i="80" s="1"/>
  <c r="V82" i="83"/>
  <c r="V153" i="83" s="1"/>
  <c r="V23" i="71" s="1"/>
  <c r="V128" i="71" s="1"/>
  <c r="V81" i="83"/>
  <c r="V152" i="83" s="1"/>
  <c r="V70" i="80"/>
  <c r="V82" i="80" s="1"/>
  <c r="V71" i="80"/>
  <c r="V83" i="80" s="1"/>
  <c r="V83" i="83"/>
  <c r="V154" i="83" s="1"/>
  <c r="V24" i="71" s="1"/>
  <c r="V129" i="71" s="1"/>
  <c r="R108" i="83"/>
  <c r="R213" i="83" s="1"/>
  <c r="R85" i="71" s="1"/>
  <c r="R190" i="71" s="1"/>
  <c r="R118" i="80"/>
  <c r="R130" i="80" s="1"/>
  <c r="R83" i="83"/>
  <c r="R154" i="83" s="1"/>
  <c r="R24" i="71" s="1"/>
  <c r="R129" i="71" s="1"/>
  <c r="R71" i="80"/>
  <c r="R83" i="80" s="1"/>
  <c r="R89" i="83"/>
  <c r="R160" i="83" s="1"/>
  <c r="R30" i="71" s="1"/>
  <c r="R135" i="71" s="1"/>
  <c r="R77" i="80"/>
  <c r="R89" i="80" s="1"/>
  <c r="P640" i="22"/>
  <c r="AC48" i="105" s="1"/>
  <c r="P377" i="22"/>
  <c r="P386" i="22" s="1"/>
  <c r="P506" i="22" s="1"/>
  <c r="AC57" i="41" s="1"/>
  <c r="U121" i="80"/>
  <c r="U133" i="80" s="1"/>
  <c r="U111" i="83"/>
  <c r="U216" i="83" s="1"/>
  <c r="U88" i="71" s="1"/>
  <c r="U193" i="71" s="1"/>
  <c r="U116" i="80"/>
  <c r="U128" i="80" s="1"/>
  <c r="U106" i="83"/>
  <c r="U211" i="83" s="1"/>
  <c r="U83" i="71" s="1"/>
  <c r="U188" i="71" s="1"/>
  <c r="U105" i="83"/>
  <c r="U210" i="83" s="1"/>
  <c r="U82" i="71" s="1"/>
  <c r="U187" i="71" s="1"/>
  <c r="U83" i="83"/>
  <c r="U154" i="83" s="1"/>
  <c r="U24" i="71" s="1"/>
  <c r="U129" i="71" s="1"/>
  <c r="U71" i="80"/>
  <c r="U83" i="80" s="1"/>
  <c r="L636" i="22"/>
  <c r="O47" i="105" s="1"/>
  <c r="L434" i="22"/>
  <c r="S101" i="83"/>
  <c r="S189" i="83" s="1"/>
  <c r="S60" i="71" s="1"/>
  <c r="S165" i="71" s="1"/>
  <c r="S100" i="80"/>
  <c r="S112" i="80" s="1"/>
  <c r="S94" i="80"/>
  <c r="S106" i="80" s="1"/>
  <c r="S95" i="83"/>
  <c r="S183" i="83" s="1"/>
  <c r="S54" i="71" s="1"/>
  <c r="S159" i="71" s="1"/>
  <c r="S95" i="80"/>
  <c r="S107" i="80" s="1"/>
  <c r="S96" i="83"/>
  <c r="S184" i="83" s="1"/>
  <c r="S55" i="71" s="1"/>
  <c r="S160" i="71" s="1"/>
  <c r="S117" i="80"/>
  <c r="S129" i="80" s="1"/>
  <c r="S107" i="83"/>
  <c r="S212" i="83" s="1"/>
  <c r="S84" i="71" s="1"/>
  <c r="S189" i="71" s="1"/>
  <c r="X111" i="83"/>
  <c r="X216" i="83" s="1"/>
  <c r="X88" i="71" s="1"/>
  <c r="X193" i="71" s="1"/>
  <c r="X121" i="80"/>
  <c r="X133" i="80" s="1"/>
  <c r="X124" i="80"/>
  <c r="X136" i="80" s="1"/>
  <c r="X114" i="83"/>
  <c r="X219" i="83" s="1"/>
  <c r="X91" i="71" s="1"/>
  <c r="X196" i="71" s="1"/>
  <c r="X88" i="83"/>
  <c r="X159" i="83" s="1"/>
  <c r="X29" i="71" s="1"/>
  <c r="X134" i="71" s="1"/>
  <c r="X76" i="80"/>
  <c r="X88" i="80" s="1"/>
  <c r="X116" i="80"/>
  <c r="X128" i="80" s="1"/>
  <c r="X105" i="83"/>
  <c r="X210" i="83" s="1"/>
  <c r="X82" i="71" s="1"/>
  <c r="X187" i="71" s="1"/>
  <c r="X106" i="83"/>
  <c r="X211" i="83" s="1"/>
  <c r="X83" i="71" s="1"/>
  <c r="X188" i="71" s="1"/>
  <c r="T102" i="83"/>
  <c r="T190" i="83" s="1"/>
  <c r="T61" i="71" s="1"/>
  <c r="T166" i="71" s="1"/>
  <c r="T101" i="80"/>
  <c r="T113" i="80" s="1"/>
  <c r="T77" i="80"/>
  <c r="T89" i="80" s="1"/>
  <c r="T89" i="83"/>
  <c r="T160" i="83" s="1"/>
  <c r="T30" i="71" s="1"/>
  <c r="T135" i="71" s="1"/>
  <c r="T84" i="83"/>
  <c r="T155" i="83" s="1"/>
  <c r="T25" i="71" s="1"/>
  <c r="T130" i="71" s="1"/>
  <c r="T72" i="80"/>
  <c r="T84" i="80" s="1"/>
  <c r="T90" i="83"/>
  <c r="T161" i="83" s="1"/>
  <c r="T31" i="71" s="1"/>
  <c r="T136" i="71" s="1"/>
  <c r="T78" i="80"/>
  <c r="T90" i="80" s="1"/>
  <c r="W147" i="80"/>
  <c r="W173" i="80" s="1"/>
  <c r="W274" i="80" s="1"/>
  <c r="W144" i="80"/>
  <c r="W170" i="80" s="1"/>
  <c r="W271" i="80" s="1"/>
  <c r="L584" i="22"/>
  <c r="M35" i="105" s="1"/>
  <c r="L366" i="22"/>
  <c r="L396" i="22"/>
  <c r="Q118" i="80"/>
  <c r="Q130" i="80" s="1"/>
  <c r="Q70" i="80"/>
  <c r="Q82" i="80" s="1"/>
  <c r="Q82" i="83"/>
  <c r="Q153" i="83" s="1"/>
  <c r="Q23" i="71" s="1"/>
  <c r="Q128" i="71" s="1"/>
  <c r="Q81" i="83"/>
  <c r="Q152" i="83" s="1"/>
  <c r="V84" i="83"/>
  <c r="V155" i="83" s="1"/>
  <c r="V25" i="71" s="1"/>
  <c r="V130" i="71" s="1"/>
  <c r="V72" i="80"/>
  <c r="V84" i="80" s="1"/>
  <c r="V110" i="83"/>
  <c r="V215" i="83" s="1"/>
  <c r="V87" i="71" s="1"/>
  <c r="V192" i="71" s="1"/>
  <c r="V120" i="80"/>
  <c r="V132" i="80" s="1"/>
  <c r="V76" i="80"/>
  <c r="V88" i="80" s="1"/>
  <c r="V88" i="83"/>
  <c r="V159" i="83" s="1"/>
  <c r="V29" i="71" s="1"/>
  <c r="V134" i="71" s="1"/>
  <c r="V94" i="80"/>
  <c r="V106" i="80" s="1"/>
  <c r="V95" i="83"/>
  <c r="V183" i="83" s="1"/>
  <c r="V54" i="71" s="1"/>
  <c r="V159" i="71" s="1"/>
  <c r="R99" i="83"/>
  <c r="R187" i="83" s="1"/>
  <c r="R58" i="71" s="1"/>
  <c r="R163" i="71" s="1"/>
  <c r="R98" i="80"/>
  <c r="R110" i="80" s="1"/>
  <c r="R73" i="80"/>
  <c r="R85" i="80" s="1"/>
  <c r="R85" i="83"/>
  <c r="R156" i="83" s="1"/>
  <c r="R26" i="71" s="1"/>
  <c r="R131" i="71" s="1"/>
  <c r="R101" i="83"/>
  <c r="R189" i="83" s="1"/>
  <c r="R60" i="71" s="1"/>
  <c r="R165" i="71" s="1"/>
  <c r="R100" i="80"/>
  <c r="R112" i="80" s="1"/>
  <c r="P552" i="22"/>
  <c r="AC26" i="105" s="1"/>
  <c r="U93" i="80"/>
  <c r="U105" i="80" s="1"/>
  <c r="U94" i="83"/>
  <c r="U182" i="83" s="1"/>
  <c r="U53" i="71" s="1"/>
  <c r="U158" i="71" s="1"/>
  <c r="U93" i="83"/>
  <c r="U181" i="83" s="1"/>
  <c r="U52" i="71" s="1"/>
  <c r="U157" i="71" s="1"/>
  <c r="U90" i="83"/>
  <c r="U161" i="83" s="1"/>
  <c r="U31" i="71" s="1"/>
  <c r="U136" i="71" s="1"/>
  <c r="U78" i="80"/>
  <c r="U90" i="80" s="1"/>
  <c r="U86" i="83"/>
  <c r="U157" i="83" s="1"/>
  <c r="U27" i="71" s="1"/>
  <c r="U132" i="71" s="1"/>
  <c r="U74" i="80"/>
  <c r="U86" i="80" s="1"/>
  <c r="W146" i="80"/>
  <c r="W172" i="80" s="1"/>
  <c r="W273" i="80" s="1"/>
  <c r="P636" i="22"/>
  <c r="AE47" i="105" s="1"/>
  <c r="P434" i="22"/>
  <c r="P443" i="22" s="1"/>
  <c r="P502" i="22" s="1"/>
  <c r="AE56" i="41" s="1"/>
  <c r="S72" i="80"/>
  <c r="S84" i="80" s="1"/>
  <c r="S84" i="83"/>
  <c r="S155" i="83" s="1"/>
  <c r="S25" i="71" s="1"/>
  <c r="S130" i="71" s="1"/>
  <c r="S113" i="83"/>
  <c r="S218" i="83" s="1"/>
  <c r="S90" i="71" s="1"/>
  <c r="S195" i="71" s="1"/>
  <c r="S123" i="80"/>
  <c r="S135" i="80" s="1"/>
  <c r="X97" i="83"/>
  <c r="X185" i="83" s="1"/>
  <c r="X56" i="71" s="1"/>
  <c r="X161" i="71" s="1"/>
  <c r="X96" i="80"/>
  <c r="X108" i="80" s="1"/>
  <c r="X100" i="83"/>
  <c r="X188" i="83" s="1"/>
  <c r="X59" i="71" s="1"/>
  <c r="X164" i="71" s="1"/>
  <c r="X99" i="80"/>
  <c r="X111" i="80" s="1"/>
  <c r="X90" i="83"/>
  <c r="X161" i="83" s="1"/>
  <c r="X31" i="71" s="1"/>
  <c r="X136" i="71" s="1"/>
  <c r="X78" i="80"/>
  <c r="X90" i="80" s="1"/>
  <c r="T74" i="80"/>
  <c r="T86" i="80" s="1"/>
  <c r="T86" i="83"/>
  <c r="T157" i="83" s="1"/>
  <c r="T27" i="71" s="1"/>
  <c r="T132" i="71" s="1"/>
  <c r="T71" i="80"/>
  <c r="T83" i="80" s="1"/>
  <c r="T83" i="83"/>
  <c r="T154" i="83" s="1"/>
  <c r="T24" i="71" s="1"/>
  <c r="T129" i="71" s="1"/>
  <c r="T94" i="83"/>
  <c r="T182" i="83" s="1"/>
  <c r="T53" i="71" s="1"/>
  <c r="T158" i="71" s="1"/>
  <c r="T93" i="83"/>
  <c r="T181" i="83" s="1"/>
  <c r="T52" i="71" s="1"/>
  <c r="T157" i="71" s="1"/>
  <c r="T93" i="80"/>
  <c r="T105" i="80" s="1"/>
  <c r="T101" i="83"/>
  <c r="T189" i="83" s="1"/>
  <c r="T60" i="71" s="1"/>
  <c r="T165" i="71" s="1"/>
  <c r="T100" i="80"/>
  <c r="T112" i="80" s="1"/>
  <c r="L628" i="22"/>
  <c r="M46" i="105" s="1"/>
  <c r="L375" i="22"/>
  <c r="L547" i="22"/>
  <c r="N25" i="105" s="1"/>
  <c r="Q87" i="83"/>
  <c r="Q158" i="83" s="1"/>
  <c r="Q28" i="71" s="1"/>
  <c r="Q133" i="71" s="1"/>
  <c r="Q75" i="80"/>
  <c r="Q87" i="80" s="1"/>
  <c r="Q99" i="83"/>
  <c r="Q187" i="83" s="1"/>
  <c r="Q58" i="71" s="1"/>
  <c r="Q163" i="71" s="1"/>
  <c r="Q98" i="80"/>
  <c r="Q110" i="80" s="1"/>
  <c r="Q111" i="83"/>
  <c r="Q216" i="83" s="1"/>
  <c r="Q88" i="71" s="1"/>
  <c r="Q193" i="71" s="1"/>
  <c r="Q121" i="80"/>
  <c r="Q133" i="80" s="1"/>
  <c r="V123" i="80"/>
  <c r="V135" i="80" s="1"/>
  <c r="V113" i="83"/>
  <c r="V218" i="83" s="1"/>
  <c r="V90" i="71" s="1"/>
  <c r="V195" i="71" s="1"/>
  <c r="V94" i="83"/>
  <c r="V182" i="83" s="1"/>
  <c r="V53" i="71" s="1"/>
  <c r="V158" i="71" s="1"/>
  <c r="V93" i="83"/>
  <c r="V181" i="83" s="1"/>
  <c r="V52" i="71" s="1"/>
  <c r="V157" i="71" s="1"/>
  <c r="V93" i="80"/>
  <c r="V105" i="80" s="1"/>
  <c r="V96" i="80"/>
  <c r="V108" i="80" s="1"/>
  <c r="V97" i="83"/>
  <c r="V185" i="83" s="1"/>
  <c r="V56" i="71" s="1"/>
  <c r="V161" i="71" s="1"/>
  <c r="V86" i="83"/>
  <c r="V157" i="83" s="1"/>
  <c r="V27" i="71" s="1"/>
  <c r="V132" i="71" s="1"/>
  <c r="V74" i="80"/>
  <c r="V86" i="80" s="1"/>
  <c r="R120" i="80"/>
  <c r="R132" i="80" s="1"/>
  <c r="R110" i="83"/>
  <c r="R215" i="83" s="1"/>
  <c r="R87" i="71" s="1"/>
  <c r="R192" i="71" s="1"/>
  <c r="R113" i="83"/>
  <c r="R218" i="83" s="1"/>
  <c r="R90" i="71" s="1"/>
  <c r="R195" i="71" s="1"/>
  <c r="R123" i="80"/>
  <c r="R135" i="80" s="1"/>
  <c r="R95" i="80"/>
  <c r="R107" i="80" s="1"/>
  <c r="R96" i="83"/>
  <c r="R184" i="83" s="1"/>
  <c r="R55" i="71" s="1"/>
  <c r="R160" i="71" s="1"/>
  <c r="U109" i="83"/>
  <c r="U214" i="83" s="1"/>
  <c r="U86" i="71" s="1"/>
  <c r="U191" i="71" s="1"/>
  <c r="U119" i="80"/>
  <c r="U131" i="80" s="1"/>
  <c r="U96" i="83"/>
  <c r="U184" i="83" s="1"/>
  <c r="U55" i="71" s="1"/>
  <c r="U160" i="71" s="1"/>
  <c r="U95" i="80"/>
  <c r="U107" i="80" s="1"/>
  <c r="U85" i="83"/>
  <c r="U156" i="83" s="1"/>
  <c r="U26" i="71" s="1"/>
  <c r="U131" i="71" s="1"/>
  <c r="U73" i="80"/>
  <c r="U85" i="80" s="1"/>
  <c r="L592" i="22"/>
  <c r="O36" i="105" s="1"/>
  <c r="L425" i="22"/>
  <c r="Q107" i="83" l="1"/>
  <c r="Q212" i="83" s="1"/>
  <c r="Q84" i="71" s="1"/>
  <c r="Q189" i="71" s="1"/>
  <c r="L443" i="22"/>
  <c r="L502" i="22" s="1"/>
  <c r="O56" i="41" s="1"/>
  <c r="O153" i="41" s="1"/>
  <c r="L414" i="22"/>
  <c r="L501" i="22" s="1"/>
  <c r="N56" i="41" s="1"/>
  <c r="M115" i="41" s="1"/>
  <c r="M127" i="41" s="1"/>
  <c r="L384" i="22"/>
  <c r="L494" i="22" s="1"/>
  <c r="M55" i="41" s="1"/>
  <c r="Q95" i="80"/>
  <c r="Q107" i="80" s="1"/>
  <c r="Q144" i="80" s="1"/>
  <c r="Q170" i="80" s="1"/>
  <c r="Q271" i="80" s="1"/>
  <c r="P191" i="22"/>
  <c r="L591" i="22"/>
  <c r="N36" i="105" s="1"/>
  <c r="P81" i="22"/>
  <c r="L172" i="22"/>
  <c r="Q105" i="83"/>
  <c r="Q210" i="83" s="1"/>
  <c r="Q82" i="71" s="1"/>
  <c r="Q187" i="71" s="1"/>
  <c r="L85" i="22"/>
  <c r="L530" i="22" s="1"/>
  <c r="O22" i="105" s="1"/>
  <c r="L365" i="22"/>
  <c r="L162" i="22"/>
  <c r="L78" i="22"/>
  <c r="L541" i="22" s="1"/>
  <c r="N24" i="105" s="1"/>
  <c r="L132" i="22"/>
  <c r="L97" i="22"/>
  <c r="P175" i="22"/>
  <c r="Q101" i="80"/>
  <c r="Q113" i="80" s="1"/>
  <c r="L144" i="22"/>
  <c r="L211" i="22" s="1"/>
  <c r="L124" i="22"/>
  <c r="L123" i="22"/>
  <c r="P174" i="22"/>
  <c r="L76" i="22"/>
  <c r="Q96" i="80"/>
  <c r="Q108" i="80" s="1"/>
  <c r="L191" i="22"/>
  <c r="L220" i="22" s="1"/>
  <c r="L77" i="22"/>
  <c r="L535" i="22" s="1"/>
  <c r="N23" i="105" s="1"/>
  <c r="P80" i="22"/>
  <c r="P553" i="22" s="1"/>
  <c r="AD26" i="105" s="1"/>
  <c r="L170" i="22"/>
  <c r="P97" i="22"/>
  <c r="L125" i="22"/>
  <c r="L171" i="22"/>
  <c r="L179" i="22"/>
  <c r="L385" i="22"/>
  <c r="L500" i="22" s="1"/>
  <c r="M56" i="41" s="1"/>
  <c r="Q71" i="80"/>
  <c r="Q83" i="80" s="1"/>
  <c r="Q143" i="80" s="1"/>
  <c r="Q169" i="80" s="1"/>
  <c r="Q270" i="80" s="1"/>
  <c r="Q74" i="80"/>
  <c r="Q86" i="80" s="1"/>
  <c r="Q146" i="80" s="1"/>
  <c r="Q172" i="80" s="1"/>
  <c r="Q273" i="80" s="1"/>
  <c r="Q78" i="80"/>
  <c r="Q90" i="80" s="1"/>
  <c r="J91" i="53"/>
  <c r="J267" i="53" s="1"/>
  <c r="J78" i="83" s="1"/>
  <c r="J126" i="83" s="1"/>
  <c r="J126" i="72" s="1"/>
  <c r="J196" i="72" s="1"/>
  <c r="J226" i="72" s="1"/>
  <c r="Q73" i="80"/>
  <c r="Q85" i="80" s="1"/>
  <c r="T143" i="80"/>
  <c r="T169" i="80" s="1"/>
  <c r="T270" i="80" s="1"/>
  <c r="S146" i="80"/>
  <c r="S172" i="80" s="1"/>
  <c r="S273" i="80" s="1"/>
  <c r="Q100" i="83"/>
  <c r="Q188" i="83" s="1"/>
  <c r="Q59" i="71" s="1"/>
  <c r="Q164" i="71" s="1"/>
  <c r="R145" i="80"/>
  <c r="R171" i="80" s="1"/>
  <c r="R272" i="80" s="1"/>
  <c r="Q123" i="80"/>
  <c r="Q135" i="80" s="1"/>
  <c r="Q149" i="80" s="1"/>
  <c r="Q175" i="80" s="1"/>
  <c r="Q276" i="80" s="1"/>
  <c r="Q101" i="83"/>
  <c r="Q189" i="83" s="1"/>
  <c r="Q60" i="71" s="1"/>
  <c r="Q165" i="71" s="1"/>
  <c r="K91" i="53"/>
  <c r="K267" i="53" s="1"/>
  <c r="K78" i="83" s="1"/>
  <c r="K130" i="83" s="1"/>
  <c r="K130" i="72" s="1"/>
  <c r="K200" i="72" s="1"/>
  <c r="K230" i="72" s="1"/>
  <c r="U143" i="80"/>
  <c r="U169" i="80" s="1"/>
  <c r="U270" i="80" s="1"/>
  <c r="S144" i="80"/>
  <c r="S170" i="80" s="1"/>
  <c r="S271" i="80" s="1"/>
  <c r="Q142" i="80"/>
  <c r="Q168" i="80" s="1"/>
  <c r="Q269" i="80" s="1"/>
  <c r="V147" i="80"/>
  <c r="V173" i="80" s="1"/>
  <c r="V274" i="80" s="1"/>
  <c r="U145" i="80"/>
  <c r="U171" i="80" s="1"/>
  <c r="U272" i="80" s="1"/>
  <c r="U146" i="80"/>
  <c r="U172" i="80" s="1"/>
  <c r="U273" i="80" s="1"/>
  <c r="X146" i="80"/>
  <c r="X172" i="80" s="1"/>
  <c r="X273" i="80" s="1"/>
  <c r="R143" i="80"/>
  <c r="R169" i="80" s="1"/>
  <c r="R270" i="80" s="1"/>
  <c r="R148" i="80"/>
  <c r="R174" i="80" s="1"/>
  <c r="R275" i="80" s="1"/>
  <c r="T146" i="80"/>
  <c r="T172" i="80" s="1"/>
  <c r="T273" i="80" s="1"/>
  <c r="U150" i="80"/>
  <c r="U208" i="80" s="1"/>
  <c r="X150" i="80"/>
  <c r="X208" i="80" s="1"/>
  <c r="V144" i="80"/>
  <c r="V170" i="80" s="1"/>
  <c r="V271" i="80" s="1"/>
  <c r="T148" i="80"/>
  <c r="T174" i="80" s="1"/>
  <c r="T275" i="80" s="1"/>
  <c r="T149" i="80"/>
  <c r="T175" i="80" s="1"/>
  <c r="T276" i="80" s="1"/>
  <c r="AD153" i="41"/>
  <c r="AD116" i="41"/>
  <c r="AD128" i="41" s="1"/>
  <c r="AD114" i="41"/>
  <c r="AD126" i="41" s="1"/>
  <c r="AD117" i="41"/>
  <c r="AD129" i="41" s="1"/>
  <c r="AE116" i="41"/>
  <c r="AE128" i="41" s="1"/>
  <c r="L270" i="22"/>
  <c r="L274" i="22" s="1"/>
  <c r="L22" i="112"/>
  <c r="M153" i="41"/>
  <c r="M120" i="41"/>
  <c r="M132" i="41" s="1"/>
  <c r="M117" i="41"/>
  <c r="M129" i="41" s="1"/>
  <c r="M116" i="41"/>
  <c r="M128" i="41" s="1"/>
  <c r="M114" i="41"/>
  <c r="M126" i="41" s="1"/>
  <c r="N115" i="41"/>
  <c r="N127" i="41" s="1"/>
  <c r="O119" i="41"/>
  <c r="O131" i="41" s="1"/>
  <c r="N119" i="41"/>
  <c r="N131" i="41" s="1"/>
  <c r="W208" i="80"/>
  <c r="W176" i="80"/>
  <c r="W177" i="80" s="1"/>
  <c r="X147" i="80"/>
  <c r="X173" i="80" s="1"/>
  <c r="X274" i="80" s="1"/>
  <c r="P549" i="22"/>
  <c r="AF25" i="105" s="1"/>
  <c r="U148" i="80"/>
  <c r="U174" i="80" s="1"/>
  <c r="U275" i="80" s="1"/>
  <c r="T22" i="71"/>
  <c r="T127" i="71" s="1"/>
  <c r="X143" i="80"/>
  <c r="X169" i="80" s="1"/>
  <c r="X270" i="80" s="1"/>
  <c r="S147" i="80"/>
  <c r="S173" i="80" s="1"/>
  <c r="S274" i="80" s="1"/>
  <c r="P637" i="22"/>
  <c r="AF47" i="105" s="1"/>
  <c r="P463" i="22"/>
  <c r="P472" i="22" s="1"/>
  <c r="P503" i="22" s="1"/>
  <c r="AF56" i="41" s="1"/>
  <c r="U147" i="80"/>
  <c r="U173" i="80" s="1"/>
  <c r="U274" i="80" s="1"/>
  <c r="X142" i="80"/>
  <c r="X168" i="80" s="1"/>
  <c r="T142" i="80"/>
  <c r="T168" i="80" s="1"/>
  <c r="L579" i="22"/>
  <c r="N34" i="105" s="1"/>
  <c r="L394" i="22"/>
  <c r="V148" i="80"/>
  <c r="V174" i="80" s="1"/>
  <c r="V275" i="80" s="1"/>
  <c r="L617" i="22"/>
  <c r="N44" i="105" s="1"/>
  <c r="L402" i="22"/>
  <c r="X145" i="80"/>
  <c r="X171" i="80" s="1"/>
  <c r="X272" i="80" s="1"/>
  <c r="L528" i="22"/>
  <c r="M22" i="105" s="1"/>
  <c r="L382" i="22"/>
  <c r="L482" i="22" s="1"/>
  <c r="M53" i="41" s="1"/>
  <c r="S149" i="80"/>
  <c r="S175" i="80" s="1"/>
  <c r="S276" i="80" s="1"/>
  <c r="R144" i="80"/>
  <c r="R170" i="80" s="1"/>
  <c r="R271" i="80" s="1"/>
  <c r="X22" i="71"/>
  <c r="X127" i="71" s="1"/>
  <c r="S150" i="80"/>
  <c r="S142" i="80"/>
  <c r="S168" i="80" s="1"/>
  <c r="S269" i="80" s="1"/>
  <c r="U144" i="80"/>
  <c r="U170" i="80" s="1"/>
  <c r="U271" i="80" s="1"/>
  <c r="V149" i="80"/>
  <c r="V175" i="80" s="1"/>
  <c r="V276" i="80" s="1"/>
  <c r="AD185" i="105"/>
  <c r="P641" i="22"/>
  <c r="AD48" i="105" s="1"/>
  <c r="P406" i="22"/>
  <c r="Q147" i="80"/>
  <c r="Q173" i="80" s="1"/>
  <c r="Q274" i="80" s="1"/>
  <c r="L622" i="22"/>
  <c r="M45" i="105" s="1"/>
  <c r="L374" i="22"/>
  <c r="L383" i="22" s="1"/>
  <c r="L488" i="22" s="1"/>
  <c r="M54" i="41" s="1"/>
  <c r="L573" i="22"/>
  <c r="N33" i="105" s="1"/>
  <c r="L393" i="22"/>
  <c r="AE153" i="41"/>
  <c r="AE115" i="41"/>
  <c r="AE127" i="41" s="1"/>
  <c r="AE114" i="41"/>
  <c r="AE126" i="41" s="1"/>
  <c r="V145" i="80"/>
  <c r="V171" i="80" s="1"/>
  <c r="V272" i="80" s="1"/>
  <c r="Q148" i="80"/>
  <c r="Q174" i="80" s="1"/>
  <c r="Q275" i="80" s="1"/>
  <c r="P647" i="22"/>
  <c r="AD49" i="105" s="1"/>
  <c r="P407" i="22"/>
  <c r="P416" i="22" s="1"/>
  <c r="P513" i="22" s="1"/>
  <c r="AD58" i="41" s="1"/>
  <c r="S22" i="71"/>
  <c r="S127" i="71" s="1"/>
  <c r="L623" i="22"/>
  <c r="N45" i="105" s="1"/>
  <c r="L403" i="22"/>
  <c r="X144" i="80"/>
  <c r="X170" i="80" s="1"/>
  <c r="X271" i="80" s="1"/>
  <c r="V143" i="80"/>
  <c r="V169" i="80" s="1"/>
  <c r="V270" i="80" s="1"/>
  <c r="V146" i="80"/>
  <c r="V172" i="80" s="1"/>
  <c r="V273" i="80" s="1"/>
  <c r="R149" i="80"/>
  <c r="R175" i="80" s="1"/>
  <c r="R276" i="80" s="1"/>
  <c r="V142" i="80"/>
  <c r="V168" i="80" s="1"/>
  <c r="AE185" i="105"/>
  <c r="R150" i="80"/>
  <c r="P559" i="22"/>
  <c r="AD27" i="105" s="1"/>
  <c r="R142" i="80"/>
  <c r="R168" i="80" s="1"/>
  <c r="R269" i="80" s="1"/>
  <c r="V22" i="71"/>
  <c r="V127" i="71" s="1"/>
  <c r="S143" i="80"/>
  <c r="S169" i="80" s="1"/>
  <c r="S270" i="80" s="1"/>
  <c r="AC153" i="41"/>
  <c r="AD118" i="41"/>
  <c r="AD130" i="41" s="1"/>
  <c r="AC120" i="41"/>
  <c r="AC132" i="41" s="1"/>
  <c r="AC119" i="41"/>
  <c r="AC131" i="41" s="1"/>
  <c r="AD119" i="41"/>
  <c r="AD131" i="41" s="1"/>
  <c r="AC118" i="41"/>
  <c r="AC130" i="41" s="1"/>
  <c r="AD115" i="41"/>
  <c r="AD127" i="41" s="1"/>
  <c r="AE119" i="41"/>
  <c r="AE131" i="41" s="1"/>
  <c r="AC116" i="41"/>
  <c r="AC128" i="41" s="1"/>
  <c r="AC115" i="41"/>
  <c r="AC127" i="41" s="1"/>
  <c r="AC114" i="41"/>
  <c r="AC126" i="41" s="1"/>
  <c r="AC117" i="41"/>
  <c r="AC129" i="41" s="1"/>
  <c r="L549" i="22"/>
  <c r="P25" i="105" s="1"/>
  <c r="U149" i="80"/>
  <c r="U175" i="80" s="1"/>
  <c r="U276" i="80" s="1"/>
  <c r="L585" i="22"/>
  <c r="N35" i="105" s="1"/>
  <c r="L395" i="22"/>
  <c r="R22" i="71"/>
  <c r="R127" i="71" s="1"/>
  <c r="R146" i="80"/>
  <c r="R172" i="80" s="1"/>
  <c r="R273" i="80" s="1"/>
  <c r="L618" i="22"/>
  <c r="O44" i="105" s="1"/>
  <c r="L431" i="22"/>
  <c r="Q22" i="71"/>
  <c r="Q127" i="71" s="1"/>
  <c r="T144" i="80"/>
  <c r="T170" i="80" s="1"/>
  <c r="T271" i="80" s="1"/>
  <c r="S145" i="80"/>
  <c r="S171" i="80" s="1"/>
  <c r="S272" i="80" s="1"/>
  <c r="S148" i="80"/>
  <c r="S174" i="80" s="1"/>
  <c r="S275" i="80" s="1"/>
  <c r="P202" i="22"/>
  <c r="T145" i="80"/>
  <c r="T171" i="80" s="1"/>
  <c r="T272" i="80" s="1"/>
  <c r="L593" i="22"/>
  <c r="P36" i="105" s="1"/>
  <c r="U142" i="80"/>
  <c r="U168" i="80" s="1"/>
  <c r="U269" i="80" s="1"/>
  <c r="J132" i="83"/>
  <c r="J132" i="72" s="1"/>
  <c r="J202" i="72" s="1"/>
  <c r="J232" i="72" s="1"/>
  <c r="J128" i="83"/>
  <c r="J128" i="72" s="1"/>
  <c r="J198" i="72" s="1"/>
  <c r="J228" i="72" s="1"/>
  <c r="J125" i="83"/>
  <c r="J125" i="72" s="1"/>
  <c r="J195" i="72" s="1"/>
  <c r="J225" i="72" s="1"/>
  <c r="L202" i="22"/>
  <c r="V150" i="80"/>
  <c r="T150" i="80"/>
  <c r="L574" i="22"/>
  <c r="O33" i="105" s="1"/>
  <c r="L422" i="22"/>
  <c r="L529" i="22"/>
  <c r="N22" i="105" s="1"/>
  <c r="N153" i="41"/>
  <c r="N114" i="41"/>
  <c r="N126" i="41" s="1"/>
  <c r="N116" i="41"/>
  <c r="N128" i="41" s="1"/>
  <c r="N117" i="41"/>
  <c r="N129" i="41" s="1"/>
  <c r="O116" i="41"/>
  <c r="O128" i="41" s="1"/>
  <c r="X148" i="80"/>
  <c r="X174" i="80" s="1"/>
  <c r="X275" i="80" s="1"/>
  <c r="Y208" i="80"/>
  <c r="Y176" i="80"/>
  <c r="Y177" i="80" s="1"/>
  <c r="AC187" i="105"/>
  <c r="AC185" i="105"/>
  <c r="AC186" i="105"/>
  <c r="L637" i="22"/>
  <c r="P47" i="105" s="1"/>
  <c r="L463" i="22"/>
  <c r="U22" i="71"/>
  <c r="U127" i="71" s="1"/>
  <c r="P220" i="22"/>
  <c r="K123" i="83"/>
  <c r="K132" i="83"/>
  <c r="K132" i="72" s="1"/>
  <c r="K202" i="72" s="1"/>
  <c r="K232" i="72" s="1"/>
  <c r="L629" i="22"/>
  <c r="N46" i="105" s="1"/>
  <c r="L404" i="22"/>
  <c r="R147" i="80"/>
  <c r="R173" i="80" s="1"/>
  <c r="R274" i="80" s="1"/>
  <c r="M170" i="105"/>
  <c r="M172" i="105" s="1"/>
  <c r="M64" i="82" s="1"/>
  <c r="T147" i="80"/>
  <c r="T173" i="80" s="1"/>
  <c r="T274" i="80" s="1"/>
  <c r="X149" i="80"/>
  <c r="X175" i="80" s="1"/>
  <c r="X276" i="80" s="1"/>
  <c r="N118" i="41" l="1"/>
  <c r="N130" i="41" s="1"/>
  <c r="M118" i="41"/>
  <c r="M130" i="41" s="1"/>
  <c r="M119" i="41"/>
  <c r="M131" i="41" s="1"/>
  <c r="O114" i="41"/>
  <c r="O126" i="41" s="1"/>
  <c r="O115" i="41"/>
  <c r="O127" i="41" s="1"/>
  <c r="Q150" i="80"/>
  <c r="Q208" i="80" s="1"/>
  <c r="P415" i="22"/>
  <c r="P507" i="22" s="1"/>
  <c r="AD57" i="41" s="1"/>
  <c r="L454" i="22"/>
  <c r="L472" i="22" s="1"/>
  <c r="L503" i="22" s="1"/>
  <c r="P56" i="41" s="1"/>
  <c r="P118" i="41" s="1"/>
  <c r="P130" i="41" s="1"/>
  <c r="K126" i="83"/>
  <c r="K126" i="72" s="1"/>
  <c r="K196" i="72" s="1"/>
  <c r="K226" i="72" s="1"/>
  <c r="J124" i="83"/>
  <c r="K127" i="83"/>
  <c r="K127" i="72" s="1"/>
  <c r="K197" i="72" s="1"/>
  <c r="K227" i="72" s="1"/>
  <c r="K129" i="83"/>
  <c r="K129" i="72" s="1"/>
  <c r="K199" i="72" s="1"/>
  <c r="K229" i="72" s="1"/>
  <c r="K124" i="83"/>
  <c r="J130" i="83"/>
  <c r="J130" i="72" s="1"/>
  <c r="J200" i="72" s="1"/>
  <c r="J230" i="72" s="1"/>
  <c r="K128" i="83"/>
  <c r="K128" i="72" s="1"/>
  <c r="K198" i="72" s="1"/>
  <c r="K228" i="72" s="1"/>
  <c r="J127" i="83"/>
  <c r="J127" i="72" s="1"/>
  <c r="J197" i="72" s="1"/>
  <c r="J227" i="72" s="1"/>
  <c r="J129" i="83"/>
  <c r="J129" i="72" s="1"/>
  <c r="J199" i="72" s="1"/>
  <c r="J229" i="72" s="1"/>
  <c r="K131" i="83"/>
  <c r="K131" i="72" s="1"/>
  <c r="K201" i="72" s="1"/>
  <c r="K231" i="72" s="1"/>
  <c r="J123" i="83"/>
  <c r="J131" i="83"/>
  <c r="J131" i="72" s="1"/>
  <c r="J201" i="72" s="1"/>
  <c r="J231" i="72" s="1"/>
  <c r="K125" i="83"/>
  <c r="K125" i="72" s="1"/>
  <c r="K195" i="72" s="1"/>
  <c r="K225" i="72" s="1"/>
  <c r="L440" i="22"/>
  <c r="L484" i="22" s="1"/>
  <c r="O53" i="41" s="1"/>
  <c r="L412" i="22"/>
  <c r="L489" i="22" s="1"/>
  <c r="N54" i="41" s="1"/>
  <c r="Q145" i="80"/>
  <c r="Q171" i="80" s="1"/>
  <c r="Q272" i="80" s="1"/>
  <c r="L269" i="22"/>
  <c r="L273" i="22" s="1"/>
  <c r="L21" i="112"/>
  <c r="L141" i="22"/>
  <c r="P90" i="22"/>
  <c r="L134" i="22"/>
  <c r="L586" i="22" s="1"/>
  <c r="O35" i="105" s="1"/>
  <c r="L87" i="22"/>
  <c r="L180" i="22"/>
  <c r="L181" i="22"/>
  <c r="L133" i="22"/>
  <c r="L86" i="22"/>
  <c r="L188" i="22"/>
  <c r="P89" i="22"/>
  <c r="L94" i="22"/>
  <c r="L531" i="22" s="1"/>
  <c r="P22" i="105" s="1"/>
  <c r="P184" i="22"/>
  <c r="P648" i="22" s="1"/>
  <c r="AE49" i="105" s="1"/>
  <c r="P183" i="22"/>
  <c r="L411" i="22"/>
  <c r="L483" i="22" s="1"/>
  <c r="N53" i="41" s="1"/>
  <c r="K93" i="53"/>
  <c r="J93" i="53"/>
  <c r="U176" i="80"/>
  <c r="U177" i="80" s="1"/>
  <c r="X176" i="80"/>
  <c r="X177" i="80" s="1"/>
  <c r="AD186" i="105"/>
  <c r="AF153" i="41"/>
  <c r="AF119" i="41"/>
  <c r="AF131" i="41" s="1"/>
  <c r="AF114" i="41"/>
  <c r="AF126" i="41" s="1"/>
  <c r="AF116" i="41"/>
  <c r="AF128" i="41" s="1"/>
  <c r="AF115" i="41"/>
  <c r="AF127" i="41" s="1"/>
  <c r="AE120" i="41"/>
  <c r="AE132" i="41" s="1"/>
  <c r="AE118" i="41"/>
  <c r="AE130" i="41" s="1"/>
  <c r="AE117" i="41"/>
  <c r="AE129" i="41" s="1"/>
  <c r="AF117" i="41"/>
  <c r="AF129" i="41" s="1"/>
  <c r="AD121" i="41"/>
  <c r="AD133" i="41" s="1"/>
  <c r="AD120" i="41"/>
  <c r="AD132" i="41" s="1"/>
  <c r="AE121" i="41"/>
  <c r="AE133" i="41" s="1"/>
  <c r="AF121" i="41"/>
  <c r="AF133" i="41" s="1"/>
  <c r="AF120" i="41"/>
  <c r="AF132" i="41" s="1"/>
  <c r="AC121" i="41"/>
  <c r="AC133" i="41" s="1"/>
  <c r="AF118" i="41"/>
  <c r="AF130" i="41" s="1"/>
  <c r="AF185" i="105"/>
  <c r="P268" i="22"/>
  <c r="P20" i="112"/>
  <c r="L575" i="22"/>
  <c r="P33" i="105" s="1"/>
  <c r="L451" i="22"/>
  <c r="P436" i="22"/>
  <c r="P445" i="22" s="1"/>
  <c r="P514" i="22" s="1"/>
  <c r="AE58" i="41" s="1"/>
  <c r="V269" i="80"/>
  <c r="P554" i="22"/>
  <c r="AE26" i="105" s="1"/>
  <c r="S208" i="80"/>
  <c r="S176" i="80"/>
  <c r="S177" i="80" s="1"/>
  <c r="N170" i="105"/>
  <c r="N172" i="105" s="1"/>
  <c r="N64" i="82" s="1"/>
  <c r="P560" i="22"/>
  <c r="AE27" i="105" s="1"/>
  <c r="L624" i="22"/>
  <c r="O45" i="105" s="1"/>
  <c r="L432" i="22"/>
  <c r="P642" i="22"/>
  <c r="AE48" i="105" s="1"/>
  <c r="P435" i="22"/>
  <c r="P444" i="22" s="1"/>
  <c r="P508" i="22" s="1"/>
  <c r="AE57" i="41" s="1"/>
  <c r="T269" i="80"/>
  <c r="R176" i="80"/>
  <c r="R177" i="80" s="1"/>
  <c r="R208" i="80"/>
  <c r="L580" i="22"/>
  <c r="O34" i="105" s="1"/>
  <c r="L423" i="22"/>
  <c r="L208" i="22"/>
  <c r="L232" i="22" s="1"/>
  <c r="L236" i="22" s="1"/>
  <c r="T176" i="80"/>
  <c r="T177" i="80" s="1"/>
  <c r="T208" i="80"/>
  <c r="L413" i="22"/>
  <c r="L495" i="22" s="1"/>
  <c r="N55" i="41" s="1"/>
  <c r="AD187" i="105"/>
  <c r="M164" i="41"/>
  <c r="M166" i="41" s="1"/>
  <c r="M174" i="41" s="1"/>
  <c r="L542" i="22"/>
  <c r="O24" i="105" s="1"/>
  <c r="V176" i="80"/>
  <c r="V177" i="80" s="1"/>
  <c r="V208" i="80"/>
  <c r="X269" i="80"/>
  <c r="P270" i="22"/>
  <c r="P274" i="22" s="1"/>
  <c r="P22" i="112"/>
  <c r="L536" i="22"/>
  <c r="O23" i="105" s="1"/>
  <c r="L630" i="22"/>
  <c r="O46" i="105" s="1"/>
  <c r="L433" i="22"/>
  <c r="L268" i="22"/>
  <c r="L275" i="22" s="1"/>
  <c r="L20" i="112"/>
  <c r="L619" i="22"/>
  <c r="P44" i="105" s="1"/>
  <c r="L460" i="22"/>
  <c r="L217" i="22"/>
  <c r="L233" i="22" s="1"/>
  <c r="L237" i="22" s="1"/>
  <c r="L441" i="22" l="1"/>
  <c r="L490" i="22" s="1"/>
  <c r="O54" i="41" s="1"/>
  <c r="Q176" i="80"/>
  <c r="L424" i="22"/>
  <c r="L199" i="22"/>
  <c r="L231" i="22" s="1"/>
  <c r="P119" i="41"/>
  <c r="P131" i="41" s="1"/>
  <c r="Q177" i="80"/>
  <c r="P192" i="22"/>
  <c r="P193" i="22"/>
  <c r="P222" i="22" s="1"/>
  <c r="P292" i="22" s="1"/>
  <c r="P296" i="22" s="1"/>
  <c r="P297" i="22" s="1"/>
  <c r="P189" i="80" s="1"/>
  <c r="L190" i="22"/>
  <c r="L219" i="22" s="1"/>
  <c r="L255" i="22" s="1"/>
  <c r="L259" i="22" s="1"/>
  <c r="L96" i="22"/>
  <c r="L201" i="22" s="1"/>
  <c r="L253" i="22" s="1"/>
  <c r="L142" i="22"/>
  <c r="P98" i="22"/>
  <c r="L143" i="22"/>
  <c r="L210" i="22" s="1"/>
  <c r="L254" i="22" s="1"/>
  <c r="L258" i="22" s="1"/>
  <c r="L95" i="22"/>
  <c r="L200" i="22" s="1"/>
  <c r="L242" i="22" s="1"/>
  <c r="L189" i="22"/>
  <c r="L218" i="22" s="1"/>
  <c r="L244" i="22" s="1"/>
  <c r="L248" i="22" s="1"/>
  <c r="P99" i="22"/>
  <c r="P204" i="22" s="1"/>
  <c r="P290" i="22" s="1"/>
  <c r="M121" i="41"/>
  <c r="M133" i="41" s="1"/>
  <c r="O121" i="41"/>
  <c r="O133" i="41" s="1"/>
  <c r="P117" i="41"/>
  <c r="P129" i="41" s="1"/>
  <c r="O117" i="41"/>
  <c r="O129" i="41" s="1"/>
  <c r="O120" i="41"/>
  <c r="O132" i="41" s="1"/>
  <c r="N120" i="41"/>
  <c r="N132" i="41" s="1"/>
  <c r="O118" i="41"/>
  <c r="O130" i="41" s="1"/>
  <c r="P114" i="41"/>
  <c r="P126" i="41" s="1"/>
  <c r="J287" i="53"/>
  <c r="J296" i="53"/>
  <c r="J289" i="53"/>
  <c r="J290" i="53"/>
  <c r="J274" i="53"/>
  <c r="J300" i="53"/>
  <c r="J299" i="53"/>
  <c r="J286" i="53"/>
  <c r="J280" i="53"/>
  <c r="J302" i="53"/>
  <c r="J291" i="53"/>
  <c r="J284" i="53"/>
  <c r="J297" i="53"/>
  <c r="J275" i="53"/>
  <c r="J273" i="53"/>
  <c r="J277" i="53"/>
  <c r="J301" i="53"/>
  <c r="J283" i="53"/>
  <c r="J288" i="53"/>
  <c r="J295" i="53"/>
  <c r="J272" i="53"/>
  <c r="J278" i="53"/>
  <c r="J279" i="53"/>
  <c r="J298" i="53"/>
  <c r="J276" i="53"/>
  <c r="J294" i="53"/>
  <c r="J285" i="53"/>
  <c r="K301" i="53"/>
  <c r="K275" i="53"/>
  <c r="K273" i="53"/>
  <c r="K300" i="53"/>
  <c r="K299" i="53"/>
  <c r="K280" i="53"/>
  <c r="K295" i="53"/>
  <c r="K297" i="53"/>
  <c r="K291" i="53"/>
  <c r="K289" i="53"/>
  <c r="K274" i="53"/>
  <c r="K290" i="53"/>
  <c r="K279" i="53"/>
  <c r="K286" i="53"/>
  <c r="K272" i="53"/>
  <c r="K302" i="53"/>
  <c r="K285" i="53"/>
  <c r="K284" i="53"/>
  <c r="K288" i="53"/>
  <c r="K296" i="53"/>
  <c r="K283" i="53"/>
  <c r="K276" i="53"/>
  <c r="K298" i="53"/>
  <c r="K277" i="53"/>
  <c r="K278" i="53"/>
  <c r="K294" i="53"/>
  <c r="K287" i="53"/>
  <c r="P121" i="41"/>
  <c r="P133" i="41" s="1"/>
  <c r="P115" i="41"/>
  <c r="P127" i="41" s="1"/>
  <c r="L469" i="22"/>
  <c r="L485" i="22" s="1"/>
  <c r="P53" i="41" s="1"/>
  <c r="P116" i="41"/>
  <c r="P128" i="41" s="1"/>
  <c r="L442" i="22"/>
  <c r="L496" i="22" s="1"/>
  <c r="O55" i="41" s="1"/>
  <c r="O164" i="41" s="1"/>
  <c r="O166" i="41" s="1"/>
  <c r="O174" i="41" s="1"/>
  <c r="N121" i="41"/>
  <c r="N133" i="41" s="1"/>
  <c r="P153" i="41"/>
  <c r="P120" i="41"/>
  <c r="P132" i="41" s="1"/>
  <c r="L36" i="112"/>
  <c r="L37" i="112"/>
  <c r="P561" i="22"/>
  <c r="AF27" i="105" s="1"/>
  <c r="O170" i="105"/>
  <c r="O172" i="105" s="1"/>
  <c r="O64" i="82" s="1"/>
  <c r="AE187" i="105"/>
  <c r="L625" i="22"/>
  <c r="P45" i="105" s="1"/>
  <c r="L461" i="22"/>
  <c r="L581" i="22"/>
  <c r="P34" i="105" s="1"/>
  <c r="L452" i="22"/>
  <c r="P555" i="22"/>
  <c r="AF26" i="105" s="1"/>
  <c r="P203" i="22"/>
  <c r="P279" i="22" s="1"/>
  <c r="P643" i="22"/>
  <c r="AF48" i="105" s="1"/>
  <c r="P464" i="22"/>
  <c r="P473" i="22" s="1"/>
  <c r="P509" i="22" s="1"/>
  <c r="AF57" i="41" s="1"/>
  <c r="P221" i="22"/>
  <c r="P281" i="22" s="1"/>
  <c r="P285" i="22" s="1"/>
  <c r="P36" i="112"/>
  <c r="P37" i="112"/>
  <c r="L238" i="22"/>
  <c r="P649" i="22"/>
  <c r="AF49" i="105" s="1"/>
  <c r="P465" i="22"/>
  <c r="P474" i="22" s="1"/>
  <c r="P515" i="22" s="1"/>
  <c r="AF58" i="41" s="1"/>
  <c r="L209" i="22"/>
  <c r="L243" i="22" s="1"/>
  <c r="L247" i="22" s="1"/>
  <c r="AE186" i="105"/>
  <c r="P275" i="22"/>
  <c r="L587" i="22"/>
  <c r="P35" i="105" s="1"/>
  <c r="L453" i="22"/>
  <c r="L16" i="111"/>
  <c r="L18" i="74"/>
  <c r="N164" i="41"/>
  <c r="N166" i="41" s="1"/>
  <c r="N174" i="41" s="1"/>
  <c r="L249" i="22" l="1"/>
  <c r="L260" i="22"/>
  <c r="L33" i="53" s="1"/>
  <c r="L462" i="22"/>
  <c r="L543" i="22"/>
  <c r="P24" i="105" s="1"/>
  <c r="L631" i="22"/>
  <c r="P46" i="105" s="1"/>
  <c r="L537" i="22"/>
  <c r="P23" i="105" s="1"/>
  <c r="P170" i="105" s="1"/>
  <c r="P172" i="105" s="1"/>
  <c r="P64" i="82" s="1"/>
  <c r="O68" i="22"/>
  <c r="O165" i="22"/>
  <c r="N129" i="22"/>
  <c r="N399" i="22" s="1"/>
  <c r="P176" i="22"/>
  <c r="P653" i="22" s="1"/>
  <c r="AD50" i="105" s="1"/>
  <c r="P78" i="22"/>
  <c r="O67" i="22"/>
  <c r="N171" i="22"/>
  <c r="N170" i="22"/>
  <c r="N617" i="22" s="1"/>
  <c r="T44" i="105" s="1"/>
  <c r="P171" i="22"/>
  <c r="O73" i="22"/>
  <c r="N78" i="22"/>
  <c r="P77" i="22"/>
  <c r="P535" i="22" s="1"/>
  <c r="AD23" i="105" s="1"/>
  <c r="N123" i="22"/>
  <c r="O167" i="22"/>
  <c r="N76" i="22"/>
  <c r="N176" i="22"/>
  <c r="P170" i="22"/>
  <c r="O161" i="22"/>
  <c r="O166" i="22"/>
  <c r="N172" i="22"/>
  <c r="N629" i="22" s="1"/>
  <c r="T46" i="105" s="1"/>
  <c r="P76" i="22"/>
  <c r="N82" i="22"/>
  <c r="O71" i="22"/>
  <c r="N124" i="22"/>
  <c r="N579" i="22" s="1"/>
  <c r="T34" i="105" s="1"/>
  <c r="P82" i="22"/>
  <c r="N77" i="22"/>
  <c r="O163" i="22"/>
  <c r="O375" i="22" s="1"/>
  <c r="O384" i="22" s="1"/>
  <c r="O494" i="22" s="1"/>
  <c r="X55" i="41" s="1"/>
  <c r="O69" i="22"/>
  <c r="O72" i="22"/>
  <c r="N125" i="22"/>
  <c r="P172" i="22"/>
  <c r="L471" i="22"/>
  <c r="L497" i="22" s="1"/>
  <c r="P55" i="41" s="1"/>
  <c r="L58" i="80"/>
  <c r="J112" i="83"/>
  <c r="J217" i="83" s="1"/>
  <c r="J89" i="71" s="1"/>
  <c r="J194" i="71" s="1"/>
  <c r="J122" i="80"/>
  <c r="J134" i="80" s="1"/>
  <c r="K94" i="83"/>
  <c r="K182" i="83" s="1"/>
  <c r="K53" i="71" s="1"/>
  <c r="K158" i="71" s="1"/>
  <c r="K93" i="80"/>
  <c r="K105" i="80" s="1"/>
  <c r="K93" i="83"/>
  <c r="K181" i="83" s="1"/>
  <c r="K52" i="71" s="1"/>
  <c r="K157" i="71" s="1"/>
  <c r="K77" i="80"/>
  <c r="K89" i="80" s="1"/>
  <c r="K89" i="83"/>
  <c r="K160" i="83" s="1"/>
  <c r="K30" i="71" s="1"/>
  <c r="K135" i="71" s="1"/>
  <c r="K111" i="83"/>
  <c r="K216" i="83" s="1"/>
  <c r="K88" i="71" s="1"/>
  <c r="K193" i="71" s="1"/>
  <c r="K121" i="80"/>
  <c r="K133" i="80" s="1"/>
  <c r="J110" i="83"/>
  <c r="J215" i="83" s="1"/>
  <c r="J87" i="71" s="1"/>
  <c r="J192" i="71" s="1"/>
  <c r="J120" i="80"/>
  <c r="J132" i="80" s="1"/>
  <c r="J75" i="80"/>
  <c r="J87" i="80" s="1"/>
  <c r="J87" i="83"/>
  <c r="J158" i="83" s="1"/>
  <c r="J28" i="71" s="1"/>
  <c r="J133" i="71" s="1"/>
  <c r="J96" i="80"/>
  <c r="J108" i="80" s="1"/>
  <c r="J97" i="83"/>
  <c r="J185" i="83" s="1"/>
  <c r="J56" i="71" s="1"/>
  <c r="J161" i="71" s="1"/>
  <c r="K84" i="83"/>
  <c r="K155" i="83" s="1"/>
  <c r="K25" i="71" s="1"/>
  <c r="K130" i="71" s="1"/>
  <c r="K72" i="80"/>
  <c r="K84" i="80" s="1"/>
  <c r="K118" i="80"/>
  <c r="K130" i="80" s="1"/>
  <c r="K108" i="83"/>
  <c r="K213" i="83" s="1"/>
  <c r="K85" i="71" s="1"/>
  <c r="K190" i="71" s="1"/>
  <c r="K100" i="80"/>
  <c r="K112" i="80" s="1"/>
  <c r="K101" i="83"/>
  <c r="K189" i="83" s="1"/>
  <c r="K60" i="71" s="1"/>
  <c r="K165" i="71" s="1"/>
  <c r="K112" i="83"/>
  <c r="K217" i="83" s="1"/>
  <c r="K89" i="71" s="1"/>
  <c r="K194" i="71" s="1"/>
  <c r="K122" i="80"/>
  <c r="K134" i="80" s="1"/>
  <c r="J77" i="80"/>
  <c r="J89" i="80" s="1"/>
  <c r="J89" i="83"/>
  <c r="J160" i="83" s="1"/>
  <c r="J30" i="71" s="1"/>
  <c r="J135" i="71" s="1"/>
  <c r="J83" i="83"/>
  <c r="J154" i="83" s="1"/>
  <c r="J24" i="71" s="1"/>
  <c r="J129" i="71" s="1"/>
  <c r="J71" i="80"/>
  <c r="J83" i="80" s="1"/>
  <c r="J121" i="80"/>
  <c r="J133" i="80" s="1"/>
  <c r="J111" i="83"/>
  <c r="J216" i="83" s="1"/>
  <c r="J88" i="71" s="1"/>
  <c r="J193" i="71" s="1"/>
  <c r="J73" i="80"/>
  <c r="J85" i="80" s="1"/>
  <c r="J85" i="83"/>
  <c r="J156" i="83" s="1"/>
  <c r="J26" i="71" s="1"/>
  <c r="J131" i="71" s="1"/>
  <c r="K85" i="83"/>
  <c r="K156" i="83" s="1"/>
  <c r="K26" i="71" s="1"/>
  <c r="K131" i="71" s="1"/>
  <c r="K73" i="80"/>
  <c r="K85" i="80" s="1"/>
  <c r="J84" i="83"/>
  <c r="J155" i="83" s="1"/>
  <c r="J25" i="71" s="1"/>
  <c r="J130" i="71" s="1"/>
  <c r="J72" i="80"/>
  <c r="J84" i="80" s="1"/>
  <c r="K76" i="80"/>
  <c r="K88" i="80" s="1"/>
  <c r="K88" i="83"/>
  <c r="K159" i="83" s="1"/>
  <c r="K29" i="71" s="1"/>
  <c r="K134" i="71" s="1"/>
  <c r="K95" i="80"/>
  <c r="K107" i="80" s="1"/>
  <c r="K96" i="83"/>
  <c r="K184" i="83" s="1"/>
  <c r="K55" i="71" s="1"/>
  <c r="K160" i="71" s="1"/>
  <c r="K101" i="80"/>
  <c r="K113" i="80" s="1"/>
  <c r="K102" i="83"/>
  <c r="K190" i="83" s="1"/>
  <c r="K61" i="71" s="1"/>
  <c r="K166" i="71" s="1"/>
  <c r="K123" i="80"/>
  <c r="K135" i="80" s="1"/>
  <c r="K113" i="83"/>
  <c r="K218" i="83" s="1"/>
  <c r="K90" i="71" s="1"/>
  <c r="K195" i="71" s="1"/>
  <c r="J107" i="83"/>
  <c r="J212" i="83" s="1"/>
  <c r="J84" i="71" s="1"/>
  <c r="J189" i="71" s="1"/>
  <c r="J117" i="80"/>
  <c r="J129" i="80" s="1"/>
  <c r="J94" i="80"/>
  <c r="J106" i="80" s="1"/>
  <c r="J95" i="83"/>
  <c r="J183" i="83" s="1"/>
  <c r="J54" i="71" s="1"/>
  <c r="J159" i="71" s="1"/>
  <c r="J101" i="83"/>
  <c r="J189" i="83" s="1"/>
  <c r="J60" i="71" s="1"/>
  <c r="J165" i="71" s="1"/>
  <c r="J100" i="80"/>
  <c r="J112" i="80" s="1"/>
  <c r="K99" i="83"/>
  <c r="K187" i="83" s="1"/>
  <c r="K58" i="71" s="1"/>
  <c r="K163" i="71" s="1"/>
  <c r="K98" i="80"/>
  <c r="K110" i="80" s="1"/>
  <c r="K99" i="80"/>
  <c r="K111" i="80" s="1"/>
  <c r="K100" i="83"/>
  <c r="K188" i="83" s="1"/>
  <c r="K59" i="71" s="1"/>
  <c r="K164" i="71" s="1"/>
  <c r="K87" i="83"/>
  <c r="K158" i="83" s="1"/>
  <c r="K28" i="71" s="1"/>
  <c r="K133" i="71" s="1"/>
  <c r="K75" i="80"/>
  <c r="K87" i="80" s="1"/>
  <c r="K124" i="80"/>
  <c r="K136" i="80" s="1"/>
  <c r="K114" i="83"/>
  <c r="K219" i="83" s="1"/>
  <c r="K91" i="71" s="1"/>
  <c r="K196" i="71" s="1"/>
  <c r="K109" i="83"/>
  <c r="K214" i="83" s="1"/>
  <c r="K86" i="71" s="1"/>
  <c r="K191" i="71" s="1"/>
  <c r="K119" i="80"/>
  <c r="K131" i="80" s="1"/>
  <c r="J95" i="80"/>
  <c r="J107" i="80" s="1"/>
  <c r="J96" i="83"/>
  <c r="J184" i="83" s="1"/>
  <c r="J55" i="71" s="1"/>
  <c r="J160" i="71" s="1"/>
  <c r="J98" i="80"/>
  <c r="J110" i="80" s="1"/>
  <c r="J99" i="83"/>
  <c r="J187" i="83" s="1"/>
  <c r="J58" i="71" s="1"/>
  <c r="J163" i="71" s="1"/>
  <c r="J102" i="83"/>
  <c r="J190" i="83" s="1"/>
  <c r="J61" i="71" s="1"/>
  <c r="J166" i="71" s="1"/>
  <c r="J101" i="80"/>
  <c r="J113" i="80" s="1"/>
  <c r="J99" i="80"/>
  <c r="J111" i="80" s="1"/>
  <c r="J100" i="83"/>
  <c r="J188" i="83" s="1"/>
  <c r="J59" i="71" s="1"/>
  <c r="J164" i="71" s="1"/>
  <c r="J88" i="83"/>
  <c r="J159" i="83" s="1"/>
  <c r="J29" i="71" s="1"/>
  <c r="J134" i="71" s="1"/>
  <c r="J76" i="80"/>
  <c r="J88" i="80" s="1"/>
  <c r="K106" i="83"/>
  <c r="K211" i="83" s="1"/>
  <c r="K83" i="71" s="1"/>
  <c r="K188" i="71" s="1"/>
  <c r="K116" i="80"/>
  <c r="K128" i="80" s="1"/>
  <c r="K105" i="83"/>
  <c r="K210" i="83" s="1"/>
  <c r="K82" i="71" s="1"/>
  <c r="K187" i="71" s="1"/>
  <c r="J109" i="83"/>
  <c r="J214" i="83" s="1"/>
  <c r="J86" i="71" s="1"/>
  <c r="J191" i="71" s="1"/>
  <c r="J119" i="80"/>
  <c r="J131" i="80" s="1"/>
  <c r="K120" i="80"/>
  <c r="K132" i="80" s="1"/>
  <c r="K110" i="83"/>
  <c r="K215" i="83" s="1"/>
  <c r="K87" i="71" s="1"/>
  <c r="K192" i="71" s="1"/>
  <c r="K82" i="83"/>
  <c r="K153" i="83" s="1"/>
  <c r="K23" i="71" s="1"/>
  <c r="K128" i="71" s="1"/>
  <c r="K81" i="83"/>
  <c r="K152" i="83" s="1"/>
  <c r="K22" i="71" s="1"/>
  <c r="K127" i="71" s="1"/>
  <c r="K70" i="80"/>
  <c r="K82" i="80" s="1"/>
  <c r="K142" i="80" s="1"/>
  <c r="K168" i="80" s="1"/>
  <c r="K269" i="80" s="1"/>
  <c r="K117" i="80"/>
  <c r="K129" i="80" s="1"/>
  <c r="K107" i="83"/>
  <c r="K212" i="83" s="1"/>
  <c r="K84" i="71" s="1"/>
  <c r="K189" i="71" s="1"/>
  <c r="J116" i="80"/>
  <c r="J128" i="80" s="1"/>
  <c r="J106" i="83"/>
  <c r="J211" i="83" s="1"/>
  <c r="J83" i="71" s="1"/>
  <c r="J188" i="71" s="1"/>
  <c r="J105" i="83"/>
  <c r="J210" i="83" s="1"/>
  <c r="J82" i="71" s="1"/>
  <c r="J187" i="71" s="1"/>
  <c r="J93" i="80"/>
  <c r="J105" i="80" s="1"/>
  <c r="J94" i="83"/>
  <c r="J182" i="83" s="1"/>
  <c r="J53" i="71" s="1"/>
  <c r="J158" i="71" s="1"/>
  <c r="J93" i="83"/>
  <c r="J181" i="83" s="1"/>
  <c r="J52" i="71" s="1"/>
  <c r="J157" i="71" s="1"/>
  <c r="J114" i="83"/>
  <c r="J219" i="83" s="1"/>
  <c r="J91" i="71" s="1"/>
  <c r="J196" i="71" s="1"/>
  <c r="J124" i="80"/>
  <c r="J136" i="80" s="1"/>
  <c r="J108" i="83"/>
  <c r="J213" i="83" s="1"/>
  <c r="J85" i="71" s="1"/>
  <c r="J190" i="71" s="1"/>
  <c r="J118" i="80"/>
  <c r="J130" i="80" s="1"/>
  <c r="K97" i="80"/>
  <c r="K109" i="80" s="1"/>
  <c r="K98" i="83"/>
  <c r="K186" i="83" s="1"/>
  <c r="K57" i="71" s="1"/>
  <c r="K162" i="71" s="1"/>
  <c r="K71" i="80"/>
  <c r="K83" i="80" s="1"/>
  <c r="K83" i="83"/>
  <c r="K154" i="83" s="1"/>
  <c r="K24" i="71" s="1"/>
  <c r="K129" i="71" s="1"/>
  <c r="K95" i="83"/>
  <c r="K183" i="83" s="1"/>
  <c r="K54" i="71" s="1"/>
  <c r="K159" i="71" s="1"/>
  <c r="K94" i="80"/>
  <c r="K106" i="80" s="1"/>
  <c r="J82" i="83"/>
  <c r="J153" i="83" s="1"/>
  <c r="J23" i="71" s="1"/>
  <c r="J128" i="71" s="1"/>
  <c r="J81" i="83"/>
  <c r="J152" i="83" s="1"/>
  <c r="J22" i="71" s="1"/>
  <c r="J127" i="71" s="1"/>
  <c r="J70" i="80"/>
  <c r="J82" i="80" s="1"/>
  <c r="K74" i="80"/>
  <c r="K86" i="80" s="1"/>
  <c r="K86" i="83"/>
  <c r="K157" i="83" s="1"/>
  <c r="K27" i="71" s="1"/>
  <c r="K132" i="71" s="1"/>
  <c r="K97" i="83"/>
  <c r="K185" i="83" s="1"/>
  <c r="K56" i="71" s="1"/>
  <c r="K161" i="71" s="1"/>
  <c r="K96" i="80"/>
  <c r="K108" i="80" s="1"/>
  <c r="K78" i="80"/>
  <c r="K90" i="80" s="1"/>
  <c r="K90" i="83"/>
  <c r="K161" i="83" s="1"/>
  <c r="K31" i="71" s="1"/>
  <c r="K136" i="71" s="1"/>
  <c r="J86" i="83"/>
  <c r="J157" i="83" s="1"/>
  <c r="J27" i="71" s="1"/>
  <c r="J132" i="71" s="1"/>
  <c r="J74" i="80"/>
  <c r="J86" i="80" s="1"/>
  <c r="J113" i="83"/>
  <c r="J218" i="83" s="1"/>
  <c r="J90" i="71" s="1"/>
  <c r="J195" i="71" s="1"/>
  <c r="J123" i="80"/>
  <c r="J135" i="80" s="1"/>
  <c r="J78" i="80"/>
  <c r="J90" i="80" s="1"/>
  <c r="J90" i="83"/>
  <c r="J161" i="83" s="1"/>
  <c r="J31" i="71" s="1"/>
  <c r="J136" i="71" s="1"/>
  <c r="J97" i="80"/>
  <c r="J109" i="80" s="1"/>
  <c r="J98" i="83"/>
  <c r="J186" i="83" s="1"/>
  <c r="J57" i="71" s="1"/>
  <c r="J162" i="71" s="1"/>
  <c r="L470" i="22"/>
  <c r="L491" i="22" s="1"/>
  <c r="P54" i="41" s="1"/>
  <c r="P286" i="22"/>
  <c r="P188" i="80" s="1"/>
  <c r="P191" i="80" s="1"/>
  <c r="P192" i="80" s="1"/>
  <c r="P240" i="80" s="1"/>
  <c r="L57" i="80"/>
  <c r="L32" i="53"/>
  <c r="L264" i="22"/>
  <c r="L17" i="111" s="1"/>
  <c r="N529" i="22"/>
  <c r="T22" i="105" s="1"/>
  <c r="N653" i="22"/>
  <c r="T50" i="105" s="1"/>
  <c r="N408" i="22"/>
  <c r="P617" i="22"/>
  <c r="AD44" i="105" s="1"/>
  <c r="P402" i="22"/>
  <c r="P411" i="22" s="1"/>
  <c r="P483" i="22" s="1"/>
  <c r="AD53" i="41" s="1"/>
  <c r="AF186" i="105"/>
  <c r="O628" i="22"/>
  <c r="X46" i="105" s="1"/>
  <c r="P529" i="22"/>
  <c r="AD22" i="105" s="1"/>
  <c r="O646" i="22"/>
  <c r="X49" i="105" s="1"/>
  <c r="O378" i="22"/>
  <c r="O387" i="22" s="1"/>
  <c r="O512" i="22" s="1"/>
  <c r="X58" i="41" s="1"/>
  <c r="O552" i="22"/>
  <c r="X26" i="105" s="1"/>
  <c r="P565" i="22"/>
  <c r="AD28" i="105" s="1"/>
  <c r="AD188" i="105" s="1"/>
  <c r="L56" i="80"/>
  <c r="L31" i="53"/>
  <c r="K199" i="105"/>
  <c r="P629" i="22"/>
  <c r="AD46" i="105" s="1"/>
  <c r="P404" i="22"/>
  <c r="P413" i="22" s="1"/>
  <c r="P495" i="22" s="1"/>
  <c r="AD55" i="41" s="1"/>
  <c r="P18" i="74"/>
  <c r="P16" i="111"/>
  <c r="O558" i="22"/>
  <c r="X27" i="105" s="1"/>
  <c r="N609" i="22"/>
  <c r="T39" i="105" s="1"/>
  <c r="K188" i="105"/>
  <c r="O652" i="22"/>
  <c r="X50" i="105" s="1"/>
  <c r="O379" i="22"/>
  <c r="O388" i="22" s="1"/>
  <c r="O518" i="22" s="1"/>
  <c r="X59" i="41" s="1"/>
  <c r="O640" i="22"/>
  <c r="X48" i="105" s="1"/>
  <c r="O377" i="22"/>
  <c r="O386" i="22" s="1"/>
  <c r="O506" i="22" s="1"/>
  <c r="X57" i="41" s="1"/>
  <c r="O616" i="22"/>
  <c r="X44" i="105" s="1"/>
  <c r="O373" i="22"/>
  <c r="O382" i="22" s="1"/>
  <c r="O482" i="22" s="1"/>
  <c r="X53" i="41" s="1"/>
  <c r="N565" i="22"/>
  <c r="T28" i="105" s="1"/>
  <c r="N535" i="22"/>
  <c r="T23" i="105" s="1"/>
  <c r="P541" i="22"/>
  <c r="AD24" i="105" s="1"/>
  <c r="J129" i="74"/>
  <c r="L129" i="74"/>
  <c r="O540" i="22"/>
  <c r="X24" i="105" s="1"/>
  <c r="O534" i="22"/>
  <c r="X23" i="105" s="1"/>
  <c r="O528" i="22"/>
  <c r="X22" i="105" s="1"/>
  <c r="N623" i="22"/>
  <c r="T45" i="105" s="1"/>
  <c r="N403" i="22"/>
  <c r="P623" i="22"/>
  <c r="AD45" i="105" s="1"/>
  <c r="P403" i="22"/>
  <c r="P412" i="22" s="1"/>
  <c r="P489" i="22" s="1"/>
  <c r="AD54" i="41" s="1"/>
  <c r="L27" i="111"/>
  <c r="L33" i="111" s="1"/>
  <c r="L28" i="111"/>
  <c r="L34" i="111" s="1"/>
  <c r="AF187" i="105"/>
  <c r="N585" i="22"/>
  <c r="T35" i="105" s="1"/>
  <c r="N395" i="22"/>
  <c r="O564" i="22"/>
  <c r="X28" i="105" s="1"/>
  <c r="N541" i="22"/>
  <c r="T24" i="105" s="1"/>
  <c r="N573" i="22"/>
  <c r="T33" i="105" s="1"/>
  <c r="N393" i="22"/>
  <c r="J150" i="80" l="1"/>
  <c r="J208" i="80" s="1"/>
  <c r="N402" i="22"/>
  <c r="N411" i="22" s="1"/>
  <c r="N483" i="22" s="1"/>
  <c r="T53" i="41" s="1"/>
  <c r="N394" i="22"/>
  <c r="N412" i="22" s="1"/>
  <c r="N489" i="22" s="1"/>
  <c r="T54" i="41" s="1"/>
  <c r="P408" i="22"/>
  <c r="P417" i="22" s="1"/>
  <c r="P519" i="22" s="1"/>
  <c r="AD59" i="41" s="1"/>
  <c r="N404" i="22"/>
  <c r="P164" i="41"/>
  <c r="P166" i="41" s="1"/>
  <c r="P174" i="41" s="1"/>
  <c r="N127" i="22"/>
  <c r="N597" i="22" s="1"/>
  <c r="T37" i="105" s="1"/>
  <c r="O77" i="22"/>
  <c r="O200" i="22" s="1"/>
  <c r="O242" i="22" s="1"/>
  <c r="O188" i="22"/>
  <c r="O97" i="22"/>
  <c r="O183" i="22"/>
  <c r="O221" i="22" s="1"/>
  <c r="O281" i="22" s="1"/>
  <c r="O285" i="22" s="1"/>
  <c r="P73" i="22"/>
  <c r="O82" i="22"/>
  <c r="O565" i="22" s="1"/>
  <c r="Y28" i="105" s="1"/>
  <c r="N68" i="22"/>
  <c r="P67" i="22"/>
  <c r="P528" i="22" s="1"/>
  <c r="AC22" i="105" s="1"/>
  <c r="P189" i="22"/>
  <c r="P461" i="22" s="1"/>
  <c r="P470" i="22" s="1"/>
  <c r="P491" i="22" s="1"/>
  <c r="AF54" i="41" s="1"/>
  <c r="N85" i="22"/>
  <c r="N167" i="22"/>
  <c r="O189" i="22"/>
  <c r="O461" i="22" s="1"/>
  <c r="O470" i="22" s="1"/>
  <c r="O491" i="22" s="1"/>
  <c r="AA54" i="41" s="1"/>
  <c r="O180" i="22"/>
  <c r="O98" i="22"/>
  <c r="O555" i="22" s="1"/>
  <c r="AA26" i="105" s="1"/>
  <c r="P86" i="22"/>
  <c r="N118" i="22"/>
  <c r="N596" i="22" s="1"/>
  <c r="S37" i="105" s="1"/>
  <c r="O184" i="22"/>
  <c r="O648" i="22" s="1"/>
  <c r="Z49" i="105" s="1"/>
  <c r="N143" i="22"/>
  <c r="N97" i="22"/>
  <c r="P163" i="22"/>
  <c r="P628" i="22" s="1"/>
  <c r="AC46" i="105" s="1"/>
  <c r="P100" i="22"/>
  <c r="O171" i="22"/>
  <c r="O623" i="22" s="1"/>
  <c r="Y45" i="105" s="1"/>
  <c r="N87" i="22"/>
  <c r="N161" i="22"/>
  <c r="N373" i="22" s="1"/>
  <c r="O190" i="22"/>
  <c r="O462" i="22" s="1"/>
  <c r="O471" i="22" s="1"/>
  <c r="O497" i="22" s="1"/>
  <c r="AA55" i="41" s="1"/>
  <c r="N80" i="22"/>
  <c r="N553" i="22" s="1"/>
  <c r="T26" i="105" s="1"/>
  <c r="N89" i="22"/>
  <c r="N554" i="22" s="1"/>
  <c r="U26" i="105" s="1"/>
  <c r="O86" i="22"/>
  <c r="O536" i="22" s="1"/>
  <c r="Z23" i="105" s="1"/>
  <c r="O99" i="22"/>
  <c r="N99" i="22"/>
  <c r="P91" i="22"/>
  <c r="O175" i="22"/>
  <c r="O222" i="22" s="1"/>
  <c r="O292" i="22" s="1"/>
  <c r="O296" i="22" s="1"/>
  <c r="N119" i="22"/>
  <c r="N602" i="22" s="1"/>
  <c r="S38" i="105" s="1"/>
  <c r="N117" i="22"/>
  <c r="N141" i="22"/>
  <c r="N95" i="22"/>
  <c r="N537" i="22" s="1"/>
  <c r="V23" i="105" s="1"/>
  <c r="N134" i="22"/>
  <c r="O91" i="22"/>
  <c r="O81" i="22"/>
  <c r="N188" i="22"/>
  <c r="N460" i="22" s="1"/>
  <c r="O162" i="22"/>
  <c r="O622" i="22" s="1"/>
  <c r="X45" i="105" s="1"/>
  <c r="P190" i="22"/>
  <c r="O78" i="22"/>
  <c r="N91" i="22"/>
  <c r="N566" i="22" s="1"/>
  <c r="U28" i="105" s="1"/>
  <c r="N179" i="22"/>
  <c r="N114" i="22"/>
  <c r="N572" i="22" s="1"/>
  <c r="S33" i="105" s="1"/>
  <c r="O194" i="22"/>
  <c r="N174" i="22"/>
  <c r="N641" i="22" s="1"/>
  <c r="T48" i="105" s="1"/>
  <c r="N90" i="22"/>
  <c r="N560" i="22" s="1"/>
  <c r="U27" i="105" s="1"/>
  <c r="O185" i="22"/>
  <c r="O193" i="22"/>
  <c r="N98" i="22"/>
  <c r="N203" i="22" s="1"/>
  <c r="N279" i="22" s="1"/>
  <c r="P85" i="22"/>
  <c r="O80" i="22"/>
  <c r="O553" i="22" s="1"/>
  <c r="Y26" i="105" s="1"/>
  <c r="N71" i="22"/>
  <c r="N70" i="22"/>
  <c r="N202" i="22" s="1"/>
  <c r="N147" i="22"/>
  <c r="N611" i="22" s="1"/>
  <c r="V39" i="105" s="1"/>
  <c r="N144" i="22"/>
  <c r="O95" i="22"/>
  <c r="O192" i="22"/>
  <c r="O643" i="22" s="1"/>
  <c r="AA48" i="105" s="1"/>
  <c r="P69" i="22"/>
  <c r="P167" i="22"/>
  <c r="P223" i="22" s="1"/>
  <c r="P303" i="22" s="1"/>
  <c r="P307" i="22" s="1"/>
  <c r="P188" i="22"/>
  <c r="O170" i="22"/>
  <c r="O402" i="22" s="1"/>
  <c r="O411" i="22" s="1"/>
  <c r="O483" i="22" s="1"/>
  <c r="Y53" i="41" s="1"/>
  <c r="N132" i="22"/>
  <c r="N574" i="22" s="1"/>
  <c r="U33" i="105" s="1"/>
  <c r="N86" i="22"/>
  <c r="N116" i="22"/>
  <c r="O96" i="22"/>
  <c r="O201" i="22" s="1"/>
  <c r="O253" i="22" s="1"/>
  <c r="N175" i="22"/>
  <c r="N137" i="22"/>
  <c r="O181" i="22"/>
  <c r="O191" i="22"/>
  <c r="O637" i="22" s="1"/>
  <c r="AA47" i="105" s="1"/>
  <c r="O88" i="22"/>
  <c r="O548" i="22" s="1"/>
  <c r="Z25" i="105" s="1"/>
  <c r="P87" i="22"/>
  <c r="O174" i="22"/>
  <c r="N72" i="22"/>
  <c r="N558" i="22" s="1"/>
  <c r="S27" i="105" s="1"/>
  <c r="O164" i="22"/>
  <c r="N94" i="22"/>
  <c r="N417" i="22"/>
  <c r="N519" i="22" s="1"/>
  <c r="T59" i="41" s="1"/>
  <c r="K146" i="80"/>
  <c r="K172" i="80" s="1"/>
  <c r="K273" i="80" s="1"/>
  <c r="N115" i="22"/>
  <c r="N578" i="22" s="1"/>
  <c r="S34" i="105" s="1"/>
  <c r="N184" i="22"/>
  <c r="P181" i="22"/>
  <c r="N164" i="22"/>
  <c r="N220" i="22" s="1"/>
  <c r="N81" i="22"/>
  <c r="N180" i="22"/>
  <c r="N145" i="22"/>
  <c r="P68" i="22"/>
  <c r="P534" i="22" s="1"/>
  <c r="AC23" i="105" s="1"/>
  <c r="AC183" i="105" s="1"/>
  <c r="N138" i="22"/>
  <c r="N610" i="22" s="1"/>
  <c r="U39" i="105" s="1"/>
  <c r="N88" i="22"/>
  <c r="O182" i="22"/>
  <c r="O79" i="22"/>
  <c r="O202" i="22" s="1"/>
  <c r="N142" i="22"/>
  <c r="P161" i="22"/>
  <c r="P94" i="22"/>
  <c r="O76" i="22"/>
  <c r="O529" i="22" s="1"/>
  <c r="Y22" i="105" s="1"/>
  <c r="N133" i="22"/>
  <c r="N580" i="22" s="1"/>
  <c r="U34" i="105" s="1"/>
  <c r="N163" i="22"/>
  <c r="N73" i="22"/>
  <c r="O94" i="22"/>
  <c r="O531" i="22" s="1"/>
  <c r="AA22" i="105" s="1"/>
  <c r="N128" i="22"/>
  <c r="N182" i="22"/>
  <c r="O87" i="22"/>
  <c r="N146" i="22"/>
  <c r="N456" i="22" s="1"/>
  <c r="P180" i="22"/>
  <c r="P432" i="22" s="1"/>
  <c r="P441" i="22" s="1"/>
  <c r="P490" i="22" s="1"/>
  <c r="AE54" i="41" s="1"/>
  <c r="N79" i="22"/>
  <c r="O173" i="22"/>
  <c r="O89" i="22"/>
  <c r="O554" i="22" s="1"/>
  <c r="Z26" i="105" s="1"/>
  <c r="N190" i="22"/>
  <c r="N100" i="22"/>
  <c r="P194" i="22"/>
  <c r="N165" i="22"/>
  <c r="N640" i="22" s="1"/>
  <c r="S48" i="105" s="1"/>
  <c r="N120" i="22"/>
  <c r="N370" i="22" s="1"/>
  <c r="P179" i="22"/>
  <c r="O100" i="22"/>
  <c r="N136" i="22"/>
  <c r="N598" i="22" s="1"/>
  <c r="U37" i="105" s="1"/>
  <c r="N135" i="22"/>
  <c r="O179" i="22"/>
  <c r="N193" i="22"/>
  <c r="P185" i="22"/>
  <c r="P654" i="22" s="1"/>
  <c r="AE50" i="105" s="1"/>
  <c r="N126" i="22"/>
  <c r="N396" i="22" s="1"/>
  <c r="N166" i="22"/>
  <c r="O90" i="22"/>
  <c r="N96" i="22"/>
  <c r="N543" i="22" s="1"/>
  <c r="V24" i="105" s="1"/>
  <c r="N189" i="22"/>
  <c r="O172" i="22"/>
  <c r="O629" i="22" s="1"/>
  <c r="Y46" i="105" s="1"/>
  <c r="P96" i="22"/>
  <c r="N185" i="22"/>
  <c r="N437" i="22" s="1"/>
  <c r="O85" i="22"/>
  <c r="O530" i="22" s="1"/>
  <c r="Z22" i="105" s="1"/>
  <c r="O70" i="22"/>
  <c r="P95" i="22"/>
  <c r="N181" i="22"/>
  <c r="N433" i="22" s="1"/>
  <c r="N191" i="22"/>
  <c r="O176" i="22"/>
  <c r="O653" i="22" s="1"/>
  <c r="Y50" i="105" s="1"/>
  <c r="N69" i="22"/>
  <c r="N183" i="22"/>
  <c r="N435" i="22" s="1"/>
  <c r="N192" i="22"/>
  <c r="N464" i="22" s="1"/>
  <c r="N173" i="22"/>
  <c r="N194" i="22"/>
  <c r="P252" i="80"/>
  <c r="P259" i="80"/>
  <c r="P239" i="80"/>
  <c r="P241" i="80"/>
  <c r="P255" i="80"/>
  <c r="P258" i="80"/>
  <c r="J148" i="80"/>
  <c r="J174" i="80" s="1"/>
  <c r="J275" i="80" s="1"/>
  <c r="J145" i="80"/>
  <c r="J171" i="80" s="1"/>
  <c r="J272" i="80" s="1"/>
  <c r="K149" i="80"/>
  <c r="K175" i="80" s="1"/>
  <c r="K276" i="80" s="1"/>
  <c r="J146" i="80"/>
  <c r="J172" i="80" s="1"/>
  <c r="J273" i="80" s="1"/>
  <c r="K143" i="80"/>
  <c r="K169" i="80" s="1"/>
  <c r="K270" i="80" s="1"/>
  <c r="K150" i="80"/>
  <c r="J149" i="80"/>
  <c r="J175" i="80" s="1"/>
  <c r="J276" i="80" s="1"/>
  <c r="K147" i="80"/>
  <c r="K173" i="80" s="1"/>
  <c r="K274" i="80" s="1"/>
  <c r="J142" i="80"/>
  <c r="J168" i="80" s="1"/>
  <c r="J269" i="80" s="1"/>
  <c r="K148" i="80"/>
  <c r="K174" i="80" s="1"/>
  <c r="K275" i="80" s="1"/>
  <c r="J147" i="80"/>
  <c r="J173" i="80" s="1"/>
  <c r="J274" i="80" s="1"/>
  <c r="J144" i="80"/>
  <c r="J170" i="80" s="1"/>
  <c r="J271" i="80" s="1"/>
  <c r="J143" i="80"/>
  <c r="J169" i="80" s="1"/>
  <c r="J270" i="80" s="1"/>
  <c r="K145" i="80"/>
  <c r="K171" i="80" s="1"/>
  <c r="K272" i="80" s="1"/>
  <c r="K144" i="80"/>
  <c r="K170" i="80" s="1"/>
  <c r="K271" i="80" s="1"/>
  <c r="N413" i="22"/>
  <c r="N495" i="22" s="1"/>
  <c r="T55" i="41" s="1"/>
  <c r="P244" i="80"/>
  <c r="P242" i="80"/>
  <c r="P260" i="80"/>
  <c r="P243" i="80"/>
  <c r="P254" i="80"/>
  <c r="P246" i="80"/>
  <c r="P202" i="80"/>
  <c r="P253" i="80"/>
  <c r="P256" i="80"/>
  <c r="P245" i="80"/>
  <c r="P257" i="80"/>
  <c r="O625" i="22"/>
  <c r="AA45" i="105" s="1"/>
  <c r="N637" i="22"/>
  <c r="V47" i="105" s="1"/>
  <c r="N463" i="22"/>
  <c r="P564" i="22"/>
  <c r="AC28" i="105" s="1"/>
  <c r="AC188" i="105" s="1"/>
  <c r="P205" i="22"/>
  <c r="P301" i="22" s="1"/>
  <c r="P537" i="22"/>
  <c r="AF23" i="105" s="1"/>
  <c r="AF183" i="105" s="1"/>
  <c r="N630" i="22"/>
  <c r="U46" i="105" s="1"/>
  <c r="N534" i="22"/>
  <c r="S23" i="105" s="1"/>
  <c r="N564" i="22"/>
  <c r="S28" i="105" s="1"/>
  <c r="N205" i="22"/>
  <c r="N301" i="22" s="1"/>
  <c r="N603" i="22"/>
  <c r="T38" i="105" s="1"/>
  <c r="N398" i="22"/>
  <c r="O654" i="22"/>
  <c r="Z50" i="105" s="1"/>
  <c r="O437" i="22"/>
  <c r="O446" i="22" s="1"/>
  <c r="O520" i="22" s="1"/>
  <c r="Z59" i="41" s="1"/>
  <c r="O649" i="22"/>
  <c r="AA49" i="105" s="1"/>
  <c r="O465" i="22"/>
  <c r="O474" i="22" s="1"/>
  <c r="O515" i="22" s="1"/>
  <c r="AA58" i="41" s="1"/>
  <c r="N561" i="22"/>
  <c r="V27" i="105" s="1"/>
  <c r="O641" i="22"/>
  <c r="Y48" i="105" s="1"/>
  <c r="O406" i="22"/>
  <c r="N377" i="22"/>
  <c r="O546" i="22"/>
  <c r="X25" i="105" s="1"/>
  <c r="X170" i="105" s="1"/>
  <c r="X172" i="105" s="1"/>
  <c r="X64" i="82" s="1"/>
  <c r="N581" i="22"/>
  <c r="V34" i="105" s="1"/>
  <c r="N452" i="22"/>
  <c r="N549" i="22"/>
  <c r="V25" i="105" s="1"/>
  <c r="P199" i="22"/>
  <c r="P231" i="22" s="1"/>
  <c r="P625" i="22"/>
  <c r="AF45" i="105" s="1"/>
  <c r="O408" i="22"/>
  <c r="O417" i="22" s="1"/>
  <c r="O519" i="22" s="1"/>
  <c r="Y59" i="41" s="1"/>
  <c r="N530" i="22"/>
  <c r="U22" i="105" s="1"/>
  <c r="N540" i="22"/>
  <c r="S24" i="105" s="1"/>
  <c r="N67" i="22"/>
  <c r="O567" i="22"/>
  <c r="AA28" i="105" s="1"/>
  <c r="O630" i="22"/>
  <c r="Z46" i="105" s="1"/>
  <c r="O433" i="22"/>
  <c r="O442" i="22" s="1"/>
  <c r="O496" i="22" s="1"/>
  <c r="Z55" i="41" s="1"/>
  <c r="N599" i="22"/>
  <c r="V37" i="105" s="1"/>
  <c r="N455" i="22"/>
  <c r="P536" i="22"/>
  <c r="AE23" i="105" s="1"/>
  <c r="AE183" i="105" s="1"/>
  <c r="N552" i="22"/>
  <c r="S26" i="105" s="1"/>
  <c r="N631" i="22"/>
  <c r="V46" i="105" s="1"/>
  <c r="N462" i="22"/>
  <c r="N567" i="22"/>
  <c r="V28" i="105" s="1"/>
  <c r="L133" i="74"/>
  <c r="L132" i="74"/>
  <c r="O223" i="22"/>
  <c r="O303" i="22" s="1"/>
  <c r="O307" i="22" s="1"/>
  <c r="O203" i="22"/>
  <c r="O279" i="22" s="1"/>
  <c r="P219" i="22"/>
  <c r="P255" i="22" s="1"/>
  <c r="P259" i="22" s="1"/>
  <c r="N652" i="22"/>
  <c r="S50" i="105" s="1"/>
  <c r="N223" i="22"/>
  <c r="N303" i="22" s="1"/>
  <c r="N307" i="22" s="1"/>
  <c r="N379" i="22"/>
  <c r="N590" i="22"/>
  <c r="S36" i="105" s="1"/>
  <c r="N367" i="22"/>
  <c r="P540" i="22"/>
  <c r="AC24" i="105" s="1"/>
  <c r="AC184" i="105" s="1"/>
  <c r="P201" i="22"/>
  <c r="P253" i="22" s="1"/>
  <c r="N586" i="22"/>
  <c r="U35" i="105" s="1"/>
  <c r="N424" i="22"/>
  <c r="N636" i="22"/>
  <c r="U47" i="105" s="1"/>
  <c r="N434" i="22"/>
  <c r="P630" i="22"/>
  <c r="AE46" i="105" s="1"/>
  <c r="P433" i="22"/>
  <c r="P442" i="22" s="1"/>
  <c r="P496" i="22" s="1"/>
  <c r="AE55" i="41" s="1"/>
  <c r="N655" i="22"/>
  <c r="V50" i="105" s="1"/>
  <c r="N466" i="22"/>
  <c r="P631" i="22"/>
  <c r="AF46" i="105" s="1"/>
  <c r="P462" i="22"/>
  <c r="P471" i="22" s="1"/>
  <c r="P497" i="22" s="1"/>
  <c r="AF55" i="41" s="1"/>
  <c r="O541" i="22"/>
  <c r="Y24" i="105" s="1"/>
  <c r="N618" i="22"/>
  <c r="U44" i="105" s="1"/>
  <c r="N431" i="22"/>
  <c r="O537" i="22"/>
  <c r="AA23" i="105" s="1"/>
  <c r="N397" i="22"/>
  <c r="N648" i="22"/>
  <c r="U49" i="105" s="1"/>
  <c r="N436" i="22"/>
  <c r="N592" i="22"/>
  <c r="U36" i="105" s="1"/>
  <c r="N425" i="22"/>
  <c r="O618" i="22"/>
  <c r="Z44" i="105" s="1"/>
  <c r="O431" i="22"/>
  <c r="O549" i="22"/>
  <c r="AA25" i="105" s="1"/>
  <c r="P530" i="22"/>
  <c r="AE22" i="105" s="1"/>
  <c r="N635" i="22"/>
  <c r="T47" i="105" s="1"/>
  <c r="N405" i="22"/>
  <c r="O635" i="22"/>
  <c r="Y47" i="105" s="1"/>
  <c r="O405" i="22"/>
  <c r="O414" i="22" s="1"/>
  <c r="O501" i="22" s="1"/>
  <c r="Y56" i="41" s="1"/>
  <c r="N546" i="22"/>
  <c r="S25" i="105" s="1"/>
  <c r="N575" i="22"/>
  <c r="V33" i="105" s="1"/>
  <c r="N451" i="22"/>
  <c r="AD183" i="105"/>
  <c r="AD164" i="41"/>
  <c r="AD166" i="41" s="1"/>
  <c r="AD174" i="41" s="1"/>
  <c r="N542" i="22"/>
  <c r="U24" i="105" s="1"/>
  <c r="N642" i="22"/>
  <c r="U48" i="105" s="1"/>
  <c r="P566" i="22"/>
  <c r="AE28" i="105" s="1"/>
  <c r="AE188" i="105" s="1"/>
  <c r="O547" i="22"/>
  <c r="Y25" i="105" s="1"/>
  <c r="J132" i="74"/>
  <c r="J133" i="74"/>
  <c r="P655" i="22"/>
  <c r="AF50" i="105" s="1"/>
  <c r="P466" i="22"/>
  <c r="P475" i="22" s="1"/>
  <c r="P521" i="22" s="1"/>
  <c r="AF59" i="41" s="1"/>
  <c r="N624" i="22"/>
  <c r="U45" i="105" s="1"/>
  <c r="N432" i="22"/>
  <c r="O642" i="22"/>
  <c r="Z48" i="105" s="1"/>
  <c r="O435" i="22"/>
  <c r="O444" i="22" s="1"/>
  <c r="O508" i="22" s="1"/>
  <c r="Z57" i="41" s="1"/>
  <c r="N587" i="22"/>
  <c r="V35" i="105" s="1"/>
  <c r="N453" i="22"/>
  <c r="P619" i="22"/>
  <c r="AF44" i="105" s="1"/>
  <c r="P460" i="22"/>
  <c r="P469" i="22" s="1"/>
  <c r="P485" i="22" s="1"/>
  <c r="AF53" i="41" s="1"/>
  <c r="N536" i="22"/>
  <c r="U23" i="105" s="1"/>
  <c r="O655" i="22"/>
  <c r="AA50" i="105" s="1"/>
  <c r="O466" i="22"/>
  <c r="O475" i="22" s="1"/>
  <c r="O521" i="22" s="1"/>
  <c r="AA59" i="41" s="1"/>
  <c r="N406" i="22"/>
  <c r="O624" i="22"/>
  <c r="Z45" i="105" s="1"/>
  <c r="O432" i="22"/>
  <c r="P542" i="22"/>
  <c r="AE24" i="105" s="1"/>
  <c r="AE184" i="105" s="1"/>
  <c r="N619" i="22"/>
  <c r="V44" i="105" s="1"/>
  <c r="AD184" i="105"/>
  <c r="AD182" i="105"/>
  <c r="AD170" i="105"/>
  <c r="AD172" i="105" s="1"/>
  <c r="AD64" i="82" s="1"/>
  <c r="P567" i="22"/>
  <c r="AF28" i="105" s="1"/>
  <c r="AF188" i="105" s="1"/>
  <c r="N548" i="22"/>
  <c r="U25" i="105" s="1"/>
  <c r="N547" i="22"/>
  <c r="T25" i="105" s="1"/>
  <c r="N625" i="22"/>
  <c r="V45" i="105" s="1"/>
  <c r="N461" i="22"/>
  <c r="O404" i="22"/>
  <c r="O413" i="22" s="1"/>
  <c r="O495" i="22" s="1"/>
  <c r="Y55" i="41" s="1"/>
  <c r="N616" i="22"/>
  <c r="S44" i="105" s="1"/>
  <c r="N217" i="22"/>
  <c r="N233" i="22" s="1"/>
  <c r="N237" i="22" s="1"/>
  <c r="O542" i="22"/>
  <c r="Z24" i="105" s="1"/>
  <c r="N591" i="22"/>
  <c r="T36" i="105" s="1"/>
  <c r="N634" i="22"/>
  <c r="S47" i="105" s="1"/>
  <c r="N376" i="22"/>
  <c r="P652" i="22"/>
  <c r="AC50" i="105" s="1"/>
  <c r="P379" i="22"/>
  <c r="P388" i="22" s="1"/>
  <c r="P518" i="22" s="1"/>
  <c r="AC59" i="41" s="1"/>
  <c r="O617" i="22"/>
  <c r="Y44" i="105" s="1"/>
  <c r="N364" i="22"/>
  <c r="N605" i="22"/>
  <c r="V38" i="105" s="1"/>
  <c r="O647" i="22"/>
  <c r="Y49" i="105" s="1"/>
  <c r="O407" i="22"/>
  <c r="O416" i="22" s="1"/>
  <c r="O513" i="22" s="1"/>
  <c r="Y58" i="41" s="1"/>
  <c r="P543" i="22"/>
  <c r="AF24" i="105" s="1"/>
  <c r="AF184" i="105" s="1"/>
  <c r="N654" i="22"/>
  <c r="U50" i="105" s="1"/>
  <c r="N428" i="22"/>
  <c r="N210" i="22"/>
  <c r="N254" i="22" s="1"/>
  <c r="N258" i="22" s="1"/>
  <c r="N584" i="22"/>
  <c r="S35" i="105" s="1"/>
  <c r="N366" i="22"/>
  <c r="O543" i="22"/>
  <c r="AA24" i="105" s="1"/>
  <c r="N647" i="22"/>
  <c r="T49" i="105" s="1"/>
  <c r="N407" i="22"/>
  <c r="N604" i="22"/>
  <c r="U38" i="105" s="1"/>
  <c r="N427" i="22"/>
  <c r="N445" i="22" s="1"/>
  <c r="N514" i="22" s="1"/>
  <c r="U58" i="41" s="1"/>
  <c r="O561" i="22"/>
  <c r="AA27" i="105" s="1"/>
  <c r="N649" i="22"/>
  <c r="V49" i="105" s="1"/>
  <c r="N465" i="22"/>
  <c r="O636" i="22"/>
  <c r="Z47" i="105" s="1"/>
  <c r="O434" i="22"/>
  <c r="P618" i="22"/>
  <c r="AE44" i="105" s="1"/>
  <c r="P431" i="22"/>
  <c r="P440" i="22" s="1"/>
  <c r="P484" i="22" s="1"/>
  <c r="AE53" i="41" s="1"/>
  <c r="O559" i="22"/>
  <c r="Y27" i="105" s="1"/>
  <c r="N212" i="22"/>
  <c r="N280" i="22" s="1"/>
  <c r="N284" i="22" s="1"/>
  <c r="N368" i="22"/>
  <c r="N457" i="22"/>
  <c r="L34" i="53"/>
  <c r="L42" i="53" s="1"/>
  <c r="L48" i="53" s="1"/>
  <c r="L54" i="53" s="1"/>
  <c r="N593" i="22"/>
  <c r="V36" i="105" s="1"/>
  <c r="N454" i="22"/>
  <c r="N646" i="22"/>
  <c r="S49" i="105" s="1"/>
  <c r="N222" i="22"/>
  <c r="N292" i="22" s="1"/>
  <c r="N296" i="22" s="1"/>
  <c r="N378" i="22"/>
  <c r="O560" i="22"/>
  <c r="Z27" i="105" s="1"/>
  <c r="P616" i="22"/>
  <c r="AC44" i="105" s="1"/>
  <c r="P217" i="22"/>
  <c r="P233" i="22" s="1"/>
  <c r="P237" i="22" s="1"/>
  <c r="P373" i="22"/>
  <c r="P531" i="22"/>
  <c r="AF22" i="105" s="1"/>
  <c r="N628" i="22"/>
  <c r="S46" i="105" s="1"/>
  <c r="N219" i="22"/>
  <c r="N255" i="22" s="1"/>
  <c r="N259" i="22" s="1"/>
  <c r="N375" i="22"/>
  <c r="N608" i="22"/>
  <c r="S39" i="105" s="1"/>
  <c r="O619" i="22"/>
  <c r="AA44" i="105" s="1"/>
  <c r="O460" i="22"/>
  <c r="O469" i="22" s="1"/>
  <c r="O485" i="22" s="1"/>
  <c r="AA53" i="41" s="1"/>
  <c r="N559" i="22"/>
  <c r="T27" i="105" s="1"/>
  <c r="O566" i="22"/>
  <c r="Z28" i="105" s="1"/>
  <c r="O464" i="22"/>
  <c r="O473" i="22" s="1"/>
  <c r="O509" i="22" s="1"/>
  <c r="AA57" i="41" s="1"/>
  <c r="N643" i="22"/>
  <c r="V48" i="105" s="1"/>
  <c r="O634" i="22"/>
  <c r="X47" i="105" s="1"/>
  <c r="O220" i="22"/>
  <c r="O376" i="22"/>
  <c r="O385" i="22" s="1"/>
  <c r="O500" i="22" s="1"/>
  <c r="X56" i="41" s="1"/>
  <c r="N531" i="22"/>
  <c r="V22" i="105" s="1"/>
  <c r="P27" i="111"/>
  <c r="P33" i="111" s="1"/>
  <c r="P28" i="111"/>
  <c r="P34" i="111" s="1"/>
  <c r="L59" i="80"/>
  <c r="L200" i="80" s="1"/>
  <c r="J176" i="80" l="1"/>
  <c r="J177" i="80" s="1"/>
  <c r="N475" i="22"/>
  <c r="N521" i="22" s="1"/>
  <c r="V59" i="41" s="1"/>
  <c r="N414" i="22"/>
  <c r="N501" i="22" s="1"/>
  <c r="T56" i="41" s="1"/>
  <c r="N204" i="22"/>
  <c r="N290" i="22" s="1"/>
  <c r="N369" i="22"/>
  <c r="P382" i="22"/>
  <c r="P482" i="22" s="1"/>
  <c r="AC53" i="41" s="1"/>
  <c r="O436" i="22"/>
  <c r="O445" i="22" s="1"/>
  <c r="O514" i="22" s="1"/>
  <c r="Z58" i="41" s="1"/>
  <c r="O443" i="22"/>
  <c r="O502" i="22" s="1"/>
  <c r="Z56" i="41" s="1"/>
  <c r="Z153" i="41" s="1"/>
  <c r="N416" i="22"/>
  <c r="N513" i="22" s="1"/>
  <c r="T58" i="41" s="1"/>
  <c r="N471" i="22"/>
  <c r="N497" i="22" s="1"/>
  <c r="V55" i="41" s="1"/>
  <c r="P375" i="22"/>
  <c r="P384" i="22" s="1"/>
  <c r="P494" i="22" s="1"/>
  <c r="AC55" i="41" s="1"/>
  <c r="N201" i="22"/>
  <c r="N253" i="22" s="1"/>
  <c r="N221" i="22"/>
  <c r="N281" i="22" s="1"/>
  <c r="N285" i="22" s="1"/>
  <c r="N200" i="22"/>
  <c r="N242" i="22" s="1"/>
  <c r="N213" i="22"/>
  <c r="N291" i="22" s="1"/>
  <c r="N295" i="22" s="1"/>
  <c r="O440" i="22"/>
  <c r="O484" i="22" s="1"/>
  <c r="Z53" i="41" s="1"/>
  <c r="O535" i="22"/>
  <c r="Y23" i="105" s="1"/>
  <c r="N211" i="22"/>
  <c r="N269" i="22" s="1"/>
  <c r="N273" i="22" s="1"/>
  <c r="O415" i="22"/>
  <c r="O507" i="22" s="1"/>
  <c r="Y57" i="41" s="1"/>
  <c r="O199" i="22"/>
  <c r="O231" i="22" s="1"/>
  <c r="N214" i="22"/>
  <c r="N302" i="22" s="1"/>
  <c r="N306" i="22" s="1"/>
  <c r="N308" i="22" s="1"/>
  <c r="N423" i="22"/>
  <c r="N441" i="22" s="1"/>
  <c r="N490" i="22" s="1"/>
  <c r="U54" i="41" s="1"/>
  <c r="O219" i="22"/>
  <c r="O255" i="22" s="1"/>
  <c r="O259" i="22" s="1"/>
  <c r="N208" i="22"/>
  <c r="N232" i="22" s="1"/>
  <c r="N236" i="22" s="1"/>
  <c r="N365" i="22"/>
  <c r="P624" i="22"/>
  <c r="AE45" i="105" s="1"/>
  <c r="P200" i="22"/>
  <c r="P242" i="22" s="1"/>
  <c r="N422" i="22"/>
  <c r="O463" i="22"/>
  <c r="O472" i="22" s="1"/>
  <c r="O503" i="22" s="1"/>
  <c r="AA56" i="41" s="1"/>
  <c r="O205" i="22"/>
  <c r="O301" i="22" s="1"/>
  <c r="O308" i="22" s="1"/>
  <c r="N209" i="22"/>
  <c r="N243" i="22" s="1"/>
  <c r="N247" i="22" s="1"/>
  <c r="O631" i="22"/>
  <c r="AA46" i="105" s="1"/>
  <c r="N555" i="22"/>
  <c r="V26" i="105" s="1"/>
  <c r="O218" i="22"/>
  <c r="O244" i="22" s="1"/>
  <c r="O248" i="22" s="1"/>
  <c r="O249" i="22" s="1"/>
  <c r="N426" i="22"/>
  <c r="N444" i="22" s="1"/>
  <c r="N508" i="22" s="1"/>
  <c r="U57" i="41" s="1"/>
  <c r="P437" i="22"/>
  <c r="P446" i="22" s="1"/>
  <c r="P520" i="22" s="1"/>
  <c r="AE59" i="41" s="1"/>
  <c r="O403" i="22"/>
  <c r="O412" i="22" s="1"/>
  <c r="O489" i="22" s="1"/>
  <c r="Y54" i="41" s="1"/>
  <c r="O374" i="22"/>
  <c r="O383" i="22" s="1"/>
  <c r="O488" i="22" s="1"/>
  <c r="X54" i="41" s="1"/>
  <c r="X164" i="41" s="1"/>
  <c r="X166" i="41" s="1"/>
  <c r="X174" i="41" s="1"/>
  <c r="O441" i="22"/>
  <c r="O490" i="22" s="1"/>
  <c r="Z54" i="41" s="1"/>
  <c r="P162" i="22"/>
  <c r="O204" i="22"/>
  <c r="O290" i="22" s="1"/>
  <c r="O297" i="22"/>
  <c r="O189" i="80" s="1"/>
  <c r="T164" i="41"/>
  <c r="T166" i="41" s="1"/>
  <c r="T174" i="41" s="1"/>
  <c r="N162" i="22"/>
  <c r="N218" i="22" s="1"/>
  <c r="N244" i="22" s="1"/>
  <c r="N248" i="22" s="1"/>
  <c r="O217" i="22"/>
  <c r="O233" i="22" s="1"/>
  <c r="O237" i="22" s="1"/>
  <c r="O238" i="22" s="1"/>
  <c r="N469" i="22"/>
  <c r="N485" i="22" s="1"/>
  <c r="V53" i="41" s="1"/>
  <c r="N388" i="22"/>
  <c r="N518" i="22" s="1"/>
  <c r="S59" i="41" s="1"/>
  <c r="N446" i="22"/>
  <c r="N520" i="22" s="1"/>
  <c r="U59" i="41" s="1"/>
  <c r="N443" i="22"/>
  <c r="N502" i="22" s="1"/>
  <c r="U56" i="41" s="1"/>
  <c r="K176" i="80"/>
  <c r="K177" i="80" s="1"/>
  <c r="K208" i="80"/>
  <c r="N472" i="22"/>
  <c r="N503" i="22" s="1"/>
  <c r="V56" i="41" s="1"/>
  <c r="AA119" i="41" s="1"/>
  <c r="AA131" i="41" s="1"/>
  <c r="N386" i="22"/>
  <c r="N506" i="22" s="1"/>
  <c r="S57" i="41" s="1"/>
  <c r="N286" i="22"/>
  <c r="N188" i="80" s="1"/>
  <c r="N385" i="22"/>
  <c r="N500" i="22" s="1"/>
  <c r="S56" i="41" s="1"/>
  <c r="X117" i="41" s="1"/>
  <c r="X129" i="41" s="1"/>
  <c r="N297" i="22"/>
  <c r="N189" i="80" s="1"/>
  <c r="N191" i="80" s="1"/>
  <c r="N192" i="80" s="1"/>
  <c r="N473" i="22"/>
  <c r="N509" i="22" s="1"/>
  <c r="V57" i="41" s="1"/>
  <c r="N384" i="22"/>
  <c r="N494" i="22" s="1"/>
  <c r="S55" i="41" s="1"/>
  <c r="N442" i="22"/>
  <c r="N496" i="22" s="1"/>
  <c r="U55" i="41" s="1"/>
  <c r="M43" i="53"/>
  <c r="M49" i="53" s="1"/>
  <c r="N470" i="22"/>
  <c r="N491" i="22" s="1"/>
  <c r="V54" i="41" s="1"/>
  <c r="N387" i="22"/>
  <c r="N512" i="22" s="1"/>
  <c r="S58" i="41" s="1"/>
  <c r="N474" i="22"/>
  <c r="N515" i="22" s="1"/>
  <c r="V58" i="41" s="1"/>
  <c r="N440" i="22"/>
  <c r="N484" i="22" s="1"/>
  <c r="U53" i="41" s="1"/>
  <c r="P238" i="22"/>
  <c r="P56" i="80" s="1"/>
  <c r="AD189" i="105"/>
  <c r="AE164" i="41"/>
  <c r="AE166" i="41" s="1"/>
  <c r="AE174" i="41" s="1"/>
  <c r="T153" i="41"/>
  <c r="T114" i="41"/>
  <c r="T126" i="41" s="1"/>
  <c r="Y114" i="41"/>
  <c r="Y126" i="41" s="1"/>
  <c r="T117" i="41"/>
  <c r="T129" i="41" s="1"/>
  <c r="Y117" i="41"/>
  <c r="Y129" i="41" s="1"/>
  <c r="X153" i="41"/>
  <c r="AA116" i="41"/>
  <c r="AA128" i="41" s="1"/>
  <c r="AA114" i="41"/>
  <c r="AA126" i="41" s="1"/>
  <c r="V116" i="41"/>
  <c r="V128" i="41" s="1"/>
  <c r="AA153" i="41"/>
  <c r="AA164" i="41"/>
  <c r="AA166" i="41" s="1"/>
  <c r="AA174" i="41" s="1"/>
  <c r="S115" i="41"/>
  <c r="S127" i="41" s="1"/>
  <c r="S120" i="41"/>
  <c r="S132" i="41" s="1"/>
  <c r="T115" i="41"/>
  <c r="T127" i="41" s="1"/>
  <c r="N622" i="22"/>
  <c r="S45" i="105" s="1"/>
  <c r="Y170" i="105"/>
  <c r="Y172" i="105" s="1"/>
  <c r="Y64" i="82" s="1"/>
  <c r="Y186" i="105"/>
  <c r="Y188" i="105"/>
  <c r="Y187" i="105"/>
  <c r="Y183" i="105"/>
  <c r="Y185" i="105"/>
  <c r="Y182" i="105"/>
  <c r="Y184" i="105"/>
  <c r="L20" i="74"/>
  <c r="L204" i="80"/>
  <c r="L206" i="80" s="1"/>
  <c r="L257" i="80"/>
  <c r="L252" i="80"/>
  <c r="L256" i="80"/>
  <c r="L258" i="80"/>
  <c r="L259" i="80"/>
  <c r="L254" i="80"/>
  <c r="L253" i="80"/>
  <c r="L255" i="80"/>
  <c r="L69" i="53"/>
  <c r="L71" i="53"/>
  <c r="L73" i="53" s="1"/>
  <c r="M44" i="53"/>
  <c r="M50" i="53" s="1"/>
  <c r="L44" i="53"/>
  <c r="L50" i="53" s="1"/>
  <c r="L43" i="53"/>
  <c r="L49" i="53" s="1"/>
  <c r="AC170" i="105"/>
  <c r="AC172" i="105" s="1"/>
  <c r="AC64" i="82" s="1"/>
  <c r="AC182" i="105"/>
  <c r="AC189" i="105" s="1"/>
  <c r="Z170" i="105"/>
  <c r="Z172" i="105" s="1"/>
  <c r="Z64" i="82" s="1"/>
  <c r="Z185" i="105"/>
  <c r="Z187" i="105"/>
  <c r="Z182" i="105"/>
  <c r="Z184" i="105"/>
  <c r="Z183" i="105"/>
  <c r="Z186" i="105"/>
  <c r="Z188" i="105"/>
  <c r="P31" i="53"/>
  <c r="O270" i="22"/>
  <c r="O274" i="22" s="1"/>
  <c r="O22" i="112"/>
  <c r="Y164" i="41"/>
  <c r="Y166" i="41" s="1"/>
  <c r="Y174" i="41" s="1"/>
  <c r="N260" i="22"/>
  <c r="N270" i="22"/>
  <c r="N274" i="22" s="1"/>
  <c r="N22" i="112"/>
  <c r="P260" i="22"/>
  <c r="N268" i="22"/>
  <c r="N20" i="112"/>
  <c r="V170" i="105"/>
  <c r="V172" i="105" s="1"/>
  <c r="V64" i="82" s="1"/>
  <c r="H234" i="87" a="1"/>
  <c r="H234" i="87" s="1"/>
  <c r="H236" i="87" s="1"/>
  <c r="AF164" i="41"/>
  <c r="AF166" i="41" s="1"/>
  <c r="AF174" i="41" s="1"/>
  <c r="O260" i="22"/>
  <c r="T170" i="105"/>
  <c r="T172" i="105" s="1"/>
  <c r="T64" i="82" s="1"/>
  <c r="AE182" i="105"/>
  <c r="AE189" i="105" s="1"/>
  <c r="AE170" i="105"/>
  <c r="AE172" i="105" s="1"/>
  <c r="AE64" i="82" s="1"/>
  <c r="AF182" i="105"/>
  <c r="AF189" i="105" s="1"/>
  <c r="AF170" i="105"/>
  <c r="AF172" i="105" s="1"/>
  <c r="AF64" i="82" s="1"/>
  <c r="N415" i="22"/>
  <c r="N507" i="22" s="1"/>
  <c r="T57" i="41" s="1"/>
  <c r="P622" i="22"/>
  <c r="AC45" i="105" s="1"/>
  <c r="P218" i="22"/>
  <c r="P244" i="22" s="1"/>
  <c r="P248" i="22" s="1"/>
  <c r="P249" i="22" s="1"/>
  <c r="P374" i="22"/>
  <c r="P383" i="22" s="1"/>
  <c r="P488" i="22" s="1"/>
  <c r="AC54" i="41" s="1"/>
  <c r="N528" i="22"/>
  <c r="S22" i="105" s="1"/>
  <c r="N199" i="22"/>
  <c r="N231" i="22" s="1"/>
  <c r="N382" i="22"/>
  <c r="N482" i="22" s="1"/>
  <c r="S53" i="41" s="1"/>
  <c r="O268" i="22"/>
  <c r="O20" i="112"/>
  <c r="P308" i="22"/>
  <c r="U170" i="105"/>
  <c r="U172" i="105" s="1"/>
  <c r="U64" i="82" s="1"/>
  <c r="AA170" i="105"/>
  <c r="AA172" i="105" s="1"/>
  <c r="AA64" i="82" s="1"/>
  <c r="AA188" i="105"/>
  <c r="AA183" i="105"/>
  <c r="AA185" i="105"/>
  <c r="AA186" i="105"/>
  <c r="AA187" i="105"/>
  <c r="AA184" i="105"/>
  <c r="AA182" i="105"/>
  <c r="X185" i="105"/>
  <c r="X186" i="105"/>
  <c r="X182" i="105"/>
  <c r="X183" i="105"/>
  <c r="X184" i="105"/>
  <c r="X187" i="105"/>
  <c r="X188" i="105"/>
  <c r="M42" i="53"/>
  <c r="M48" i="53" s="1"/>
  <c r="M54" i="53" s="1"/>
  <c r="Y153" i="41"/>
  <c r="O286" i="22"/>
  <c r="O188" i="80" s="1"/>
  <c r="Z164" i="41" l="1"/>
  <c r="Z166" i="41" s="1"/>
  <c r="Z174" i="41" s="1"/>
  <c r="N238" i="22"/>
  <c r="Y121" i="41"/>
  <c r="Y133" i="41" s="1"/>
  <c r="S117" i="41"/>
  <c r="S129" i="41" s="1"/>
  <c r="Y116" i="41"/>
  <c r="Y128" i="41" s="1"/>
  <c r="U115" i="41"/>
  <c r="U127" i="41" s="1"/>
  <c r="AA115" i="41"/>
  <c r="AA127" i="41" s="1"/>
  <c r="O57" i="80"/>
  <c r="O32" i="53"/>
  <c r="O191" i="80"/>
  <c r="O192" i="80" s="1"/>
  <c r="O246" i="80" s="1"/>
  <c r="U117" i="41"/>
  <c r="U129" i="41" s="1"/>
  <c r="V118" i="41"/>
  <c r="V130" i="41" s="1"/>
  <c r="Z120" i="41"/>
  <c r="Z132" i="41" s="1"/>
  <c r="Z117" i="41"/>
  <c r="Z129" i="41" s="1"/>
  <c r="N21" i="112"/>
  <c r="N36" i="112" s="1"/>
  <c r="U118" i="41"/>
  <c r="U130" i="41" s="1"/>
  <c r="S153" i="41"/>
  <c r="N249" i="22"/>
  <c r="N32" i="53" s="1"/>
  <c r="U114" i="41"/>
  <c r="U126" i="41" s="1"/>
  <c r="U116" i="41"/>
  <c r="U128" i="41" s="1"/>
  <c r="V164" i="41"/>
  <c r="V166" i="41" s="1"/>
  <c r="V174" i="41" s="1"/>
  <c r="O275" i="22"/>
  <c r="O16" i="111" s="1"/>
  <c r="V114" i="41"/>
  <c r="V126" i="41" s="1"/>
  <c r="V119" i="41"/>
  <c r="V131" i="41" s="1"/>
  <c r="V115" i="41"/>
  <c r="V127" i="41" s="1"/>
  <c r="O31" i="53"/>
  <c r="O56" i="80"/>
  <c r="AA118" i="41"/>
  <c r="AA130" i="41" s="1"/>
  <c r="U153" i="41"/>
  <c r="U120" i="41"/>
  <c r="U132" i="41" s="1"/>
  <c r="T116" i="41"/>
  <c r="T128" i="41" s="1"/>
  <c r="Z121" i="41"/>
  <c r="Z133" i="41" s="1"/>
  <c r="Y119" i="41"/>
  <c r="Y131" i="41" s="1"/>
  <c r="AA120" i="41"/>
  <c r="AA132" i="41" s="1"/>
  <c r="Z114" i="41"/>
  <c r="Z126" i="41" s="1"/>
  <c r="V121" i="41"/>
  <c r="V133" i="41" s="1"/>
  <c r="T120" i="41"/>
  <c r="T132" i="41" s="1"/>
  <c r="V117" i="41"/>
  <c r="V129" i="41" s="1"/>
  <c r="Z118" i="41"/>
  <c r="Z130" i="41" s="1"/>
  <c r="S119" i="41"/>
  <c r="S131" i="41" s="1"/>
  <c r="V120" i="41"/>
  <c r="V132" i="41" s="1"/>
  <c r="N374" i="22"/>
  <c r="N383" i="22" s="1"/>
  <c r="N488" i="22" s="1"/>
  <c r="S54" i="41" s="1"/>
  <c r="S164" i="41" s="1"/>
  <c r="S166" i="41" s="1"/>
  <c r="S174" i="41" s="1"/>
  <c r="T119" i="41"/>
  <c r="T131" i="41" s="1"/>
  <c r="Z116" i="41"/>
  <c r="Z128" i="41" s="1"/>
  <c r="Y120" i="41"/>
  <c r="Y132" i="41" s="1"/>
  <c r="AA117" i="41"/>
  <c r="AA129" i="41" s="1"/>
  <c r="Z115" i="41"/>
  <c r="Z127" i="41" s="1"/>
  <c r="V153" i="41"/>
  <c r="Z119" i="41"/>
  <c r="Z131" i="41" s="1"/>
  <c r="X120" i="41"/>
  <c r="X132" i="41" s="1"/>
  <c r="Y115" i="41"/>
  <c r="Y127" i="41" s="1"/>
  <c r="AC137" i="41" s="1"/>
  <c r="U121" i="41"/>
  <c r="U133" i="41" s="1"/>
  <c r="T118" i="41"/>
  <c r="T130" i="41" s="1"/>
  <c r="X118" i="41"/>
  <c r="X130" i="41" s="1"/>
  <c r="X115" i="41"/>
  <c r="X127" i="41" s="1"/>
  <c r="T121" i="41"/>
  <c r="T133" i="41" s="1"/>
  <c r="X121" i="41"/>
  <c r="X133" i="41" s="1"/>
  <c r="Y118" i="41"/>
  <c r="Y130" i="41" s="1"/>
  <c r="S116" i="41"/>
  <c r="S128" i="41" s="1"/>
  <c r="AD138" i="41" s="1"/>
  <c r="X116" i="41"/>
  <c r="X128" i="41" s="1"/>
  <c r="X119" i="41"/>
  <c r="X131" i="41" s="1"/>
  <c r="AA121" i="41"/>
  <c r="AA133" i="41" s="1"/>
  <c r="S118" i="41"/>
  <c r="S130" i="41" s="1"/>
  <c r="X114" i="41"/>
  <c r="X126" i="41" s="1"/>
  <c r="S121" i="41"/>
  <c r="S133" i="41" s="1"/>
  <c r="U119" i="41"/>
  <c r="U131" i="41" s="1"/>
  <c r="S114" i="41"/>
  <c r="S126" i="41" s="1"/>
  <c r="U164" i="41"/>
  <c r="U166" i="41" s="1"/>
  <c r="U174" i="41" s="1"/>
  <c r="Y189" i="105"/>
  <c r="N275" i="22"/>
  <c r="N18" i="74" s="1"/>
  <c r="P57" i="80"/>
  <c r="P32" i="53"/>
  <c r="N31" i="53"/>
  <c r="N56" i="80"/>
  <c r="O18" i="74"/>
  <c r="N37" i="112"/>
  <c r="P33" i="53"/>
  <c r="P264" i="22"/>
  <c r="P17" i="111" s="1"/>
  <c r="P58" i="80"/>
  <c r="L77" i="74"/>
  <c r="L76" i="74"/>
  <c r="L72" i="74"/>
  <c r="L73" i="74"/>
  <c r="L78" i="74"/>
  <c r="L75" i="74"/>
  <c r="L74" i="74"/>
  <c r="O202" i="80"/>
  <c r="O258" i="80"/>
  <c r="O245" i="80"/>
  <c r="O239" i="80"/>
  <c r="O243" i="80"/>
  <c r="O260" i="80"/>
  <c r="X189" i="105"/>
  <c r="AA189" i="105"/>
  <c r="N241" i="80"/>
  <c r="N242" i="80"/>
  <c r="N244" i="80"/>
  <c r="N239" i="80"/>
  <c r="N245" i="80"/>
  <c r="N202" i="80"/>
  <c r="N240" i="80"/>
  <c r="N243" i="80"/>
  <c r="N246" i="80"/>
  <c r="N253" i="80"/>
  <c r="N252" i="80"/>
  <c r="N257" i="80"/>
  <c r="N259" i="80"/>
  <c r="N256" i="80"/>
  <c r="N258" i="80"/>
  <c r="N254" i="80"/>
  <c r="N255" i="80"/>
  <c r="N260" i="80"/>
  <c r="N33" i="53"/>
  <c r="N58" i="80"/>
  <c r="L79" i="53"/>
  <c r="L85" i="53" s="1"/>
  <c r="M79" i="53"/>
  <c r="M85" i="53" s="1"/>
  <c r="O36" i="112"/>
  <c r="O37" i="112"/>
  <c r="S170" i="105"/>
  <c r="S172" i="105" s="1"/>
  <c r="S64" i="82" s="1"/>
  <c r="O58" i="80"/>
  <c r="O33" i="53"/>
  <c r="O264" i="22"/>
  <c r="O17" i="111" s="1"/>
  <c r="Z189" i="105"/>
  <c r="L77" i="53"/>
  <c r="L83" i="53" s="1"/>
  <c r="M77" i="53"/>
  <c r="M83" i="53" s="1"/>
  <c r="A4" i="87"/>
  <c r="J35" i="55"/>
  <c r="S139" i="41"/>
  <c r="AC164" i="41"/>
  <c r="AC166" i="41" s="1"/>
  <c r="AC174" i="41" s="1"/>
  <c r="J141" i="41" l="1"/>
  <c r="V139" i="41"/>
  <c r="T136" i="41"/>
  <c r="O59" i="80"/>
  <c r="O200" i="80" s="1"/>
  <c r="N139" i="41"/>
  <c r="O259" i="80"/>
  <c r="O254" i="80"/>
  <c r="M139" i="41"/>
  <c r="J139" i="41"/>
  <c r="N264" i="22"/>
  <c r="O240" i="80"/>
  <c r="O252" i="80"/>
  <c r="Y136" i="41"/>
  <c r="N57" i="80"/>
  <c r="O255" i="80"/>
  <c r="O253" i="80"/>
  <c r="AF137" i="41"/>
  <c r="O241" i="80"/>
  <c r="O257" i="80"/>
  <c r="O256" i="80"/>
  <c r="O242" i="80"/>
  <c r="T137" i="41"/>
  <c r="J138" i="41"/>
  <c r="AD136" i="41"/>
  <c r="O244" i="80"/>
  <c r="AD139" i="41"/>
  <c r="J136" i="41"/>
  <c r="Z136" i="41"/>
  <c r="P139" i="41"/>
  <c r="T139" i="41"/>
  <c r="N137" i="41"/>
  <c r="AD137" i="41"/>
  <c r="P141" i="41"/>
  <c r="N138" i="41"/>
  <c r="O143" i="41"/>
  <c r="AE140" i="41"/>
  <c r="AG136" i="41"/>
  <c r="Z137" i="41"/>
  <c r="S136" i="41"/>
  <c r="AE139" i="41"/>
  <c r="AG139" i="41"/>
  <c r="AA137" i="41"/>
  <c r="V137" i="41"/>
  <c r="P137" i="41"/>
  <c r="S137" i="41"/>
  <c r="X139" i="41"/>
  <c r="Y137" i="41"/>
  <c r="U136" i="41"/>
  <c r="Y139" i="41"/>
  <c r="U137" i="41"/>
  <c r="AA139" i="41"/>
  <c r="U139" i="41"/>
  <c r="AG137" i="41"/>
  <c r="X137" i="41"/>
  <c r="J137" i="41"/>
  <c r="AF139" i="41"/>
  <c r="O137" i="41"/>
  <c r="AF136" i="41"/>
  <c r="Z139" i="41"/>
  <c r="AE137" i="41"/>
  <c r="O139" i="41"/>
  <c r="AC139" i="41"/>
  <c r="M137" i="41"/>
  <c r="S138" i="41"/>
  <c r="O138" i="41"/>
  <c r="X138" i="41"/>
  <c r="AC140" i="41"/>
  <c r="T138" i="41"/>
  <c r="Z138" i="41"/>
  <c r="AA138" i="41"/>
  <c r="V138" i="41"/>
  <c r="AG138" i="41"/>
  <c r="J143" i="41"/>
  <c r="AE138" i="41"/>
  <c r="P138" i="41"/>
  <c r="AG143" i="41"/>
  <c r="AF138" i="41"/>
  <c r="AC138" i="41"/>
  <c r="N143" i="41"/>
  <c r="Y138" i="41"/>
  <c r="M138" i="41"/>
  <c r="U138" i="41"/>
  <c r="M140" i="41"/>
  <c r="AF142" i="41"/>
  <c r="Y142" i="41"/>
  <c r="AD140" i="41"/>
  <c r="AG140" i="41"/>
  <c r="AF140" i="41"/>
  <c r="Y141" i="41"/>
  <c r="AF141" i="41"/>
  <c r="AA140" i="41"/>
  <c r="X140" i="41"/>
  <c r="O140" i="41"/>
  <c r="AC141" i="41"/>
  <c r="Y140" i="41"/>
  <c r="V140" i="41"/>
  <c r="P140" i="41"/>
  <c r="M142" i="41"/>
  <c r="N140" i="41"/>
  <c r="J140" i="41"/>
  <c r="AC142" i="41"/>
  <c r="Z140" i="41"/>
  <c r="U140" i="41"/>
  <c r="T140" i="41"/>
  <c r="AD142" i="41"/>
  <c r="S140" i="41"/>
  <c r="M91" i="53"/>
  <c r="M267" i="53" s="1"/>
  <c r="M78" i="83" s="1"/>
  <c r="M127" i="83" s="1"/>
  <c r="M127" i="72" s="1"/>
  <c r="M197" i="72" s="1"/>
  <c r="M227" i="72" s="1"/>
  <c r="P34" i="53"/>
  <c r="P42" i="53" s="1"/>
  <c r="P48" i="53" s="1"/>
  <c r="P54" i="53" s="1"/>
  <c r="Z141" i="41"/>
  <c r="AE143" i="41"/>
  <c r="AG141" i="41"/>
  <c r="AD141" i="41"/>
  <c r="X141" i="41"/>
  <c r="V142" i="41"/>
  <c r="T142" i="41"/>
  <c r="M143" i="41"/>
  <c r="U141" i="41"/>
  <c r="AA141" i="41"/>
  <c r="N142" i="41"/>
  <c r="U142" i="41"/>
  <c r="S143" i="41"/>
  <c r="M141" i="41"/>
  <c r="V141" i="41"/>
  <c r="O142" i="41"/>
  <c r="AG142" i="41"/>
  <c r="J142" i="41"/>
  <c r="AD143" i="41"/>
  <c r="S141" i="41"/>
  <c r="T141" i="41"/>
  <c r="AA142" i="41"/>
  <c r="Z142" i="41"/>
  <c r="X142" i="41"/>
  <c r="O141" i="41"/>
  <c r="N141" i="41"/>
  <c r="S142" i="41"/>
  <c r="AE142" i="41"/>
  <c r="AE141" i="41"/>
  <c r="L91" i="53"/>
  <c r="L267" i="53" s="1"/>
  <c r="L78" i="83" s="1"/>
  <c r="L129" i="83" s="1"/>
  <c r="L129" i="72" s="1"/>
  <c r="L199" i="72" s="1"/>
  <c r="L229" i="72" s="1"/>
  <c r="P142" i="41"/>
  <c r="O136" i="41"/>
  <c r="Y143" i="41"/>
  <c r="P136" i="41"/>
  <c r="X136" i="41"/>
  <c r="V143" i="41"/>
  <c r="AA143" i="41"/>
  <c r="AC136" i="41"/>
  <c r="M136" i="41"/>
  <c r="AF143" i="41"/>
  <c r="Z143" i="41"/>
  <c r="V136" i="41"/>
  <c r="N136" i="41"/>
  <c r="AA136" i="41"/>
  <c r="AC143" i="41"/>
  <c r="X143" i="41"/>
  <c r="P59" i="80"/>
  <c r="P200" i="80" s="1"/>
  <c r="P20" i="74" s="1"/>
  <c r="N16" i="111"/>
  <c r="N27" i="111" s="1"/>
  <c r="N33" i="111" s="1"/>
  <c r="U143" i="41"/>
  <c r="T143" i="41"/>
  <c r="AE136" i="41"/>
  <c r="P143" i="41"/>
  <c r="J108" i="74"/>
  <c r="J140" i="74" s="1"/>
  <c r="L108" i="74"/>
  <c r="L140" i="74" s="1"/>
  <c r="J103" i="74"/>
  <c r="J135" i="74" s="1"/>
  <c r="L103" i="74"/>
  <c r="L135" i="74" s="1"/>
  <c r="L102" i="74"/>
  <c r="L134" i="74" s="1"/>
  <c r="J102" i="74"/>
  <c r="J134" i="74" s="1"/>
  <c r="L106" i="74"/>
  <c r="L138" i="74" s="1"/>
  <c r="J106" i="74"/>
  <c r="J138" i="74" s="1"/>
  <c r="L107" i="74"/>
  <c r="L139" i="74" s="1"/>
  <c r="J107" i="74"/>
  <c r="J139" i="74" s="1"/>
  <c r="J104" i="74"/>
  <c r="J136" i="74" s="1"/>
  <c r="L104" i="74"/>
  <c r="L136" i="74" s="1"/>
  <c r="J105" i="74"/>
  <c r="J137" i="74" s="1"/>
  <c r="L105" i="74"/>
  <c r="L137" i="74" s="1"/>
  <c r="O20" i="74"/>
  <c r="O204" i="80"/>
  <c r="O206" i="80" s="1"/>
  <c r="O34" i="53"/>
  <c r="O44" i="53" s="1"/>
  <c r="O50" i="53" s="1"/>
  <c r="O27" i="111"/>
  <c r="O33" i="111" s="1"/>
  <c r="O28" i="111"/>
  <c r="O34" i="111" s="1"/>
  <c r="P129" i="74"/>
  <c r="Q129" i="74"/>
  <c r="O129" i="74"/>
  <c r="V129" i="74"/>
  <c r="U129" i="74"/>
  <c r="W129" i="74"/>
  <c r="S129" i="74"/>
  <c r="K129" i="74"/>
  <c r="T129" i="74"/>
  <c r="Y129" i="74"/>
  <c r="X129" i="74"/>
  <c r="N129" i="74"/>
  <c r="R129" i="74"/>
  <c r="M129" i="74"/>
  <c r="P69" i="53"/>
  <c r="P71" i="53"/>
  <c r="P73" i="53" s="1"/>
  <c r="P79" i="53" s="1"/>
  <c r="P85" i="53" s="1"/>
  <c r="P44" i="53"/>
  <c r="P50" i="53" s="1"/>
  <c r="N59" i="80"/>
  <c r="N200" i="80" s="1"/>
  <c r="N34" i="53"/>
  <c r="N43" i="53" s="1"/>
  <c r="N49" i="53" s="1"/>
  <c r="P43" i="53"/>
  <c r="P49" i="53" s="1"/>
  <c r="M128" i="83"/>
  <c r="M128" i="72" s="1"/>
  <c r="M198" i="72" s="1"/>
  <c r="M228" i="72" s="1"/>
  <c r="M132" i="83"/>
  <c r="M132" i="72" s="1"/>
  <c r="M202" i="72" s="1"/>
  <c r="M232" i="72" s="1"/>
  <c r="M124" i="83" l="1"/>
  <c r="M131" i="83"/>
  <c r="M131" i="72" s="1"/>
  <c r="M201" i="72" s="1"/>
  <c r="M231" i="72" s="1"/>
  <c r="M130" i="83"/>
  <c r="M130" i="72" s="1"/>
  <c r="M200" i="72" s="1"/>
  <c r="M230" i="72" s="1"/>
  <c r="L131" i="83"/>
  <c r="L131" i="72" s="1"/>
  <c r="L201" i="72" s="1"/>
  <c r="L231" i="72" s="1"/>
  <c r="AD145" i="41"/>
  <c r="AD147" i="41" s="1"/>
  <c r="AD149" i="41" s="1"/>
  <c r="O145" i="41"/>
  <c r="O147" i="41" s="1"/>
  <c r="O149" i="41" s="1"/>
  <c r="J145" i="41"/>
  <c r="J147" i="41" s="1"/>
  <c r="J149" i="41" s="1"/>
  <c r="N28" i="111"/>
  <c r="N34" i="111" s="1"/>
  <c r="X145" i="41"/>
  <c r="X147" i="41" s="1" a="1"/>
  <c r="S145" i="41"/>
  <c r="S147" i="41" s="1" a="1"/>
  <c r="AE145" i="41"/>
  <c r="AE147" i="41" s="1" a="1"/>
  <c r="AE147" i="41" s="1"/>
  <c r="AE149" i="41" s="1"/>
  <c r="AF145" i="41"/>
  <c r="AF147" i="41" s="1" a="1"/>
  <c r="N17" i="111"/>
  <c r="H693" i="22" a="1"/>
  <c r="H693" i="22" s="1"/>
  <c r="Y145" i="41"/>
  <c r="Y147" i="41" s="1" a="1"/>
  <c r="AG145" i="41"/>
  <c r="AG147" i="41" s="1"/>
  <c r="AG149" i="41" s="1"/>
  <c r="L93" i="53"/>
  <c r="L125" i="83"/>
  <c r="L125" i="72" s="1"/>
  <c r="L195" i="72" s="1"/>
  <c r="L225" i="72" s="1"/>
  <c r="L130" i="83"/>
  <c r="L130" i="72" s="1"/>
  <c r="L200" i="72" s="1"/>
  <c r="L230" i="72" s="1"/>
  <c r="L124" i="83"/>
  <c r="L123" i="83"/>
  <c r="U145" i="41"/>
  <c r="U147" i="41" s="1" a="1"/>
  <c r="U147" i="41" s="1"/>
  <c r="U149" i="41" s="1"/>
  <c r="L126" i="83"/>
  <c r="L126" i="72" s="1"/>
  <c r="L196" i="72" s="1"/>
  <c r="L226" i="72" s="1"/>
  <c r="M145" i="41"/>
  <c r="M147" i="41" s="1" a="1"/>
  <c r="V145" i="41"/>
  <c r="V147" i="41" s="1" a="1"/>
  <c r="P145" i="41"/>
  <c r="P147" i="41" s="1" a="1"/>
  <c r="T145" i="41"/>
  <c r="T147" i="41" s="1" a="1"/>
  <c r="N145" i="41"/>
  <c r="N147" i="41" s="1"/>
  <c r="N149" i="41" s="1"/>
  <c r="P204" i="80"/>
  <c r="P206" i="80" s="1"/>
  <c r="Z145" i="41"/>
  <c r="Z147" i="41" s="1"/>
  <c r="Z149" i="41" s="1"/>
  <c r="L288" i="53"/>
  <c r="L98" i="80" s="1"/>
  <c r="L110" i="80" s="1"/>
  <c r="L275" i="53"/>
  <c r="L85" i="83" s="1"/>
  <c r="L156" i="83" s="1"/>
  <c r="L26" i="71" s="1"/>
  <c r="L131" i="71" s="1"/>
  <c r="L295" i="53"/>
  <c r="M129" i="83"/>
  <c r="M129" i="72" s="1"/>
  <c r="M199" i="72" s="1"/>
  <c r="M229" i="72" s="1"/>
  <c r="L132" i="83"/>
  <c r="L132" i="72" s="1"/>
  <c r="L202" i="72" s="1"/>
  <c r="L232" i="72" s="1"/>
  <c r="M123" i="83"/>
  <c r="M126" i="83"/>
  <c r="M126" i="72" s="1"/>
  <c r="M196" i="72" s="1"/>
  <c r="M226" i="72" s="1"/>
  <c r="L300" i="53"/>
  <c r="L112" i="83" s="1"/>
  <c r="L217" i="83" s="1"/>
  <c r="L89" i="71" s="1"/>
  <c r="L194" i="71" s="1"/>
  <c r="L301" i="53"/>
  <c r="L113" i="83" s="1"/>
  <c r="L218" i="83" s="1"/>
  <c r="L90" i="71" s="1"/>
  <c r="L195" i="71" s="1"/>
  <c r="M125" i="83"/>
  <c r="M125" i="72" s="1"/>
  <c r="M195" i="72" s="1"/>
  <c r="M225" i="72" s="1"/>
  <c r="L128" i="83"/>
  <c r="L128" i="72" s="1"/>
  <c r="L198" i="72" s="1"/>
  <c r="L228" i="72" s="1"/>
  <c r="M93" i="53"/>
  <c r="M302" i="53" s="1"/>
  <c r="AC145" i="41"/>
  <c r="AC147" i="41" s="1" a="1"/>
  <c r="L127" i="83"/>
  <c r="L127" i="72" s="1"/>
  <c r="L197" i="72" s="1"/>
  <c r="L227" i="72" s="1"/>
  <c r="AA145" i="41"/>
  <c r="AA147" i="41" s="1"/>
  <c r="AA149" i="41" s="1"/>
  <c r="H33" i="111"/>
  <c r="T74" i="81" s="1"/>
  <c r="T76" i="81" s="1"/>
  <c r="T108" i="81" s="1"/>
  <c r="S52" i="82" s="1"/>
  <c r="H34" i="111"/>
  <c r="U74" i="81" s="1"/>
  <c r="U76" i="81" s="1"/>
  <c r="U108" i="81" s="1"/>
  <c r="T52" i="82" s="1"/>
  <c r="V147" i="41"/>
  <c r="V149" i="41" s="1"/>
  <c r="S147" i="41"/>
  <c r="S149" i="41" s="1"/>
  <c r="L107" i="83"/>
  <c r="L212" i="83" s="1"/>
  <c r="L84" i="71" s="1"/>
  <c r="L189" i="71" s="1"/>
  <c r="L117" i="80"/>
  <c r="L129" i="80" s="1"/>
  <c r="N42" i="53"/>
  <c r="N69" i="53"/>
  <c r="N71" i="53"/>
  <c r="N73" i="53" s="1"/>
  <c r="N79" i="53" s="1"/>
  <c r="N85" i="53" s="1"/>
  <c r="N44" i="53"/>
  <c r="N50" i="53" s="1"/>
  <c r="M132" i="74"/>
  <c r="M133" i="74"/>
  <c r="W132" i="74"/>
  <c r="W133" i="74"/>
  <c r="R132" i="74"/>
  <c r="R133" i="74"/>
  <c r="U133" i="74"/>
  <c r="U132" i="74"/>
  <c r="AF147" i="41"/>
  <c r="AF149" i="41" s="1"/>
  <c r="P77" i="53"/>
  <c r="P83" i="53" s="1"/>
  <c r="P91" i="53" s="1"/>
  <c r="P267" i="53" s="1"/>
  <c r="P78" i="83" s="1"/>
  <c r="N133" i="74"/>
  <c r="N132" i="74"/>
  <c r="V132" i="74"/>
  <c r="V133" i="74"/>
  <c r="P78" i="74"/>
  <c r="P72" i="74"/>
  <c r="P76" i="74"/>
  <c r="P77" i="74"/>
  <c r="P73" i="74"/>
  <c r="P75" i="74"/>
  <c r="P74" i="74"/>
  <c r="X132" i="74"/>
  <c r="X133" i="74"/>
  <c r="O132" i="74"/>
  <c r="O133" i="74"/>
  <c r="O69" i="53"/>
  <c r="O71" i="53"/>
  <c r="O73" i="53" s="1"/>
  <c r="O79" i="53" s="1"/>
  <c r="O85" i="53" s="1"/>
  <c r="O42" i="53"/>
  <c r="O48" i="53" s="1"/>
  <c r="O54" i="53" s="1"/>
  <c r="O43" i="53"/>
  <c r="O49" i="53" s="1"/>
  <c r="Y132" i="74"/>
  <c r="Y133" i="74"/>
  <c r="Q132" i="74"/>
  <c r="Q133" i="74"/>
  <c r="N204" i="80"/>
  <c r="N206" i="80" s="1"/>
  <c r="N20" i="74"/>
  <c r="T132" i="74"/>
  <c r="T133" i="74"/>
  <c r="P132" i="74"/>
  <c r="P133" i="74"/>
  <c r="X147" i="41"/>
  <c r="X149" i="41" s="1"/>
  <c r="K132" i="74"/>
  <c r="K133" i="74"/>
  <c r="S132" i="74"/>
  <c r="S133" i="74"/>
  <c r="O72" i="74"/>
  <c r="O76" i="74"/>
  <c r="O74" i="74"/>
  <c r="O73" i="74"/>
  <c r="O77" i="74"/>
  <c r="O75" i="74"/>
  <c r="O78" i="74"/>
  <c r="L123" i="80" l="1"/>
  <c r="L135" i="80" s="1"/>
  <c r="L73" i="80"/>
  <c r="L85" i="80" s="1"/>
  <c r="L122" i="80"/>
  <c r="L134" i="80" s="1"/>
  <c r="A4" i="22"/>
  <c r="J41" i="55"/>
  <c r="L99" i="83"/>
  <c r="L187" i="83" s="1"/>
  <c r="L58" i="71" s="1"/>
  <c r="L163" i="71" s="1"/>
  <c r="Y147" i="41"/>
  <c r="Y149" i="41" s="1"/>
  <c r="M278" i="53"/>
  <c r="M88" i="83" s="1"/>
  <c r="M159" i="83" s="1"/>
  <c r="M29" i="71" s="1"/>
  <c r="M134" i="71" s="1"/>
  <c r="M272" i="53"/>
  <c r="P147" i="41"/>
  <c r="P149" i="41" s="1"/>
  <c r="M288" i="53"/>
  <c r="M99" i="83" s="1"/>
  <c r="M187" i="83" s="1"/>
  <c r="M58" i="71" s="1"/>
  <c r="M163" i="71" s="1"/>
  <c r="M295" i="53"/>
  <c r="M273" i="53"/>
  <c r="M279" i="53"/>
  <c r="M294" i="53"/>
  <c r="M147" i="41"/>
  <c r="M149" i="41" s="1"/>
  <c r="M274" i="53"/>
  <c r="M298" i="53"/>
  <c r="M110" i="83" s="1"/>
  <c r="M215" i="83" s="1"/>
  <c r="M87" i="71" s="1"/>
  <c r="M192" i="71" s="1"/>
  <c r="M290" i="53"/>
  <c r="M100" i="80" s="1"/>
  <c r="M112" i="80" s="1"/>
  <c r="L302" i="53"/>
  <c r="L278" i="53"/>
  <c r="L285" i="53"/>
  <c r="L296" i="53"/>
  <c r="L274" i="53"/>
  <c r="L272" i="53"/>
  <c r="L280" i="53"/>
  <c r="L290" i="53"/>
  <c r="L287" i="53"/>
  <c r="L279" i="53"/>
  <c r="L291" i="53"/>
  <c r="L284" i="53"/>
  <c r="L294" i="53"/>
  <c r="L276" i="53"/>
  <c r="L297" i="53"/>
  <c r="L273" i="53"/>
  <c r="L289" i="53"/>
  <c r="L277" i="53"/>
  <c r="L283" i="53"/>
  <c r="L299" i="53"/>
  <c r="L286" i="53"/>
  <c r="L298" i="53"/>
  <c r="M114" i="83"/>
  <c r="M219" i="83" s="1"/>
  <c r="M91" i="71" s="1"/>
  <c r="M196" i="71" s="1"/>
  <c r="M124" i="80"/>
  <c r="M136" i="80" s="1"/>
  <c r="AC147" i="41"/>
  <c r="AC149" i="41" s="1"/>
  <c r="M276" i="53"/>
  <c r="T147" i="41"/>
  <c r="T149" i="41" s="1"/>
  <c r="M277" i="53"/>
  <c r="M75" i="80" s="1"/>
  <c r="M87" i="80" s="1"/>
  <c r="M289" i="53"/>
  <c r="M286" i="53"/>
  <c r="M291" i="53"/>
  <c r="M287" i="53"/>
  <c r="M284" i="53"/>
  <c r="M301" i="53"/>
  <c r="M299" i="53"/>
  <c r="M297" i="53"/>
  <c r="M296" i="53"/>
  <c r="M108" i="83" s="1"/>
  <c r="M213" i="83" s="1"/>
  <c r="M85" i="71" s="1"/>
  <c r="M190" i="71" s="1"/>
  <c r="M280" i="53"/>
  <c r="M90" i="83" s="1"/>
  <c r="M161" i="83" s="1"/>
  <c r="M31" i="71" s="1"/>
  <c r="M136" i="71" s="1"/>
  <c r="M285" i="53"/>
  <c r="M96" i="83" s="1"/>
  <c r="M184" i="83" s="1"/>
  <c r="M55" i="71" s="1"/>
  <c r="M160" i="71" s="1"/>
  <c r="M300" i="53"/>
  <c r="M275" i="53"/>
  <c r="M283" i="53"/>
  <c r="M94" i="83" s="1"/>
  <c r="M182" i="83" s="1"/>
  <c r="M53" i="71" s="1"/>
  <c r="M158" i="71" s="1"/>
  <c r="M95" i="80"/>
  <c r="M107" i="80" s="1"/>
  <c r="M98" i="80"/>
  <c r="M110" i="80" s="1"/>
  <c r="H38" i="111" a="1"/>
  <c r="H38" i="111" s="1"/>
  <c r="J44" i="55" s="1"/>
  <c r="P93" i="53"/>
  <c r="N77" i="53"/>
  <c r="N83" i="53" s="1"/>
  <c r="N91" i="53" s="1"/>
  <c r="P130" i="83"/>
  <c r="P130" i="72" s="1"/>
  <c r="P200" i="72" s="1"/>
  <c r="P230" i="72" s="1"/>
  <c r="P132" i="83"/>
  <c r="P132" i="72" s="1"/>
  <c r="P202" i="72" s="1"/>
  <c r="P232" i="72" s="1"/>
  <c r="P129" i="83"/>
  <c r="P129" i="72" s="1"/>
  <c r="P199" i="72" s="1"/>
  <c r="P229" i="72" s="1"/>
  <c r="P126" i="83"/>
  <c r="P126" i="72" s="1"/>
  <c r="P196" i="72" s="1"/>
  <c r="P226" i="72" s="1"/>
  <c r="P127" i="83"/>
  <c r="P127" i="72" s="1"/>
  <c r="P197" i="72" s="1"/>
  <c r="P227" i="72" s="1"/>
  <c r="P124" i="83"/>
  <c r="P125" i="83"/>
  <c r="P125" i="72" s="1"/>
  <c r="P195" i="72" s="1"/>
  <c r="P225" i="72" s="1"/>
  <c r="P128" i="83"/>
  <c r="P128" i="72" s="1"/>
  <c r="P198" i="72" s="1"/>
  <c r="P228" i="72" s="1"/>
  <c r="P123" i="83"/>
  <c r="P131" i="83"/>
  <c r="P131" i="72" s="1"/>
  <c r="P201" i="72" s="1"/>
  <c r="P231" i="72" s="1"/>
  <c r="N73" i="74"/>
  <c r="N74" i="74"/>
  <c r="N77" i="74"/>
  <c r="N75" i="74"/>
  <c r="N76" i="74"/>
  <c r="N72" i="74"/>
  <c r="N78" i="74"/>
  <c r="N48" i="53"/>
  <c r="N54" i="53" s="1"/>
  <c r="O77" i="53"/>
  <c r="O83" i="53" s="1"/>
  <c r="O91" i="53" s="1"/>
  <c r="O267" i="53" s="1"/>
  <c r="O78" i="83" s="1"/>
  <c r="M76" i="80" l="1"/>
  <c r="M88" i="80" s="1"/>
  <c r="M101" i="83"/>
  <c r="M189" i="83" s="1"/>
  <c r="M60" i="71" s="1"/>
  <c r="M165" i="71" s="1"/>
  <c r="M118" i="80"/>
  <c r="M130" i="80" s="1"/>
  <c r="M78" i="80"/>
  <c r="M90" i="80" s="1"/>
  <c r="U182" i="41"/>
  <c r="M120" i="80"/>
  <c r="M132" i="80" s="1"/>
  <c r="L93" i="83"/>
  <c r="L181" i="83" s="1"/>
  <c r="L52" i="71" s="1"/>
  <c r="L157" i="71" s="1"/>
  <c r="L94" i="83"/>
  <c r="L182" i="83" s="1"/>
  <c r="L53" i="71" s="1"/>
  <c r="L158" i="71" s="1"/>
  <c r="L93" i="80"/>
  <c r="L105" i="80" s="1"/>
  <c r="L101" i="80"/>
  <c r="L113" i="80" s="1"/>
  <c r="L102" i="83"/>
  <c r="L190" i="83" s="1"/>
  <c r="L61" i="71" s="1"/>
  <c r="L166" i="71" s="1"/>
  <c r="L96" i="83"/>
  <c r="L184" i="83" s="1"/>
  <c r="L55" i="71" s="1"/>
  <c r="L160" i="71" s="1"/>
  <c r="L95" i="80"/>
  <c r="L107" i="80" s="1"/>
  <c r="M89" i="83"/>
  <c r="M160" i="83" s="1"/>
  <c r="M30" i="71" s="1"/>
  <c r="M135" i="71" s="1"/>
  <c r="M77" i="80"/>
  <c r="M89" i="80" s="1"/>
  <c r="L94" i="80"/>
  <c r="L106" i="80" s="1"/>
  <c r="L95" i="83"/>
  <c r="L183" i="83" s="1"/>
  <c r="L54" i="71" s="1"/>
  <c r="L159" i="71" s="1"/>
  <c r="U155" i="41"/>
  <c r="U157" i="41" s="1"/>
  <c r="L75" i="80"/>
  <c r="L87" i="80" s="1"/>
  <c r="L87" i="83"/>
  <c r="L158" i="83" s="1"/>
  <c r="L28" i="71" s="1"/>
  <c r="L133" i="71" s="1"/>
  <c r="L89" i="83"/>
  <c r="L160" i="83" s="1"/>
  <c r="L30" i="71" s="1"/>
  <c r="L135" i="71" s="1"/>
  <c r="L77" i="80"/>
  <c r="L89" i="80" s="1"/>
  <c r="L76" i="80"/>
  <c r="L88" i="80" s="1"/>
  <c r="L88" i="83"/>
  <c r="L159" i="83" s="1"/>
  <c r="L29" i="71" s="1"/>
  <c r="L134" i="71" s="1"/>
  <c r="M71" i="80"/>
  <c r="M83" i="80" s="1"/>
  <c r="M83" i="83"/>
  <c r="M154" i="83" s="1"/>
  <c r="M24" i="71" s="1"/>
  <c r="M129" i="71" s="1"/>
  <c r="L108" i="83"/>
  <c r="L213" i="83" s="1"/>
  <c r="L85" i="71" s="1"/>
  <c r="L190" i="71" s="1"/>
  <c r="L118" i="80"/>
  <c r="L130" i="80" s="1"/>
  <c r="AD182" i="41"/>
  <c r="L99" i="80"/>
  <c r="L111" i="80" s="1"/>
  <c r="L100" i="83"/>
  <c r="L188" i="83" s="1"/>
  <c r="L59" i="71" s="1"/>
  <c r="L164" i="71" s="1"/>
  <c r="L98" i="83"/>
  <c r="L186" i="83" s="1"/>
  <c r="L57" i="71" s="1"/>
  <c r="L162" i="71" s="1"/>
  <c r="L97" i="80"/>
  <c r="L109" i="80" s="1"/>
  <c r="L114" i="83"/>
  <c r="L219" i="83" s="1"/>
  <c r="L91" i="71" s="1"/>
  <c r="L196" i="71" s="1"/>
  <c r="L124" i="80"/>
  <c r="L136" i="80" s="1"/>
  <c r="M107" i="83"/>
  <c r="M212" i="83" s="1"/>
  <c r="M84" i="71" s="1"/>
  <c r="M189" i="71" s="1"/>
  <c r="M117" i="80"/>
  <c r="M129" i="80" s="1"/>
  <c r="L111" i="83"/>
  <c r="L216" i="83" s="1"/>
  <c r="L88" i="71" s="1"/>
  <c r="L193" i="71" s="1"/>
  <c r="L121" i="80"/>
  <c r="L133" i="80" s="1"/>
  <c r="M116" i="80"/>
  <c r="M128" i="80" s="1"/>
  <c r="M106" i="83"/>
  <c r="M211" i="83" s="1"/>
  <c r="M83" i="71" s="1"/>
  <c r="M188" i="71" s="1"/>
  <c r="M105" i="83"/>
  <c r="M210" i="83" s="1"/>
  <c r="M82" i="71" s="1"/>
  <c r="M187" i="71" s="1"/>
  <c r="AG182" i="41"/>
  <c r="L83" i="83"/>
  <c r="L154" i="83" s="1"/>
  <c r="L24" i="71" s="1"/>
  <c r="L129" i="71" s="1"/>
  <c r="L71" i="80"/>
  <c r="L83" i="80" s="1"/>
  <c r="L101" i="83"/>
  <c r="L189" i="83" s="1"/>
  <c r="L60" i="71" s="1"/>
  <c r="L165" i="71" s="1"/>
  <c r="L100" i="80"/>
  <c r="L112" i="80" s="1"/>
  <c r="L109" i="83"/>
  <c r="L214" i="83" s="1"/>
  <c r="L86" i="71" s="1"/>
  <c r="L191" i="71" s="1"/>
  <c r="L119" i="80"/>
  <c r="L131" i="80" s="1"/>
  <c r="L90" i="83"/>
  <c r="L161" i="83" s="1"/>
  <c r="L31" i="71" s="1"/>
  <c r="L136" i="71" s="1"/>
  <c r="L78" i="80"/>
  <c r="L90" i="80" s="1"/>
  <c r="L150" i="80" s="1"/>
  <c r="L176" i="80" s="1"/>
  <c r="J182" i="41"/>
  <c r="AA182" i="41"/>
  <c r="M87" i="83"/>
  <c r="M158" i="83" s="1"/>
  <c r="M28" i="71" s="1"/>
  <c r="M133" i="71" s="1"/>
  <c r="L120" i="80"/>
  <c r="L132" i="80" s="1"/>
  <c r="L110" i="83"/>
  <c r="L215" i="83" s="1"/>
  <c r="L87" i="71" s="1"/>
  <c r="L192" i="71" s="1"/>
  <c r="L86" i="83"/>
  <c r="L157" i="83" s="1"/>
  <c r="L27" i="71" s="1"/>
  <c r="L132" i="71" s="1"/>
  <c r="L74" i="80"/>
  <c r="L86" i="80" s="1"/>
  <c r="L70" i="80"/>
  <c r="L82" i="80" s="1"/>
  <c r="L82" i="83"/>
  <c r="L153" i="83" s="1"/>
  <c r="L23" i="71" s="1"/>
  <c r="L128" i="71" s="1"/>
  <c r="L81" i="83"/>
  <c r="L152" i="83" s="1"/>
  <c r="L22" i="71" s="1"/>
  <c r="L127" i="71" s="1"/>
  <c r="M72" i="80"/>
  <c r="M84" i="80" s="1"/>
  <c r="M144" i="80" s="1"/>
  <c r="M170" i="80" s="1"/>
  <c r="M271" i="80" s="1"/>
  <c r="M84" i="83"/>
  <c r="M155" i="83" s="1"/>
  <c r="M25" i="71" s="1"/>
  <c r="M130" i="71" s="1"/>
  <c r="M82" i="83"/>
  <c r="M153" i="83" s="1"/>
  <c r="M23" i="71" s="1"/>
  <c r="M128" i="71" s="1"/>
  <c r="M70" i="80"/>
  <c r="M82" i="80" s="1"/>
  <c r="M81" i="83"/>
  <c r="M152" i="83" s="1"/>
  <c r="M22" i="71" s="1"/>
  <c r="M127" i="71" s="1"/>
  <c r="AO182" i="41"/>
  <c r="Z182" i="41"/>
  <c r="L97" i="83"/>
  <c r="L185" i="83" s="1"/>
  <c r="L56" i="71" s="1"/>
  <c r="L161" i="71" s="1"/>
  <c r="L96" i="80"/>
  <c r="L108" i="80" s="1"/>
  <c r="L145" i="80" s="1"/>
  <c r="L171" i="80" s="1"/>
  <c r="L272" i="80" s="1"/>
  <c r="L116" i="80"/>
  <c r="L128" i="80" s="1"/>
  <c r="L106" i="83"/>
  <c r="L211" i="83" s="1"/>
  <c r="L83" i="71" s="1"/>
  <c r="L188" i="71" s="1"/>
  <c r="L105" i="83"/>
  <c r="L210" i="83" s="1"/>
  <c r="L82" i="71" s="1"/>
  <c r="L187" i="71" s="1"/>
  <c r="L84" i="83"/>
  <c r="L155" i="83" s="1"/>
  <c r="L25" i="71" s="1"/>
  <c r="L130" i="71" s="1"/>
  <c r="L72" i="80"/>
  <c r="L84" i="80" s="1"/>
  <c r="AL182" i="41"/>
  <c r="R182" i="41"/>
  <c r="AF182" i="41"/>
  <c r="AB155" i="41"/>
  <c r="AB157" i="41" s="1"/>
  <c r="AB184" i="41" s="1"/>
  <c r="AG155" i="41"/>
  <c r="AG157" i="41" s="1"/>
  <c r="AG184" i="41" s="1"/>
  <c r="X155" i="41"/>
  <c r="X157" i="41" s="1"/>
  <c r="W155" i="41"/>
  <c r="W157" i="41" s="1"/>
  <c r="P182" i="41"/>
  <c r="K155" i="41"/>
  <c r="K157" i="41" s="1"/>
  <c r="Q155" i="41"/>
  <c r="Q157" i="41" s="1"/>
  <c r="AD155" i="41"/>
  <c r="AD157" i="41" s="1"/>
  <c r="AD184" i="41" s="1"/>
  <c r="AH155" i="41"/>
  <c r="AH157" i="41" s="1"/>
  <c r="AI155" i="41"/>
  <c r="AI157" i="41" s="1"/>
  <c r="Z155" i="41"/>
  <c r="Z157" i="41" s="1"/>
  <c r="Y182" i="41"/>
  <c r="AM182" i="41"/>
  <c r="AK182" i="41"/>
  <c r="S182" i="41"/>
  <c r="J155" i="41"/>
  <c r="J157" i="41" s="1"/>
  <c r="J184" i="41" s="1"/>
  <c r="AB182" i="41"/>
  <c r="N155" i="41"/>
  <c r="N157" i="41" s="1"/>
  <c r="AJ155" i="41"/>
  <c r="AJ157" i="41" s="1"/>
  <c r="Y155" i="41"/>
  <c r="Y157" i="41" s="1"/>
  <c r="M155" i="41"/>
  <c r="M157" i="41" s="1"/>
  <c r="L182" i="41"/>
  <c r="P155" i="41"/>
  <c r="P157" i="41" s="1"/>
  <c r="AK155" i="41"/>
  <c r="AK157" i="41" s="1"/>
  <c r="AK184" i="41" s="1"/>
  <c r="O182" i="41"/>
  <c r="O184" i="41" s="1"/>
  <c r="AA155" i="41"/>
  <c r="AA157" i="41" s="1"/>
  <c r="R155" i="41"/>
  <c r="R157" i="41" s="1"/>
  <c r="AE182" i="41"/>
  <c r="S155" i="41"/>
  <c r="S157" i="41" s="1"/>
  <c r="AH182" i="41"/>
  <c r="AJ182" i="41"/>
  <c r="AJ184" i="41" s="1"/>
  <c r="M182" i="41"/>
  <c r="M184" i="41" s="1"/>
  <c r="AI182" i="41"/>
  <c r="M86" i="83"/>
  <c r="M157" i="83" s="1"/>
  <c r="M27" i="71" s="1"/>
  <c r="M132" i="71" s="1"/>
  <c r="M74" i="80"/>
  <c r="M86" i="80" s="1"/>
  <c r="O155" i="41"/>
  <c r="O157" i="41" s="1"/>
  <c r="AN155" i="41"/>
  <c r="AN157" i="41" s="1"/>
  <c r="AO155" i="41"/>
  <c r="AO157" i="41" s="1"/>
  <c r="AO184" i="41" s="1"/>
  <c r="AM155" i="41"/>
  <c r="AM157" i="41" s="1"/>
  <c r="AM184" i="41" s="1"/>
  <c r="AE155" i="41"/>
  <c r="AE157" i="41" s="1"/>
  <c r="AN182" i="41"/>
  <c r="AN184" i="41" s="1"/>
  <c r="L155" i="41"/>
  <c r="L157" i="41" s="1"/>
  <c r="L184" i="41" s="1"/>
  <c r="K182" i="41"/>
  <c r="T182" i="41"/>
  <c r="AF155" i="41"/>
  <c r="AF157" i="41" s="1"/>
  <c r="V155" i="41"/>
  <c r="V157" i="41" s="1"/>
  <c r="W182" i="41"/>
  <c r="W184" i="41" s="1"/>
  <c r="AL155" i="41"/>
  <c r="AL157" i="41" s="1"/>
  <c r="AC155" i="41"/>
  <c r="AC157" i="41" s="1"/>
  <c r="AC184" i="41" s="1"/>
  <c r="V182" i="41"/>
  <c r="AC182" i="41"/>
  <c r="X182" i="41"/>
  <c r="Q182" i="41"/>
  <c r="T155" i="41"/>
  <c r="T157" i="41" s="1"/>
  <c r="N182" i="41"/>
  <c r="M111" i="83"/>
  <c r="M216" i="83" s="1"/>
  <c r="M88" i="71" s="1"/>
  <c r="M193" i="71" s="1"/>
  <c r="M121" i="80"/>
  <c r="M133" i="80" s="1"/>
  <c r="M147" i="80"/>
  <c r="M173" i="80" s="1"/>
  <c r="M274" i="80" s="1"/>
  <c r="M112" i="83"/>
  <c r="M217" i="83" s="1"/>
  <c r="M89" i="71" s="1"/>
  <c r="M194" i="71" s="1"/>
  <c r="M122" i="80"/>
  <c r="M134" i="80" s="1"/>
  <c r="M95" i="83"/>
  <c r="M183" i="83" s="1"/>
  <c r="M54" i="71" s="1"/>
  <c r="M159" i="71" s="1"/>
  <c r="M94" i="80"/>
  <c r="M106" i="80" s="1"/>
  <c r="M109" i="83"/>
  <c r="M214" i="83" s="1"/>
  <c r="M86" i="71" s="1"/>
  <c r="M191" i="71" s="1"/>
  <c r="M119" i="80"/>
  <c r="M131" i="80" s="1"/>
  <c r="M85" i="83"/>
  <c r="M156" i="83" s="1"/>
  <c r="M26" i="71" s="1"/>
  <c r="M131" i="71" s="1"/>
  <c r="M73" i="80"/>
  <c r="M85" i="80" s="1"/>
  <c r="M123" i="80"/>
  <c r="M135" i="80" s="1"/>
  <c r="M113" i="83"/>
  <c r="M218" i="83" s="1"/>
  <c r="M90" i="71" s="1"/>
  <c r="M195" i="71" s="1"/>
  <c r="M97" i="80"/>
  <c r="M109" i="80" s="1"/>
  <c r="M98" i="83"/>
  <c r="M186" i="83" s="1"/>
  <c r="M57" i="71" s="1"/>
  <c r="M162" i="71" s="1"/>
  <c r="M102" i="83"/>
  <c r="M190" i="83" s="1"/>
  <c r="M61" i="71" s="1"/>
  <c r="M166" i="71" s="1"/>
  <c r="M101" i="80"/>
  <c r="M113" i="80" s="1"/>
  <c r="M150" i="80" s="1"/>
  <c r="M93" i="80"/>
  <c r="M105" i="80" s="1"/>
  <c r="M97" i="83"/>
  <c r="M185" i="83" s="1"/>
  <c r="M56" i="71" s="1"/>
  <c r="M161" i="71" s="1"/>
  <c r="M96" i="80"/>
  <c r="M108" i="80" s="1"/>
  <c r="M93" i="83"/>
  <c r="M181" i="83" s="1"/>
  <c r="M52" i="71" s="1"/>
  <c r="M157" i="71" s="1"/>
  <c r="M100" i="83"/>
  <c r="M188" i="83" s="1"/>
  <c r="M59" i="71" s="1"/>
  <c r="M164" i="71" s="1"/>
  <c r="M99" i="80"/>
  <c r="M111" i="80" s="1"/>
  <c r="L208" i="80"/>
  <c r="S184" i="41"/>
  <c r="A4" i="111"/>
  <c r="O93" i="53"/>
  <c r="O273" i="53" s="1"/>
  <c r="P291" i="53"/>
  <c r="P279" i="53"/>
  <c r="P283" i="53"/>
  <c r="P294" i="53"/>
  <c r="P289" i="53"/>
  <c r="P274" i="53"/>
  <c r="P286" i="53"/>
  <c r="P302" i="53"/>
  <c r="P297" i="53"/>
  <c r="P273" i="53"/>
  <c r="P285" i="53"/>
  <c r="P298" i="53"/>
  <c r="P278" i="53"/>
  <c r="P299" i="53"/>
  <c r="P272" i="53"/>
  <c r="P301" i="53"/>
  <c r="P277" i="53"/>
  <c r="P284" i="53"/>
  <c r="P280" i="53"/>
  <c r="P296" i="53"/>
  <c r="P300" i="53"/>
  <c r="P287" i="53"/>
  <c r="P288" i="53"/>
  <c r="P295" i="53"/>
  <c r="P275" i="53"/>
  <c r="P276" i="53"/>
  <c r="P290" i="53"/>
  <c r="K103" i="74"/>
  <c r="K135" i="74" s="1"/>
  <c r="Y103" i="74"/>
  <c r="Y135" i="74" s="1"/>
  <c r="O103" i="74"/>
  <c r="O135" i="74" s="1"/>
  <c r="T103" i="74"/>
  <c r="T135" i="74" s="1"/>
  <c r="S103" i="74"/>
  <c r="S135" i="74" s="1"/>
  <c r="M103" i="74"/>
  <c r="M135" i="74" s="1"/>
  <c r="V103" i="74"/>
  <c r="V135" i="74" s="1"/>
  <c r="X103" i="74"/>
  <c r="X135" i="74" s="1"/>
  <c r="U103" i="74"/>
  <c r="U135" i="74" s="1"/>
  <c r="P103" i="74"/>
  <c r="P135" i="74" s="1"/>
  <c r="W103" i="74"/>
  <c r="W135" i="74" s="1"/>
  <c r="Q103" i="74"/>
  <c r="Q135" i="74" s="1"/>
  <c r="N103" i="74"/>
  <c r="N135" i="74" s="1"/>
  <c r="R103" i="74"/>
  <c r="R135" i="74" s="1"/>
  <c r="W102" i="74"/>
  <c r="W134" i="74" s="1"/>
  <c r="O102" i="74"/>
  <c r="O134" i="74" s="1"/>
  <c r="R102" i="74"/>
  <c r="R134" i="74" s="1"/>
  <c r="X102" i="74"/>
  <c r="X134" i="74" s="1"/>
  <c r="Q102" i="74"/>
  <c r="Q134" i="74" s="1"/>
  <c r="M102" i="74"/>
  <c r="M134" i="74" s="1"/>
  <c r="T102" i="74"/>
  <c r="T134" i="74" s="1"/>
  <c r="N102" i="74"/>
  <c r="N134" i="74" s="1"/>
  <c r="V102" i="74"/>
  <c r="V134" i="74" s="1"/>
  <c r="U102" i="74"/>
  <c r="U134" i="74" s="1"/>
  <c r="S102" i="74"/>
  <c r="S134" i="74" s="1"/>
  <c r="P102" i="74"/>
  <c r="P134" i="74" s="1"/>
  <c r="Y102" i="74"/>
  <c r="Y134" i="74" s="1"/>
  <c r="K102" i="74"/>
  <c r="K134" i="74" s="1"/>
  <c r="U108" i="74"/>
  <c r="U140" i="74" s="1"/>
  <c r="R108" i="74"/>
  <c r="R140" i="74" s="1"/>
  <c r="X108" i="74"/>
  <c r="X140" i="74" s="1"/>
  <c r="V108" i="74"/>
  <c r="V140" i="74" s="1"/>
  <c r="S108" i="74"/>
  <c r="S140" i="74" s="1"/>
  <c r="M108" i="74"/>
  <c r="M140" i="74" s="1"/>
  <c r="Y108" i="74"/>
  <c r="Y140" i="74" s="1"/>
  <c r="N108" i="74"/>
  <c r="N140" i="74" s="1"/>
  <c r="Q108" i="74"/>
  <c r="Q140" i="74" s="1"/>
  <c r="O108" i="74"/>
  <c r="O140" i="74" s="1"/>
  <c r="K108" i="74"/>
  <c r="K140" i="74" s="1"/>
  <c r="T108" i="74"/>
  <c r="T140" i="74" s="1"/>
  <c r="W108" i="74"/>
  <c r="W140" i="74" s="1"/>
  <c r="P108" i="74"/>
  <c r="P140" i="74" s="1"/>
  <c r="X106" i="74"/>
  <c r="X138" i="74" s="1"/>
  <c r="T106" i="74"/>
  <c r="T138" i="74" s="1"/>
  <c r="M106" i="74"/>
  <c r="M138" i="74" s="1"/>
  <c r="O106" i="74"/>
  <c r="O138" i="74" s="1"/>
  <c r="S106" i="74"/>
  <c r="S138" i="74" s="1"/>
  <c r="W106" i="74"/>
  <c r="W138" i="74" s="1"/>
  <c r="N106" i="74"/>
  <c r="N138" i="74" s="1"/>
  <c r="Q106" i="74"/>
  <c r="Q138" i="74" s="1"/>
  <c r="U106" i="74"/>
  <c r="U138" i="74" s="1"/>
  <c r="Y106" i="74"/>
  <c r="Y138" i="74" s="1"/>
  <c r="R106" i="74"/>
  <c r="R138" i="74" s="1"/>
  <c r="K106" i="74"/>
  <c r="K138" i="74" s="1"/>
  <c r="P106" i="74"/>
  <c r="P138" i="74" s="1"/>
  <c r="V106" i="74"/>
  <c r="V138" i="74" s="1"/>
  <c r="W105" i="74"/>
  <c r="W137" i="74" s="1"/>
  <c r="Q105" i="74"/>
  <c r="Q137" i="74" s="1"/>
  <c r="K105" i="74"/>
  <c r="K137" i="74" s="1"/>
  <c r="O105" i="74"/>
  <c r="O137" i="74" s="1"/>
  <c r="R105" i="74"/>
  <c r="R137" i="74" s="1"/>
  <c r="N105" i="74"/>
  <c r="N137" i="74" s="1"/>
  <c r="Y105" i="74"/>
  <c r="Y137" i="74" s="1"/>
  <c r="V105" i="74"/>
  <c r="V137" i="74" s="1"/>
  <c r="P105" i="74"/>
  <c r="P137" i="74" s="1"/>
  <c r="M105" i="74"/>
  <c r="M137" i="74" s="1"/>
  <c r="T105" i="74"/>
  <c r="T137" i="74" s="1"/>
  <c r="X105" i="74"/>
  <c r="X137" i="74" s="1"/>
  <c r="S105" i="74"/>
  <c r="S137" i="74" s="1"/>
  <c r="U105" i="74"/>
  <c r="U137" i="74" s="1"/>
  <c r="N107" i="74"/>
  <c r="N139" i="74" s="1"/>
  <c r="W107" i="74"/>
  <c r="W139" i="74" s="1"/>
  <c r="Q107" i="74"/>
  <c r="Q139" i="74" s="1"/>
  <c r="M107" i="74"/>
  <c r="M139" i="74" s="1"/>
  <c r="T107" i="74"/>
  <c r="T139" i="74" s="1"/>
  <c r="Y107" i="74"/>
  <c r="Y139" i="74" s="1"/>
  <c r="X107" i="74"/>
  <c r="X139" i="74" s="1"/>
  <c r="P107" i="74"/>
  <c r="P139" i="74" s="1"/>
  <c r="U107" i="74"/>
  <c r="U139" i="74" s="1"/>
  <c r="O107" i="74"/>
  <c r="O139" i="74" s="1"/>
  <c r="K107" i="74"/>
  <c r="K139" i="74" s="1"/>
  <c r="S107" i="74"/>
  <c r="S139" i="74" s="1"/>
  <c r="V107" i="74"/>
  <c r="V139" i="74" s="1"/>
  <c r="R107" i="74"/>
  <c r="R139" i="74" s="1"/>
  <c r="X104" i="74"/>
  <c r="X136" i="74" s="1"/>
  <c r="P104" i="74"/>
  <c r="P136" i="74" s="1"/>
  <c r="M104" i="74"/>
  <c r="M136" i="74" s="1"/>
  <c r="S104" i="74"/>
  <c r="S136" i="74" s="1"/>
  <c r="Q104" i="74"/>
  <c r="Q136" i="74" s="1"/>
  <c r="W104" i="74"/>
  <c r="W136" i="74" s="1"/>
  <c r="U104" i="74"/>
  <c r="U136" i="74" s="1"/>
  <c r="R104" i="74"/>
  <c r="R136" i="74" s="1"/>
  <c r="Y104" i="74"/>
  <c r="Y136" i="74" s="1"/>
  <c r="V104" i="74"/>
  <c r="V136" i="74" s="1"/>
  <c r="T104" i="74"/>
  <c r="T136" i="74" s="1"/>
  <c r="N104" i="74"/>
  <c r="N136" i="74" s="1"/>
  <c r="K104" i="74"/>
  <c r="K136" i="74" s="1"/>
  <c r="O104" i="74"/>
  <c r="O136" i="74" s="1"/>
  <c r="AF184" i="41"/>
  <c r="AL184" i="41"/>
  <c r="P184" i="41"/>
  <c r="K184" i="41"/>
  <c r="X184" i="41"/>
  <c r="Q184" i="41"/>
  <c r="U184" i="41"/>
  <c r="Q199" i="105"/>
  <c r="O300" i="53"/>
  <c r="AE184" i="41"/>
  <c r="Z184" i="41"/>
  <c r="Q188" i="105"/>
  <c r="N93" i="53"/>
  <c r="N267" i="53"/>
  <c r="N78" i="83" s="1"/>
  <c r="O131" i="83"/>
  <c r="O131" i="72" s="1"/>
  <c r="O201" i="72" s="1"/>
  <c r="O231" i="72" s="1"/>
  <c r="O128" i="83"/>
  <c r="O128" i="72" s="1"/>
  <c r="O198" i="72" s="1"/>
  <c r="O228" i="72" s="1"/>
  <c r="O127" i="83"/>
  <c r="O127" i="72" s="1"/>
  <c r="O197" i="72" s="1"/>
  <c r="O227" i="72" s="1"/>
  <c r="O124" i="83"/>
  <c r="O125" i="83"/>
  <c r="O125" i="72" s="1"/>
  <c r="O195" i="72" s="1"/>
  <c r="O225" i="72" s="1"/>
  <c r="O123" i="83"/>
  <c r="O132" i="83"/>
  <c r="O132" i="72" s="1"/>
  <c r="O202" i="72" s="1"/>
  <c r="O232" i="72" s="1"/>
  <c r="O129" i="83"/>
  <c r="O129" i="72" s="1"/>
  <c r="O199" i="72" s="1"/>
  <c r="O229" i="72" s="1"/>
  <c r="O126" i="83"/>
  <c r="O126" i="72" s="1"/>
  <c r="O196" i="72" s="1"/>
  <c r="O226" i="72" s="1"/>
  <c r="O130" i="83"/>
  <c r="O130" i="72" s="1"/>
  <c r="O200" i="72" s="1"/>
  <c r="O230" i="72" s="1"/>
  <c r="O276" i="53" l="1"/>
  <c r="O286" i="53"/>
  <c r="T184" i="41"/>
  <c r="O299" i="53"/>
  <c r="L146" i="80"/>
  <c r="L172" i="80" s="1"/>
  <c r="L273" i="80" s="1"/>
  <c r="M149" i="80"/>
  <c r="M175" i="80" s="1"/>
  <c r="M276" i="80" s="1"/>
  <c r="L149" i="80"/>
  <c r="L175" i="80" s="1"/>
  <c r="L276" i="80" s="1"/>
  <c r="N184" i="41"/>
  <c r="R184" i="41"/>
  <c r="AA184" i="41"/>
  <c r="L143" i="80"/>
  <c r="L169" i="80" s="1"/>
  <c r="L270" i="80" s="1"/>
  <c r="V184" i="41"/>
  <c r="M142" i="80"/>
  <c r="M168" i="80" s="1"/>
  <c r="M269" i="80" s="1"/>
  <c r="M146" i="80"/>
  <c r="M172" i="80" s="1"/>
  <c r="M273" i="80" s="1"/>
  <c r="L142" i="80"/>
  <c r="L168" i="80" s="1"/>
  <c r="L269" i="80" s="1"/>
  <c r="L144" i="80"/>
  <c r="L170" i="80" s="1"/>
  <c r="L271" i="80" s="1"/>
  <c r="L147" i="80"/>
  <c r="L173" i="80" s="1"/>
  <c r="L274" i="80" s="1"/>
  <c r="M148" i="80"/>
  <c r="M174" i="80" s="1"/>
  <c r="M275" i="80" s="1"/>
  <c r="M143" i="80"/>
  <c r="M169" i="80" s="1"/>
  <c r="M270" i="80" s="1"/>
  <c r="L148" i="80"/>
  <c r="L174" i="80" s="1"/>
  <c r="L275" i="80" s="1"/>
  <c r="Y184" i="41"/>
  <c r="AI184" i="41"/>
  <c r="AH184" i="41"/>
  <c r="M145" i="80"/>
  <c r="M171" i="80" s="1"/>
  <c r="M176" i="80"/>
  <c r="M208" i="80"/>
  <c r="O274" i="53"/>
  <c r="O84" i="83" s="1"/>
  <c r="O290" i="53"/>
  <c r="O100" i="80" s="1"/>
  <c r="O112" i="80" s="1"/>
  <c r="O294" i="53"/>
  <c r="O116" i="80" s="1"/>
  <c r="O128" i="80" s="1"/>
  <c r="O272" i="53"/>
  <c r="O70" i="80" s="1"/>
  <c r="O82" i="80" s="1"/>
  <c r="O302" i="53"/>
  <c r="O124" i="80" s="1"/>
  <c r="O136" i="80" s="1"/>
  <c r="O283" i="53"/>
  <c r="O93" i="80" s="1"/>
  <c r="O105" i="80" s="1"/>
  <c r="O288" i="53"/>
  <c r="O98" i="80" s="1"/>
  <c r="O110" i="80" s="1"/>
  <c r="O291" i="53"/>
  <c r="O102" i="83" s="1"/>
  <c r="O289" i="53"/>
  <c r="O99" i="80" s="1"/>
  <c r="O111" i="80" s="1"/>
  <c r="P99" i="83"/>
  <c r="P187" i="83" s="1"/>
  <c r="P58" i="71" s="1"/>
  <c r="P163" i="71" s="1"/>
  <c r="P98" i="80"/>
  <c r="P110" i="80" s="1"/>
  <c r="P81" i="83"/>
  <c r="P152" i="83" s="1"/>
  <c r="P22" i="71" s="1"/>
  <c r="P127" i="71" s="1"/>
  <c r="P82" i="83"/>
  <c r="P153" i="83" s="1"/>
  <c r="P23" i="71" s="1"/>
  <c r="P128" i="71" s="1"/>
  <c r="P70" i="80"/>
  <c r="P82" i="80" s="1"/>
  <c r="P96" i="80"/>
  <c r="P108" i="80" s="1"/>
  <c r="P97" i="83"/>
  <c r="P185" i="83" s="1"/>
  <c r="P56" i="71" s="1"/>
  <c r="P161" i="71" s="1"/>
  <c r="O296" i="53"/>
  <c r="O118" i="80" s="1"/>
  <c r="O130" i="80" s="1"/>
  <c r="O297" i="53"/>
  <c r="O119" i="80" s="1"/>
  <c r="O131" i="80" s="1"/>
  <c r="O285" i="53"/>
  <c r="O96" i="83" s="1"/>
  <c r="O298" i="53"/>
  <c r="O120" i="80" s="1"/>
  <c r="O132" i="80" s="1"/>
  <c r="P98" i="83"/>
  <c r="P186" i="83" s="1"/>
  <c r="P57" i="71" s="1"/>
  <c r="P162" i="71" s="1"/>
  <c r="P97" i="80"/>
  <c r="P109" i="80" s="1"/>
  <c r="P121" i="80"/>
  <c r="P133" i="80" s="1"/>
  <c r="P111" i="83"/>
  <c r="P216" i="83" s="1"/>
  <c r="P88" i="71" s="1"/>
  <c r="P193" i="71" s="1"/>
  <c r="P72" i="80"/>
  <c r="P84" i="80" s="1"/>
  <c r="P84" i="83"/>
  <c r="P155" i="83" s="1"/>
  <c r="P25" i="71" s="1"/>
  <c r="P130" i="71" s="1"/>
  <c r="P112" i="83"/>
  <c r="P217" i="83" s="1"/>
  <c r="P89" i="71" s="1"/>
  <c r="P194" i="71" s="1"/>
  <c r="P122" i="80"/>
  <c r="P134" i="80" s="1"/>
  <c r="O284" i="53"/>
  <c r="O94" i="80" s="1"/>
  <c r="O106" i="80" s="1"/>
  <c r="O275" i="53"/>
  <c r="O85" i="83" s="1"/>
  <c r="O287" i="53"/>
  <c r="O98" i="83" s="1"/>
  <c r="O301" i="53"/>
  <c r="O123" i="80" s="1"/>
  <c r="O135" i="80" s="1"/>
  <c r="P108" i="83"/>
  <c r="P213" i="83" s="1"/>
  <c r="P85" i="71" s="1"/>
  <c r="P190" i="71" s="1"/>
  <c r="P118" i="80"/>
  <c r="P130" i="80" s="1"/>
  <c r="P110" i="83"/>
  <c r="P215" i="83" s="1"/>
  <c r="P87" i="71" s="1"/>
  <c r="P192" i="71" s="1"/>
  <c r="P120" i="80"/>
  <c r="P132" i="80" s="1"/>
  <c r="P105" i="83"/>
  <c r="P210" i="83" s="1"/>
  <c r="P82" i="71" s="1"/>
  <c r="P187" i="71" s="1"/>
  <c r="P116" i="80"/>
  <c r="P128" i="80" s="1"/>
  <c r="P106" i="83"/>
  <c r="P211" i="83" s="1"/>
  <c r="P83" i="71" s="1"/>
  <c r="P188" i="71" s="1"/>
  <c r="P88" i="83"/>
  <c r="P159" i="83" s="1"/>
  <c r="P29" i="71" s="1"/>
  <c r="P134" i="71" s="1"/>
  <c r="P76" i="80"/>
  <c r="P88" i="80" s="1"/>
  <c r="P100" i="83"/>
  <c r="P188" i="83" s="1"/>
  <c r="P59" i="71" s="1"/>
  <c r="P164" i="71" s="1"/>
  <c r="P99" i="80"/>
  <c r="P111" i="80" s="1"/>
  <c r="O277" i="53"/>
  <c r="O87" i="83" s="1"/>
  <c r="P100" i="80"/>
  <c r="P112" i="80" s="1"/>
  <c r="P101" i="83"/>
  <c r="P189" i="83" s="1"/>
  <c r="P60" i="71" s="1"/>
  <c r="P165" i="71" s="1"/>
  <c r="P78" i="80"/>
  <c r="P90" i="80" s="1"/>
  <c r="P90" i="83"/>
  <c r="P161" i="83" s="1"/>
  <c r="P31" i="71" s="1"/>
  <c r="P136" i="71" s="1"/>
  <c r="P96" i="83"/>
  <c r="P184" i="83" s="1"/>
  <c r="P55" i="71" s="1"/>
  <c r="P160" i="71" s="1"/>
  <c r="P95" i="80"/>
  <c r="P107" i="80" s="1"/>
  <c r="P93" i="80"/>
  <c r="P105" i="80" s="1"/>
  <c r="P93" i="83"/>
  <c r="P181" i="83" s="1"/>
  <c r="P52" i="71" s="1"/>
  <c r="P157" i="71" s="1"/>
  <c r="P94" i="83"/>
  <c r="P182" i="83" s="1"/>
  <c r="P53" i="71" s="1"/>
  <c r="P158" i="71" s="1"/>
  <c r="O295" i="53"/>
  <c r="O117" i="80" s="1"/>
  <c r="O129" i="80" s="1"/>
  <c r="O280" i="53"/>
  <c r="O90" i="83" s="1"/>
  <c r="O278" i="53"/>
  <c r="O88" i="83" s="1"/>
  <c r="O279" i="53"/>
  <c r="O89" i="83" s="1"/>
  <c r="P86" i="83"/>
  <c r="P157" i="83" s="1"/>
  <c r="P27" i="71" s="1"/>
  <c r="P132" i="71" s="1"/>
  <c r="P74" i="80"/>
  <c r="P86" i="80" s="1"/>
  <c r="P94" i="80"/>
  <c r="P106" i="80" s="1"/>
  <c r="P95" i="83"/>
  <c r="P183" i="83" s="1"/>
  <c r="P54" i="71" s="1"/>
  <c r="P159" i="71" s="1"/>
  <c r="P83" i="83"/>
  <c r="P154" i="83" s="1"/>
  <c r="P24" i="71" s="1"/>
  <c r="P129" i="71" s="1"/>
  <c r="P71" i="80"/>
  <c r="P83" i="80" s="1"/>
  <c r="P89" i="83"/>
  <c r="P160" i="83" s="1"/>
  <c r="P30" i="71" s="1"/>
  <c r="P135" i="71" s="1"/>
  <c r="P77" i="80"/>
  <c r="P89" i="80" s="1"/>
  <c r="P85" i="83"/>
  <c r="P156" i="83" s="1"/>
  <c r="P26" i="71" s="1"/>
  <c r="P131" i="71" s="1"/>
  <c r="P73" i="80"/>
  <c r="P85" i="80" s="1"/>
  <c r="P87" i="83"/>
  <c r="P158" i="83" s="1"/>
  <c r="P28" i="71" s="1"/>
  <c r="P133" i="71" s="1"/>
  <c r="P75" i="80"/>
  <c r="P87" i="80" s="1"/>
  <c r="P109" i="83"/>
  <c r="P214" i="83" s="1"/>
  <c r="P86" i="71" s="1"/>
  <c r="P191" i="71" s="1"/>
  <c r="P119" i="80"/>
  <c r="P131" i="80" s="1"/>
  <c r="P102" i="83"/>
  <c r="P190" i="83" s="1"/>
  <c r="P61" i="71" s="1"/>
  <c r="P166" i="71" s="1"/>
  <c r="P101" i="80"/>
  <c r="P113" i="80" s="1"/>
  <c r="P117" i="80"/>
  <c r="P129" i="80" s="1"/>
  <c r="P107" i="83"/>
  <c r="P212" i="83" s="1"/>
  <c r="P84" i="71" s="1"/>
  <c r="P189" i="71" s="1"/>
  <c r="P123" i="80"/>
  <c r="P135" i="80" s="1"/>
  <c r="P113" i="83"/>
  <c r="P218" i="83" s="1"/>
  <c r="P90" i="71" s="1"/>
  <c r="P195" i="71" s="1"/>
  <c r="P114" i="83"/>
  <c r="P219" i="83" s="1"/>
  <c r="P91" i="71" s="1"/>
  <c r="P196" i="71" s="1"/>
  <c r="P124" i="80"/>
  <c r="P136" i="80" s="1"/>
  <c r="O99" i="83"/>
  <c r="N124" i="83"/>
  <c r="N125" i="83"/>
  <c r="N125" i="72" s="1"/>
  <c r="N128" i="83"/>
  <c r="N128" i="72" s="1"/>
  <c r="N198" i="72" s="1"/>
  <c r="N228" i="72" s="1"/>
  <c r="N131" i="83"/>
  <c r="N131" i="72" s="1"/>
  <c r="N201" i="72" s="1"/>
  <c r="N231" i="72" s="1"/>
  <c r="N126" i="83"/>
  <c r="N126" i="72" s="1"/>
  <c r="N196" i="72" s="1"/>
  <c r="N226" i="72" s="1"/>
  <c r="N132" i="83"/>
  <c r="N132" i="72" s="1"/>
  <c r="N202" i="72" s="1"/>
  <c r="N232" i="72" s="1"/>
  <c r="N123" i="83"/>
  <c r="N130" i="83"/>
  <c r="N130" i="72" s="1"/>
  <c r="N200" i="72" s="1"/>
  <c r="N230" i="72" s="1"/>
  <c r="N129" i="83"/>
  <c r="N129" i="72" s="1"/>
  <c r="N199" i="72" s="1"/>
  <c r="N229" i="72" s="1"/>
  <c r="N127" i="83"/>
  <c r="N127" i="72" s="1"/>
  <c r="N197" i="72" s="1"/>
  <c r="N227" i="72" s="1"/>
  <c r="O122" i="80"/>
  <c r="O134" i="80" s="1"/>
  <c r="O112" i="83"/>
  <c r="O111" i="83"/>
  <c r="O121" i="80"/>
  <c r="O133" i="80" s="1"/>
  <c r="O96" i="80"/>
  <c r="O108" i="80" s="1"/>
  <c r="O97" i="83"/>
  <c r="O86" i="83"/>
  <c r="O74" i="80"/>
  <c r="O86" i="80" s="1"/>
  <c r="N278" i="53"/>
  <c r="N284" i="53"/>
  <c r="N273" i="53"/>
  <c r="N298" i="53"/>
  <c r="N301" i="53"/>
  <c r="N280" i="53"/>
  <c r="N288" i="53"/>
  <c r="N276" i="53"/>
  <c r="N286" i="53"/>
  <c r="N295" i="53"/>
  <c r="N289" i="53"/>
  <c r="N274" i="53"/>
  <c r="N272" i="53"/>
  <c r="N302" i="53"/>
  <c r="N287" i="53"/>
  <c r="N275" i="53"/>
  <c r="N297" i="53"/>
  <c r="N279" i="53"/>
  <c r="N277" i="53"/>
  <c r="N296" i="53"/>
  <c r="N300" i="53"/>
  <c r="N285" i="53"/>
  <c r="N294" i="53"/>
  <c r="N290" i="53"/>
  <c r="N291" i="53"/>
  <c r="N283" i="53"/>
  <c r="N299" i="53"/>
  <c r="O95" i="80"/>
  <c r="O107" i="80" s="1"/>
  <c r="O72" i="80"/>
  <c r="O84" i="80" s="1"/>
  <c r="O101" i="83"/>
  <c r="H306" i="53" a="1"/>
  <c r="H306" i="53" s="1"/>
  <c r="O83" i="83"/>
  <c r="O71" i="80"/>
  <c r="O83" i="80" s="1"/>
  <c r="O75" i="80" l="1"/>
  <c r="O87" i="80" s="1"/>
  <c r="O81" i="83"/>
  <c r="O82" i="83"/>
  <c r="O110" i="83"/>
  <c r="L177" i="80"/>
  <c r="H186" i="41"/>
  <c r="Z188" i="41" s="1"/>
  <c r="O114" i="83"/>
  <c r="O100" i="83"/>
  <c r="O188" i="83" s="1"/>
  <c r="O59" i="71" s="1"/>
  <c r="O164" i="71" s="1"/>
  <c r="O94" i="83"/>
  <c r="O93" i="83"/>
  <c r="O95" i="83"/>
  <c r="M272" i="80"/>
  <c r="M177" i="80"/>
  <c r="O106" i="83"/>
  <c r="O105" i="83"/>
  <c r="O210" i="83" s="1"/>
  <c r="O82" i="71" s="1"/>
  <c r="O187" i="71" s="1"/>
  <c r="T188" i="41"/>
  <c r="O101" i="80"/>
  <c r="O113" i="80" s="1"/>
  <c r="O113" i="83"/>
  <c r="P149" i="80"/>
  <c r="P175" i="80" s="1"/>
  <c r="P276" i="80" s="1"/>
  <c r="O76" i="80"/>
  <c r="O88" i="80" s="1"/>
  <c r="O77" i="80"/>
  <c r="O89" i="80" s="1"/>
  <c r="O149" i="80" s="1"/>
  <c r="O175" i="80" s="1"/>
  <c r="O276" i="80" s="1"/>
  <c r="O97" i="80"/>
  <c r="O109" i="80" s="1"/>
  <c r="O146" i="80" s="1"/>
  <c r="O172" i="80" s="1"/>
  <c r="O273" i="80" s="1"/>
  <c r="O107" i="83"/>
  <c r="O73" i="80"/>
  <c r="O85" i="80" s="1"/>
  <c r="O145" i="80" s="1"/>
  <c r="O171" i="80" s="1"/>
  <c r="O272" i="80" s="1"/>
  <c r="P146" i="80"/>
  <c r="P172" i="80" s="1"/>
  <c r="P273" i="80" s="1"/>
  <c r="O108" i="83"/>
  <c r="P148" i="80"/>
  <c r="P174" i="80" s="1"/>
  <c r="P275" i="80" s="1"/>
  <c r="P144" i="80"/>
  <c r="P170" i="80" s="1"/>
  <c r="P271" i="80" s="1"/>
  <c r="P143" i="80"/>
  <c r="P169" i="80" s="1"/>
  <c r="P270" i="80" s="1"/>
  <c r="P150" i="80"/>
  <c r="O109" i="83"/>
  <c r="O214" i="83" s="1"/>
  <c r="O86" i="71" s="1"/>
  <c r="O191" i="71" s="1"/>
  <c r="P142" i="80"/>
  <c r="P168" i="80" s="1"/>
  <c r="P269" i="80" s="1"/>
  <c r="O78" i="80"/>
  <c r="O90" i="80" s="1"/>
  <c r="O150" i="80" s="1"/>
  <c r="O208" i="80" s="1"/>
  <c r="P147" i="80"/>
  <c r="P173" i="80" s="1"/>
  <c r="P274" i="80" s="1"/>
  <c r="P145" i="80"/>
  <c r="P171" i="80" s="1"/>
  <c r="P272" i="80" s="1"/>
  <c r="O148" i="80"/>
  <c r="O174" i="80" s="1"/>
  <c r="O275" i="80" s="1"/>
  <c r="AB188" i="41"/>
  <c r="N188" i="41"/>
  <c r="O142" i="80"/>
  <c r="O168" i="80" s="1"/>
  <c r="O269" i="80" s="1"/>
  <c r="N122" i="80"/>
  <c r="N134" i="80" s="1"/>
  <c r="N112" i="83"/>
  <c r="N81" i="83"/>
  <c r="N82" i="83"/>
  <c r="N70" i="80"/>
  <c r="N113" i="83"/>
  <c r="N123" i="80"/>
  <c r="N135" i="80" s="1"/>
  <c r="O217" i="83"/>
  <c r="O89" i="71" s="1"/>
  <c r="O194" i="71" s="1"/>
  <c r="O181" i="83"/>
  <c r="O52" i="71" s="1"/>
  <c r="O157" i="71" s="1"/>
  <c r="O182" i="83"/>
  <c r="O53" i="71" s="1"/>
  <c r="O158" i="71" s="1"/>
  <c r="O183" i="83"/>
  <c r="O54" i="71" s="1"/>
  <c r="O159" i="71" s="1"/>
  <c r="O189" i="83"/>
  <c r="O60" i="71" s="1"/>
  <c r="O165" i="71" s="1"/>
  <c r="N108" i="83"/>
  <c r="N118" i="80"/>
  <c r="N130" i="80" s="1"/>
  <c r="N72" i="80"/>
  <c r="N84" i="80" s="1"/>
  <c r="N84" i="83"/>
  <c r="N110" i="83"/>
  <c r="N120" i="80"/>
  <c r="N132" i="80" s="1"/>
  <c r="O160" i="83"/>
  <c r="O30" i="71" s="1"/>
  <c r="O135" i="71" s="1"/>
  <c r="O159" i="83"/>
  <c r="O29" i="71" s="1"/>
  <c r="O134" i="71" s="1"/>
  <c r="O156" i="83"/>
  <c r="O26" i="71" s="1"/>
  <c r="O131" i="71" s="1"/>
  <c r="O152" i="83"/>
  <c r="O184" i="83"/>
  <c r="O55" i="71" s="1"/>
  <c r="O160" i="71" s="1"/>
  <c r="N95" i="80"/>
  <c r="N107" i="80" s="1"/>
  <c r="N96" i="83"/>
  <c r="N124" i="80"/>
  <c r="N136" i="80" s="1"/>
  <c r="N114" i="83"/>
  <c r="N78" i="80"/>
  <c r="N90" i="80" s="1"/>
  <c r="N90" i="83"/>
  <c r="O216" i="83"/>
  <c r="O88" i="71" s="1"/>
  <c r="O193" i="71" s="1"/>
  <c r="O153" i="83"/>
  <c r="O23" i="71" s="1"/>
  <c r="O128" i="71" s="1"/>
  <c r="N121" i="80"/>
  <c r="N133" i="80" s="1"/>
  <c r="N111" i="83"/>
  <c r="N87" i="83"/>
  <c r="N75" i="80"/>
  <c r="N87" i="80" s="1"/>
  <c r="N100" i="83"/>
  <c r="N99" i="80"/>
  <c r="N111" i="80" s="1"/>
  <c r="N71" i="80"/>
  <c r="N83" i="80" s="1"/>
  <c r="N83" i="83"/>
  <c r="O187" i="83"/>
  <c r="O58" i="71" s="1"/>
  <c r="O163" i="71" s="1"/>
  <c r="O158" i="83"/>
  <c r="O28" i="71" s="1"/>
  <c r="O133" i="71" s="1"/>
  <c r="N116" i="80"/>
  <c r="N128" i="80" s="1"/>
  <c r="N106" i="83"/>
  <c r="N105" i="83"/>
  <c r="N97" i="80"/>
  <c r="N109" i="80" s="1"/>
  <c r="N98" i="83"/>
  <c r="N98" i="80"/>
  <c r="N110" i="80" s="1"/>
  <c r="N99" i="83"/>
  <c r="O147" i="80"/>
  <c r="O173" i="80" s="1"/>
  <c r="O274" i="80" s="1"/>
  <c r="O143" i="80"/>
  <c r="O169" i="80" s="1"/>
  <c r="O270" i="80" s="1"/>
  <c r="O154" i="83"/>
  <c r="O24" i="71" s="1"/>
  <c r="O129" i="71" s="1"/>
  <c r="O161" i="83"/>
  <c r="O31" i="71" s="1"/>
  <c r="O136" i="71" s="1"/>
  <c r="O218" i="83"/>
  <c r="O90" i="71" s="1"/>
  <c r="O195" i="71" s="1"/>
  <c r="O219" i="83"/>
  <c r="O91" i="71" s="1"/>
  <c r="O196" i="71" s="1"/>
  <c r="AM188" i="41"/>
  <c r="U188" i="41"/>
  <c r="Y188" i="41"/>
  <c r="W188" i="41"/>
  <c r="M188" i="41"/>
  <c r="K188" i="41"/>
  <c r="P188" i="41"/>
  <c r="AL188" i="41"/>
  <c r="AI188" i="41"/>
  <c r="Q188" i="41"/>
  <c r="AJ188" i="41"/>
  <c r="AD188" i="41"/>
  <c r="J188" i="41"/>
  <c r="AK188" i="41"/>
  <c r="V188" i="41"/>
  <c r="S188" i="41"/>
  <c r="AH188" i="41"/>
  <c r="AC188" i="41"/>
  <c r="R188" i="41"/>
  <c r="AA188" i="41"/>
  <c r="AF188" i="41"/>
  <c r="AN188" i="41"/>
  <c r="X188" i="41"/>
  <c r="O188" i="41"/>
  <c r="AO188" i="41"/>
  <c r="N93" i="83"/>
  <c r="N93" i="80"/>
  <c r="N105" i="80" s="1"/>
  <c r="N94" i="83"/>
  <c r="N77" i="80"/>
  <c r="N89" i="80" s="1"/>
  <c r="N89" i="83"/>
  <c r="N117" i="80"/>
  <c r="N129" i="80" s="1"/>
  <c r="N107" i="83"/>
  <c r="N94" i="80"/>
  <c r="N106" i="80" s="1"/>
  <c r="N95" i="83"/>
  <c r="O157" i="83"/>
  <c r="O27" i="71" s="1"/>
  <c r="O132" i="71" s="1"/>
  <c r="O190" i="83"/>
  <c r="O61" i="71" s="1"/>
  <c r="O166" i="71" s="1"/>
  <c r="N195" i="72"/>
  <c r="N225" i="72" s="1"/>
  <c r="L188" i="41"/>
  <c r="O211" i="83"/>
  <c r="O83" i="71" s="1"/>
  <c r="O188" i="71" s="1"/>
  <c r="O212" i="83"/>
  <c r="O84" i="71" s="1"/>
  <c r="O189" i="71" s="1"/>
  <c r="O144" i="80"/>
  <c r="O170" i="80" s="1"/>
  <c r="O271" i="80" s="1"/>
  <c r="O213" i="83"/>
  <c r="O85" i="71" s="1"/>
  <c r="O190" i="71" s="1"/>
  <c r="N102" i="83"/>
  <c r="N101" i="80"/>
  <c r="N113" i="80" s="1"/>
  <c r="N109" i="83"/>
  <c r="N119" i="80"/>
  <c r="N131" i="80" s="1"/>
  <c r="N97" i="83"/>
  <c r="N96" i="80"/>
  <c r="N108" i="80" s="1"/>
  <c r="N88" i="83"/>
  <c r="N76" i="80"/>
  <c r="N88" i="80" s="1"/>
  <c r="O185" i="83"/>
  <c r="O56" i="71" s="1"/>
  <c r="O161" i="71" s="1"/>
  <c r="J42" i="55"/>
  <c r="A4" i="53"/>
  <c r="O186" i="83"/>
  <c r="O57" i="71" s="1"/>
  <c r="O162" i="71" s="1"/>
  <c r="AE188" i="41"/>
  <c r="O155" i="83"/>
  <c r="O25" i="71" s="1"/>
  <c r="O130" i="71" s="1"/>
  <c r="AG188" i="41"/>
  <c r="O215" i="83"/>
  <c r="O87" i="71" s="1"/>
  <c r="O192" i="71" s="1"/>
  <c r="N101" i="83"/>
  <c r="N100" i="80"/>
  <c r="N112" i="80" s="1"/>
  <c r="N85" i="83"/>
  <c r="N73" i="80"/>
  <c r="N85" i="80" s="1"/>
  <c r="N86" i="83"/>
  <c r="N74" i="80"/>
  <c r="N86" i="80" s="1"/>
  <c r="P176" i="80" l="1"/>
  <c r="P177" i="80" s="1"/>
  <c r="P208" i="80"/>
  <c r="O176" i="80"/>
  <c r="Q187" i="105"/>
  <c r="Q198" i="105"/>
  <c r="K198" i="105"/>
  <c r="K187" i="105"/>
  <c r="N146" i="80"/>
  <c r="N145" i="80"/>
  <c r="N149" i="80"/>
  <c r="N150" i="80"/>
  <c r="N208" i="80" s="1"/>
  <c r="N144" i="80"/>
  <c r="N147" i="80"/>
  <c r="N158" i="83"/>
  <c r="N28" i="71" s="1"/>
  <c r="N133" i="71" s="1"/>
  <c r="Q196" i="105"/>
  <c r="N213" i="83"/>
  <c r="N85" i="71" s="1"/>
  <c r="N190" i="71" s="1"/>
  <c r="N218" i="83"/>
  <c r="N90" i="71" s="1"/>
  <c r="N195" i="71" s="1"/>
  <c r="N181" i="83"/>
  <c r="N52" i="71" s="1"/>
  <c r="N157" i="71" s="1"/>
  <c r="N187" i="83"/>
  <c r="N58" i="71" s="1"/>
  <c r="N163" i="71" s="1"/>
  <c r="N82" i="80"/>
  <c r="N142" i="80" s="1"/>
  <c r="N157" i="83"/>
  <c r="N27" i="71" s="1"/>
  <c r="N132" i="71" s="1"/>
  <c r="Q185" i="105"/>
  <c r="N153" i="83"/>
  <c r="N23" i="71" s="1"/>
  <c r="N128" i="71" s="1"/>
  <c r="N190" i="83"/>
  <c r="N61" i="71" s="1"/>
  <c r="N166" i="71" s="1"/>
  <c r="N184" i="83"/>
  <c r="N55" i="71" s="1"/>
  <c r="N160" i="71" s="1"/>
  <c r="N185" i="83"/>
  <c r="N56" i="71" s="1"/>
  <c r="N161" i="71" s="1"/>
  <c r="N212" i="83"/>
  <c r="N84" i="71" s="1"/>
  <c r="N189" i="71" s="1"/>
  <c r="N186" i="83"/>
  <c r="N57" i="71" s="1"/>
  <c r="N162" i="71" s="1"/>
  <c r="N154" i="83"/>
  <c r="N24" i="71" s="1"/>
  <c r="N129" i="71" s="1"/>
  <c r="N161" i="83"/>
  <c r="N31" i="71" s="1"/>
  <c r="N136" i="71" s="1"/>
  <c r="N152" i="83"/>
  <c r="N182" i="83"/>
  <c r="N53" i="71" s="1"/>
  <c r="N158" i="71" s="1"/>
  <c r="N159" i="83"/>
  <c r="N29" i="71" s="1"/>
  <c r="N134" i="71" s="1"/>
  <c r="N216" i="83"/>
  <c r="N88" i="71" s="1"/>
  <c r="N193" i="71" s="1"/>
  <c r="K185" i="105"/>
  <c r="O177" i="80"/>
  <c r="AH196" i="105"/>
  <c r="N143" i="80"/>
  <c r="O22" i="71"/>
  <c r="O127" i="71" s="1"/>
  <c r="N215" i="83"/>
  <c r="N87" i="71" s="1"/>
  <c r="N192" i="71" s="1"/>
  <c r="N217" i="83"/>
  <c r="N89" i="71" s="1"/>
  <c r="N194" i="71" s="1"/>
  <c r="N183" i="83"/>
  <c r="N54" i="71" s="1"/>
  <c r="N159" i="71" s="1"/>
  <c r="N156" i="83"/>
  <c r="N26" i="71" s="1"/>
  <c r="N131" i="71" s="1"/>
  <c r="N214" i="83"/>
  <c r="N86" i="71" s="1"/>
  <c r="N191" i="71" s="1"/>
  <c r="K196" i="105"/>
  <c r="N160" i="83"/>
  <c r="N30" i="71" s="1"/>
  <c r="N135" i="71" s="1"/>
  <c r="N210" i="83"/>
  <c r="N82" i="71" s="1"/>
  <c r="N187" i="71" s="1"/>
  <c r="N148" i="80"/>
  <c r="N219" i="83"/>
  <c r="N91" i="71" s="1"/>
  <c r="N196" i="71" s="1"/>
  <c r="N155" i="83"/>
  <c r="N25" i="71" s="1"/>
  <c r="N130" i="71" s="1"/>
  <c r="AI196" i="105"/>
  <c r="N189" i="83"/>
  <c r="N60" i="71" s="1"/>
  <c r="N165" i="71" s="1"/>
  <c r="AH185" i="105"/>
  <c r="N211" i="83"/>
  <c r="N83" i="71" s="1"/>
  <c r="N188" i="71" s="1"/>
  <c r="N188" i="83"/>
  <c r="N59" i="71" s="1"/>
  <c r="N164" i="71" s="1"/>
  <c r="H210" i="80" l="1"/>
  <c r="H234" i="80" s="1"/>
  <c r="N176" i="80"/>
  <c r="H162" i="80"/>
  <c r="N174" i="80"/>
  <c r="N275" i="80" s="1"/>
  <c r="H275" i="80" s="1"/>
  <c r="H160" i="80"/>
  <c r="N168" i="80"/>
  <c r="N269" i="80" s="1"/>
  <c r="H269" i="80" s="1"/>
  <c r="H154" i="80"/>
  <c r="N175" i="80"/>
  <c r="N276" i="80" s="1"/>
  <c r="H276" i="80" s="1"/>
  <c r="H161" i="80"/>
  <c r="N172" i="80"/>
  <c r="N273" i="80" s="1"/>
  <c r="H273" i="80" s="1"/>
  <c r="H158" i="80"/>
  <c r="N169" i="80"/>
  <c r="N270" i="80" s="1"/>
  <c r="H270" i="80" s="1"/>
  <c r="H155" i="80"/>
  <c r="H32" i="73"/>
  <c r="L247" i="80"/>
  <c r="M247" i="80"/>
  <c r="M277" i="80" s="1"/>
  <c r="N247" i="80"/>
  <c r="R247" i="80"/>
  <c r="R260" i="80"/>
  <c r="Y260" i="80"/>
  <c r="T247" i="80"/>
  <c r="O247" i="80"/>
  <c r="O277" i="80" s="1"/>
  <c r="V260" i="80"/>
  <c r="T260" i="80"/>
  <c r="P247" i="80"/>
  <c r="P277" i="80" s="1"/>
  <c r="Q260" i="80"/>
  <c r="J247" i="80"/>
  <c r="S247" i="80"/>
  <c r="W260" i="80"/>
  <c r="V247" i="80"/>
  <c r="X260" i="80"/>
  <c r="J260" i="80"/>
  <c r="Q247" i="80"/>
  <c r="U260" i="80"/>
  <c r="K247" i="80"/>
  <c r="K277" i="80" s="1"/>
  <c r="X247" i="80"/>
  <c r="Y247" i="80"/>
  <c r="U247" i="80"/>
  <c r="W247" i="80"/>
  <c r="S260" i="80"/>
  <c r="L260" i="80"/>
  <c r="N171" i="80"/>
  <c r="N272" i="80" s="1"/>
  <c r="H272" i="80" s="1"/>
  <c r="H157" i="80"/>
  <c r="N173" i="80"/>
  <c r="N274" i="80" s="1"/>
  <c r="H274" i="80" s="1"/>
  <c r="H159" i="80"/>
  <c r="N170" i="80"/>
  <c r="N271" i="80" s="1"/>
  <c r="H271" i="80" s="1"/>
  <c r="H156" i="80"/>
  <c r="K186" i="105"/>
  <c r="Q197" i="105"/>
  <c r="Q186" i="105"/>
  <c r="K197" i="105"/>
  <c r="N22" i="71"/>
  <c r="U277" i="80" l="1"/>
  <c r="Y277" i="80"/>
  <c r="N177" i="80"/>
  <c r="T277" i="80"/>
  <c r="X277" i="80"/>
  <c r="S277" i="80"/>
  <c r="V277" i="80"/>
  <c r="R277" i="80"/>
  <c r="Q171" i="73"/>
  <c r="Q231" i="73" s="1"/>
  <c r="J171" i="73"/>
  <c r="J231" i="73" s="1"/>
  <c r="Q141" i="73"/>
  <c r="P171" i="73"/>
  <c r="P231" i="73" s="1"/>
  <c r="N141" i="73"/>
  <c r="K171" i="73"/>
  <c r="K231" i="73" s="1"/>
  <c r="N171" i="73"/>
  <c r="N231" i="73" s="1"/>
  <c r="P141" i="73"/>
  <c r="M171" i="73"/>
  <c r="M231" i="73" s="1"/>
  <c r="L141" i="73"/>
  <c r="J141" i="73"/>
  <c r="L171" i="73"/>
  <c r="L231" i="73" s="1"/>
  <c r="K141" i="73"/>
  <c r="M141" i="73"/>
  <c r="O171" i="73"/>
  <c r="O231" i="73" s="1"/>
  <c r="O141" i="73"/>
  <c r="J51" i="82" a="1"/>
  <c r="J277" i="80"/>
  <c r="Q277" i="80"/>
  <c r="W277" i="80"/>
  <c r="L277" i="80"/>
  <c r="N277" i="80"/>
  <c r="AH184" i="105"/>
  <c r="Q184" i="105"/>
  <c r="AI193" i="105"/>
  <c r="AI195" i="105"/>
  <c r="Q195" i="105"/>
  <c r="Q183" i="105"/>
  <c r="AH182" i="105"/>
  <c r="N127" i="71"/>
  <c r="AH193" i="105"/>
  <c r="AI194" i="105"/>
  <c r="AH194" i="105"/>
  <c r="Q193" i="105"/>
  <c r="AH183" i="105"/>
  <c r="Q182" i="105"/>
  <c r="Q194" i="105"/>
  <c r="AH195" i="105"/>
  <c r="H277" i="80" l="1"/>
  <c r="P201" i="73"/>
  <c r="P271" i="73"/>
  <c r="P34" i="74" s="1"/>
  <c r="P79" i="74" s="1"/>
  <c r="O271" i="73"/>
  <c r="O34" i="74" s="1"/>
  <c r="O79" i="74" s="1"/>
  <c r="O201" i="73"/>
  <c r="M271" i="73"/>
  <c r="M34" i="74" s="1"/>
  <c r="M79" i="74" s="1"/>
  <c r="M201" i="73"/>
  <c r="K201" i="73"/>
  <c r="K271" i="73"/>
  <c r="K34" i="74" s="1"/>
  <c r="K79" i="74" s="1"/>
  <c r="N271" i="73"/>
  <c r="N34" i="74" s="1"/>
  <c r="N79" i="74" s="1"/>
  <c r="N201" i="73"/>
  <c r="J271" i="73"/>
  <c r="J34" i="74" s="1"/>
  <c r="J79" i="74" s="1"/>
  <c r="J201" i="73"/>
  <c r="Q271" i="73"/>
  <c r="Q34" i="74" s="1"/>
  <c r="Q79" i="74" s="1"/>
  <c r="Q201" i="73"/>
  <c r="L271" i="73"/>
  <c r="L34" i="74" s="1"/>
  <c r="L79" i="74" s="1"/>
  <c r="L201" i="73"/>
  <c r="O51" i="82"/>
  <c r="K51" i="82"/>
  <c r="N51" i="82"/>
  <c r="J51" i="82"/>
  <c r="M51" i="82"/>
  <c r="L51" i="82"/>
  <c r="AH200" i="105"/>
  <c r="Q200" i="105"/>
  <c r="Q189" i="105"/>
  <c r="AI200" i="105"/>
  <c r="K183" i="105"/>
  <c r="AH189" i="105"/>
  <c r="K64" i="81" l="1" a="1"/>
  <c r="H281" i="80" a="1"/>
  <c r="H281" i="80" s="1"/>
  <c r="L109" i="74"/>
  <c r="L141" i="74" s="1"/>
  <c r="J109" i="74"/>
  <c r="J141" i="74" s="1"/>
  <c r="T109" i="74"/>
  <c r="T141" i="74" s="1"/>
  <c r="O109" i="74"/>
  <c r="O141" i="74" s="1"/>
  <c r="W109" i="74"/>
  <c r="W141" i="74" s="1"/>
  <c r="S109" i="74"/>
  <c r="S141" i="74" s="1"/>
  <c r="K109" i="74"/>
  <c r="K141" i="74" s="1"/>
  <c r="X109" i="74"/>
  <c r="X141" i="74" s="1"/>
  <c r="M109" i="74"/>
  <c r="M141" i="74" s="1"/>
  <c r="N109" i="74"/>
  <c r="N141" i="74" s="1"/>
  <c r="Q109" i="74"/>
  <c r="Q141" i="74" s="1"/>
  <c r="Y109" i="74"/>
  <c r="Y141" i="74" s="1"/>
  <c r="R109" i="74"/>
  <c r="R141" i="74" s="1"/>
  <c r="P109" i="74"/>
  <c r="P141" i="74" s="1"/>
  <c r="U109" i="74"/>
  <c r="U141" i="74" s="1"/>
  <c r="V109" i="74"/>
  <c r="V141" i="74" s="1"/>
  <c r="K193" i="105"/>
  <c r="K182" i="105"/>
  <c r="K195" i="105"/>
  <c r="K184" i="105"/>
  <c r="J43" i="55" l="1"/>
  <c r="A4" i="80"/>
  <c r="L64" i="81"/>
  <c r="L67" i="81" s="1"/>
  <c r="L73" i="81" s="1"/>
  <c r="L76" i="81" s="1"/>
  <c r="N64" i="81"/>
  <c r="N67" i="81" s="1"/>
  <c r="N73" i="81" s="1"/>
  <c r="N76" i="81" s="1"/>
  <c r="M64" i="81"/>
  <c r="M67" i="81" s="1"/>
  <c r="M73" i="81" s="1"/>
  <c r="M76" i="81" s="1"/>
  <c r="O64" i="81"/>
  <c r="O67" i="81" s="1"/>
  <c r="O73" i="81" s="1"/>
  <c r="O76" i="81" s="1"/>
  <c r="O108" i="81" s="1"/>
  <c r="N52" i="82" s="1"/>
  <c r="P64" i="81"/>
  <c r="P67" i="81" s="1"/>
  <c r="P73" i="81" s="1"/>
  <c r="P76" i="81" s="1"/>
  <c r="P108" i="81" s="1"/>
  <c r="O52" i="82" s="1"/>
  <c r="K64" i="81"/>
  <c r="Q64" i="81"/>
  <c r="Q67" i="81" s="1"/>
  <c r="Q73" i="81" s="1"/>
  <c r="Q76" i="81" s="1"/>
  <c r="Q108" i="81" s="1"/>
  <c r="P52" i="82" s="1"/>
  <c r="R64" i="81"/>
  <c r="R67" i="81" s="1"/>
  <c r="R73" i="81" s="1"/>
  <c r="R76" i="81" s="1"/>
  <c r="R108" i="81" s="1"/>
  <c r="Q52" i="82" s="1"/>
  <c r="S64" i="81"/>
  <c r="S67" i="81" s="1"/>
  <c r="S73" i="81" s="1"/>
  <c r="S76" i="81" s="1"/>
  <c r="S108" i="81" s="1"/>
  <c r="R52" i="82" s="1"/>
  <c r="K189" i="105"/>
  <c r="K200" i="105"/>
  <c r="M78" i="81" l="1"/>
  <c r="M97" i="81" s="1"/>
  <c r="M100" i="81" s="1"/>
  <c r="M115" i="81" s="1"/>
  <c r="M108" i="81"/>
  <c r="L52" i="82" s="1"/>
  <c r="N78" i="81"/>
  <c r="N97" i="81" s="1"/>
  <c r="N100" i="81" s="1"/>
  <c r="N115" i="81" s="1"/>
  <c r="N108" i="81"/>
  <c r="M52" i="82" s="1"/>
  <c r="P78" i="81"/>
  <c r="P97" i="81" s="1"/>
  <c r="P100" i="81" s="1"/>
  <c r="P115" i="81" s="1"/>
  <c r="U78" i="81"/>
  <c r="U97" i="81" s="1"/>
  <c r="L78" i="81"/>
  <c r="L97" i="81" s="1"/>
  <c r="L100" i="81" s="1"/>
  <c r="L115" i="81" s="1"/>
  <c r="T78" i="81"/>
  <c r="T97" i="81" s="1"/>
  <c r="H123" i="81"/>
  <c r="H21" i="76" s="1"/>
  <c r="H35" i="76" s="1"/>
  <c r="P43" i="76" s="1"/>
  <c r="P56" i="74" s="1"/>
  <c r="P157" i="74" s="1"/>
  <c r="K78" i="81"/>
  <c r="K97" i="81" s="1"/>
  <c r="L108" i="81"/>
  <c r="K52" i="82" s="1"/>
  <c r="R78" i="81"/>
  <c r="R97" i="81" s="1"/>
  <c r="R100" i="81" s="1"/>
  <c r="R115" i="81" s="1"/>
  <c r="Q78" i="81"/>
  <c r="Q97" i="81" s="1"/>
  <c r="Q100" i="81" s="1"/>
  <c r="Q115" i="81" s="1"/>
  <c r="O78" i="81"/>
  <c r="O97" i="81" s="1"/>
  <c r="O100" i="81" s="1"/>
  <c r="O115" i="81" s="1"/>
  <c r="K67" i="81"/>
  <c r="J65" i="81"/>
  <c r="J67" i="81" s="1"/>
  <c r="J100" i="81" s="1"/>
  <c r="J115" i="81" s="1"/>
  <c r="S78" i="81"/>
  <c r="S97" i="81" s="1"/>
  <c r="S100" i="81" s="1"/>
  <c r="S115" i="81" s="1"/>
  <c r="K100" i="81" l="1"/>
  <c r="Y43" i="76"/>
  <c r="Y56" i="74" s="1"/>
  <c r="Y157" i="74" s="1"/>
  <c r="K43" i="76"/>
  <c r="K56" i="74" s="1"/>
  <c r="K157" i="74" s="1"/>
  <c r="Q44" i="76"/>
  <c r="Q106" i="71" s="1"/>
  <c r="Q211" i="71" s="1"/>
  <c r="V43" i="76"/>
  <c r="V56" i="74" s="1"/>
  <c r="V157" i="74" s="1"/>
  <c r="J42" i="76"/>
  <c r="J55" i="74" s="1"/>
  <c r="J156" i="74" s="1"/>
  <c r="N42" i="76"/>
  <c r="N55" i="74" s="1"/>
  <c r="N156" i="74" s="1"/>
  <c r="M42" i="76"/>
  <c r="M55" i="74" s="1"/>
  <c r="M156" i="74" s="1"/>
  <c r="R42" i="76"/>
  <c r="R55" i="74" s="1"/>
  <c r="R156" i="74" s="1"/>
  <c r="L43" i="76"/>
  <c r="L56" i="74" s="1"/>
  <c r="L157" i="74" s="1"/>
  <c r="W42" i="76"/>
  <c r="W55" i="74" s="1"/>
  <c r="W156" i="74" s="1"/>
  <c r="U43" i="76"/>
  <c r="U56" i="74" s="1"/>
  <c r="U157" i="74" s="1"/>
  <c r="O42" i="76"/>
  <c r="O55" i="74" s="1"/>
  <c r="O156" i="74" s="1"/>
  <c r="L42" i="76"/>
  <c r="L55" i="74" s="1"/>
  <c r="L156" i="74" s="1"/>
  <c r="S43" i="76"/>
  <c r="S56" i="74" s="1"/>
  <c r="S157" i="74" s="1"/>
  <c r="J43" i="76"/>
  <c r="J56" i="74" s="1"/>
  <c r="J157" i="74" s="1"/>
  <c r="O43" i="76"/>
  <c r="O56" i="74" s="1"/>
  <c r="O157" i="74" s="1"/>
  <c r="Y42" i="76"/>
  <c r="Y55" i="74" s="1"/>
  <c r="Y156" i="74" s="1"/>
  <c r="P42" i="76"/>
  <c r="P55" i="74" s="1"/>
  <c r="P156" i="74" s="1"/>
  <c r="Q43" i="76"/>
  <c r="V42" i="76"/>
  <c r="V55" i="74" s="1"/>
  <c r="V156" i="74" s="1"/>
  <c r="M43" i="76"/>
  <c r="M56" i="74" s="1"/>
  <c r="M157" i="74" s="1"/>
  <c r="U42" i="76"/>
  <c r="U55" i="74" s="1"/>
  <c r="U156" i="74" s="1"/>
  <c r="R43" i="76"/>
  <c r="R56" i="74" s="1"/>
  <c r="R157" i="74" s="1"/>
  <c r="X42" i="76"/>
  <c r="X55" i="74" s="1"/>
  <c r="X156" i="74" s="1"/>
  <c r="T42" i="76"/>
  <c r="T55" i="74" s="1"/>
  <c r="T156" i="74" s="1"/>
  <c r="W43" i="76"/>
  <c r="W56" i="74" s="1"/>
  <c r="W157" i="74" s="1"/>
  <c r="N43" i="76"/>
  <c r="N56" i="74" s="1"/>
  <c r="N157" i="74" s="1"/>
  <c r="S42" i="76"/>
  <c r="S55" i="74" s="1"/>
  <c r="S156" i="74" s="1"/>
  <c r="K42" i="76"/>
  <c r="K55" i="74" s="1"/>
  <c r="K156" i="74" s="1"/>
  <c r="X43" i="76"/>
  <c r="X56" i="74" s="1"/>
  <c r="X157" i="74" s="1"/>
  <c r="Q42" i="76"/>
  <c r="T43" i="76"/>
  <c r="T56" i="74" s="1"/>
  <c r="T157" i="74" s="1"/>
  <c r="H19" i="82" a="1"/>
  <c r="H19" i="82" s="1"/>
  <c r="K115" i="81" l="1"/>
  <c r="H127" i="81" s="1" a="1"/>
  <c r="H127" i="81" s="1"/>
  <c r="H131" i="81" s="1"/>
  <c r="H48" i="76" a="1"/>
  <c r="H48" i="76" s="1"/>
  <c r="A4" i="76" s="1"/>
  <c r="Q76" i="71"/>
  <c r="Q181" i="71" s="1"/>
  <c r="H21" i="82"/>
  <c r="Q46" i="71"/>
  <c r="Q151" i="71" s="1"/>
  <c r="H20" i="82"/>
  <c r="H23" i="82"/>
  <c r="H22" i="82"/>
  <c r="J45" i="55" l="1"/>
  <c r="A4" i="81"/>
  <c r="H63" i="72" a="1"/>
  <c r="H30" i="83" a="1"/>
  <c r="H65" i="73" a="1"/>
  <c r="J47" i="55"/>
  <c r="H37" i="83" l="1"/>
  <c r="H30" i="83"/>
  <c r="H39" i="83"/>
  <c r="H36" i="83"/>
  <c r="H32" i="83"/>
  <c r="H35" i="83"/>
  <c r="H31" i="83"/>
  <c r="H38" i="83"/>
  <c r="H34" i="83"/>
  <c r="H33" i="83"/>
  <c r="H69" i="73"/>
  <c r="H73" i="73"/>
  <c r="H65" i="73"/>
  <c r="H74" i="73"/>
  <c r="H66" i="73"/>
  <c r="H70" i="73"/>
  <c r="H72" i="73"/>
  <c r="H68" i="73"/>
  <c r="H71" i="73"/>
  <c r="H67" i="73"/>
  <c r="H64" i="72"/>
  <c r="H65" i="72"/>
  <c r="H67" i="72"/>
  <c r="H68" i="72"/>
  <c r="H69" i="72"/>
  <c r="H70" i="72"/>
  <c r="H71" i="72"/>
  <c r="H63" i="72"/>
  <c r="H66" i="72"/>
  <c r="H72" i="72"/>
  <c r="W177" i="72" l="1"/>
  <c r="W212" i="72" s="1"/>
  <c r="W242" i="72" s="1"/>
  <c r="Y177" i="72"/>
  <c r="Y212" i="72" s="1"/>
  <c r="Y242" i="72" s="1"/>
  <c r="X177" i="72"/>
  <c r="X212" i="72" s="1"/>
  <c r="X242" i="72" s="1"/>
  <c r="T177" i="72"/>
  <c r="T212" i="72" s="1"/>
  <c r="T242" i="72" s="1"/>
  <c r="V177" i="72"/>
  <c r="V212" i="72" s="1"/>
  <c r="V242" i="72" s="1"/>
  <c r="R177" i="72"/>
  <c r="R212" i="72" s="1"/>
  <c r="R242" i="72" s="1"/>
  <c r="S177" i="72"/>
  <c r="S212" i="72" s="1"/>
  <c r="S242" i="72" s="1"/>
  <c r="U177" i="72"/>
  <c r="U212" i="72" s="1"/>
  <c r="U242" i="72" s="1"/>
  <c r="K181" i="73"/>
  <c r="K241" i="73" s="1"/>
  <c r="L181" i="73"/>
  <c r="L241" i="73" s="1"/>
  <c r="O151" i="73"/>
  <c r="N151" i="73"/>
  <c r="O181" i="73"/>
  <c r="O241" i="73" s="1"/>
  <c r="M151" i="73"/>
  <c r="P181" i="73"/>
  <c r="P241" i="73" s="1"/>
  <c r="Q151" i="73"/>
  <c r="P151" i="73"/>
  <c r="K151" i="73"/>
  <c r="L151" i="73"/>
  <c r="J151" i="73"/>
  <c r="J181" i="73"/>
  <c r="J241" i="73" s="1"/>
  <c r="N181" i="73"/>
  <c r="N241" i="73" s="1"/>
  <c r="Q181" i="73"/>
  <c r="Q241" i="73" s="1"/>
  <c r="M181" i="73"/>
  <c r="M241" i="73" s="1"/>
  <c r="U143" i="83"/>
  <c r="M172" i="83"/>
  <c r="M44" i="71" s="1"/>
  <c r="M149" i="71" s="1"/>
  <c r="L230" i="83"/>
  <c r="L104" i="71" s="1"/>
  <c r="L209" i="71" s="1"/>
  <c r="W172" i="83"/>
  <c r="W44" i="71" s="1"/>
  <c r="W149" i="71" s="1"/>
  <c r="Y230" i="83"/>
  <c r="Y104" i="71" s="1"/>
  <c r="Y209" i="71" s="1"/>
  <c r="L172" i="83"/>
  <c r="L44" i="71" s="1"/>
  <c r="L149" i="71" s="1"/>
  <c r="V201" i="83"/>
  <c r="V74" i="71" s="1"/>
  <c r="V179" i="71" s="1"/>
  <c r="X172" i="83"/>
  <c r="X44" i="71" s="1"/>
  <c r="X149" i="71" s="1"/>
  <c r="Y172" i="83"/>
  <c r="Y44" i="71" s="1"/>
  <c r="Y149" i="71" s="1"/>
  <c r="S201" i="83"/>
  <c r="S74" i="71" s="1"/>
  <c r="S179" i="71" s="1"/>
  <c r="N230" i="83"/>
  <c r="N104" i="71" s="1"/>
  <c r="N209" i="71" s="1"/>
  <c r="V143" i="83"/>
  <c r="V172" i="83"/>
  <c r="V44" i="71" s="1"/>
  <c r="V149" i="71" s="1"/>
  <c r="L143" i="83"/>
  <c r="L145" i="72" s="1"/>
  <c r="L215" i="72" s="1"/>
  <c r="L245" i="72" s="1"/>
  <c r="Q201" i="83"/>
  <c r="Q74" i="71" s="1"/>
  <c r="Q179" i="71" s="1"/>
  <c r="X230" i="83"/>
  <c r="X104" i="71" s="1"/>
  <c r="X209" i="71" s="1"/>
  <c r="Y201" i="83"/>
  <c r="Y74" i="71" s="1"/>
  <c r="Y179" i="71" s="1"/>
  <c r="N201" i="83"/>
  <c r="N74" i="71" s="1"/>
  <c r="N179" i="71" s="1"/>
  <c r="O172" i="83"/>
  <c r="O44" i="71" s="1"/>
  <c r="O149" i="71" s="1"/>
  <c r="T230" i="83"/>
  <c r="T104" i="71" s="1"/>
  <c r="T209" i="71" s="1"/>
  <c r="J143" i="83"/>
  <c r="J145" i="72" s="1"/>
  <c r="J215" i="72" s="1"/>
  <c r="J245" i="72" s="1"/>
  <c r="J172" i="83"/>
  <c r="J44" i="71" s="1"/>
  <c r="J149" i="71" s="1"/>
  <c r="T172" i="83"/>
  <c r="T44" i="71" s="1"/>
  <c r="T149" i="71" s="1"/>
  <c r="N143" i="83"/>
  <c r="N145" i="72" s="1"/>
  <c r="N215" i="72" s="1"/>
  <c r="N245" i="72" s="1"/>
  <c r="K201" i="83"/>
  <c r="K74" i="71" s="1"/>
  <c r="K179" i="71" s="1"/>
  <c r="M230" i="83"/>
  <c r="M104" i="71" s="1"/>
  <c r="M209" i="71" s="1"/>
  <c r="P172" i="83"/>
  <c r="P44" i="71" s="1"/>
  <c r="P149" i="71" s="1"/>
  <c r="T143" i="83"/>
  <c r="W230" i="83"/>
  <c r="W104" i="71" s="1"/>
  <c r="W209" i="71" s="1"/>
  <c r="U230" i="83"/>
  <c r="U104" i="71" s="1"/>
  <c r="U209" i="71" s="1"/>
  <c r="M143" i="83"/>
  <c r="M145" i="72" s="1"/>
  <c r="M215" i="72" s="1"/>
  <c r="M245" i="72" s="1"/>
  <c r="R143" i="83"/>
  <c r="P143" i="83"/>
  <c r="P145" i="72" s="1"/>
  <c r="P215" i="72" s="1"/>
  <c r="P245" i="72" s="1"/>
  <c r="U201" i="83"/>
  <c r="U74" i="71" s="1"/>
  <c r="U179" i="71" s="1"/>
  <c r="P201" i="83"/>
  <c r="P74" i="71" s="1"/>
  <c r="P179" i="71" s="1"/>
  <c r="O230" i="83"/>
  <c r="O104" i="71" s="1"/>
  <c r="O209" i="71" s="1"/>
  <c r="M201" i="83"/>
  <c r="M74" i="71" s="1"/>
  <c r="M179" i="71" s="1"/>
  <c r="R230" i="83"/>
  <c r="R104" i="71" s="1"/>
  <c r="R209" i="71" s="1"/>
  <c r="P230" i="83"/>
  <c r="P104" i="71" s="1"/>
  <c r="P209" i="71" s="1"/>
  <c r="W143" i="83"/>
  <c r="Q143" i="83"/>
  <c r="Q145" i="72" s="1"/>
  <c r="Q215" i="72" s="1"/>
  <c r="Q245" i="72" s="1"/>
  <c r="S143" i="83"/>
  <c r="S172" i="83"/>
  <c r="S44" i="71" s="1"/>
  <c r="S149" i="71" s="1"/>
  <c r="X201" i="83"/>
  <c r="X74" i="71" s="1"/>
  <c r="X179" i="71" s="1"/>
  <c r="Q230" i="83"/>
  <c r="Q104" i="71" s="1"/>
  <c r="Q209" i="71" s="1"/>
  <c r="O201" i="83"/>
  <c r="O74" i="71" s="1"/>
  <c r="O179" i="71" s="1"/>
  <c r="N172" i="83"/>
  <c r="N44" i="71" s="1"/>
  <c r="N149" i="71" s="1"/>
  <c r="T201" i="83"/>
  <c r="T74" i="71" s="1"/>
  <c r="T179" i="71" s="1"/>
  <c r="V230" i="83"/>
  <c r="V104" i="71" s="1"/>
  <c r="V209" i="71" s="1"/>
  <c r="Q172" i="83"/>
  <c r="Q44" i="71" s="1"/>
  <c r="Q149" i="71" s="1"/>
  <c r="O143" i="83"/>
  <c r="O145" i="72" s="1"/>
  <c r="O215" i="72" s="1"/>
  <c r="O245" i="72" s="1"/>
  <c r="J230" i="83"/>
  <c r="J104" i="71" s="1"/>
  <c r="J209" i="71" s="1"/>
  <c r="X143" i="83"/>
  <c r="W201" i="83"/>
  <c r="W74" i="71" s="1"/>
  <c r="W179" i="71" s="1"/>
  <c r="S230" i="83"/>
  <c r="S104" i="71" s="1"/>
  <c r="S209" i="71" s="1"/>
  <c r="K230" i="83"/>
  <c r="K104" i="71" s="1"/>
  <c r="K209" i="71" s="1"/>
  <c r="R201" i="83"/>
  <c r="R74" i="71" s="1"/>
  <c r="R179" i="71" s="1"/>
  <c r="Y143" i="83"/>
  <c r="K172" i="83"/>
  <c r="K44" i="71" s="1"/>
  <c r="K149" i="71" s="1"/>
  <c r="U172" i="83"/>
  <c r="U44" i="71" s="1"/>
  <c r="U149" i="71" s="1"/>
  <c r="R172" i="83"/>
  <c r="R44" i="71" s="1"/>
  <c r="R149" i="71" s="1"/>
  <c r="K143" i="83"/>
  <c r="K145" i="72" s="1"/>
  <c r="K215" i="72" s="1"/>
  <c r="K245" i="72" s="1"/>
  <c r="L201" i="83"/>
  <c r="L74" i="71" s="1"/>
  <c r="L179" i="71" s="1"/>
  <c r="J201" i="83"/>
  <c r="J74" i="71" s="1"/>
  <c r="J179" i="71" s="1"/>
  <c r="S176" i="72"/>
  <c r="S211" i="72" s="1"/>
  <c r="S241" i="72" s="1"/>
  <c r="W176" i="72"/>
  <c r="W211" i="72" s="1"/>
  <c r="W241" i="72" s="1"/>
  <c r="Y176" i="72"/>
  <c r="Y211" i="72" s="1"/>
  <c r="Y241" i="72" s="1"/>
  <c r="U176" i="72"/>
  <c r="U211" i="72" s="1"/>
  <c r="U241" i="72" s="1"/>
  <c r="X176" i="72"/>
  <c r="X211" i="72" s="1"/>
  <c r="X241" i="72" s="1"/>
  <c r="V176" i="72"/>
  <c r="V211" i="72" s="1"/>
  <c r="V241" i="72" s="1"/>
  <c r="T176" i="72"/>
  <c r="T211" i="72" s="1"/>
  <c r="T241" i="72" s="1"/>
  <c r="R176" i="72"/>
  <c r="R211" i="72" s="1"/>
  <c r="R241" i="72" s="1"/>
  <c r="Q147" i="73"/>
  <c r="J147" i="73"/>
  <c r="K147" i="73"/>
  <c r="P177" i="73"/>
  <c r="P237" i="73" s="1"/>
  <c r="O147" i="73"/>
  <c r="N177" i="73"/>
  <c r="N237" i="73" s="1"/>
  <c r="M147" i="73"/>
  <c r="Q177" i="73"/>
  <c r="Q237" i="73" s="1"/>
  <c r="K177" i="73"/>
  <c r="K237" i="73" s="1"/>
  <c r="P147" i="73"/>
  <c r="L147" i="73"/>
  <c r="M177" i="73"/>
  <c r="M237" i="73" s="1"/>
  <c r="L177" i="73"/>
  <c r="L237" i="73" s="1"/>
  <c r="N147" i="73"/>
  <c r="J177" i="73"/>
  <c r="J237" i="73" s="1"/>
  <c r="O177" i="73"/>
  <c r="O237" i="73" s="1"/>
  <c r="J194" i="83"/>
  <c r="J67" i="71" s="1"/>
  <c r="J172" i="71" s="1"/>
  <c r="P194" i="83"/>
  <c r="P67" i="71" s="1"/>
  <c r="P172" i="71" s="1"/>
  <c r="N223" i="83"/>
  <c r="N97" i="71" s="1"/>
  <c r="N202" i="71" s="1"/>
  <c r="K136" i="83"/>
  <c r="K138" i="72" s="1"/>
  <c r="K208" i="72" s="1"/>
  <c r="K238" i="72" s="1"/>
  <c r="V136" i="83"/>
  <c r="V223" i="83"/>
  <c r="V97" i="71" s="1"/>
  <c r="V202" i="71" s="1"/>
  <c r="S194" i="83"/>
  <c r="S67" i="71" s="1"/>
  <c r="S172" i="71" s="1"/>
  <c r="Q165" i="83"/>
  <c r="Q37" i="71" s="1"/>
  <c r="Q142" i="71" s="1"/>
  <c r="L194" i="83"/>
  <c r="L67" i="71" s="1"/>
  <c r="L172" i="71" s="1"/>
  <c r="T165" i="83"/>
  <c r="T37" i="71" s="1"/>
  <c r="T142" i="71" s="1"/>
  <c r="P136" i="83"/>
  <c r="P138" i="72" s="1"/>
  <c r="P208" i="72" s="1"/>
  <c r="P238" i="72" s="1"/>
  <c r="V165" i="83"/>
  <c r="V37" i="71" s="1"/>
  <c r="V142" i="71" s="1"/>
  <c r="O223" i="83"/>
  <c r="O97" i="71" s="1"/>
  <c r="O202" i="71" s="1"/>
  <c r="O136" i="83"/>
  <c r="O138" i="72" s="1"/>
  <c r="O208" i="72" s="1"/>
  <c r="O238" i="72" s="1"/>
  <c r="Y223" i="83"/>
  <c r="Y97" i="71" s="1"/>
  <c r="Y202" i="71" s="1"/>
  <c r="K194" i="83"/>
  <c r="K67" i="71" s="1"/>
  <c r="K172" i="71" s="1"/>
  <c r="X136" i="83"/>
  <c r="R194" i="83"/>
  <c r="R67" i="71" s="1"/>
  <c r="R172" i="71" s="1"/>
  <c r="M136" i="83"/>
  <c r="M138" i="72" s="1"/>
  <c r="M208" i="72" s="1"/>
  <c r="M238" i="72" s="1"/>
  <c r="M223" i="83"/>
  <c r="M97" i="71" s="1"/>
  <c r="M202" i="71" s="1"/>
  <c r="P223" i="83"/>
  <c r="P97" i="71" s="1"/>
  <c r="P202" i="71" s="1"/>
  <c r="P165" i="83"/>
  <c r="P37" i="71" s="1"/>
  <c r="P142" i="71" s="1"/>
  <c r="X165" i="83"/>
  <c r="X37" i="71" s="1"/>
  <c r="X142" i="71" s="1"/>
  <c r="Y194" i="83"/>
  <c r="Y67" i="71" s="1"/>
  <c r="Y172" i="71" s="1"/>
  <c r="L165" i="83"/>
  <c r="L37" i="71" s="1"/>
  <c r="L142" i="71" s="1"/>
  <c r="N136" i="83"/>
  <c r="N138" i="72" s="1"/>
  <c r="N208" i="72" s="1"/>
  <c r="N238" i="72" s="1"/>
  <c r="X194" i="83"/>
  <c r="X67" i="71" s="1"/>
  <c r="X172" i="71" s="1"/>
  <c r="R223" i="83"/>
  <c r="R97" i="71" s="1"/>
  <c r="R202" i="71" s="1"/>
  <c r="J136" i="83"/>
  <c r="J138" i="72" s="1"/>
  <c r="J208" i="72" s="1"/>
  <c r="J238" i="72" s="1"/>
  <c r="N194" i="83"/>
  <c r="N67" i="71" s="1"/>
  <c r="N172" i="71" s="1"/>
  <c r="M165" i="83"/>
  <c r="M37" i="71" s="1"/>
  <c r="M142" i="71" s="1"/>
  <c r="T194" i="83"/>
  <c r="T67" i="71" s="1"/>
  <c r="T172" i="71" s="1"/>
  <c r="U165" i="83"/>
  <c r="U37" i="71" s="1"/>
  <c r="U142" i="71" s="1"/>
  <c r="O194" i="83"/>
  <c r="O67" i="71" s="1"/>
  <c r="O172" i="71" s="1"/>
  <c r="S165" i="83"/>
  <c r="S37" i="71" s="1"/>
  <c r="S142" i="71" s="1"/>
  <c r="W136" i="83"/>
  <c r="N165" i="83"/>
  <c r="N37" i="71" s="1"/>
  <c r="N142" i="71" s="1"/>
  <c r="U136" i="83"/>
  <c r="T223" i="83"/>
  <c r="T97" i="71" s="1"/>
  <c r="T202" i="71" s="1"/>
  <c r="M194" i="83"/>
  <c r="M67" i="71" s="1"/>
  <c r="M172" i="71" s="1"/>
  <c r="S223" i="83"/>
  <c r="S97" i="71" s="1"/>
  <c r="S202" i="71" s="1"/>
  <c r="W194" i="83"/>
  <c r="W67" i="71" s="1"/>
  <c r="W172" i="71" s="1"/>
  <c r="R136" i="83"/>
  <c r="X223" i="83"/>
  <c r="X97" i="71" s="1"/>
  <c r="X202" i="71" s="1"/>
  <c r="V194" i="83"/>
  <c r="V67" i="71" s="1"/>
  <c r="V172" i="71" s="1"/>
  <c r="Q223" i="83"/>
  <c r="Q97" i="71" s="1"/>
  <c r="Q202" i="71" s="1"/>
  <c r="J165" i="83"/>
  <c r="J37" i="71" s="1"/>
  <c r="J142" i="71" s="1"/>
  <c r="S136" i="83"/>
  <c r="L223" i="83"/>
  <c r="L97" i="71" s="1"/>
  <c r="L202" i="71" s="1"/>
  <c r="L136" i="83"/>
  <c r="L138" i="72" s="1"/>
  <c r="L208" i="72" s="1"/>
  <c r="L238" i="72" s="1"/>
  <c r="K223" i="83"/>
  <c r="K97" i="71" s="1"/>
  <c r="K202" i="71" s="1"/>
  <c r="J223" i="83"/>
  <c r="J97" i="71" s="1"/>
  <c r="J202" i="71" s="1"/>
  <c r="Q194" i="83"/>
  <c r="Q67" i="71" s="1"/>
  <c r="Q172" i="71" s="1"/>
  <c r="W165" i="83"/>
  <c r="W37" i="71" s="1"/>
  <c r="W142" i="71" s="1"/>
  <c r="U223" i="83"/>
  <c r="U97" i="71" s="1"/>
  <c r="U202" i="71" s="1"/>
  <c r="U194" i="83"/>
  <c r="U67" i="71" s="1"/>
  <c r="U172" i="71" s="1"/>
  <c r="W223" i="83"/>
  <c r="W97" i="71" s="1"/>
  <c r="W202" i="71" s="1"/>
  <c r="Y136" i="83"/>
  <c r="O165" i="83"/>
  <c r="O37" i="71" s="1"/>
  <c r="O142" i="71" s="1"/>
  <c r="Y165" i="83"/>
  <c r="Y37" i="71" s="1"/>
  <c r="Y142" i="71" s="1"/>
  <c r="K165" i="83"/>
  <c r="K37" i="71" s="1"/>
  <c r="K142" i="71" s="1"/>
  <c r="T136" i="83"/>
  <c r="Q136" i="83"/>
  <c r="Q138" i="72" s="1"/>
  <c r="Q208" i="72" s="1"/>
  <c r="Q238" i="72" s="1"/>
  <c r="R165" i="83"/>
  <c r="R37" i="71" s="1"/>
  <c r="R142" i="71" s="1"/>
  <c r="V181" i="72"/>
  <c r="V216" i="72" s="1"/>
  <c r="V246" i="72" s="1"/>
  <c r="T181" i="72"/>
  <c r="T216" i="72" s="1"/>
  <c r="T246" i="72" s="1"/>
  <c r="W181" i="72"/>
  <c r="W216" i="72" s="1"/>
  <c r="W246" i="72" s="1"/>
  <c r="Y181" i="72"/>
  <c r="Y216" i="72" s="1"/>
  <c r="Y246" i="72" s="1"/>
  <c r="X181" i="72"/>
  <c r="X216" i="72" s="1"/>
  <c r="X246" i="72" s="1"/>
  <c r="S181" i="72"/>
  <c r="S216" i="72" s="1"/>
  <c r="S246" i="72" s="1"/>
  <c r="U181" i="72"/>
  <c r="U216" i="72" s="1"/>
  <c r="U246" i="72" s="1"/>
  <c r="R181" i="72"/>
  <c r="R216" i="72" s="1"/>
  <c r="R246" i="72" s="1"/>
  <c r="X174" i="72"/>
  <c r="X209" i="72" s="1"/>
  <c r="X239" i="72" s="1"/>
  <c r="Y174" i="72"/>
  <c r="Y209" i="72" s="1"/>
  <c r="Y239" i="72" s="1"/>
  <c r="W174" i="72"/>
  <c r="W209" i="72" s="1"/>
  <c r="W239" i="72" s="1"/>
  <c r="R174" i="72"/>
  <c r="R209" i="72" s="1"/>
  <c r="R239" i="72" s="1"/>
  <c r="T174" i="72"/>
  <c r="T209" i="72" s="1"/>
  <c r="T239" i="72" s="1"/>
  <c r="S174" i="72"/>
  <c r="S209" i="72" s="1"/>
  <c r="S239" i="72" s="1"/>
  <c r="V174" i="72"/>
  <c r="V209" i="72" s="1"/>
  <c r="V239" i="72" s="1"/>
  <c r="U174" i="72"/>
  <c r="U209" i="72" s="1"/>
  <c r="U239" i="72" s="1"/>
  <c r="N155" i="73"/>
  <c r="Q185" i="73"/>
  <c r="Q245" i="73" s="1"/>
  <c r="L185" i="73"/>
  <c r="L245" i="73" s="1"/>
  <c r="K155" i="73"/>
  <c r="L155" i="73"/>
  <c r="J155" i="73"/>
  <c r="M185" i="73"/>
  <c r="M245" i="73" s="1"/>
  <c r="P155" i="73"/>
  <c r="P185" i="73"/>
  <c r="P245" i="73" s="1"/>
  <c r="N185" i="73"/>
  <c r="N245" i="73" s="1"/>
  <c r="K185" i="73"/>
  <c r="K245" i="73" s="1"/>
  <c r="Q155" i="73"/>
  <c r="O185" i="73"/>
  <c r="O245" i="73" s="1"/>
  <c r="M155" i="73"/>
  <c r="O155" i="73"/>
  <c r="J185" i="73"/>
  <c r="J245" i="73" s="1"/>
  <c r="V198" i="83"/>
  <c r="V71" i="71" s="1"/>
  <c r="V176" i="71" s="1"/>
  <c r="O227" i="83"/>
  <c r="O101" i="71" s="1"/>
  <c r="O206" i="71" s="1"/>
  <c r="P169" i="83"/>
  <c r="P41" i="71" s="1"/>
  <c r="P146" i="71" s="1"/>
  <c r="W169" i="83"/>
  <c r="W41" i="71" s="1"/>
  <c r="W146" i="71" s="1"/>
  <c r="R140" i="83"/>
  <c r="T169" i="83"/>
  <c r="T41" i="71" s="1"/>
  <c r="T146" i="71" s="1"/>
  <c r="R169" i="83"/>
  <c r="R41" i="71" s="1"/>
  <c r="R146" i="71" s="1"/>
  <c r="L227" i="83"/>
  <c r="L101" i="71" s="1"/>
  <c r="L206" i="71" s="1"/>
  <c r="Y169" i="83"/>
  <c r="Y41" i="71" s="1"/>
  <c r="Y146" i="71" s="1"/>
  <c r="N198" i="83"/>
  <c r="N71" i="71" s="1"/>
  <c r="N176" i="71" s="1"/>
  <c r="T198" i="83"/>
  <c r="T71" i="71" s="1"/>
  <c r="T176" i="71" s="1"/>
  <c r="K169" i="83"/>
  <c r="K41" i="71" s="1"/>
  <c r="K146" i="71" s="1"/>
  <c r="K198" i="83"/>
  <c r="K71" i="71" s="1"/>
  <c r="K176" i="71" s="1"/>
  <c r="W140" i="83"/>
  <c r="O169" i="83"/>
  <c r="O41" i="71" s="1"/>
  <c r="O146" i="71" s="1"/>
  <c r="Y140" i="83"/>
  <c r="J198" i="83"/>
  <c r="J71" i="71" s="1"/>
  <c r="J176" i="71" s="1"/>
  <c r="O140" i="83"/>
  <c r="O142" i="72" s="1"/>
  <c r="O212" i="72" s="1"/>
  <c r="O242" i="72" s="1"/>
  <c r="J169" i="83"/>
  <c r="J41" i="71" s="1"/>
  <c r="J146" i="71" s="1"/>
  <c r="X169" i="83"/>
  <c r="X41" i="71" s="1"/>
  <c r="X146" i="71" s="1"/>
  <c r="Q169" i="83"/>
  <c r="Q41" i="71" s="1"/>
  <c r="Q146" i="71" s="1"/>
  <c r="W227" i="83"/>
  <c r="W101" i="71" s="1"/>
  <c r="W206" i="71" s="1"/>
  <c r="V140" i="83"/>
  <c r="R198" i="83"/>
  <c r="R71" i="71" s="1"/>
  <c r="R176" i="71" s="1"/>
  <c r="K140" i="83"/>
  <c r="K142" i="72" s="1"/>
  <c r="K212" i="72" s="1"/>
  <c r="K242" i="72" s="1"/>
  <c r="S198" i="83"/>
  <c r="S71" i="71" s="1"/>
  <c r="S176" i="71" s="1"/>
  <c r="T227" i="83"/>
  <c r="T101" i="71" s="1"/>
  <c r="T206" i="71" s="1"/>
  <c r="U227" i="83"/>
  <c r="U101" i="71" s="1"/>
  <c r="U206" i="71" s="1"/>
  <c r="Q140" i="83"/>
  <c r="Q142" i="72" s="1"/>
  <c r="Q212" i="72" s="1"/>
  <c r="Q242" i="72" s="1"/>
  <c r="L198" i="83"/>
  <c r="L71" i="71" s="1"/>
  <c r="L176" i="71" s="1"/>
  <c r="Y227" i="83"/>
  <c r="Y101" i="71" s="1"/>
  <c r="Y206" i="71" s="1"/>
  <c r="U169" i="83"/>
  <c r="U41" i="71" s="1"/>
  <c r="U146" i="71" s="1"/>
  <c r="M169" i="83"/>
  <c r="M41" i="71" s="1"/>
  <c r="M146" i="71" s="1"/>
  <c r="L169" i="83"/>
  <c r="L41" i="71" s="1"/>
  <c r="L146" i="71" s="1"/>
  <c r="W198" i="83"/>
  <c r="W71" i="71" s="1"/>
  <c r="W176" i="71" s="1"/>
  <c r="V227" i="83"/>
  <c r="V101" i="71" s="1"/>
  <c r="V206" i="71" s="1"/>
  <c r="X198" i="83"/>
  <c r="X71" i="71" s="1"/>
  <c r="X176" i="71" s="1"/>
  <c r="U140" i="83"/>
  <c r="S169" i="83"/>
  <c r="S41" i="71" s="1"/>
  <c r="S146" i="71" s="1"/>
  <c r="J140" i="83"/>
  <c r="J142" i="72" s="1"/>
  <c r="J212" i="72" s="1"/>
  <c r="J242" i="72" s="1"/>
  <c r="S140" i="83"/>
  <c r="P198" i="83"/>
  <c r="P71" i="71" s="1"/>
  <c r="P176" i="71" s="1"/>
  <c r="Y198" i="83"/>
  <c r="Y71" i="71" s="1"/>
  <c r="Y176" i="71" s="1"/>
  <c r="V169" i="83"/>
  <c r="V41" i="71" s="1"/>
  <c r="V146" i="71" s="1"/>
  <c r="N227" i="83"/>
  <c r="N101" i="71" s="1"/>
  <c r="N206" i="71" s="1"/>
  <c r="X140" i="83"/>
  <c r="P227" i="83"/>
  <c r="P101" i="71" s="1"/>
  <c r="P206" i="71" s="1"/>
  <c r="M140" i="83"/>
  <c r="M142" i="72" s="1"/>
  <c r="M212" i="72" s="1"/>
  <c r="M242" i="72" s="1"/>
  <c r="U198" i="83"/>
  <c r="U71" i="71" s="1"/>
  <c r="U176" i="71" s="1"/>
  <c r="Q198" i="83"/>
  <c r="Q71" i="71" s="1"/>
  <c r="Q176" i="71" s="1"/>
  <c r="Q227" i="83"/>
  <c r="Q101" i="71" s="1"/>
  <c r="Q206" i="71" s="1"/>
  <c r="M227" i="83"/>
  <c r="M101" i="71" s="1"/>
  <c r="M206" i="71" s="1"/>
  <c r="J227" i="83"/>
  <c r="J101" i="71" s="1"/>
  <c r="J206" i="71" s="1"/>
  <c r="X227" i="83"/>
  <c r="X101" i="71" s="1"/>
  <c r="X206" i="71" s="1"/>
  <c r="R227" i="83"/>
  <c r="R101" i="71" s="1"/>
  <c r="R206" i="71" s="1"/>
  <c r="N140" i="83"/>
  <c r="N142" i="72" s="1"/>
  <c r="N212" i="72" s="1"/>
  <c r="N242" i="72" s="1"/>
  <c r="N169" i="83"/>
  <c r="N41" i="71" s="1"/>
  <c r="N146" i="71" s="1"/>
  <c r="P140" i="83"/>
  <c r="P142" i="72" s="1"/>
  <c r="P212" i="72" s="1"/>
  <c r="P242" i="72" s="1"/>
  <c r="K227" i="83"/>
  <c r="K101" i="71" s="1"/>
  <c r="K206" i="71" s="1"/>
  <c r="L140" i="83"/>
  <c r="L142" i="72" s="1"/>
  <c r="L212" i="72" s="1"/>
  <c r="L242" i="72" s="1"/>
  <c r="T140" i="83"/>
  <c r="S227" i="83"/>
  <c r="S101" i="71" s="1"/>
  <c r="S206" i="71" s="1"/>
  <c r="M198" i="83"/>
  <c r="M71" i="71" s="1"/>
  <c r="M176" i="71" s="1"/>
  <c r="O198" i="83"/>
  <c r="O71" i="71" s="1"/>
  <c r="O176" i="71" s="1"/>
  <c r="R175" i="72"/>
  <c r="R210" i="72" s="1"/>
  <c r="R240" i="72" s="1"/>
  <c r="V175" i="72"/>
  <c r="V210" i="72" s="1"/>
  <c r="V240" i="72" s="1"/>
  <c r="U175" i="72"/>
  <c r="U210" i="72" s="1"/>
  <c r="U240" i="72" s="1"/>
  <c r="X175" i="72"/>
  <c r="X210" i="72" s="1"/>
  <c r="X240" i="72" s="1"/>
  <c r="W175" i="72"/>
  <c r="W210" i="72" s="1"/>
  <c r="W240" i="72" s="1"/>
  <c r="T175" i="72"/>
  <c r="T210" i="72" s="1"/>
  <c r="T240" i="72" s="1"/>
  <c r="S175" i="72"/>
  <c r="S210" i="72" s="1"/>
  <c r="S240" i="72" s="1"/>
  <c r="Y175" i="72"/>
  <c r="Y210" i="72" s="1"/>
  <c r="Y240" i="72" s="1"/>
  <c r="W173" i="72"/>
  <c r="W208" i="72" s="1"/>
  <c r="W238" i="72" s="1"/>
  <c r="X173" i="72"/>
  <c r="X208" i="72" s="1"/>
  <c r="X238" i="72" s="1"/>
  <c r="V173" i="72"/>
  <c r="V208" i="72" s="1"/>
  <c r="V238" i="72" s="1"/>
  <c r="Y173" i="72"/>
  <c r="Y208" i="72" s="1"/>
  <c r="Y238" i="72" s="1"/>
  <c r="R173" i="72"/>
  <c r="R208" i="72" s="1"/>
  <c r="R238" i="72" s="1"/>
  <c r="U173" i="72"/>
  <c r="U208" i="72" s="1"/>
  <c r="U238" i="72" s="1"/>
  <c r="T173" i="72"/>
  <c r="T208" i="72" s="1"/>
  <c r="T238" i="72" s="1"/>
  <c r="S173" i="72"/>
  <c r="S208" i="72" s="1"/>
  <c r="S238" i="72" s="1"/>
  <c r="L146" i="73"/>
  <c r="J176" i="73"/>
  <c r="J236" i="73" s="1"/>
  <c r="Q146" i="73"/>
  <c r="N146" i="73"/>
  <c r="N176" i="73"/>
  <c r="N236" i="73" s="1"/>
  <c r="P176" i="73"/>
  <c r="P236" i="73" s="1"/>
  <c r="M146" i="73"/>
  <c r="O176" i="73"/>
  <c r="O236" i="73" s="1"/>
  <c r="K176" i="73"/>
  <c r="K236" i="73" s="1"/>
  <c r="P146" i="73"/>
  <c r="L176" i="73"/>
  <c r="L236" i="73" s="1"/>
  <c r="O146" i="73"/>
  <c r="M176" i="73"/>
  <c r="M236" i="73" s="1"/>
  <c r="J146" i="73"/>
  <c r="Q176" i="73"/>
  <c r="Q236" i="73" s="1"/>
  <c r="K146" i="73"/>
  <c r="X224" i="83"/>
  <c r="X98" i="71" s="1"/>
  <c r="X203" i="71" s="1"/>
  <c r="L195" i="83"/>
  <c r="L68" i="71" s="1"/>
  <c r="L173" i="71" s="1"/>
  <c r="M224" i="83"/>
  <c r="M98" i="71" s="1"/>
  <c r="M203" i="71" s="1"/>
  <c r="P195" i="83"/>
  <c r="P68" i="71" s="1"/>
  <c r="P173" i="71" s="1"/>
  <c r="Y137" i="83"/>
  <c r="J166" i="83"/>
  <c r="J38" i="71" s="1"/>
  <c r="J143" i="71" s="1"/>
  <c r="R195" i="83"/>
  <c r="R68" i="71" s="1"/>
  <c r="R173" i="71" s="1"/>
  <c r="U195" i="83"/>
  <c r="U68" i="71" s="1"/>
  <c r="U173" i="71" s="1"/>
  <c r="K137" i="83"/>
  <c r="K139" i="72" s="1"/>
  <c r="K209" i="72" s="1"/>
  <c r="K239" i="72" s="1"/>
  <c r="Q137" i="83"/>
  <c r="Q139" i="72" s="1"/>
  <c r="Q209" i="72" s="1"/>
  <c r="Q239" i="72" s="1"/>
  <c r="S137" i="83"/>
  <c r="T137" i="83"/>
  <c r="T166" i="83"/>
  <c r="T38" i="71" s="1"/>
  <c r="T143" i="71" s="1"/>
  <c r="Y166" i="83"/>
  <c r="Y38" i="71" s="1"/>
  <c r="Y143" i="71" s="1"/>
  <c r="R137" i="83"/>
  <c r="Y195" i="83"/>
  <c r="Y68" i="71" s="1"/>
  <c r="Y173" i="71" s="1"/>
  <c r="L224" i="83"/>
  <c r="L98" i="71" s="1"/>
  <c r="L203" i="71" s="1"/>
  <c r="K195" i="83"/>
  <c r="K68" i="71" s="1"/>
  <c r="K173" i="71" s="1"/>
  <c r="M195" i="83"/>
  <c r="M68" i="71" s="1"/>
  <c r="M173" i="71" s="1"/>
  <c r="J137" i="83"/>
  <c r="J139" i="72" s="1"/>
  <c r="J209" i="72" s="1"/>
  <c r="J239" i="72" s="1"/>
  <c r="U224" i="83"/>
  <c r="U98" i="71" s="1"/>
  <c r="U203" i="71" s="1"/>
  <c r="N137" i="83"/>
  <c r="N139" i="72" s="1"/>
  <c r="N209" i="72" s="1"/>
  <c r="N239" i="72" s="1"/>
  <c r="L137" i="83"/>
  <c r="L139" i="72" s="1"/>
  <c r="L209" i="72" s="1"/>
  <c r="L239" i="72" s="1"/>
  <c r="U166" i="83"/>
  <c r="U38" i="71" s="1"/>
  <c r="U143" i="71" s="1"/>
  <c r="W137" i="83"/>
  <c r="U137" i="83"/>
  <c r="P137" i="83"/>
  <c r="P139" i="72" s="1"/>
  <c r="P209" i="72" s="1"/>
  <c r="P239" i="72" s="1"/>
  <c r="Y224" i="83"/>
  <c r="Y98" i="71" s="1"/>
  <c r="Y203" i="71" s="1"/>
  <c r="L166" i="83"/>
  <c r="L38" i="71" s="1"/>
  <c r="L143" i="71" s="1"/>
  <c r="V195" i="83"/>
  <c r="V68" i="71" s="1"/>
  <c r="V173" i="71" s="1"/>
  <c r="J224" i="83"/>
  <c r="J98" i="71" s="1"/>
  <c r="J203" i="71" s="1"/>
  <c r="T195" i="83"/>
  <c r="T68" i="71" s="1"/>
  <c r="T173" i="71" s="1"/>
  <c r="R224" i="83"/>
  <c r="R98" i="71" s="1"/>
  <c r="R203" i="71" s="1"/>
  <c r="W195" i="83"/>
  <c r="W68" i="71" s="1"/>
  <c r="W173" i="71" s="1"/>
  <c r="O166" i="83"/>
  <c r="O38" i="71" s="1"/>
  <c r="O143" i="71" s="1"/>
  <c r="O195" i="83"/>
  <c r="O68" i="71" s="1"/>
  <c r="O173" i="71" s="1"/>
  <c r="N166" i="83"/>
  <c r="N38" i="71" s="1"/>
  <c r="N143" i="71" s="1"/>
  <c r="J195" i="83"/>
  <c r="J68" i="71" s="1"/>
  <c r="J173" i="71" s="1"/>
  <c r="N195" i="83"/>
  <c r="N68" i="71" s="1"/>
  <c r="N173" i="71" s="1"/>
  <c r="K224" i="83"/>
  <c r="K98" i="71" s="1"/>
  <c r="K203" i="71" s="1"/>
  <c r="M137" i="83"/>
  <c r="M139" i="72" s="1"/>
  <c r="M209" i="72" s="1"/>
  <c r="M239" i="72" s="1"/>
  <c r="S195" i="83"/>
  <c r="S68" i="71" s="1"/>
  <c r="S173" i="71" s="1"/>
  <c r="P224" i="83"/>
  <c r="P98" i="71" s="1"/>
  <c r="P203" i="71" s="1"/>
  <c r="V137" i="83"/>
  <c r="V166" i="83"/>
  <c r="V38" i="71" s="1"/>
  <c r="V143" i="71" s="1"/>
  <c r="Q166" i="83"/>
  <c r="Q38" i="71" s="1"/>
  <c r="Q143" i="71" s="1"/>
  <c r="X137" i="83"/>
  <c r="O224" i="83"/>
  <c r="O98" i="71" s="1"/>
  <c r="O203" i="71" s="1"/>
  <c r="V224" i="83"/>
  <c r="V98" i="71" s="1"/>
  <c r="V203" i="71" s="1"/>
  <c r="X166" i="83"/>
  <c r="X38" i="71" s="1"/>
  <c r="X143" i="71" s="1"/>
  <c r="R166" i="83"/>
  <c r="R38" i="71" s="1"/>
  <c r="R143" i="71" s="1"/>
  <c r="O137" i="83"/>
  <c r="O139" i="72" s="1"/>
  <c r="O209" i="72" s="1"/>
  <c r="O239" i="72" s="1"/>
  <c r="Q224" i="83"/>
  <c r="Q98" i="71" s="1"/>
  <c r="Q203" i="71" s="1"/>
  <c r="W224" i="83"/>
  <c r="W98" i="71" s="1"/>
  <c r="W203" i="71" s="1"/>
  <c r="X195" i="83"/>
  <c r="X68" i="71" s="1"/>
  <c r="X173" i="71" s="1"/>
  <c r="T224" i="83"/>
  <c r="T98" i="71" s="1"/>
  <c r="T203" i="71" s="1"/>
  <c r="P166" i="83"/>
  <c r="P38" i="71" s="1"/>
  <c r="P143" i="71" s="1"/>
  <c r="S224" i="83"/>
  <c r="S98" i="71" s="1"/>
  <c r="S203" i="71" s="1"/>
  <c r="N224" i="83"/>
  <c r="N98" i="71" s="1"/>
  <c r="N203" i="71" s="1"/>
  <c r="Q195" i="83"/>
  <c r="Q68" i="71" s="1"/>
  <c r="Q173" i="71" s="1"/>
  <c r="K166" i="83"/>
  <c r="K38" i="71" s="1"/>
  <c r="K143" i="71" s="1"/>
  <c r="W166" i="83"/>
  <c r="W38" i="71" s="1"/>
  <c r="W143" i="71" s="1"/>
  <c r="S166" i="83"/>
  <c r="S38" i="71" s="1"/>
  <c r="S143" i="71" s="1"/>
  <c r="M166" i="83"/>
  <c r="M38" i="71" s="1"/>
  <c r="M143" i="71" s="1"/>
  <c r="R172" i="72"/>
  <c r="R207" i="72" s="1"/>
  <c r="R237" i="72" s="1"/>
  <c r="Y172" i="72"/>
  <c r="Y207" i="72" s="1"/>
  <c r="Y237" i="72" s="1"/>
  <c r="W172" i="72"/>
  <c r="W207" i="72" s="1"/>
  <c r="W237" i="72" s="1"/>
  <c r="T172" i="72"/>
  <c r="T207" i="72" s="1"/>
  <c r="T237" i="72" s="1"/>
  <c r="V172" i="72"/>
  <c r="V207" i="72" s="1"/>
  <c r="V237" i="72" s="1"/>
  <c r="U172" i="72"/>
  <c r="U207" i="72" s="1"/>
  <c r="U237" i="72" s="1"/>
  <c r="S172" i="72"/>
  <c r="S207" i="72" s="1"/>
  <c r="S237" i="72" s="1"/>
  <c r="X172" i="72"/>
  <c r="X207" i="72" s="1"/>
  <c r="X237" i="72" s="1"/>
  <c r="P148" i="73"/>
  <c r="K178" i="73"/>
  <c r="K238" i="73" s="1"/>
  <c r="O148" i="73"/>
  <c r="N178" i="73"/>
  <c r="N238" i="73" s="1"/>
  <c r="L178" i="73"/>
  <c r="L238" i="73" s="1"/>
  <c r="P178" i="73"/>
  <c r="P238" i="73" s="1"/>
  <c r="J178" i="73"/>
  <c r="J238" i="73" s="1"/>
  <c r="O178" i="73"/>
  <c r="O238" i="73" s="1"/>
  <c r="K148" i="73"/>
  <c r="M178" i="73"/>
  <c r="M238" i="73" s="1"/>
  <c r="Q148" i="73"/>
  <c r="Q178" i="73"/>
  <c r="Q238" i="73" s="1"/>
  <c r="L148" i="73"/>
  <c r="N148" i="73"/>
  <c r="J148" i="73"/>
  <c r="M148" i="73"/>
  <c r="M184" i="73"/>
  <c r="M244" i="73" s="1"/>
  <c r="L154" i="73"/>
  <c r="K154" i="73"/>
  <c r="P154" i="73"/>
  <c r="Q184" i="73"/>
  <c r="Q244" i="73" s="1"/>
  <c r="O184" i="73"/>
  <c r="O244" i="73" s="1"/>
  <c r="J154" i="73"/>
  <c r="J184" i="73"/>
  <c r="J244" i="73" s="1"/>
  <c r="M154" i="73"/>
  <c r="Q154" i="73"/>
  <c r="N154" i="73"/>
  <c r="K184" i="73"/>
  <c r="K244" i="73" s="1"/>
  <c r="L184" i="73"/>
  <c r="L244" i="73" s="1"/>
  <c r="P184" i="73"/>
  <c r="P244" i="73" s="1"/>
  <c r="O154" i="73"/>
  <c r="N184" i="73"/>
  <c r="N244" i="73" s="1"/>
  <c r="K170" i="83"/>
  <c r="K42" i="71" s="1"/>
  <c r="K147" i="71" s="1"/>
  <c r="Y228" i="83"/>
  <c r="Y102" i="71" s="1"/>
  <c r="Y207" i="71" s="1"/>
  <c r="V228" i="83"/>
  <c r="V102" i="71" s="1"/>
  <c r="V207" i="71" s="1"/>
  <c r="K199" i="83"/>
  <c r="K72" i="71" s="1"/>
  <c r="K177" i="71" s="1"/>
  <c r="O199" i="83"/>
  <c r="O72" i="71" s="1"/>
  <c r="O177" i="71" s="1"/>
  <c r="J141" i="83"/>
  <c r="J143" i="72" s="1"/>
  <c r="J213" i="72" s="1"/>
  <c r="J243" i="72" s="1"/>
  <c r="M199" i="83"/>
  <c r="M72" i="71" s="1"/>
  <c r="M177" i="71" s="1"/>
  <c r="P170" i="83"/>
  <c r="P42" i="71" s="1"/>
  <c r="P147" i="71" s="1"/>
  <c r="S199" i="83"/>
  <c r="S72" i="71" s="1"/>
  <c r="S177" i="71" s="1"/>
  <c r="X170" i="83"/>
  <c r="X42" i="71" s="1"/>
  <c r="X147" i="71" s="1"/>
  <c r="W199" i="83"/>
  <c r="W72" i="71" s="1"/>
  <c r="W177" i="71" s="1"/>
  <c r="T170" i="83"/>
  <c r="T42" i="71" s="1"/>
  <c r="T147" i="71" s="1"/>
  <c r="J199" i="83"/>
  <c r="J72" i="71" s="1"/>
  <c r="J177" i="71" s="1"/>
  <c r="R170" i="83"/>
  <c r="R42" i="71" s="1"/>
  <c r="R147" i="71" s="1"/>
  <c r="Y199" i="83"/>
  <c r="Y72" i="71" s="1"/>
  <c r="Y177" i="71" s="1"/>
  <c r="V170" i="83"/>
  <c r="V42" i="71" s="1"/>
  <c r="V147" i="71" s="1"/>
  <c r="N199" i="83"/>
  <c r="N72" i="71" s="1"/>
  <c r="N177" i="71" s="1"/>
  <c r="Y141" i="83"/>
  <c r="O228" i="83"/>
  <c r="O102" i="71" s="1"/>
  <c r="O207" i="71" s="1"/>
  <c r="Y170" i="83"/>
  <c r="Y42" i="71" s="1"/>
  <c r="Y147" i="71" s="1"/>
  <c r="P199" i="83"/>
  <c r="P72" i="71" s="1"/>
  <c r="P177" i="71" s="1"/>
  <c r="U141" i="83"/>
  <c r="L170" i="83"/>
  <c r="L42" i="71" s="1"/>
  <c r="L147" i="71" s="1"/>
  <c r="J228" i="83"/>
  <c r="J102" i="71" s="1"/>
  <c r="J207" i="71" s="1"/>
  <c r="O170" i="83"/>
  <c r="O42" i="71" s="1"/>
  <c r="O147" i="71" s="1"/>
  <c r="L199" i="83"/>
  <c r="L72" i="71" s="1"/>
  <c r="L177" i="71" s="1"/>
  <c r="V141" i="83"/>
  <c r="M228" i="83"/>
  <c r="M102" i="71" s="1"/>
  <c r="M207" i="71" s="1"/>
  <c r="S228" i="83"/>
  <c r="S102" i="71" s="1"/>
  <c r="S207" i="71" s="1"/>
  <c r="Q199" i="83"/>
  <c r="Q72" i="71" s="1"/>
  <c r="Q177" i="71" s="1"/>
  <c r="P141" i="83"/>
  <c r="P143" i="72" s="1"/>
  <c r="P213" i="72" s="1"/>
  <c r="P243" i="72" s="1"/>
  <c r="V199" i="83"/>
  <c r="V72" i="71" s="1"/>
  <c r="V177" i="71" s="1"/>
  <c r="U228" i="83"/>
  <c r="U102" i="71" s="1"/>
  <c r="U207" i="71" s="1"/>
  <c r="K228" i="83"/>
  <c r="K102" i="71" s="1"/>
  <c r="K207" i="71" s="1"/>
  <c r="N141" i="83"/>
  <c r="N143" i="72" s="1"/>
  <c r="N213" i="72" s="1"/>
  <c r="N243" i="72" s="1"/>
  <c r="J170" i="83"/>
  <c r="J42" i="71" s="1"/>
  <c r="J147" i="71" s="1"/>
  <c r="S141" i="83"/>
  <c r="W170" i="83"/>
  <c r="W42" i="71" s="1"/>
  <c r="W147" i="71" s="1"/>
  <c r="M141" i="83"/>
  <c r="M143" i="72" s="1"/>
  <c r="M213" i="72" s="1"/>
  <c r="M243" i="72" s="1"/>
  <c r="T141" i="83"/>
  <c r="R141" i="83"/>
  <c r="N228" i="83"/>
  <c r="N102" i="71" s="1"/>
  <c r="N207" i="71" s="1"/>
  <c r="K141" i="83"/>
  <c r="K143" i="72" s="1"/>
  <c r="K213" i="72" s="1"/>
  <c r="K243" i="72" s="1"/>
  <c r="X228" i="83"/>
  <c r="X102" i="71" s="1"/>
  <c r="X207" i="71" s="1"/>
  <c r="S170" i="83"/>
  <c r="S42" i="71" s="1"/>
  <c r="S147" i="71" s="1"/>
  <c r="R228" i="83"/>
  <c r="R102" i="71" s="1"/>
  <c r="R207" i="71" s="1"/>
  <c r="P228" i="83"/>
  <c r="P102" i="71" s="1"/>
  <c r="P207" i="71" s="1"/>
  <c r="Q228" i="83"/>
  <c r="Q102" i="71" s="1"/>
  <c r="Q207" i="71" s="1"/>
  <c r="X199" i="83"/>
  <c r="X72" i="71" s="1"/>
  <c r="X177" i="71" s="1"/>
  <c r="W141" i="83"/>
  <c r="R199" i="83"/>
  <c r="R72" i="71" s="1"/>
  <c r="R177" i="71" s="1"/>
  <c r="L228" i="83"/>
  <c r="L102" i="71" s="1"/>
  <c r="L207" i="71" s="1"/>
  <c r="W228" i="83"/>
  <c r="W102" i="71" s="1"/>
  <c r="W207" i="71" s="1"/>
  <c r="O141" i="83"/>
  <c r="O143" i="72" s="1"/>
  <c r="O213" i="72" s="1"/>
  <c r="O243" i="72" s="1"/>
  <c r="U199" i="83"/>
  <c r="U72" i="71" s="1"/>
  <c r="U177" i="71" s="1"/>
  <c r="T199" i="83"/>
  <c r="T72" i="71" s="1"/>
  <c r="T177" i="71" s="1"/>
  <c r="U170" i="83"/>
  <c r="U42" i="71" s="1"/>
  <c r="U147" i="71" s="1"/>
  <c r="Q170" i="83"/>
  <c r="Q42" i="71" s="1"/>
  <c r="Q147" i="71" s="1"/>
  <c r="Q141" i="83"/>
  <c r="Q143" i="72" s="1"/>
  <c r="Q213" i="72" s="1"/>
  <c r="Q243" i="72" s="1"/>
  <c r="M170" i="83"/>
  <c r="M42" i="71" s="1"/>
  <c r="M147" i="71" s="1"/>
  <c r="X141" i="83"/>
  <c r="N170" i="83"/>
  <c r="N42" i="71" s="1"/>
  <c r="N147" i="71" s="1"/>
  <c r="L141" i="83"/>
  <c r="L143" i="72" s="1"/>
  <c r="L213" i="72" s="1"/>
  <c r="L243" i="72" s="1"/>
  <c r="T228" i="83"/>
  <c r="T102" i="71" s="1"/>
  <c r="T207" i="71" s="1"/>
  <c r="S180" i="72"/>
  <c r="S215" i="72" s="1"/>
  <c r="S245" i="72" s="1"/>
  <c r="V180" i="72"/>
  <c r="V215" i="72" s="1"/>
  <c r="V245" i="72" s="1"/>
  <c r="X180" i="72"/>
  <c r="X215" i="72" s="1"/>
  <c r="X245" i="72" s="1"/>
  <c r="T180" i="72"/>
  <c r="T215" i="72" s="1"/>
  <c r="T245" i="72" s="1"/>
  <c r="U180" i="72"/>
  <c r="U215" i="72" s="1"/>
  <c r="U245" i="72" s="1"/>
  <c r="R180" i="72"/>
  <c r="R215" i="72" s="1"/>
  <c r="R245" i="72" s="1"/>
  <c r="Y180" i="72"/>
  <c r="Y215" i="72" s="1"/>
  <c r="Y245" i="72" s="1"/>
  <c r="W180" i="72"/>
  <c r="W215" i="72" s="1"/>
  <c r="W245" i="72" s="1"/>
  <c r="J152" i="73"/>
  <c r="K182" i="73"/>
  <c r="K242" i="73" s="1"/>
  <c r="L182" i="73"/>
  <c r="L242" i="73" s="1"/>
  <c r="J182" i="73"/>
  <c r="J242" i="73" s="1"/>
  <c r="N152" i="73"/>
  <c r="K152" i="73"/>
  <c r="P152" i="73"/>
  <c r="N182" i="73"/>
  <c r="N242" i="73" s="1"/>
  <c r="L152" i="73"/>
  <c r="O182" i="73"/>
  <c r="O242" i="73" s="1"/>
  <c r="Q152" i="73"/>
  <c r="P182" i="73"/>
  <c r="P242" i="73" s="1"/>
  <c r="M182" i="73"/>
  <c r="M242" i="73" s="1"/>
  <c r="M152" i="73"/>
  <c r="Q182" i="73"/>
  <c r="Q242" i="73" s="1"/>
  <c r="O152" i="73"/>
  <c r="K150" i="73"/>
  <c r="K180" i="73"/>
  <c r="K240" i="73" s="1"/>
  <c r="J180" i="73"/>
  <c r="J240" i="73" s="1"/>
  <c r="N180" i="73"/>
  <c r="N240" i="73" s="1"/>
  <c r="L150" i="73"/>
  <c r="Q180" i="73"/>
  <c r="Q240" i="73" s="1"/>
  <c r="N150" i="73"/>
  <c r="O150" i="73"/>
  <c r="L180" i="73"/>
  <c r="L240" i="73" s="1"/>
  <c r="O180" i="73"/>
  <c r="O240" i="73" s="1"/>
  <c r="P150" i="73"/>
  <c r="P180" i="73"/>
  <c r="P240" i="73" s="1"/>
  <c r="J150" i="73"/>
  <c r="M180" i="73"/>
  <c r="M240" i="73" s="1"/>
  <c r="M150" i="73"/>
  <c r="Q150" i="73"/>
  <c r="P202" i="83"/>
  <c r="P75" i="71" s="1"/>
  <c r="P180" i="71" s="1"/>
  <c r="Y231" i="83"/>
  <c r="Y105" i="71" s="1"/>
  <c r="Y210" i="71" s="1"/>
  <c r="V144" i="83"/>
  <c r="T144" i="83"/>
  <c r="U202" i="83"/>
  <c r="U75" i="71" s="1"/>
  <c r="U180" i="71" s="1"/>
  <c r="T202" i="83"/>
  <c r="T75" i="71" s="1"/>
  <c r="T180" i="71" s="1"/>
  <c r="W231" i="83"/>
  <c r="W105" i="71" s="1"/>
  <c r="W210" i="71" s="1"/>
  <c r="M173" i="83"/>
  <c r="M45" i="71" s="1"/>
  <c r="M150" i="71" s="1"/>
  <c r="Q144" i="83"/>
  <c r="Q146" i="72" s="1"/>
  <c r="Q216" i="72" s="1"/>
  <c r="Q246" i="72" s="1"/>
  <c r="Y144" i="83"/>
  <c r="V231" i="83"/>
  <c r="V105" i="71" s="1"/>
  <c r="V210" i="71" s="1"/>
  <c r="Q173" i="83"/>
  <c r="Q45" i="71" s="1"/>
  <c r="Q150" i="71" s="1"/>
  <c r="O202" i="83"/>
  <c r="O75" i="71" s="1"/>
  <c r="O180" i="71" s="1"/>
  <c r="L202" i="83"/>
  <c r="L75" i="71" s="1"/>
  <c r="L180" i="71" s="1"/>
  <c r="L173" i="83"/>
  <c r="L45" i="71" s="1"/>
  <c r="L150" i="71" s="1"/>
  <c r="U173" i="83"/>
  <c r="U45" i="71" s="1"/>
  <c r="U150" i="71" s="1"/>
  <c r="O231" i="83"/>
  <c r="O105" i="71" s="1"/>
  <c r="O210" i="71" s="1"/>
  <c r="J231" i="83"/>
  <c r="J105" i="71" s="1"/>
  <c r="J210" i="71" s="1"/>
  <c r="J173" i="83"/>
  <c r="J45" i="71" s="1"/>
  <c r="J150" i="71" s="1"/>
  <c r="O173" i="83"/>
  <c r="O45" i="71" s="1"/>
  <c r="O150" i="71" s="1"/>
  <c r="M202" i="83"/>
  <c r="M75" i="71" s="1"/>
  <c r="M180" i="71" s="1"/>
  <c r="S173" i="83"/>
  <c r="S45" i="71" s="1"/>
  <c r="S150" i="71" s="1"/>
  <c r="S202" i="83"/>
  <c r="S75" i="71" s="1"/>
  <c r="S180" i="71" s="1"/>
  <c r="S144" i="83"/>
  <c r="N231" i="83"/>
  <c r="N105" i="71" s="1"/>
  <c r="N210" i="71" s="1"/>
  <c r="T231" i="83"/>
  <c r="T105" i="71" s="1"/>
  <c r="T210" i="71" s="1"/>
  <c r="P144" i="83"/>
  <c r="P146" i="72" s="1"/>
  <c r="P216" i="72" s="1"/>
  <c r="P246" i="72" s="1"/>
  <c r="T173" i="83"/>
  <c r="T45" i="71" s="1"/>
  <c r="T150" i="71" s="1"/>
  <c r="X202" i="83"/>
  <c r="X75" i="71" s="1"/>
  <c r="X180" i="71" s="1"/>
  <c r="J144" i="83"/>
  <c r="J146" i="72" s="1"/>
  <c r="J216" i="72" s="1"/>
  <c r="J246" i="72" s="1"/>
  <c r="Y202" i="83"/>
  <c r="Y75" i="71" s="1"/>
  <c r="Y180" i="71" s="1"/>
  <c r="M231" i="83"/>
  <c r="M105" i="71" s="1"/>
  <c r="M210" i="71" s="1"/>
  <c r="W173" i="83"/>
  <c r="W45" i="71" s="1"/>
  <c r="W150" i="71" s="1"/>
  <c r="O144" i="83"/>
  <c r="O146" i="72" s="1"/>
  <c r="O216" i="72" s="1"/>
  <c r="O246" i="72" s="1"/>
  <c r="P173" i="83"/>
  <c r="P45" i="71" s="1"/>
  <c r="P150" i="71" s="1"/>
  <c r="K231" i="83"/>
  <c r="K105" i="71" s="1"/>
  <c r="K210" i="71" s="1"/>
  <c r="L144" i="83"/>
  <c r="L146" i="72" s="1"/>
  <c r="L216" i="72" s="1"/>
  <c r="L246" i="72" s="1"/>
  <c r="M144" i="83"/>
  <c r="M146" i="72" s="1"/>
  <c r="M216" i="72" s="1"/>
  <c r="M246" i="72" s="1"/>
  <c r="R202" i="83"/>
  <c r="R75" i="71" s="1"/>
  <c r="R180" i="71" s="1"/>
  <c r="J202" i="83"/>
  <c r="J75" i="71" s="1"/>
  <c r="J180" i="71" s="1"/>
  <c r="U231" i="83"/>
  <c r="U105" i="71" s="1"/>
  <c r="U210" i="71" s="1"/>
  <c r="W202" i="83"/>
  <c r="W75" i="71" s="1"/>
  <c r="W180" i="71" s="1"/>
  <c r="X144" i="83"/>
  <c r="L231" i="83"/>
  <c r="L105" i="71" s="1"/>
  <c r="L210" i="71" s="1"/>
  <c r="K202" i="83"/>
  <c r="K75" i="71" s="1"/>
  <c r="K180" i="71" s="1"/>
  <c r="K144" i="83"/>
  <c r="K146" i="72" s="1"/>
  <c r="K216" i="72" s="1"/>
  <c r="K246" i="72" s="1"/>
  <c r="P231" i="83"/>
  <c r="P105" i="71" s="1"/>
  <c r="P210" i="71" s="1"/>
  <c r="N173" i="83"/>
  <c r="N45" i="71" s="1"/>
  <c r="N150" i="71" s="1"/>
  <c r="V202" i="83"/>
  <c r="V75" i="71" s="1"/>
  <c r="V180" i="71" s="1"/>
  <c r="V173" i="83"/>
  <c r="V45" i="71" s="1"/>
  <c r="V150" i="71" s="1"/>
  <c r="K173" i="83"/>
  <c r="K45" i="71" s="1"/>
  <c r="K150" i="71" s="1"/>
  <c r="N202" i="83"/>
  <c r="N75" i="71" s="1"/>
  <c r="N180" i="71" s="1"/>
  <c r="W144" i="83"/>
  <c r="Y173" i="83"/>
  <c r="Y45" i="71" s="1"/>
  <c r="Y150" i="71" s="1"/>
  <c r="N144" i="83"/>
  <c r="N146" i="72" s="1"/>
  <c r="N216" i="72" s="1"/>
  <c r="N246" i="72" s="1"/>
  <c r="S231" i="83"/>
  <c r="S105" i="71" s="1"/>
  <c r="S210" i="71" s="1"/>
  <c r="Q231" i="83"/>
  <c r="Q105" i="71" s="1"/>
  <c r="Q210" i="71" s="1"/>
  <c r="Q202" i="83"/>
  <c r="Q75" i="71" s="1"/>
  <c r="Q180" i="71" s="1"/>
  <c r="R144" i="83"/>
  <c r="X231" i="83"/>
  <c r="X105" i="71" s="1"/>
  <c r="X210" i="71" s="1"/>
  <c r="U144" i="83"/>
  <c r="R231" i="83"/>
  <c r="R105" i="71" s="1"/>
  <c r="R210" i="71" s="1"/>
  <c r="X173" i="83"/>
  <c r="X45" i="71" s="1"/>
  <c r="X150" i="71" s="1"/>
  <c r="R173" i="83"/>
  <c r="R45" i="71" s="1"/>
  <c r="R150" i="71" s="1"/>
  <c r="Y179" i="72"/>
  <c r="Y214" i="72" s="1"/>
  <c r="Y244" i="72" s="1"/>
  <c r="X179" i="72"/>
  <c r="X214" i="72" s="1"/>
  <c r="X244" i="72" s="1"/>
  <c r="V179" i="72"/>
  <c r="V214" i="72" s="1"/>
  <c r="V244" i="72" s="1"/>
  <c r="U179" i="72"/>
  <c r="U214" i="72" s="1"/>
  <c r="U244" i="72" s="1"/>
  <c r="W179" i="72"/>
  <c r="W214" i="72" s="1"/>
  <c r="W244" i="72" s="1"/>
  <c r="R179" i="72"/>
  <c r="R214" i="72" s="1"/>
  <c r="R244" i="72" s="1"/>
  <c r="S179" i="72"/>
  <c r="S214" i="72" s="1"/>
  <c r="S244" i="72" s="1"/>
  <c r="T179" i="72"/>
  <c r="T214" i="72" s="1"/>
  <c r="T244" i="72" s="1"/>
  <c r="J149" i="73"/>
  <c r="L149" i="73"/>
  <c r="M149" i="73"/>
  <c r="Q179" i="73"/>
  <c r="Q239" i="73" s="1"/>
  <c r="P179" i="73"/>
  <c r="P239" i="73" s="1"/>
  <c r="N149" i="73"/>
  <c r="O179" i="73"/>
  <c r="O239" i="73" s="1"/>
  <c r="K179" i="73"/>
  <c r="K239" i="73" s="1"/>
  <c r="M179" i="73"/>
  <c r="M239" i="73" s="1"/>
  <c r="L179" i="73"/>
  <c r="L239" i="73" s="1"/>
  <c r="K149" i="73"/>
  <c r="J179" i="73"/>
  <c r="J239" i="73" s="1"/>
  <c r="Q149" i="73"/>
  <c r="O149" i="73"/>
  <c r="N179" i="73"/>
  <c r="N239" i="73" s="1"/>
  <c r="P149" i="73"/>
  <c r="S167" i="83"/>
  <c r="S39" i="71" s="1"/>
  <c r="S144" i="71" s="1"/>
  <c r="V196" i="83"/>
  <c r="V69" i="71" s="1"/>
  <c r="V174" i="71" s="1"/>
  <c r="Q225" i="83"/>
  <c r="Q99" i="71" s="1"/>
  <c r="Q204" i="71" s="1"/>
  <c r="L167" i="83"/>
  <c r="L39" i="71" s="1"/>
  <c r="L144" i="71" s="1"/>
  <c r="O167" i="83"/>
  <c r="O39" i="71" s="1"/>
  <c r="O144" i="71" s="1"/>
  <c r="U138" i="83"/>
  <c r="J225" i="83"/>
  <c r="J99" i="71" s="1"/>
  <c r="J204" i="71" s="1"/>
  <c r="S225" i="83"/>
  <c r="S99" i="71" s="1"/>
  <c r="S204" i="71" s="1"/>
  <c r="N167" i="83"/>
  <c r="N39" i="71" s="1"/>
  <c r="N144" i="71" s="1"/>
  <c r="L225" i="83"/>
  <c r="L99" i="71" s="1"/>
  <c r="L204" i="71" s="1"/>
  <c r="P225" i="83"/>
  <c r="P99" i="71" s="1"/>
  <c r="P204" i="71" s="1"/>
  <c r="K167" i="83"/>
  <c r="K39" i="71" s="1"/>
  <c r="K144" i="71" s="1"/>
  <c r="T138" i="83"/>
  <c r="V167" i="83"/>
  <c r="V39" i="71" s="1"/>
  <c r="V144" i="71" s="1"/>
  <c r="U196" i="83"/>
  <c r="U69" i="71" s="1"/>
  <c r="U174" i="71" s="1"/>
  <c r="K138" i="83"/>
  <c r="K140" i="72" s="1"/>
  <c r="K210" i="72" s="1"/>
  <c r="K240" i="72" s="1"/>
  <c r="Q167" i="83"/>
  <c r="Q39" i="71" s="1"/>
  <c r="Q144" i="71" s="1"/>
  <c r="X225" i="83"/>
  <c r="X99" i="71" s="1"/>
  <c r="X204" i="71" s="1"/>
  <c r="Y196" i="83"/>
  <c r="Y69" i="71" s="1"/>
  <c r="Y174" i="71" s="1"/>
  <c r="X138" i="83"/>
  <c r="O138" i="83"/>
  <c r="O140" i="72" s="1"/>
  <c r="O210" i="72" s="1"/>
  <c r="O240" i="72" s="1"/>
  <c r="M225" i="83"/>
  <c r="M99" i="71" s="1"/>
  <c r="M204" i="71" s="1"/>
  <c r="T196" i="83"/>
  <c r="T69" i="71" s="1"/>
  <c r="T174" i="71" s="1"/>
  <c r="V138" i="83"/>
  <c r="J138" i="83"/>
  <c r="J140" i="72" s="1"/>
  <c r="J210" i="72" s="1"/>
  <c r="J240" i="72" s="1"/>
  <c r="W167" i="83"/>
  <c r="W39" i="71" s="1"/>
  <c r="W144" i="71" s="1"/>
  <c r="O196" i="83"/>
  <c r="O69" i="71" s="1"/>
  <c r="O174" i="71" s="1"/>
  <c r="Y138" i="83"/>
  <c r="T225" i="83"/>
  <c r="T99" i="71" s="1"/>
  <c r="T204" i="71" s="1"/>
  <c r="K225" i="83"/>
  <c r="K99" i="71" s="1"/>
  <c r="K204" i="71" s="1"/>
  <c r="N225" i="83"/>
  <c r="N99" i="71" s="1"/>
  <c r="N204" i="71" s="1"/>
  <c r="V225" i="83"/>
  <c r="V99" i="71" s="1"/>
  <c r="V204" i="71" s="1"/>
  <c r="Y167" i="83"/>
  <c r="Y39" i="71" s="1"/>
  <c r="Y144" i="71" s="1"/>
  <c r="N196" i="83"/>
  <c r="N69" i="71" s="1"/>
  <c r="N174" i="71" s="1"/>
  <c r="L196" i="83"/>
  <c r="L69" i="71" s="1"/>
  <c r="L174" i="71" s="1"/>
  <c r="Y225" i="83"/>
  <c r="Y99" i="71" s="1"/>
  <c r="Y204" i="71" s="1"/>
  <c r="P196" i="83"/>
  <c r="P69" i="71" s="1"/>
  <c r="P174" i="71" s="1"/>
  <c r="W225" i="83"/>
  <c r="W99" i="71" s="1"/>
  <c r="W204" i="71" s="1"/>
  <c r="S138" i="83"/>
  <c r="R138" i="83"/>
  <c r="U225" i="83"/>
  <c r="U99" i="71" s="1"/>
  <c r="U204" i="71" s="1"/>
  <c r="Q196" i="83"/>
  <c r="Q69" i="71" s="1"/>
  <c r="Q174" i="71" s="1"/>
  <c r="X196" i="83"/>
  <c r="X69" i="71" s="1"/>
  <c r="X174" i="71" s="1"/>
  <c r="P167" i="83"/>
  <c r="P39" i="71" s="1"/>
  <c r="P144" i="71" s="1"/>
  <c r="J167" i="83"/>
  <c r="J39" i="71" s="1"/>
  <c r="J144" i="71" s="1"/>
  <c r="M138" i="83"/>
  <c r="M140" i="72" s="1"/>
  <c r="M210" i="72" s="1"/>
  <c r="M240" i="72" s="1"/>
  <c r="R196" i="83"/>
  <c r="R69" i="71" s="1"/>
  <c r="R174" i="71" s="1"/>
  <c r="O225" i="83"/>
  <c r="O99" i="71" s="1"/>
  <c r="O204" i="71" s="1"/>
  <c r="M196" i="83"/>
  <c r="M69" i="71" s="1"/>
  <c r="M174" i="71" s="1"/>
  <c r="S196" i="83"/>
  <c r="S69" i="71" s="1"/>
  <c r="S174" i="71" s="1"/>
  <c r="R225" i="83"/>
  <c r="R99" i="71" s="1"/>
  <c r="R204" i="71" s="1"/>
  <c r="U167" i="83"/>
  <c r="U39" i="71" s="1"/>
  <c r="U144" i="71" s="1"/>
  <c r="X167" i="83"/>
  <c r="X39" i="71" s="1"/>
  <c r="X144" i="71" s="1"/>
  <c r="K196" i="83"/>
  <c r="K69" i="71" s="1"/>
  <c r="K174" i="71" s="1"/>
  <c r="W138" i="83"/>
  <c r="L138" i="83"/>
  <c r="L140" i="72" s="1"/>
  <c r="L210" i="72" s="1"/>
  <c r="L240" i="72" s="1"/>
  <c r="R167" i="83"/>
  <c r="R39" i="71" s="1"/>
  <c r="R144" i="71" s="1"/>
  <c r="W196" i="83"/>
  <c r="W69" i="71" s="1"/>
  <c r="W174" i="71" s="1"/>
  <c r="P138" i="83"/>
  <c r="P140" i="72" s="1"/>
  <c r="P210" i="72" s="1"/>
  <c r="P240" i="72" s="1"/>
  <c r="M167" i="83"/>
  <c r="M39" i="71" s="1"/>
  <c r="M144" i="71" s="1"/>
  <c r="T167" i="83"/>
  <c r="T39" i="71" s="1"/>
  <c r="T144" i="71" s="1"/>
  <c r="J196" i="83"/>
  <c r="J69" i="71" s="1"/>
  <c r="J174" i="71" s="1"/>
  <c r="Q138" i="83"/>
  <c r="Q140" i="72" s="1"/>
  <c r="Q210" i="72" s="1"/>
  <c r="Q240" i="72" s="1"/>
  <c r="N138" i="83"/>
  <c r="N140" i="72" s="1"/>
  <c r="N210" i="72" s="1"/>
  <c r="N240" i="72" s="1"/>
  <c r="R193" i="83"/>
  <c r="R66" i="71" s="1"/>
  <c r="R171" i="71" s="1"/>
  <c r="T164" i="83"/>
  <c r="W164" i="83"/>
  <c r="U135" i="83"/>
  <c r="K164" i="83"/>
  <c r="Q135" i="83"/>
  <c r="Q137" i="72" s="1"/>
  <c r="Q207" i="72" s="1"/>
  <c r="Q237" i="72" s="1"/>
  <c r="J164" i="83"/>
  <c r="S193" i="83"/>
  <c r="S66" i="71" s="1"/>
  <c r="S171" i="71" s="1"/>
  <c r="T135" i="83"/>
  <c r="V164" i="83"/>
  <c r="M164" i="83"/>
  <c r="J222" i="83"/>
  <c r="J96" i="71" s="1"/>
  <c r="J201" i="71" s="1"/>
  <c r="O135" i="83"/>
  <c r="O137" i="72" s="1"/>
  <c r="O207" i="72" s="1"/>
  <c r="O237" i="72" s="1"/>
  <c r="U222" i="83"/>
  <c r="U96" i="71" s="1"/>
  <c r="U201" i="71" s="1"/>
  <c r="O164" i="83"/>
  <c r="V222" i="83"/>
  <c r="V96" i="71" s="1"/>
  <c r="V201" i="71" s="1"/>
  <c r="L164" i="83"/>
  <c r="S222" i="83"/>
  <c r="S96" i="71" s="1"/>
  <c r="S201" i="71" s="1"/>
  <c r="X135" i="83"/>
  <c r="U164" i="83"/>
  <c r="P135" i="83"/>
  <c r="P137" i="72" s="1"/>
  <c r="P207" i="72" s="1"/>
  <c r="P237" i="72" s="1"/>
  <c r="X164" i="83"/>
  <c r="O222" i="83"/>
  <c r="O96" i="71" s="1"/>
  <c r="O201" i="71" s="1"/>
  <c r="Q222" i="83"/>
  <c r="Q96" i="71" s="1"/>
  <c r="Q201" i="71" s="1"/>
  <c r="R222" i="83"/>
  <c r="R96" i="71" s="1"/>
  <c r="R201" i="71" s="1"/>
  <c r="J193" i="83"/>
  <c r="J66" i="71" s="1"/>
  <c r="J171" i="71" s="1"/>
  <c r="Y135" i="83"/>
  <c r="X222" i="83"/>
  <c r="X96" i="71" s="1"/>
  <c r="X201" i="71" s="1"/>
  <c r="L222" i="83"/>
  <c r="L96" i="71" s="1"/>
  <c r="L201" i="71" s="1"/>
  <c r="N222" i="83"/>
  <c r="N96" i="71" s="1"/>
  <c r="N201" i="71" s="1"/>
  <c r="W135" i="83"/>
  <c r="M135" i="83"/>
  <c r="M137" i="72" s="1"/>
  <c r="M207" i="72" s="1"/>
  <c r="M237" i="72" s="1"/>
  <c r="P222" i="83"/>
  <c r="P96" i="71" s="1"/>
  <c r="P201" i="71" s="1"/>
  <c r="K135" i="83"/>
  <c r="K137" i="72" s="1"/>
  <c r="K207" i="72" s="1"/>
  <c r="K237" i="72" s="1"/>
  <c r="W222" i="83"/>
  <c r="W96" i="71" s="1"/>
  <c r="W201" i="71" s="1"/>
  <c r="Y193" i="83"/>
  <c r="Y66" i="71" s="1"/>
  <c r="Y171" i="71" s="1"/>
  <c r="M193" i="83"/>
  <c r="M66" i="71" s="1"/>
  <c r="M171" i="71" s="1"/>
  <c r="X193" i="83"/>
  <c r="X66" i="71" s="1"/>
  <c r="X171" i="71" s="1"/>
  <c r="U193" i="83"/>
  <c r="U66" i="71" s="1"/>
  <c r="U171" i="71" s="1"/>
  <c r="L135" i="83"/>
  <c r="L137" i="72" s="1"/>
  <c r="L207" i="72" s="1"/>
  <c r="L237" i="72" s="1"/>
  <c r="T222" i="83"/>
  <c r="T96" i="71" s="1"/>
  <c r="T201" i="71" s="1"/>
  <c r="L193" i="83"/>
  <c r="L66" i="71" s="1"/>
  <c r="L171" i="71" s="1"/>
  <c r="R135" i="83"/>
  <c r="Q193" i="83"/>
  <c r="Q66" i="71" s="1"/>
  <c r="Q171" i="71" s="1"/>
  <c r="V135" i="83"/>
  <c r="S135" i="83"/>
  <c r="Y164" i="83"/>
  <c r="O193" i="83"/>
  <c r="O66" i="71" s="1"/>
  <c r="O171" i="71" s="1"/>
  <c r="W193" i="83"/>
  <c r="W66" i="71" s="1"/>
  <c r="W171" i="71" s="1"/>
  <c r="N164" i="83"/>
  <c r="S164" i="83"/>
  <c r="P193" i="83"/>
  <c r="P66" i="71" s="1"/>
  <c r="P171" i="71" s="1"/>
  <c r="P164" i="83"/>
  <c r="V193" i="83"/>
  <c r="V66" i="71" s="1"/>
  <c r="V171" i="71" s="1"/>
  <c r="N193" i="83"/>
  <c r="N66" i="71" s="1"/>
  <c r="N171" i="71" s="1"/>
  <c r="K222" i="83"/>
  <c r="K96" i="71" s="1"/>
  <c r="K201" i="71" s="1"/>
  <c r="R164" i="83"/>
  <c r="Q164" i="83"/>
  <c r="K193" i="83"/>
  <c r="K66" i="71" s="1"/>
  <c r="K171" i="71" s="1"/>
  <c r="J135" i="83"/>
  <c r="J137" i="72" s="1"/>
  <c r="J207" i="72" s="1"/>
  <c r="J237" i="72" s="1"/>
  <c r="M222" i="83"/>
  <c r="M96" i="71" s="1"/>
  <c r="M201" i="71" s="1"/>
  <c r="Y222" i="83"/>
  <c r="Y96" i="71" s="1"/>
  <c r="Y201" i="71" s="1"/>
  <c r="T193" i="83"/>
  <c r="T66" i="71" s="1"/>
  <c r="T171" i="71" s="1"/>
  <c r="N135" i="83"/>
  <c r="N137" i="72" s="1"/>
  <c r="N207" i="72" s="1"/>
  <c r="N237" i="72" s="1"/>
  <c r="W178" i="72"/>
  <c r="W213" i="72" s="1"/>
  <c r="W243" i="72" s="1"/>
  <c r="Y178" i="72"/>
  <c r="Y213" i="72" s="1"/>
  <c r="Y243" i="72" s="1"/>
  <c r="V178" i="72"/>
  <c r="V213" i="72" s="1"/>
  <c r="V243" i="72" s="1"/>
  <c r="T178" i="72"/>
  <c r="T213" i="72" s="1"/>
  <c r="T243" i="72" s="1"/>
  <c r="R178" i="72"/>
  <c r="R213" i="72" s="1"/>
  <c r="R243" i="72" s="1"/>
  <c r="X178" i="72"/>
  <c r="X213" i="72" s="1"/>
  <c r="X243" i="72" s="1"/>
  <c r="U178" i="72"/>
  <c r="U213" i="72" s="1"/>
  <c r="U243" i="72" s="1"/>
  <c r="S178" i="72"/>
  <c r="S213" i="72" s="1"/>
  <c r="S243" i="72" s="1"/>
  <c r="O153" i="73"/>
  <c r="J183" i="73"/>
  <c r="J243" i="73" s="1"/>
  <c r="Q153" i="73"/>
  <c r="J153" i="73"/>
  <c r="O183" i="73"/>
  <c r="O243" i="73" s="1"/>
  <c r="N183" i="73"/>
  <c r="N243" i="73" s="1"/>
  <c r="M183" i="73"/>
  <c r="M243" i="73" s="1"/>
  <c r="K183" i="73"/>
  <c r="K243" i="73" s="1"/>
  <c r="L183" i="73"/>
  <c r="L243" i="73" s="1"/>
  <c r="P183" i="73"/>
  <c r="P243" i="73" s="1"/>
  <c r="M153" i="73"/>
  <c r="P153" i="73"/>
  <c r="L153" i="73"/>
  <c r="Q183" i="73"/>
  <c r="Q243" i="73" s="1"/>
  <c r="K153" i="73"/>
  <c r="N153" i="73"/>
  <c r="Q226" i="83"/>
  <c r="Q100" i="71" s="1"/>
  <c r="Q205" i="71" s="1"/>
  <c r="N197" i="83"/>
  <c r="N70" i="71" s="1"/>
  <c r="N175" i="71" s="1"/>
  <c r="L168" i="83"/>
  <c r="L40" i="71" s="1"/>
  <c r="L145" i="71" s="1"/>
  <c r="T139" i="83"/>
  <c r="Y197" i="83"/>
  <c r="Y70" i="71" s="1"/>
  <c r="Y175" i="71" s="1"/>
  <c r="R197" i="83"/>
  <c r="R70" i="71" s="1"/>
  <c r="R175" i="71" s="1"/>
  <c r="P197" i="83"/>
  <c r="P70" i="71" s="1"/>
  <c r="P175" i="71" s="1"/>
  <c r="U168" i="83"/>
  <c r="U40" i="71" s="1"/>
  <c r="U145" i="71" s="1"/>
  <c r="K168" i="83"/>
  <c r="K40" i="71" s="1"/>
  <c r="K145" i="71" s="1"/>
  <c r="M168" i="83"/>
  <c r="M40" i="71" s="1"/>
  <c r="M145" i="71" s="1"/>
  <c r="T226" i="83"/>
  <c r="T100" i="71" s="1"/>
  <c r="T205" i="71" s="1"/>
  <c r="U226" i="83"/>
  <c r="U100" i="71" s="1"/>
  <c r="U205" i="71" s="1"/>
  <c r="J197" i="83"/>
  <c r="J70" i="71" s="1"/>
  <c r="J175" i="71" s="1"/>
  <c r="Y139" i="83"/>
  <c r="W226" i="83"/>
  <c r="W100" i="71" s="1"/>
  <c r="W205" i="71" s="1"/>
  <c r="L139" i="83"/>
  <c r="L141" i="72" s="1"/>
  <c r="L211" i="72" s="1"/>
  <c r="L241" i="72" s="1"/>
  <c r="T168" i="83"/>
  <c r="T40" i="71" s="1"/>
  <c r="T145" i="71" s="1"/>
  <c r="O197" i="83"/>
  <c r="O70" i="71" s="1"/>
  <c r="O175" i="71" s="1"/>
  <c r="X226" i="83"/>
  <c r="X100" i="71" s="1"/>
  <c r="X205" i="71" s="1"/>
  <c r="N226" i="83"/>
  <c r="N100" i="71" s="1"/>
  <c r="N205" i="71" s="1"/>
  <c r="N139" i="83"/>
  <c r="N141" i="72" s="1"/>
  <c r="N211" i="72" s="1"/>
  <c r="N241" i="72" s="1"/>
  <c r="J168" i="83"/>
  <c r="J40" i="71" s="1"/>
  <c r="J145" i="71" s="1"/>
  <c r="P139" i="83"/>
  <c r="P141" i="72" s="1"/>
  <c r="P211" i="72" s="1"/>
  <c r="P241" i="72" s="1"/>
  <c r="R226" i="83"/>
  <c r="R100" i="71" s="1"/>
  <c r="R205" i="71" s="1"/>
  <c r="Q139" i="83"/>
  <c r="Q141" i="72" s="1"/>
  <c r="Q211" i="72" s="1"/>
  <c r="Q241" i="72" s="1"/>
  <c r="Q168" i="83"/>
  <c r="Q40" i="71" s="1"/>
  <c r="Q145" i="71" s="1"/>
  <c r="O226" i="83"/>
  <c r="O100" i="71" s="1"/>
  <c r="O205" i="71" s="1"/>
  <c r="W168" i="83"/>
  <c r="W40" i="71" s="1"/>
  <c r="W145" i="71" s="1"/>
  <c r="Y168" i="83"/>
  <c r="Y40" i="71" s="1"/>
  <c r="Y145" i="71" s="1"/>
  <c r="V197" i="83"/>
  <c r="V70" i="71" s="1"/>
  <c r="V175" i="71" s="1"/>
  <c r="J139" i="83"/>
  <c r="J141" i="72" s="1"/>
  <c r="J211" i="72" s="1"/>
  <c r="J241" i="72" s="1"/>
  <c r="X197" i="83"/>
  <c r="X70" i="71" s="1"/>
  <c r="X175" i="71" s="1"/>
  <c r="V226" i="83"/>
  <c r="V100" i="71" s="1"/>
  <c r="V205" i="71" s="1"/>
  <c r="O139" i="83"/>
  <c r="O141" i="72" s="1"/>
  <c r="O211" i="72" s="1"/>
  <c r="O241" i="72" s="1"/>
  <c r="L226" i="83"/>
  <c r="L100" i="71" s="1"/>
  <c r="L205" i="71" s="1"/>
  <c r="X168" i="83"/>
  <c r="X40" i="71" s="1"/>
  <c r="X145" i="71" s="1"/>
  <c r="N168" i="83"/>
  <c r="N40" i="71" s="1"/>
  <c r="N145" i="71" s="1"/>
  <c r="K139" i="83"/>
  <c r="K141" i="72" s="1"/>
  <c r="K211" i="72" s="1"/>
  <c r="K241" i="72" s="1"/>
  <c r="Y226" i="83"/>
  <c r="Y100" i="71" s="1"/>
  <c r="Y205" i="71" s="1"/>
  <c r="U197" i="83"/>
  <c r="U70" i="71" s="1"/>
  <c r="U175" i="71" s="1"/>
  <c r="P226" i="83"/>
  <c r="P100" i="71" s="1"/>
  <c r="P205" i="71" s="1"/>
  <c r="U139" i="83"/>
  <c r="S226" i="83"/>
  <c r="S100" i="71" s="1"/>
  <c r="S205" i="71" s="1"/>
  <c r="X139" i="83"/>
  <c r="M197" i="83"/>
  <c r="M70" i="71" s="1"/>
  <c r="M175" i="71" s="1"/>
  <c r="V139" i="83"/>
  <c r="K197" i="83"/>
  <c r="K70" i="71" s="1"/>
  <c r="K175" i="71" s="1"/>
  <c r="J226" i="83"/>
  <c r="J100" i="71" s="1"/>
  <c r="J205" i="71" s="1"/>
  <c r="T197" i="83"/>
  <c r="T70" i="71" s="1"/>
  <c r="T175" i="71" s="1"/>
  <c r="L197" i="83"/>
  <c r="L70" i="71" s="1"/>
  <c r="L175" i="71" s="1"/>
  <c r="R139" i="83"/>
  <c r="O168" i="83"/>
  <c r="O40" i="71" s="1"/>
  <c r="O145" i="71" s="1"/>
  <c r="P168" i="83"/>
  <c r="P40" i="71" s="1"/>
  <c r="P145" i="71" s="1"/>
  <c r="M139" i="83"/>
  <c r="M141" i="72" s="1"/>
  <c r="M211" i="72" s="1"/>
  <c r="M241" i="72" s="1"/>
  <c r="V168" i="83"/>
  <c r="V40" i="71" s="1"/>
  <c r="V145" i="71" s="1"/>
  <c r="M226" i="83"/>
  <c r="M100" i="71" s="1"/>
  <c r="M205" i="71" s="1"/>
  <c r="S139" i="83"/>
  <c r="K226" i="83"/>
  <c r="K100" i="71" s="1"/>
  <c r="K205" i="71" s="1"/>
  <c r="S197" i="83"/>
  <c r="S70" i="71" s="1"/>
  <c r="S175" i="71" s="1"/>
  <c r="S168" i="83"/>
  <c r="S40" i="71" s="1"/>
  <c r="S145" i="71" s="1"/>
  <c r="W139" i="83"/>
  <c r="W197" i="83"/>
  <c r="W70" i="71" s="1"/>
  <c r="W175" i="71" s="1"/>
  <c r="R168" i="83"/>
  <c r="R40" i="71" s="1"/>
  <c r="R145" i="71" s="1"/>
  <c r="Q197" i="83"/>
  <c r="Q70" i="71" s="1"/>
  <c r="Q175" i="71" s="1"/>
  <c r="U200" i="83"/>
  <c r="U73" i="71" s="1"/>
  <c r="U178" i="71" s="1"/>
  <c r="N200" i="83"/>
  <c r="N73" i="71" s="1"/>
  <c r="N178" i="71" s="1"/>
  <c r="R142" i="83"/>
  <c r="R200" i="83"/>
  <c r="R73" i="71" s="1"/>
  <c r="R178" i="71" s="1"/>
  <c r="N142" i="83"/>
  <c r="N144" i="72" s="1"/>
  <c r="N214" i="72" s="1"/>
  <c r="N244" i="72" s="1"/>
  <c r="O171" i="83"/>
  <c r="O43" i="71" s="1"/>
  <c r="O148" i="71" s="1"/>
  <c r="P229" i="83"/>
  <c r="P103" i="71" s="1"/>
  <c r="P208" i="71" s="1"/>
  <c r="O200" i="83"/>
  <c r="O73" i="71" s="1"/>
  <c r="O178" i="71" s="1"/>
  <c r="M229" i="83"/>
  <c r="M103" i="71" s="1"/>
  <c r="M208" i="71" s="1"/>
  <c r="K142" i="83"/>
  <c r="K144" i="72" s="1"/>
  <c r="K214" i="72" s="1"/>
  <c r="K244" i="72" s="1"/>
  <c r="W200" i="83"/>
  <c r="W73" i="71" s="1"/>
  <c r="W178" i="71" s="1"/>
  <c r="J171" i="83"/>
  <c r="J43" i="71" s="1"/>
  <c r="J148" i="71" s="1"/>
  <c r="Q200" i="83"/>
  <c r="Q73" i="71" s="1"/>
  <c r="Q178" i="71" s="1"/>
  <c r="Q229" i="83"/>
  <c r="Q103" i="71" s="1"/>
  <c r="Q208" i="71" s="1"/>
  <c r="P142" i="83"/>
  <c r="P144" i="72" s="1"/>
  <c r="P214" i="72" s="1"/>
  <c r="P244" i="72" s="1"/>
  <c r="S142" i="83"/>
  <c r="M142" i="83"/>
  <c r="M144" i="72" s="1"/>
  <c r="M214" i="72" s="1"/>
  <c r="M244" i="72" s="1"/>
  <c r="W142" i="83"/>
  <c r="O142" i="83"/>
  <c r="O144" i="72" s="1"/>
  <c r="O214" i="72" s="1"/>
  <c r="O244" i="72" s="1"/>
  <c r="X171" i="83"/>
  <c r="X43" i="71" s="1"/>
  <c r="X148" i="71" s="1"/>
  <c r="W171" i="83"/>
  <c r="W43" i="71" s="1"/>
  <c r="W148" i="71" s="1"/>
  <c r="R171" i="83"/>
  <c r="R43" i="71" s="1"/>
  <c r="R148" i="71" s="1"/>
  <c r="T171" i="83"/>
  <c r="T43" i="71" s="1"/>
  <c r="T148" i="71" s="1"/>
  <c r="J142" i="83"/>
  <c r="J144" i="72" s="1"/>
  <c r="J214" i="72" s="1"/>
  <c r="J244" i="72" s="1"/>
  <c r="V142" i="83"/>
  <c r="X142" i="83"/>
  <c r="T200" i="83"/>
  <c r="T73" i="71" s="1"/>
  <c r="T178" i="71" s="1"/>
  <c r="V229" i="83"/>
  <c r="V103" i="71" s="1"/>
  <c r="V208" i="71" s="1"/>
  <c r="Q142" i="83"/>
  <c r="Q144" i="72" s="1"/>
  <c r="Q214" i="72" s="1"/>
  <c r="Q244" i="72" s="1"/>
  <c r="R229" i="83"/>
  <c r="R103" i="71" s="1"/>
  <c r="R208" i="71" s="1"/>
  <c r="K200" i="83"/>
  <c r="K73" i="71" s="1"/>
  <c r="K178" i="71" s="1"/>
  <c r="N229" i="83"/>
  <c r="N103" i="71" s="1"/>
  <c r="N208" i="71" s="1"/>
  <c r="M200" i="83"/>
  <c r="M73" i="71" s="1"/>
  <c r="M178" i="71" s="1"/>
  <c r="V200" i="83"/>
  <c r="V73" i="71" s="1"/>
  <c r="V178" i="71" s="1"/>
  <c r="L229" i="83"/>
  <c r="L103" i="71" s="1"/>
  <c r="L208" i="71" s="1"/>
  <c r="U229" i="83"/>
  <c r="U103" i="71" s="1"/>
  <c r="U208" i="71" s="1"/>
  <c r="L200" i="83"/>
  <c r="L73" i="71" s="1"/>
  <c r="L178" i="71" s="1"/>
  <c r="L142" i="83"/>
  <c r="L144" i="72" s="1"/>
  <c r="L214" i="72" s="1"/>
  <c r="L244" i="72" s="1"/>
  <c r="M171" i="83"/>
  <c r="M43" i="71" s="1"/>
  <c r="M148" i="71" s="1"/>
  <c r="Q171" i="83"/>
  <c r="Q43" i="71" s="1"/>
  <c r="Q148" i="71" s="1"/>
  <c r="U142" i="83"/>
  <c r="J229" i="83"/>
  <c r="J103" i="71" s="1"/>
  <c r="J208" i="71" s="1"/>
  <c r="Y142" i="83"/>
  <c r="X229" i="83"/>
  <c r="X103" i="71" s="1"/>
  <c r="X208" i="71" s="1"/>
  <c r="K229" i="83"/>
  <c r="K103" i="71" s="1"/>
  <c r="K208" i="71" s="1"/>
  <c r="S171" i="83"/>
  <c r="S43" i="71" s="1"/>
  <c r="S148" i="71" s="1"/>
  <c r="P200" i="83"/>
  <c r="P73" i="71" s="1"/>
  <c r="P178" i="71" s="1"/>
  <c r="S229" i="83"/>
  <c r="S103" i="71" s="1"/>
  <c r="S208" i="71" s="1"/>
  <c r="T229" i="83"/>
  <c r="T103" i="71" s="1"/>
  <c r="T208" i="71" s="1"/>
  <c r="Y229" i="83"/>
  <c r="Y103" i="71" s="1"/>
  <c r="Y208" i="71" s="1"/>
  <c r="W229" i="83"/>
  <c r="W103" i="71" s="1"/>
  <c r="W208" i="71" s="1"/>
  <c r="X200" i="83"/>
  <c r="X73" i="71" s="1"/>
  <c r="X178" i="71" s="1"/>
  <c r="Y171" i="83"/>
  <c r="Y43" i="71" s="1"/>
  <c r="Y148" i="71" s="1"/>
  <c r="T142" i="83"/>
  <c r="S200" i="83"/>
  <c r="S73" i="71" s="1"/>
  <c r="S178" i="71" s="1"/>
  <c r="K171" i="83"/>
  <c r="K43" i="71" s="1"/>
  <c r="K148" i="71" s="1"/>
  <c r="U171" i="83"/>
  <c r="U43" i="71" s="1"/>
  <c r="U148" i="71" s="1"/>
  <c r="V171" i="83"/>
  <c r="V43" i="71" s="1"/>
  <c r="V148" i="71" s="1"/>
  <c r="Y200" i="83"/>
  <c r="Y73" i="71" s="1"/>
  <c r="Y178" i="71" s="1"/>
  <c r="O229" i="83"/>
  <c r="O103" i="71" s="1"/>
  <c r="O208" i="71" s="1"/>
  <c r="N171" i="83"/>
  <c r="N43" i="71" s="1"/>
  <c r="N148" i="71" s="1"/>
  <c r="L171" i="83"/>
  <c r="L43" i="71" s="1"/>
  <c r="L148" i="71" s="1"/>
  <c r="P171" i="83"/>
  <c r="P43" i="71" s="1"/>
  <c r="P148" i="71" s="1"/>
  <c r="J200" i="83"/>
  <c r="J73" i="71" s="1"/>
  <c r="J178" i="71" s="1"/>
  <c r="N250" i="72" l="1"/>
  <c r="N26" i="41" s="1"/>
  <c r="V46" i="41" s="1"/>
  <c r="V81" i="41" s="1"/>
  <c r="K219" i="71"/>
  <c r="K22" i="41" s="1"/>
  <c r="K42" i="41" s="1"/>
  <c r="K77" i="41" s="1"/>
  <c r="S218" i="71"/>
  <c r="S21" i="41" s="1"/>
  <c r="AI41" i="41" s="1"/>
  <c r="AI21" i="65" s="1"/>
  <c r="X250" i="72"/>
  <c r="X26" i="41" s="1"/>
  <c r="AN46" i="41" s="1"/>
  <c r="AN81" i="41" s="1"/>
  <c r="L257" i="73"/>
  <c r="L25" i="41" s="1"/>
  <c r="L45" i="41" s="1"/>
  <c r="M250" i="72"/>
  <c r="M26" i="41" s="1"/>
  <c r="Q46" i="41" s="1"/>
  <c r="Q26" i="65" s="1"/>
  <c r="Q116" i="65" s="1"/>
  <c r="Q136" i="65" s="1"/>
  <c r="Q165" i="65" s="1"/>
  <c r="Q70" i="105" s="1"/>
  <c r="Q111" i="105" s="1"/>
  <c r="Q219" i="71"/>
  <c r="Q22" i="41" s="1"/>
  <c r="AG42" i="41" s="1"/>
  <c r="AG22" i="65" s="1"/>
  <c r="V219" i="71"/>
  <c r="V22" i="41" s="1"/>
  <c r="AL42" i="41" s="1"/>
  <c r="AL77" i="41" s="1"/>
  <c r="T218" i="71"/>
  <c r="T21" i="41" s="1"/>
  <c r="AJ41" i="41" s="1"/>
  <c r="N218" i="71"/>
  <c r="N21" i="41" s="1"/>
  <c r="Y36" i="71"/>
  <c r="Y141" i="71" s="1"/>
  <c r="Y217" i="71" s="1"/>
  <c r="Y20" i="41" s="1"/>
  <c r="AO40" i="41" s="1"/>
  <c r="Y239" i="83"/>
  <c r="U218" i="71"/>
  <c r="U21" i="41" s="1"/>
  <c r="AK41" i="41" s="1"/>
  <c r="O219" i="71"/>
  <c r="O22" i="41" s="1"/>
  <c r="O36" i="71"/>
  <c r="O141" i="71" s="1"/>
  <c r="O217" i="71" s="1"/>
  <c r="O20" i="41" s="1"/>
  <c r="O239" i="83"/>
  <c r="J36" i="71"/>
  <c r="J239" i="83"/>
  <c r="M210" i="73"/>
  <c r="M280" i="73"/>
  <c r="M43" i="74" s="1"/>
  <c r="M88" i="74" s="1"/>
  <c r="N280" i="73"/>
  <c r="N43" i="74" s="1"/>
  <c r="N88" i="74" s="1"/>
  <c r="N210" i="73"/>
  <c r="P212" i="73"/>
  <c r="P282" i="73"/>
  <c r="P45" i="74" s="1"/>
  <c r="P90" i="74" s="1"/>
  <c r="O284" i="73"/>
  <c r="O47" i="74" s="1"/>
  <c r="O92" i="74" s="1"/>
  <c r="O214" i="73"/>
  <c r="J214" i="73"/>
  <c r="J284" i="73"/>
  <c r="J47" i="74" s="1"/>
  <c r="J92" i="74" s="1"/>
  <c r="J208" i="73"/>
  <c r="J278" i="73"/>
  <c r="J41" i="74" s="1"/>
  <c r="J86" i="74" s="1"/>
  <c r="S250" i="72"/>
  <c r="S26" i="41" s="1"/>
  <c r="AI46" i="41" s="1"/>
  <c r="K206" i="73"/>
  <c r="K276" i="73"/>
  <c r="K39" i="74" s="1"/>
  <c r="K84" i="74" s="1"/>
  <c r="O257" i="73"/>
  <c r="O25" i="41" s="1"/>
  <c r="P285" i="73"/>
  <c r="P48" i="74" s="1"/>
  <c r="P93" i="74" s="1"/>
  <c r="P215" i="73"/>
  <c r="Q281" i="73"/>
  <c r="Q44" i="74" s="1"/>
  <c r="Q89" i="74" s="1"/>
  <c r="Q211" i="73"/>
  <c r="Y219" i="71"/>
  <c r="Y22" i="41" s="1"/>
  <c r="AO42" i="41" s="1"/>
  <c r="V218" i="71"/>
  <c r="V21" i="41" s="1"/>
  <c r="AL41" i="41" s="1"/>
  <c r="X218" i="71"/>
  <c r="X21" i="41" s="1"/>
  <c r="AN41" i="41" s="1"/>
  <c r="N219" i="71"/>
  <c r="N22" i="41" s="1"/>
  <c r="X36" i="71"/>
  <c r="X141" i="71" s="1"/>
  <c r="X217" i="71" s="1"/>
  <c r="X20" i="41" s="1"/>
  <c r="AN40" i="41" s="1"/>
  <c r="X239" i="83"/>
  <c r="U219" i="71"/>
  <c r="U22" i="41" s="1"/>
  <c r="AK42" i="41" s="1"/>
  <c r="Q250" i="72"/>
  <c r="Q26" i="41" s="1"/>
  <c r="AG46" i="41" s="1"/>
  <c r="O209" i="73"/>
  <c r="O279" i="73"/>
  <c r="O42" i="74" s="1"/>
  <c r="O87" i="74" s="1"/>
  <c r="N209" i="73"/>
  <c r="N279" i="73"/>
  <c r="N42" i="74" s="1"/>
  <c r="N87" i="74" s="1"/>
  <c r="M282" i="73"/>
  <c r="M45" i="74" s="1"/>
  <c r="M90" i="74" s="1"/>
  <c r="M212" i="73"/>
  <c r="K282" i="73"/>
  <c r="K45" i="74" s="1"/>
  <c r="K90" i="74" s="1"/>
  <c r="K212" i="73"/>
  <c r="N278" i="73"/>
  <c r="N41" i="74" s="1"/>
  <c r="N86" i="74" s="1"/>
  <c r="N208" i="73"/>
  <c r="U250" i="72"/>
  <c r="U26" i="41" s="1"/>
  <c r="AK46" i="41" s="1"/>
  <c r="Q257" i="73"/>
  <c r="Q25" i="41" s="1"/>
  <c r="AG45" i="41" s="1"/>
  <c r="M206" i="73"/>
  <c r="M276" i="73"/>
  <c r="M39" i="74" s="1"/>
  <c r="M84" i="74" s="1"/>
  <c r="O215" i="73"/>
  <c r="O285" i="73"/>
  <c r="O48" i="74" s="1"/>
  <c r="O93" i="74" s="1"/>
  <c r="J257" i="73"/>
  <c r="J25" i="41" s="1"/>
  <c r="J45" i="41" s="1"/>
  <c r="M277" i="73"/>
  <c r="M40" i="74" s="1"/>
  <c r="M85" i="74" s="1"/>
  <c r="M207" i="73"/>
  <c r="L283" i="73"/>
  <c r="L46" i="74" s="1"/>
  <c r="L91" i="74" s="1"/>
  <c r="L213" i="73"/>
  <c r="M219" i="71"/>
  <c r="M22" i="41" s="1"/>
  <c r="Q42" i="41" s="1"/>
  <c r="P36" i="71"/>
  <c r="P141" i="71" s="1"/>
  <c r="P217" i="71" s="1"/>
  <c r="P20" i="41" s="1"/>
  <c r="P239" i="83"/>
  <c r="M218" i="71"/>
  <c r="M21" i="41" s="1"/>
  <c r="Q41" i="41" s="1"/>
  <c r="L219" i="71"/>
  <c r="L22" i="41" s="1"/>
  <c r="P250" i="72"/>
  <c r="P26" i="41" s="1"/>
  <c r="O250" i="72"/>
  <c r="O26" i="41" s="1"/>
  <c r="K36" i="71"/>
  <c r="K141" i="71" s="1"/>
  <c r="K217" i="71" s="1"/>
  <c r="K20" i="41" s="1"/>
  <c r="K40" i="41" s="1"/>
  <c r="K239" i="83"/>
  <c r="Q279" i="73"/>
  <c r="Q42" i="74" s="1"/>
  <c r="Q87" i="74" s="1"/>
  <c r="Q209" i="73"/>
  <c r="J210" i="73"/>
  <c r="J280" i="73"/>
  <c r="J43" i="74" s="1"/>
  <c r="J88" i="74" s="1"/>
  <c r="L210" i="73"/>
  <c r="L280" i="73"/>
  <c r="L43" i="74" s="1"/>
  <c r="L88" i="74" s="1"/>
  <c r="N282" i="73"/>
  <c r="N45" i="74" s="1"/>
  <c r="N90" i="74" s="1"/>
  <c r="N212" i="73"/>
  <c r="L278" i="73"/>
  <c r="L41" i="74" s="1"/>
  <c r="L86" i="74" s="1"/>
  <c r="L208" i="73"/>
  <c r="V250" i="72"/>
  <c r="V26" i="41" s="1"/>
  <c r="AL46" i="41" s="1"/>
  <c r="J206" i="73"/>
  <c r="J276" i="73"/>
  <c r="J39" i="74" s="1"/>
  <c r="J84" i="74" s="1"/>
  <c r="P257" i="73"/>
  <c r="P25" i="41" s="1"/>
  <c r="M215" i="73"/>
  <c r="M285" i="73"/>
  <c r="M48" i="74" s="1"/>
  <c r="M93" i="74" s="1"/>
  <c r="J215" i="73"/>
  <c r="J285" i="73"/>
  <c r="J48" i="74" s="1"/>
  <c r="J93" i="74" s="1"/>
  <c r="N277" i="73"/>
  <c r="N40" i="74" s="1"/>
  <c r="N85" i="74" s="1"/>
  <c r="N207" i="73"/>
  <c r="M281" i="73"/>
  <c r="M44" i="74" s="1"/>
  <c r="M89" i="74" s="1"/>
  <c r="M211" i="73"/>
  <c r="L250" i="72"/>
  <c r="L26" i="41" s="1"/>
  <c r="P279" i="73"/>
  <c r="P42" i="74" s="1"/>
  <c r="P87" i="74" s="1"/>
  <c r="P209" i="73"/>
  <c r="P213" i="73"/>
  <c r="P283" i="73"/>
  <c r="P46" i="74" s="1"/>
  <c r="P91" i="74" s="1"/>
  <c r="J213" i="73"/>
  <c r="J283" i="73"/>
  <c r="J46" i="74" s="1"/>
  <c r="J91" i="74" s="1"/>
  <c r="J250" i="72"/>
  <c r="J26" i="41" s="1"/>
  <c r="J46" i="41" s="1"/>
  <c r="J81" i="41" s="1"/>
  <c r="P218" i="71"/>
  <c r="P21" i="41" s="1"/>
  <c r="Q218" i="71"/>
  <c r="Q21" i="41" s="1"/>
  <c r="AG41" i="41" s="1"/>
  <c r="Y218" i="71"/>
  <c r="Y21" i="41" s="1"/>
  <c r="AO41" i="41" s="1"/>
  <c r="X219" i="71"/>
  <c r="X22" i="41" s="1"/>
  <c r="AN42" i="41" s="1"/>
  <c r="U36" i="71"/>
  <c r="U141" i="71" s="1"/>
  <c r="U217" i="71" s="1"/>
  <c r="U20" i="41" s="1"/>
  <c r="AK40" i="41" s="1"/>
  <c r="U239" i="83"/>
  <c r="J219" i="71"/>
  <c r="J22" i="41" s="1"/>
  <c r="J42" i="41" s="1"/>
  <c r="P214" i="73"/>
  <c r="P284" i="73"/>
  <c r="P47" i="74" s="1"/>
  <c r="P92" i="74" s="1"/>
  <c r="T250" i="72"/>
  <c r="T26" i="41" s="1"/>
  <c r="AJ46" i="41" s="1"/>
  <c r="M257" i="73"/>
  <c r="M25" i="41" s="1"/>
  <c r="Q45" i="41" s="1"/>
  <c r="N257" i="73"/>
  <c r="N25" i="41" s="1"/>
  <c r="L215" i="73"/>
  <c r="L285" i="73"/>
  <c r="L48" i="74" s="1"/>
  <c r="L93" i="74" s="1"/>
  <c r="O207" i="73"/>
  <c r="O277" i="73"/>
  <c r="O40" i="74" s="1"/>
  <c r="O85" i="74" s="1"/>
  <c r="Q210" i="73"/>
  <c r="Q280" i="73"/>
  <c r="Q43" i="74" s="1"/>
  <c r="Q88" i="74" s="1"/>
  <c r="O282" i="73"/>
  <c r="O45" i="74" s="1"/>
  <c r="O90" i="74" s="1"/>
  <c r="O212" i="73"/>
  <c r="K283" i="73"/>
  <c r="K46" i="74" s="1"/>
  <c r="K91" i="74" s="1"/>
  <c r="K213" i="73"/>
  <c r="AG77" i="41"/>
  <c r="M283" i="73"/>
  <c r="M46" i="74" s="1"/>
  <c r="M91" i="74" s="1"/>
  <c r="M213" i="73"/>
  <c r="Q283" i="73"/>
  <c r="Q46" i="74" s="1"/>
  <c r="Q91" i="74" s="1"/>
  <c r="Q213" i="73"/>
  <c r="K218" i="71"/>
  <c r="K21" i="41" s="1"/>
  <c r="K41" i="41" s="1"/>
  <c r="S36" i="71"/>
  <c r="S141" i="71" s="1"/>
  <c r="S217" i="71" s="1"/>
  <c r="S20" i="41" s="1"/>
  <c r="AI40" i="41" s="1"/>
  <c r="S239" i="83"/>
  <c r="W219" i="71"/>
  <c r="W22" i="41" s="1"/>
  <c r="AM42" i="41" s="1"/>
  <c r="M36" i="71"/>
  <c r="M141" i="71" s="1"/>
  <c r="M217" i="71" s="1"/>
  <c r="M20" i="41" s="1"/>
  <c r="Q40" i="41" s="1"/>
  <c r="M239" i="83"/>
  <c r="W36" i="71"/>
  <c r="W141" i="71" s="1"/>
  <c r="W217" i="71" s="1"/>
  <c r="W20" i="41" s="1"/>
  <c r="AM40" i="41" s="1"/>
  <c r="W239" i="83"/>
  <c r="K279" i="73"/>
  <c r="K42" i="74" s="1"/>
  <c r="K87" i="74" s="1"/>
  <c r="K209" i="73"/>
  <c r="M279" i="73"/>
  <c r="M42" i="74" s="1"/>
  <c r="M87" i="74" s="1"/>
  <c r="M209" i="73"/>
  <c r="P210" i="73"/>
  <c r="P280" i="73"/>
  <c r="P43" i="74" s="1"/>
  <c r="P88" i="74" s="1"/>
  <c r="Q212" i="73"/>
  <c r="Q282" i="73"/>
  <c r="Q45" i="74" s="1"/>
  <c r="Q90" i="74" s="1"/>
  <c r="N214" i="73"/>
  <c r="N284" i="73"/>
  <c r="N47" i="74" s="1"/>
  <c r="N92" i="74" s="1"/>
  <c r="K284" i="73"/>
  <c r="K47" i="74" s="1"/>
  <c r="K92" i="74" s="1"/>
  <c r="K214" i="73"/>
  <c r="Q278" i="73"/>
  <c r="Q41" i="74" s="1"/>
  <c r="Q86" i="74" s="1"/>
  <c r="Q208" i="73"/>
  <c r="O208" i="73"/>
  <c r="O278" i="73"/>
  <c r="O41" i="74" s="1"/>
  <c r="O86" i="74" s="1"/>
  <c r="W250" i="72"/>
  <c r="W26" i="41" s="1"/>
  <c r="AM46" i="41" s="1"/>
  <c r="O276" i="73"/>
  <c r="O39" i="74" s="1"/>
  <c r="O84" i="74" s="1"/>
  <c r="O206" i="73"/>
  <c r="N276" i="73"/>
  <c r="N39" i="74" s="1"/>
  <c r="N84" i="74" s="1"/>
  <c r="N206" i="73"/>
  <c r="Q215" i="73"/>
  <c r="Q285" i="73"/>
  <c r="Q48" i="74" s="1"/>
  <c r="Q93" i="74" s="1"/>
  <c r="K215" i="73"/>
  <c r="K285" i="73"/>
  <c r="K48" i="74" s="1"/>
  <c r="K93" i="74" s="1"/>
  <c r="J281" i="73"/>
  <c r="J44" i="74" s="1"/>
  <c r="J89" i="74" s="1"/>
  <c r="J211" i="73"/>
  <c r="N281" i="73"/>
  <c r="N44" i="74" s="1"/>
  <c r="N89" i="74" s="1"/>
  <c r="N211" i="73"/>
  <c r="N213" i="73"/>
  <c r="N283" i="73"/>
  <c r="N46" i="74" s="1"/>
  <c r="N91" i="74" s="1"/>
  <c r="Q36" i="71"/>
  <c r="Q141" i="71" s="1"/>
  <c r="Q217" i="71" s="1"/>
  <c r="Q20" i="41" s="1"/>
  <c r="AG40" i="41" s="1"/>
  <c r="Q239" i="83"/>
  <c r="N36" i="71"/>
  <c r="N141" i="71" s="1"/>
  <c r="N217" i="71" s="1"/>
  <c r="N20" i="41" s="1"/>
  <c r="N239" i="83"/>
  <c r="L218" i="71"/>
  <c r="L21" i="41" s="1"/>
  <c r="K250" i="72"/>
  <c r="K26" i="41" s="1"/>
  <c r="K46" i="41" s="1"/>
  <c r="J218" i="71"/>
  <c r="J21" i="41" s="1"/>
  <c r="J41" i="41" s="1"/>
  <c r="S219" i="71"/>
  <c r="S22" i="41" s="1"/>
  <c r="AI42" i="41" s="1"/>
  <c r="V36" i="71"/>
  <c r="V141" i="71" s="1"/>
  <c r="V217" i="71" s="1"/>
  <c r="V20" i="41" s="1"/>
  <c r="AL40" i="41" s="1"/>
  <c r="V239" i="83"/>
  <c r="T36" i="71"/>
  <c r="T141" i="71" s="1"/>
  <c r="T217" i="71" s="1"/>
  <c r="T20" i="41" s="1"/>
  <c r="AJ40" i="41" s="1"/>
  <c r="T239" i="83"/>
  <c r="L209" i="73"/>
  <c r="L279" i="73"/>
  <c r="L42" i="74" s="1"/>
  <c r="L87" i="74" s="1"/>
  <c r="Q214" i="73"/>
  <c r="Q284" i="73"/>
  <c r="Q47" i="74" s="1"/>
  <c r="Q92" i="74" s="1"/>
  <c r="L284" i="73"/>
  <c r="L47" i="74" s="1"/>
  <c r="L92" i="74" s="1"/>
  <c r="L214" i="73"/>
  <c r="Y250" i="72"/>
  <c r="Y26" i="41" s="1"/>
  <c r="AO46" i="41" s="1"/>
  <c r="Q206" i="73"/>
  <c r="Q276" i="73"/>
  <c r="Q39" i="74" s="1"/>
  <c r="Q84" i="74" s="1"/>
  <c r="L277" i="73"/>
  <c r="L40" i="74" s="1"/>
  <c r="L85" i="74" s="1"/>
  <c r="L207" i="73"/>
  <c r="K207" i="73"/>
  <c r="K277" i="73"/>
  <c r="K40" i="74" s="1"/>
  <c r="K85" i="74" s="1"/>
  <c r="L211" i="73"/>
  <c r="L281" i="73"/>
  <c r="L44" i="74" s="1"/>
  <c r="L89" i="74" s="1"/>
  <c r="O281" i="73"/>
  <c r="O44" i="74" s="1"/>
  <c r="O89" i="74" s="1"/>
  <c r="O211" i="73"/>
  <c r="O218" i="71"/>
  <c r="O21" i="41" s="1"/>
  <c r="O280" i="73"/>
  <c r="O43" i="74" s="1"/>
  <c r="O88" i="74" s="1"/>
  <c r="O210" i="73"/>
  <c r="M278" i="73"/>
  <c r="M41" i="74" s="1"/>
  <c r="M86" i="74" s="1"/>
  <c r="M208" i="73"/>
  <c r="O283" i="73"/>
  <c r="O46" i="74" s="1"/>
  <c r="O91" i="74" s="1"/>
  <c r="O213" i="73"/>
  <c r="R36" i="71"/>
  <c r="R141" i="71" s="1"/>
  <c r="R217" i="71" s="1"/>
  <c r="R20" i="41" s="1"/>
  <c r="AH40" i="41" s="1"/>
  <c r="R239" i="83"/>
  <c r="W218" i="71"/>
  <c r="W21" i="41" s="1"/>
  <c r="AM41" i="41" s="1"/>
  <c r="T219" i="71"/>
  <c r="T22" i="41" s="1"/>
  <c r="AJ42" i="41" s="1"/>
  <c r="P219" i="71"/>
  <c r="P22" i="41" s="1"/>
  <c r="R219" i="71"/>
  <c r="R22" i="41" s="1"/>
  <c r="AH42" i="41" s="1"/>
  <c r="L36" i="71"/>
  <c r="L141" i="71" s="1"/>
  <c r="L217" i="71" s="1"/>
  <c r="L20" i="41" s="1"/>
  <c r="L239" i="83"/>
  <c r="R218" i="71"/>
  <c r="R21" i="41" s="1"/>
  <c r="AH41" i="41" s="1"/>
  <c r="J209" i="73"/>
  <c r="J279" i="73"/>
  <c r="J42" i="74" s="1"/>
  <c r="J87" i="74" s="1"/>
  <c r="K280" i="73"/>
  <c r="K43" i="74" s="1"/>
  <c r="K88" i="74" s="1"/>
  <c r="K210" i="73"/>
  <c r="L282" i="73"/>
  <c r="L45" i="74" s="1"/>
  <c r="L90" i="74" s="1"/>
  <c r="L212" i="73"/>
  <c r="J282" i="73"/>
  <c r="J45" i="74" s="1"/>
  <c r="J90" i="74" s="1"/>
  <c r="J212" i="73"/>
  <c r="M284" i="73"/>
  <c r="M47" i="74" s="1"/>
  <c r="M92" i="74" s="1"/>
  <c r="M214" i="73"/>
  <c r="K278" i="73"/>
  <c r="K41" i="74" s="1"/>
  <c r="K86" i="74" s="1"/>
  <c r="K208" i="73"/>
  <c r="P278" i="73"/>
  <c r="P41" i="74" s="1"/>
  <c r="P86" i="74" s="1"/>
  <c r="P208" i="73"/>
  <c r="R250" i="72"/>
  <c r="R26" i="41" s="1"/>
  <c r="AH46" i="41" s="1"/>
  <c r="P206" i="73"/>
  <c r="P276" i="73"/>
  <c r="P39" i="74" s="1"/>
  <c r="P84" i="74" s="1"/>
  <c r="P277" i="73"/>
  <c r="P40" i="74" s="1"/>
  <c r="P85" i="74" s="1"/>
  <c r="P207" i="73"/>
  <c r="J277" i="73"/>
  <c r="J40" i="74" s="1"/>
  <c r="J85" i="74" s="1"/>
  <c r="J207" i="73"/>
  <c r="K281" i="73"/>
  <c r="K44" i="74" s="1"/>
  <c r="K89" i="74" s="1"/>
  <c r="K211" i="73"/>
  <c r="H237" i="83" a="1"/>
  <c r="H237" i="83" s="1"/>
  <c r="K257" i="73"/>
  <c r="K25" i="41" s="1"/>
  <c r="K45" i="41" s="1"/>
  <c r="L276" i="73"/>
  <c r="L39" i="74" s="1"/>
  <c r="L84" i="74" s="1"/>
  <c r="L206" i="73"/>
  <c r="N215" i="73"/>
  <c r="N285" i="73"/>
  <c r="N48" i="74" s="1"/>
  <c r="N93" i="74" s="1"/>
  <c r="Q207" i="73"/>
  <c r="Q277" i="73"/>
  <c r="Q40" i="74" s="1"/>
  <c r="Q85" i="74" s="1"/>
  <c r="P281" i="73"/>
  <c r="P44" i="74" s="1"/>
  <c r="P89" i="74" s="1"/>
  <c r="P211" i="73"/>
  <c r="S46" i="41" l="1"/>
  <c r="T46" i="41"/>
  <c r="M45" i="41"/>
  <c r="O45" i="41"/>
  <c r="O25" i="65" s="1"/>
  <c r="O115" i="65" s="1"/>
  <c r="H254" i="72" a="1"/>
  <c r="H254" i="72" s="1"/>
  <c r="J50" i="55" s="1"/>
  <c r="AI76" i="41"/>
  <c r="AN26" i="65"/>
  <c r="AN116" i="65" s="1"/>
  <c r="U46" i="41"/>
  <c r="U81" i="41" s="1"/>
  <c r="R46" i="41"/>
  <c r="V26" i="65"/>
  <c r="V116" i="65" s="1"/>
  <c r="V145" i="65" s="1"/>
  <c r="V174" i="65" s="1"/>
  <c r="V79" i="105" s="1"/>
  <c r="V199" i="105" s="1"/>
  <c r="AL22" i="65"/>
  <c r="K22" i="65"/>
  <c r="V121" i="105"/>
  <c r="P45" i="41"/>
  <c r="P80" i="41" s="1"/>
  <c r="Q81" i="41"/>
  <c r="Q145" i="65"/>
  <c r="Q174" i="65" s="1"/>
  <c r="Q79" i="105" s="1"/>
  <c r="Q121" i="105" s="1"/>
  <c r="N45" i="41"/>
  <c r="N25" i="65" s="1"/>
  <c r="N115" i="65" s="1"/>
  <c r="Q127" i="65"/>
  <c r="Q156" i="65" s="1"/>
  <c r="Q61" i="105" s="1"/>
  <c r="Q101" i="105" s="1"/>
  <c r="Q38" i="82"/>
  <c r="J256" i="73"/>
  <c r="J24" i="41" s="1"/>
  <c r="J44" i="41" s="1"/>
  <c r="J24" i="65" s="1"/>
  <c r="J114" i="65" s="1"/>
  <c r="M256" i="73"/>
  <c r="M24" i="41" s="1"/>
  <c r="Q44" i="41" s="1"/>
  <c r="Q79" i="41" s="1"/>
  <c r="AN20" i="65"/>
  <c r="AN75" i="41"/>
  <c r="AM75" i="41"/>
  <c r="AM20" i="65"/>
  <c r="AL20" i="65"/>
  <c r="AL75" i="41"/>
  <c r="AI75" i="41"/>
  <c r="AI20" i="65"/>
  <c r="J123" i="74"/>
  <c r="J155" i="74" s="1"/>
  <c r="L123" i="74"/>
  <c r="L155" i="74" s="1"/>
  <c r="AK81" i="41"/>
  <c r="AK26" i="65"/>
  <c r="AK116" i="65" s="1"/>
  <c r="AK127" i="65" s="1"/>
  <c r="AK156" i="65" s="1"/>
  <c r="AK61" i="105" s="1"/>
  <c r="AK101" i="105" s="1"/>
  <c r="AN76" i="41"/>
  <c r="AN21" i="65"/>
  <c r="L116" i="74"/>
  <c r="L148" i="74" s="1"/>
  <c r="J116" i="74"/>
  <c r="J148" i="74" s="1"/>
  <c r="X42" i="41"/>
  <c r="Y42" i="41"/>
  <c r="Z42" i="41"/>
  <c r="W42" i="41"/>
  <c r="AA42" i="41"/>
  <c r="AB42" i="41"/>
  <c r="AC42" i="41"/>
  <c r="AF42" i="41"/>
  <c r="AD42" i="41"/>
  <c r="AE42" i="41"/>
  <c r="J21" i="65"/>
  <c r="J76" i="41"/>
  <c r="L118" i="74"/>
  <c r="L150" i="74" s="1"/>
  <c r="J118" i="74"/>
  <c r="J150" i="74" s="1"/>
  <c r="AE40" i="41"/>
  <c r="AC40" i="41"/>
  <c r="AF40" i="41"/>
  <c r="AB40" i="41"/>
  <c r="AD40" i="41"/>
  <c r="V118" i="74"/>
  <c r="V150" i="74" s="1"/>
  <c r="P118" i="74"/>
  <c r="P150" i="74" s="1"/>
  <c r="R118" i="74"/>
  <c r="R150" i="74" s="1"/>
  <c r="K118" i="74"/>
  <c r="K150" i="74" s="1"/>
  <c r="N118" i="74"/>
  <c r="N150" i="74" s="1"/>
  <c r="T118" i="74"/>
  <c r="T150" i="74" s="1"/>
  <c r="S118" i="74"/>
  <c r="S150" i="74" s="1"/>
  <c r="M118" i="74"/>
  <c r="M150" i="74" s="1"/>
  <c r="X118" i="74"/>
  <c r="X150" i="74" s="1"/>
  <c r="O118" i="74"/>
  <c r="O150" i="74" s="1"/>
  <c r="W118" i="74"/>
  <c r="W150" i="74" s="1"/>
  <c r="Q118" i="74"/>
  <c r="Q150" i="74" s="1"/>
  <c r="U118" i="74"/>
  <c r="U150" i="74" s="1"/>
  <c r="Y118" i="74"/>
  <c r="Y150" i="74" s="1"/>
  <c r="AA41" i="41"/>
  <c r="X41" i="41"/>
  <c r="Z41" i="41"/>
  <c r="W41" i="41"/>
  <c r="Y41" i="41"/>
  <c r="K26" i="65"/>
  <c r="K116" i="65" s="1"/>
  <c r="K81" i="41"/>
  <c r="Q123" i="74"/>
  <c r="Q155" i="74" s="1"/>
  <c r="K123" i="74"/>
  <c r="K155" i="74" s="1"/>
  <c r="R123" i="74"/>
  <c r="R155" i="74" s="1"/>
  <c r="V123" i="74"/>
  <c r="V155" i="74" s="1"/>
  <c r="Y123" i="74"/>
  <c r="Y155" i="74" s="1"/>
  <c r="U123" i="74"/>
  <c r="U155" i="74" s="1"/>
  <c r="N123" i="74"/>
  <c r="N155" i="74" s="1"/>
  <c r="O123" i="74"/>
  <c r="O155" i="74" s="1"/>
  <c r="M123" i="74"/>
  <c r="M155" i="74" s="1"/>
  <c r="S123" i="74"/>
  <c r="S155" i="74" s="1"/>
  <c r="P123" i="74"/>
  <c r="P155" i="74" s="1"/>
  <c r="X123" i="74"/>
  <c r="X155" i="74" s="1"/>
  <c r="T123" i="74"/>
  <c r="T155" i="74" s="1"/>
  <c r="W123" i="74"/>
  <c r="W155" i="74" s="1"/>
  <c r="K117" i="74"/>
  <c r="K149" i="74" s="1"/>
  <c r="Y117" i="74"/>
  <c r="Y149" i="74" s="1"/>
  <c r="T117" i="74"/>
  <c r="T149" i="74" s="1"/>
  <c r="V117" i="74"/>
  <c r="V149" i="74" s="1"/>
  <c r="P117" i="74"/>
  <c r="P149" i="74" s="1"/>
  <c r="S117" i="74"/>
  <c r="S149" i="74" s="1"/>
  <c r="O117" i="74"/>
  <c r="O149" i="74" s="1"/>
  <c r="N117" i="74"/>
  <c r="N149" i="74" s="1"/>
  <c r="X117" i="74"/>
  <c r="X149" i="74" s="1"/>
  <c r="M117" i="74"/>
  <c r="M149" i="74" s="1"/>
  <c r="W117" i="74"/>
  <c r="W149" i="74" s="1"/>
  <c r="Q117" i="74"/>
  <c r="Q149" i="74" s="1"/>
  <c r="R117" i="74"/>
  <c r="R149" i="74" s="1"/>
  <c r="U117" i="74"/>
  <c r="U149" i="74" s="1"/>
  <c r="J22" i="65"/>
  <c r="J77" i="41"/>
  <c r="AL81" i="41"/>
  <c r="AL26" i="65"/>
  <c r="AL116" i="65" s="1"/>
  <c r="V42" i="41"/>
  <c r="U42" i="41"/>
  <c r="R42" i="41"/>
  <c r="T42" i="41"/>
  <c r="S42" i="41"/>
  <c r="AM21" i="65"/>
  <c r="AM76" i="41"/>
  <c r="AH20" i="65"/>
  <c r="AH75" i="41"/>
  <c r="J26" i="65"/>
  <c r="J116" i="65" s="1"/>
  <c r="J38" i="82" s="1"/>
  <c r="K80" i="41"/>
  <c r="K25" i="65"/>
  <c r="K115" i="65" s="1"/>
  <c r="Q256" i="73"/>
  <c r="Q24" i="41" s="1"/>
  <c r="AG44" i="41" s="1"/>
  <c r="Q121" i="74"/>
  <c r="Q153" i="74" s="1"/>
  <c r="O121" i="74"/>
  <c r="O153" i="74" s="1"/>
  <c r="M121" i="74"/>
  <c r="M153" i="74" s="1"/>
  <c r="W121" i="74"/>
  <c r="W153" i="74" s="1"/>
  <c r="U121" i="74"/>
  <c r="U153" i="74" s="1"/>
  <c r="S121" i="74"/>
  <c r="S153" i="74" s="1"/>
  <c r="X121" i="74"/>
  <c r="X153" i="74" s="1"/>
  <c r="Y121" i="74"/>
  <c r="Y153" i="74" s="1"/>
  <c r="N121" i="74"/>
  <c r="N153" i="74" s="1"/>
  <c r="K121" i="74"/>
  <c r="K153" i="74" s="1"/>
  <c r="V121" i="74"/>
  <c r="V153" i="74" s="1"/>
  <c r="R121" i="74"/>
  <c r="R153" i="74" s="1"/>
  <c r="P121" i="74"/>
  <c r="P153" i="74" s="1"/>
  <c r="T121" i="74"/>
  <c r="T153" i="74" s="1"/>
  <c r="AK20" i="65"/>
  <c r="AK75" i="41"/>
  <c r="AL76" i="41"/>
  <c r="AL21" i="65"/>
  <c r="AK21" i="65"/>
  <c r="AK76" i="41"/>
  <c r="V136" i="65"/>
  <c r="V165" i="65" s="1"/>
  <c r="V70" i="105" s="1"/>
  <c r="P256" i="73"/>
  <c r="P24" i="41" s="1"/>
  <c r="U40" i="41"/>
  <c r="R40" i="41"/>
  <c r="V40" i="41"/>
  <c r="T40" i="41"/>
  <c r="S40" i="41"/>
  <c r="T45" i="41"/>
  <c r="R45" i="41"/>
  <c r="V45" i="41"/>
  <c r="U45" i="41"/>
  <c r="S45" i="41"/>
  <c r="J80" i="41"/>
  <c r="J25" i="65"/>
  <c r="J115" i="65" s="1"/>
  <c r="AO77" i="41"/>
  <c r="AO22" i="65"/>
  <c r="L122" i="74"/>
  <c r="L154" i="74" s="1"/>
  <c r="J122" i="74"/>
  <c r="J154" i="74" s="1"/>
  <c r="AH21" i="65"/>
  <c r="AH76" i="41"/>
  <c r="AO26" i="65"/>
  <c r="AO116" i="65" s="1"/>
  <c r="AO127" i="65" s="1"/>
  <c r="AO156" i="65" s="1"/>
  <c r="AO61" i="105" s="1"/>
  <c r="AO101" i="105" s="1"/>
  <c r="AO81" i="41"/>
  <c r="AJ20" i="65"/>
  <c r="AJ75" i="41"/>
  <c r="AN22" i="65"/>
  <c r="AN77" i="41"/>
  <c r="Q77" i="41"/>
  <c r="Q22" i="65"/>
  <c r="AH26" i="65"/>
  <c r="AH116" i="65" s="1"/>
  <c r="AH81" i="41"/>
  <c r="J120" i="74"/>
  <c r="J152" i="74" s="1"/>
  <c r="L120" i="74"/>
  <c r="L152" i="74" s="1"/>
  <c r="N256" i="73"/>
  <c r="N24" i="41" s="1"/>
  <c r="Q25" i="65"/>
  <c r="Q115" i="65" s="1"/>
  <c r="Q80" i="41"/>
  <c r="AO76" i="41"/>
  <c r="AO21" i="65"/>
  <c r="M46" i="41"/>
  <c r="O46" i="41"/>
  <c r="P46" i="41"/>
  <c r="L46" i="41"/>
  <c r="N46" i="41"/>
  <c r="K20" i="65"/>
  <c r="K75" i="41"/>
  <c r="AG81" i="41"/>
  <c r="AG26" i="65"/>
  <c r="AG116" i="65" s="1"/>
  <c r="L115" i="74"/>
  <c r="L147" i="74" s="1"/>
  <c r="J115" i="74"/>
  <c r="J147" i="74" s="1"/>
  <c r="L25" i="65"/>
  <c r="L115" i="65" s="1"/>
  <c r="L80" i="41"/>
  <c r="P116" i="74"/>
  <c r="P148" i="74" s="1"/>
  <c r="T116" i="74"/>
  <c r="T148" i="74" s="1"/>
  <c r="X116" i="74"/>
  <c r="X148" i="74" s="1"/>
  <c r="S116" i="74"/>
  <c r="S148" i="74" s="1"/>
  <c r="U116" i="74"/>
  <c r="U148" i="74" s="1"/>
  <c r="Q116" i="74"/>
  <c r="Q148" i="74" s="1"/>
  <c r="K116" i="74"/>
  <c r="K148" i="74" s="1"/>
  <c r="R116" i="74"/>
  <c r="R148" i="74" s="1"/>
  <c r="N116" i="74"/>
  <c r="N148" i="74" s="1"/>
  <c r="O116" i="74"/>
  <c r="O148" i="74" s="1"/>
  <c r="Y116" i="74"/>
  <c r="Y148" i="74" s="1"/>
  <c r="M116" i="74"/>
  <c r="M148" i="74" s="1"/>
  <c r="V116" i="74"/>
  <c r="V148" i="74" s="1"/>
  <c r="W116" i="74"/>
  <c r="W148" i="74" s="1"/>
  <c r="Q21" i="65"/>
  <c r="Q76" i="41"/>
  <c r="AI26" i="65"/>
  <c r="AI116" i="65" s="1"/>
  <c r="AI81" i="41"/>
  <c r="M40" i="41"/>
  <c r="L40" i="41"/>
  <c r="P40" i="41"/>
  <c r="N40" i="41"/>
  <c r="O40" i="41"/>
  <c r="AM22" i="65"/>
  <c r="AM77" i="41"/>
  <c r="AJ26" i="65"/>
  <c r="AJ116" i="65" s="1"/>
  <c r="AJ81" i="41"/>
  <c r="AK22" i="65"/>
  <c r="AK77" i="41"/>
  <c r="X45" i="41"/>
  <c r="Y45" i="41"/>
  <c r="Z45" i="41"/>
  <c r="W45" i="41"/>
  <c r="AA45" i="41"/>
  <c r="T41" i="41"/>
  <c r="R41" i="41"/>
  <c r="V41" i="41"/>
  <c r="U41" i="41"/>
  <c r="S41" i="41"/>
  <c r="J119" i="74"/>
  <c r="J151" i="74" s="1"/>
  <c r="L119" i="74"/>
  <c r="L151" i="74" s="1"/>
  <c r="L42" i="41"/>
  <c r="P42" i="41"/>
  <c r="M42" i="41"/>
  <c r="O42" i="41"/>
  <c r="N42" i="41"/>
  <c r="K256" i="73"/>
  <c r="K24" i="41" s="1"/>
  <c r="K44" i="41" s="1"/>
  <c r="L256" i="73"/>
  <c r="L24" i="41" s="1"/>
  <c r="AJ22" i="65"/>
  <c r="AJ77" i="41"/>
  <c r="M80" i="41"/>
  <c r="M25" i="65"/>
  <c r="M115" i="65" s="1"/>
  <c r="AM26" i="65"/>
  <c r="AM116" i="65" s="1"/>
  <c r="AM127" i="65" s="1"/>
  <c r="AM156" i="65" s="1"/>
  <c r="AM61" i="105" s="1"/>
  <c r="AM101" i="105" s="1"/>
  <c r="AM81" i="41"/>
  <c r="K76" i="41"/>
  <c r="K21" i="65"/>
  <c r="L121" i="74"/>
  <c r="L153" i="74" s="1"/>
  <c r="J121" i="74"/>
  <c r="J153" i="74" s="1"/>
  <c r="AG25" i="65"/>
  <c r="AG115" i="65" s="1"/>
  <c r="AG80" i="41"/>
  <c r="Z40" i="41"/>
  <c r="W40" i="41"/>
  <c r="Y40" i="41"/>
  <c r="X40" i="41"/>
  <c r="AA40" i="41"/>
  <c r="L117" i="74"/>
  <c r="L149" i="74" s="1"/>
  <c r="J117" i="74"/>
  <c r="J149" i="74" s="1"/>
  <c r="N41" i="41"/>
  <c r="L41" i="41"/>
  <c r="O41" i="41"/>
  <c r="M41" i="41"/>
  <c r="P41" i="41"/>
  <c r="O119" i="74"/>
  <c r="O151" i="74" s="1"/>
  <c r="Q119" i="74"/>
  <c r="Q151" i="74" s="1"/>
  <c r="N119" i="74"/>
  <c r="N151" i="74" s="1"/>
  <c r="U119" i="74"/>
  <c r="U151" i="74" s="1"/>
  <c r="T119" i="74"/>
  <c r="T151" i="74" s="1"/>
  <c r="X119" i="74"/>
  <c r="X151" i="74" s="1"/>
  <c r="W119" i="74"/>
  <c r="W151" i="74" s="1"/>
  <c r="S119" i="74"/>
  <c r="S151" i="74" s="1"/>
  <c r="P119" i="74"/>
  <c r="P151" i="74" s="1"/>
  <c r="R119" i="74"/>
  <c r="R151" i="74" s="1"/>
  <c r="Y119" i="74"/>
  <c r="Y151" i="74" s="1"/>
  <c r="K119" i="74"/>
  <c r="K151" i="74" s="1"/>
  <c r="M119" i="74"/>
  <c r="M151" i="74" s="1"/>
  <c r="V119" i="74"/>
  <c r="V151" i="74" s="1"/>
  <c r="V115" i="74"/>
  <c r="V147" i="74" s="1"/>
  <c r="Y115" i="74"/>
  <c r="Y147" i="74" s="1"/>
  <c r="K115" i="74"/>
  <c r="K147" i="74" s="1"/>
  <c r="N115" i="74"/>
  <c r="N147" i="74" s="1"/>
  <c r="M115" i="74"/>
  <c r="M147" i="74" s="1"/>
  <c r="S115" i="74"/>
  <c r="S147" i="74" s="1"/>
  <c r="O115" i="74"/>
  <c r="O147" i="74" s="1"/>
  <c r="X115" i="74"/>
  <c r="X147" i="74" s="1"/>
  <c r="R115" i="74"/>
  <c r="R147" i="74" s="1"/>
  <c r="P115" i="74"/>
  <c r="P147" i="74" s="1"/>
  <c r="Q115" i="74"/>
  <c r="Q147" i="74" s="1"/>
  <c r="T115" i="74"/>
  <c r="T147" i="74" s="1"/>
  <c r="W115" i="74"/>
  <c r="W147" i="74" s="1"/>
  <c r="U115" i="74"/>
  <c r="U147" i="74" s="1"/>
  <c r="AG75" i="41"/>
  <c r="AG20" i="65"/>
  <c r="AG21" i="65"/>
  <c r="AG76" i="41"/>
  <c r="AC45" i="41"/>
  <c r="AE45" i="41"/>
  <c r="AF45" i="41"/>
  <c r="AD45" i="41"/>
  <c r="AB45" i="41"/>
  <c r="AA46" i="41"/>
  <c r="W46" i="41"/>
  <c r="X46" i="41"/>
  <c r="Z46" i="41"/>
  <c r="Y46" i="41"/>
  <c r="X120" i="74"/>
  <c r="X152" i="74" s="1"/>
  <c r="M120" i="74"/>
  <c r="M152" i="74" s="1"/>
  <c r="U120" i="74"/>
  <c r="U152" i="74" s="1"/>
  <c r="T120" i="74"/>
  <c r="T152" i="74" s="1"/>
  <c r="R120" i="74"/>
  <c r="R152" i="74" s="1"/>
  <c r="V120" i="74"/>
  <c r="V152" i="74" s="1"/>
  <c r="S120" i="74"/>
  <c r="S152" i="74" s="1"/>
  <c r="N120" i="74"/>
  <c r="N152" i="74" s="1"/>
  <c r="Q120" i="74"/>
  <c r="Q152" i="74" s="1"/>
  <c r="W120" i="74"/>
  <c r="W152" i="74" s="1"/>
  <c r="P120" i="74"/>
  <c r="P152" i="74" s="1"/>
  <c r="K120" i="74"/>
  <c r="K152" i="74" s="1"/>
  <c r="O120" i="74"/>
  <c r="O152" i="74" s="1"/>
  <c r="Y120" i="74"/>
  <c r="Y152" i="74" s="1"/>
  <c r="H239" i="83"/>
  <c r="H241" i="83" s="1"/>
  <c r="V38" i="82"/>
  <c r="AH22" i="65"/>
  <c r="AH77" i="41"/>
  <c r="AI22" i="65"/>
  <c r="AI77" i="41"/>
  <c r="Q75" i="41"/>
  <c r="Q20" i="65"/>
  <c r="O256" i="73"/>
  <c r="O24" i="41" s="1"/>
  <c r="W122" i="74"/>
  <c r="W154" i="74" s="1"/>
  <c r="V122" i="74"/>
  <c r="V154" i="74" s="1"/>
  <c r="X122" i="74"/>
  <c r="X154" i="74" s="1"/>
  <c r="N122" i="74"/>
  <c r="N154" i="74" s="1"/>
  <c r="Q122" i="74"/>
  <c r="Q154" i="74" s="1"/>
  <c r="Y122" i="74"/>
  <c r="Y154" i="74" s="1"/>
  <c r="T122" i="74"/>
  <c r="T154" i="74" s="1"/>
  <c r="R122" i="74"/>
  <c r="R154" i="74" s="1"/>
  <c r="S122" i="74"/>
  <c r="S154" i="74" s="1"/>
  <c r="K122" i="74"/>
  <c r="K154" i="74" s="1"/>
  <c r="U122" i="74"/>
  <c r="U154" i="74" s="1"/>
  <c r="O122" i="74"/>
  <c r="O154" i="74" s="1"/>
  <c r="P122" i="74"/>
  <c r="P154" i="74" s="1"/>
  <c r="M122" i="74"/>
  <c r="M154" i="74" s="1"/>
  <c r="AE41" i="41"/>
  <c r="AC41" i="41"/>
  <c r="AB41" i="41"/>
  <c r="AF41" i="41"/>
  <c r="AD41" i="41"/>
  <c r="J114" i="74"/>
  <c r="J146" i="74" s="1"/>
  <c r="L114" i="74"/>
  <c r="L146" i="74" s="1"/>
  <c r="AF46" i="41"/>
  <c r="AD46" i="41"/>
  <c r="AC46" i="41"/>
  <c r="AB46" i="41"/>
  <c r="AE46" i="41"/>
  <c r="AO75" i="41"/>
  <c r="AO20" i="65"/>
  <c r="P114" i="74"/>
  <c r="P146" i="74" s="1"/>
  <c r="Y114" i="74"/>
  <c r="Y146" i="74" s="1"/>
  <c r="K114" i="74"/>
  <c r="K146" i="74" s="1"/>
  <c r="O114" i="74"/>
  <c r="O146" i="74" s="1"/>
  <c r="R114" i="74"/>
  <c r="R146" i="74" s="1"/>
  <c r="S114" i="74"/>
  <c r="S146" i="74" s="1"/>
  <c r="N114" i="74"/>
  <c r="N146" i="74" s="1"/>
  <c r="X114" i="74"/>
  <c r="X146" i="74" s="1"/>
  <c r="Q114" i="74"/>
  <c r="Q146" i="74" s="1"/>
  <c r="U114" i="74"/>
  <c r="U146" i="74" s="1"/>
  <c r="V114" i="74"/>
  <c r="V146" i="74" s="1"/>
  <c r="W114" i="74"/>
  <c r="W146" i="74" s="1"/>
  <c r="T114" i="74"/>
  <c r="T146" i="74" s="1"/>
  <c r="M114" i="74"/>
  <c r="M146" i="74" s="1"/>
  <c r="J141" i="71"/>
  <c r="J217" i="71" s="1"/>
  <c r="J20" i="41" s="1"/>
  <c r="J40" i="41" s="1"/>
  <c r="AJ21" i="65"/>
  <c r="AJ76" i="41"/>
  <c r="H291" i="73" a="1"/>
  <c r="H291" i="73" s="1"/>
  <c r="H295" i="73" s="1"/>
  <c r="U26" i="65" l="1"/>
  <c r="U116" i="65" s="1"/>
  <c r="H223" i="71" a="1"/>
  <c r="H223" i="71" s="1"/>
  <c r="J48" i="55" s="1"/>
  <c r="J145" i="65"/>
  <c r="J174" i="65" s="1"/>
  <c r="J79" i="105" s="1"/>
  <c r="S26" i="65"/>
  <c r="S116" i="65" s="1"/>
  <c r="S81" i="41"/>
  <c r="U136" i="65"/>
  <c r="U165" i="65" s="1"/>
  <c r="U70" i="105" s="1"/>
  <c r="O80" i="41"/>
  <c r="U127" i="65"/>
  <c r="U156" i="65" s="1"/>
  <c r="U61" i="105" s="1"/>
  <c r="U101" i="105" s="1"/>
  <c r="A4" i="72"/>
  <c r="T81" i="41"/>
  <c r="T26" i="65"/>
  <c r="T116" i="65" s="1"/>
  <c r="Q24" i="65"/>
  <c r="Q114" i="65" s="1"/>
  <c r="Q125" i="65" s="1"/>
  <c r="Q154" i="65" s="1"/>
  <c r="Q59" i="105" s="1"/>
  <c r="Q99" i="105" s="1"/>
  <c r="AN145" i="65"/>
  <c r="AN174" i="65" s="1"/>
  <c r="AN79" i="105" s="1"/>
  <c r="AN127" i="65"/>
  <c r="AN156" i="65" s="1"/>
  <c r="AN61" i="105" s="1"/>
  <c r="AN101" i="105" s="1"/>
  <c r="AL38" i="82"/>
  <c r="V127" i="65"/>
  <c r="V156" i="65" s="1"/>
  <c r="V61" i="105" s="1"/>
  <c r="V101" i="105" s="1"/>
  <c r="P25" i="65"/>
  <c r="P115" i="65" s="1"/>
  <c r="P126" i="65" s="1"/>
  <c r="P155" i="65" s="1"/>
  <c r="P60" i="105" s="1"/>
  <c r="P100" i="105" s="1"/>
  <c r="R81" i="41"/>
  <c r="R26" i="65"/>
  <c r="R116" i="65" s="1"/>
  <c r="J127" i="65"/>
  <c r="J156" i="65" s="1"/>
  <c r="J61" i="105" s="1"/>
  <c r="J101" i="105" s="1"/>
  <c r="N80" i="41"/>
  <c r="J136" i="65"/>
  <c r="J165" i="65" s="1"/>
  <c r="J70" i="105" s="1"/>
  <c r="L161" i="74"/>
  <c r="L23" i="41" s="1"/>
  <c r="M43" i="41" s="1"/>
  <c r="J79" i="41"/>
  <c r="U161" i="74"/>
  <c r="U23" i="41" s="1"/>
  <c r="AK43" i="41" s="1"/>
  <c r="AK23" i="65" s="1"/>
  <c r="Y161" i="74"/>
  <c r="Y23" i="41" s="1"/>
  <c r="AO43" i="41" s="1"/>
  <c r="AO78" i="41" s="1"/>
  <c r="AO82" i="41" s="1"/>
  <c r="V76" i="41"/>
  <c r="V21" i="65"/>
  <c r="U44" i="41"/>
  <c r="R44" i="41"/>
  <c r="S44" i="41"/>
  <c r="T44" i="41"/>
  <c r="V44" i="41"/>
  <c r="K37" i="82"/>
  <c r="K135" i="65"/>
  <c r="K164" i="65" s="1"/>
  <c r="K69" i="105" s="1"/>
  <c r="K110" i="105" s="1"/>
  <c r="K144" i="65"/>
  <c r="K173" i="65" s="1"/>
  <c r="K78" i="105" s="1"/>
  <c r="K120" i="105" s="1"/>
  <c r="K126" i="65"/>
  <c r="K155" i="65" s="1"/>
  <c r="K60" i="105" s="1"/>
  <c r="K100" i="105" s="1"/>
  <c r="T77" i="41"/>
  <c r="T22" i="65"/>
  <c r="Z21" i="65"/>
  <c r="Z76" i="41"/>
  <c r="W22" i="65"/>
  <c r="W77" i="41"/>
  <c r="V80" i="41"/>
  <c r="V25" i="65"/>
  <c r="V115" i="65" s="1"/>
  <c r="Y21" i="65"/>
  <c r="Y76" i="41"/>
  <c r="AB22" i="65"/>
  <c r="AB77" i="41"/>
  <c r="X81" i="41"/>
  <c r="X26" i="65"/>
  <c r="X116" i="65" s="1"/>
  <c r="V188" i="105"/>
  <c r="V111" i="105"/>
  <c r="W21" i="65"/>
  <c r="W76" i="41"/>
  <c r="AA22" i="65"/>
  <c r="AA77" i="41"/>
  <c r="W81" i="41"/>
  <c r="W26" i="65"/>
  <c r="W116" i="65" s="1"/>
  <c r="AA75" i="41"/>
  <c r="AA20" i="65"/>
  <c r="J20" i="65"/>
  <c r="J75" i="41"/>
  <c r="N161" i="74"/>
  <c r="N23" i="41" s="1"/>
  <c r="AD76" i="41"/>
  <c r="AD21" i="65"/>
  <c r="AA81" i="41"/>
  <c r="AA26" i="65"/>
  <c r="AA116" i="65" s="1"/>
  <c r="O21" i="65"/>
  <c r="O76" i="41"/>
  <c r="X20" i="65"/>
  <c r="X75" i="41"/>
  <c r="M44" i="41"/>
  <c r="O44" i="41"/>
  <c r="P44" i="41"/>
  <c r="L44" i="41"/>
  <c r="N44" i="41"/>
  <c r="J143" i="65"/>
  <c r="J172" i="65" s="1"/>
  <c r="J77" i="105" s="1"/>
  <c r="J134" i="65"/>
  <c r="J163" i="65" s="1"/>
  <c r="J68" i="105" s="1"/>
  <c r="J36" i="82"/>
  <c r="J125" i="65"/>
  <c r="J154" i="65" s="1"/>
  <c r="J59" i="105" s="1"/>
  <c r="J99" i="105" s="1"/>
  <c r="AA80" i="41"/>
  <c r="AA25" i="65"/>
  <c r="AA115" i="65" s="1"/>
  <c r="AJ136" i="65"/>
  <c r="AJ165" i="65" s="1"/>
  <c r="AJ70" i="105" s="1"/>
  <c r="AJ38" i="82"/>
  <c r="AJ127" i="65"/>
  <c r="AJ156" i="65" s="1"/>
  <c r="AJ61" i="105" s="1"/>
  <c r="AJ101" i="105" s="1"/>
  <c r="AJ145" i="65"/>
  <c r="AJ174" i="65" s="1"/>
  <c r="AJ79" i="105" s="1"/>
  <c r="AG136" i="65"/>
  <c r="AG165" i="65" s="1"/>
  <c r="AG70" i="105" s="1"/>
  <c r="AG38" i="82"/>
  <c r="AG127" i="65"/>
  <c r="AG156" i="65" s="1"/>
  <c r="AG61" i="105" s="1"/>
  <c r="AG101" i="105" s="1"/>
  <c r="AG145" i="65"/>
  <c r="AG174" i="65" s="1"/>
  <c r="AG79" i="105" s="1"/>
  <c r="M81" i="41"/>
  <c r="M26" i="65"/>
  <c r="M116" i="65" s="1"/>
  <c r="S75" i="41"/>
  <c r="S20" i="65"/>
  <c r="R22" i="65"/>
  <c r="R77" i="41"/>
  <c r="X21" i="65"/>
  <c r="X76" i="41"/>
  <c r="AD20" i="65"/>
  <c r="AD75" i="41"/>
  <c r="Z22" i="65"/>
  <c r="Z77" i="41"/>
  <c r="AF81" i="41"/>
  <c r="AF26" i="65"/>
  <c r="AF116" i="65" s="1"/>
  <c r="A4" i="83"/>
  <c r="J46" i="55"/>
  <c r="AG126" i="65"/>
  <c r="AG155" i="65" s="1"/>
  <c r="AG60" i="105" s="1"/>
  <c r="AG100" i="105" s="1"/>
  <c r="AG144" i="65"/>
  <c r="AG173" i="65" s="1"/>
  <c r="AG78" i="105" s="1"/>
  <c r="AG37" i="82"/>
  <c r="AG135" i="65"/>
  <c r="AG164" i="65" s="1"/>
  <c r="AG69" i="105" s="1"/>
  <c r="P22" i="65"/>
  <c r="P77" i="41"/>
  <c r="P20" i="65"/>
  <c r="P75" i="41"/>
  <c r="L126" i="65"/>
  <c r="L155" i="65" s="1"/>
  <c r="L60" i="105" s="1"/>
  <c r="L100" i="105" s="1"/>
  <c r="L37" i="82"/>
  <c r="L144" i="65"/>
  <c r="L173" i="65" s="1"/>
  <c r="L78" i="105" s="1"/>
  <c r="L120" i="105" s="1"/>
  <c r="L135" i="65"/>
  <c r="L164" i="65" s="1"/>
  <c r="L69" i="105" s="1"/>
  <c r="L110" i="105" s="1"/>
  <c r="L26" i="65"/>
  <c r="L116" i="65" s="1"/>
  <c r="L81" i="41"/>
  <c r="AC44" i="41"/>
  <c r="AE44" i="41"/>
  <c r="AB44" i="41"/>
  <c r="AF44" i="41"/>
  <c r="AD44" i="41"/>
  <c r="P161" i="74"/>
  <c r="P23" i="41" s="1"/>
  <c r="L22" i="65"/>
  <c r="L77" i="41"/>
  <c r="R21" i="65"/>
  <c r="R76" i="41"/>
  <c r="L75" i="41"/>
  <c r="L20" i="65"/>
  <c r="P81" i="41"/>
  <c r="P26" i="65"/>
  <c r="P116" i="65" s="1"/>
  <c r="O37" i="82"/>
  <c r="O126" i="65"/>
  <c r="O155" i="65" s="1"/>
  <c r="O60" i="105" s="1"/>
  <c r="O100" i="105" s="1"/>
  <c r="O144" i="65"/>
  <c r="O173" i="65" s="1"/>
  <c r="O78" i="105" s="1"/>
  <c r="O135" i="65"/>
  <c r="O164" i="65" s="1"/>
  <c r="O69" i="105" s="1"/>
  <c r="J161" i="74"/>
  <c r="J23" i="41" s="1"/>
  <c r="J43" i="41" s="1"/>
  <c r="M75" i="41"/>
  <c r="M20" i="65"/>
  <c r="O81" i="41"/>
  <c r="O26" i="65"/>
  <c r="O116" i="65" s="1"/>
  <c r="T80" i="41"/>
  <c r="T25" i="65"/>
  <c r="T115" i="65" s="1"/>
  <c r="M161" i="74"/>
  <c r="M23" i="41" s="1"/>
  <c r="Q43" i="41" s="1"/>
  <c r="Y20" i="65"/>
  <c r="Y75" i="41"/>
  <c r="K24" i="65"/>
  <c r="K114" i="65" s="1"/>
  <c r="K79" i="41"/>
  <c r="W25" i="65"/>
  <c r="W115" i="65" s="1"/>
  <c r="W80" i="41"/>
  <c r="AI127" i="65"/>
  <c r="AI156" i="65" s="1"/>
  <c r="AI61" i="105" s="1"/>
  <c r="AI101" i="105" s="1"/>
  <c r="AI38" i="82"/>
  <c r="AI145" i="65"/>
  <c r="AI174" i="65" s="1"/>
  <c r="AI79" i="105" s="1"/>
  <c r="AI121" i="105" s="1"/>
  <c r="AH136" i="65"/>
  <c r="AH165" i="65" s="1"/>
  <c r="AH70" i="105" s="1"/>
  <c r="AH111" i="105" s="1"/>
  <c r="AH127" i="65"/>
  <c r="AH156" i="65" s="1"/>
  <c r="AH61" i="105" s="1"/>
  <c r="AH101" i="105" s="1"/>
  <c r="AH145" i="65"/>
  <c r="AH174" i="65" s="1"/>
  <c r="AH79" i="105" s="1"/>
  <c r="AH121" i="105" s="1"/>
  <c r="AH38" i="82"/>
  <c r="J37" i="82"/>
  <c r="J126" i="65"/>
  <c r="J155" i="65" s="1"/>
  <c r="J60" i="105" s="1"/>
  <c r="J100" i="105" s="1"/>
  <c r="J135" i="65"/>
  <c r="J164" i="65" s="1"/>
  <c r="J69" i="105" s="1"/>
  <c r="J144" i="65"/>
  <c r="J173" i="65" s="1"/>
  <c r="J78" i="105" s="1"/>
  <c r="T20" i="65"/>
  <c r="T75" i="41"/>
  <c r="U77" i="41"/>
  <c r="U22" i="65"/>
  <c r="AA21" i="65"/>
  <c r="AA76" i="41"/>
  <c r="AB20" i="65"/>
  <c r="AB75" i="41"/>
  <c r="AE77" i="41"/>
  <c r="AE22" i="65"/>
  <c r="Y77" i="41"/>
  <c r="Y22" i="65"/>
  <c r="M76" i="41"/>
  <c r="M21" i="65"/>
  <c r="S161" i="74"/>
  <c r="S23" i="41" s="1"/>
  <c r="AI43" i="41" s="1"/>
  <c r="AE26" i="65"/>
  <c r="AE116" i="65" s="1"/>
  <c r="AE81" i="41"/>
  <c r="AF21" i="65"/>
  <c r="AF76" i="41"/>
  <c r="N37" i="82"/>
  <c r="N126" i="65"/>
  <c r="N155" i="65" s="1"/>
  <c r="N60" i="105" s="1"/>
  <c r="N100" i="105" s="1"/>
  <c r="N144" i="65"/>
  <c r="N173" i="65" s="1"/>
  <c r="N78" i="105" s="1"/>
  <c r="N135" i="65"/>
  <c r="N164" i="65" s="1"/>
  <c r="N69" i="105" s="1"/>
  <c r="T161" i="74"/>
  <c r="T23" i="41" s="1"/>
  <c r="AJ43" i="41" s="1"/>
  <c r="R161" i="74"/>
  <c r="R23" i="41" s="1"/>
  <c r="AH43" i="41" s="1"/>
  <c r="AB26" i="65"/>
  <c r="AB116" i="65" s="1"/>
  <c r="AB81" i="41"/>
  <c r="AB21" i="65"/>
  <c r="AB76" i="41"/>
  <c r="AD80" i="41"/>
  <c r="AD25" i="65"/>
  <c r="AD115" i="65" s="1"/>
  <c r="N21" i="65"/>
  <c r="N76" i="41"/>
  <c r="W75" i="41"/>
  <c r="W20" i="65"/>
  <c r="N22" i="65"/>
  <c r="N77" i="41"/>
  <c r="Z25" i="65"/>
  <c r="Z115" i="65" s="1"/>
  <c r="Z80" i="41"/>
  <c r="V20" i="65"/>
  <c r="V75" i="41"/>
  <c r="V22" i="65"/>
  <c r="V77" i="41"/>
  <c r="AF75" i="41"/>
  <c r="AF20" i="65"/>
  <c r="AD22" i="65"/>
  <c r="AD77" i="41"/>
  <c r="X77" i="41"/>
  <c r="X22" i="65"/>
  <c r="AK78" i="41"/>
  <c r="AK82" i="41" s="1"/>
  <c r="Z26" i="65"/>
  <c r="Z116" i="65" s="1"/>
  <c r="Z81" i="41"/>
  <c r="AC80" i="41"/>
  <c r="AC25" i="65"/>
  <c r="AC115" i="65" s="1"/>
  <c r="Q161" i="74"/>
  <c r="Q23" i="41" s="1"/>
  <c r="AG43" i="41" s="1"/>
  <c r="P21" i="65"/>
  <c r="P76" i="41"/>
  <c r="R25" i="65"/>
  <c r="R115" i="65" s="1"/>
  <c r="R80" i="41"/>
  <c r="S77" i="41"/>
  <c r="S22" i="65"/>
  <c r="X161" i="74"/>
  <c r="X23" i="41" s="1"/>
  <c r="AN43" i="41" s="1"/>
  <c r="T76" i="41"/>
  <c r="T21" i="65"/>
  <c r="AB25" i="65"/>
  <c r="AB115" i="65" s="1"/>
  <c r="AB80" i="41"/>
  <c r="L21" i="65"/>
  <c r="L76" i="41"/>
  <c r="W161" i="74"/>
  <c r="W23" i="41" s="1"/>
  <c r="AM43" i="41" s="1"/>
  <c r="O161" i="74"/>
  <c r="O23" i="41" s="1"/>
  <c r="AC81" i="41"/>
  <c r="AC26" i="65"/>
  <c r="AC116" i="65" s="1"/>
  <c r="AC21" i="65"/>
  <c r="AC76" i="41"/>
  <c r="W44" i="41"/>
  <c r="Y44" i="41"/>
  <c r="X44" i="41"/>
  <c r="Z44" i="41"/>
  <c r="AA44" i="41"/>
  <c r="AF25" i="65"/>
  <c r="AF115" i="65" s="1"/>
  <c r="AF80" i="41"/>
  <c r="P135" i="65"/>
  <c r="P164" i="65" s="1"/>
  <c r="P69" i="105" s="1"/>
  <c r="P37" i="82"/>
  <c r="Z20" i="65"/>
  <c r="Z75" i="41"/>
  <c r="O22" i="65"/>
  <c r="O77" i="41"/>
  <c r="S21" i="65"/>
  <c r="S76" i="41"/>
  <c r="Y25" i="65"/>
  <c r="Y115" i="65" s="1"/>
  <c r="Y80" i="41"/>
  <c r="O20" i="65"/>
  <c r="O75" i="41"/>
  <c r="S25" i="65"/>
  <c r="S115" i="65" s="1"/>
  <c r="S80" i="41"/>
  <c r="R75" i="41"/>
  <c r="R20" i="65"/>
  <c r="AL145" i="65"/>
  <c r="AL174" i="65" s="1"/>
  <c r="AL79" i="105" s="1"/>
  <c r="AK38" i="82"/>
  <c r="AL127" i="65"/>
  <c r="AL156" i="65" s="1"/>
  <c r="AL61" i="105" s="1"/>
  <c r="AL101" i="105" s="1"/>
  <c r="AC20" i="65"/>
  <c r="AC75" i="41"/>
  <c r="AF22" i="65"/>
  <c r="AF77" i="41"/>
  <c r="A4" i="73"/>
  <c r="J49" i="55"/>
  <c r="V161" i="74"/>
  <c r="V23" i="41" s="1"/>
  <c r="AL43" i="41" s="1"/>
  <c r="K161" i="74"/>
  <c r="K23" i="41" s="1"/>
  <c r="K43" i="41" s="1"/>
  <c r="AD81" i="41"/>
  <c r="AD26" i="65"/>
  <c r="AD116" i="65" s="1"/>
  <c r="AE76" i="41"/>
  <c r="AE21" i="65"/>
  <c r="Y26" i="65"/>
  <c r="Y116" i="65" s="1"/>
  <c r="Y81" i="41"/>
  <c r="AE25" i="65"/>
  <c r="AE115" i="65" s="1"/>
  <c r="AE80" i="41"/>
  <c r="M126" i="65"/>
  <c r="M155" i="65" s="1"/>
  <c r="M60" i="105" s="1"/>
  <c r="M100" i="105" s="1"/>
  <c r="M37" i="82"/>
  <c r="M144" i="65"/>
  <c r="M173" i="65" s="1"/>
  <c r="M78" i="105" s="1"/>
  <c r="M135" i="65"/>
  <c r="M164" i="65" s="1"/>
  <c r="M69" i="105" s="1"/>
  <c r="M77" i="41"/>
  <c r="M22" i="65"/>
  <c r="U21" i="65"/>
  <c r="U76" i="41"/>
  <c r="X25" i="65"/>
  <c r="X115" i="65" s="1"/>
  <c r="X80" i="41"/>
  <c r="N75" i="41"/>
  <c r="N20" i="65"/>
  <c r="N26" i="65"/>
  <c r="N116" i="65" s="1"/>
  <c r="N81" i="41"/>
  <c r="Q144" i="65"/>
  <c r="Q173" i="65" s="1"/>
  <c r="Q78" i="105" s="1"/>
  <c r="Q120" i="105" s="1"/>
  <c r="Q135" i="65"/>
  <c r="Q164" i="65" s="1"/>
  <c r="Q69" i="105" s="1"/>
  <c r="Q110" i="105" s="1"/>
  <c r="Q37" i="82"/>
  <c r="Q126" i="65"/>
  <c r="Q155" i="65" s="1"/>
  <c r="Q60" i="105" s="1"/>
  <c r="Q100" i="105" s="1"/>
  <c r="U80" i="41"/>
  <c r="U25" i="65"/>
  <c r="U115" i="65" s="1"/>
  <c r="U20" i="65"/>
  <c r="U75" i="41"/>
  <c r="AG24" i="65"/>
  <c r="AG114" i="65" s="1"/>
  <c r="AG79" i="41"/>
  <c r="K145" i="65"/>
  <c r="K174" i="65" s="1"/>
  <c r="K79" i="105" s="1"/>
  <c r="K121" i="105" s="1"/>
  <c r="K38" i="82"/>
  <c r="K136" i="65"/>
  <c r="K165" i="65" s="1"/>
  <c r="K70" i="105" s="1"/>
  <c r="K111" i="105" s="1"/>
  <c r="K127" i="65"/>
  <c r="K156" i="65" s="1"/>
  <c r="K61" i="105" s="1"/>
  <c r="K101" i="105" s="1"/>
  <c r="AE20" i="65"/>
  <c r="AE75" i="41"/>
  <c r="AC22" i="65"/>
  <c r="AC77" i="41"/>
  <c r="U188" i="105"/>
  <c r="U111" i="105"/>
  <c r="J188" i="105"/>
  <c r="J111" i="105"/>
  <c r="J121" i="105"/>
  <c r="J199" i="105"/>
  <c r="AO23" i="65" l="1"/>
  <c r="U38" i="82"/>
  <c r="U145" i="65"/>
  <c r="U174" i="65" s="1"/>
  <c r="U79" i="105" s="1"/>
  <c r="A4" i="71"/>
  <c r="Q143" i="65"/>
  <c r="Q172" i="65" s="1"/>
  <c r="Q77" i="105" s="1"/>
  <c r="Q119" i="105" s="1"/>
  <c r="Q134" i="65"/>
  <c r="Q163" i="65" s="1"/>
  <c r="Q68" i="105" s="1"/>
  <c r="Q109" i="105" s="1"/>
  <c r="Q36" i="82"/>
  <c r="P144" i="65"/>
  <c r="P173" i="65" s="1"/>
  <c r="P78" i="105" s="1"/>
  <c r="P198" i="105" s="1"/>
  <c r="S136" i="65"/>
  <c r="S165" i="65" s="1"/>
  <c r="S70" i="105" s="1"/>
  <c r="S127" i="65"/>
  <c r="S156" i="65" s="1"/>
  <c r="S61" i="105" s="1"/>
  <c r="S101" i="105" s="1"/>
  <c r="S38" i="82"/>
  <c r="S145" i="65"/>
  <c r="S174" i="65" s="1"/>
  <c r="S79" i="105" s="1"/>
  <c r="N43" i="41"/>
  <c r="N23" i="65" s="1"/>
  <c r="T127" i="65"/>
  <c r="T156" i="65" s="1"/>
  <c r="T61" i="105" s="1"/>
  <c r="T101" i="105" s="1"/>
  <c r="T136" i="65"/>
  <c r="T165" i="65" s="1"/>
  <c r="T70" i="105" s="1"/>
  <c r="T145" i="65"/>
  <c r="T174" i="65" s="1"/>
  <c r="T79" i="105" s="1"/>
  <c r="T38" i="82"/>
  <c r="L43" i="41"/>
  <c r="L78" i="41" s="1"/>
  <c r="O43" i="41"/>
  <c r="O78" i="41" s="1"/>
  <c r="P43" i="41"/>
  <c r="P78" i="41" s="1"/>
  <c r="AN121" i="105"/>
  <c r="AN199" i="105"/>
  <c r="R145" i="65"/>
  <c r="R174" i="65" s="1"/>
  <c r="R79" i="105" s="1"/>
  <c r="R121" i="105" s="1"/>
  <c r="R127" i="65"/>
  <c r="R156" i="65" s="1"/>
  <c r="R61" i="105" s="1"/>
  <c r="R101" i="105" s="1"/>
  <c r="R38" i="82"/>
  <c r="R136" i="65"/>
  <c r="R165" i="65" s="1"/>
  <c r="R70" i="105" s="1"/>
  <c r="R111" i="105" s="1"/>
  <c r="H165" i="74" a="1"/>
  <c r="H165" i="74" s="1"/>
  <c r="A4" i="74" s="1"/>
  <c r="H80" i="41"/>
  <c r="H77" i="41"/>
  <c r="K23" i="65"/>
  <c r="K78" i="41"/>
  <c r="K82" i="41" s="1"/>
  <c r="Z79" i="41"/>
  <c r="Z24" i="65"/>
  <c r="Z114" i="65" s="1"/>
  <c r="O198" i="105"/>
  <c r="O120" i="105"/>
  <c r="Y144" i="65"/>
  <c r="Y173" i="65" s="1"/>
  <c r="Y78" i="105" s="1"/>
  <c r="Y37" i="82"/>
  <c r="Y126" i="65"/>
  <c r="Y155" i="65" s="1"/>
  <c r="Y60" i="105" s="1"/>
  <c r="Y100" i="105" s="1"/>
  <c r="H76" i="41"/>
  <c r="AB127" i="65"/>
  <c r="AB156" i="65" s="1"/>
  <c r="AB61" i="105" s="1"/>
  <c r="AB101" i="105" s="1"/>
  <c r="AB145" i="65"/>
  <c r="AB174" i="65" s="1"/>
  <c r="AB79" i="105" s="1"/>
  <c r="AB121" i="105" s="1"/>
  <c r="AB38" i="82"/>
  <c r="O38" i="82"/>
  <c r="O145" i="65"/>
  <c r="O174" i="65" s="1"/>
  <c r="O79" i="105" s="1"/>
  <c r="O127" i="65"/>
  <c r="O156" i="65" s="1"/>
  <c r="O61" i="105" s="1"/>
  <c r="O101" i="105" s="1"/>
  <c r="O136" i="65"/>
  <c r="O165" i="65" s="1"/>
  <c r="O70" i="105" s="1"/>
  <c r="L145" i="65"/>
  <c r="L174" i="65" s="1"/>
  <c r="L79" i="105" s="1"/>
  <c r="L121" i="105" s="1"/>
  <c r="L136" i="65"/>
  <c r="L165" i="65" s="1"/>
  <c r="L70" i="105" s="1"/>
  <c r="L111" i="105" s="1"/>
  <c r="L38" i="82"/>
  <c r="L127" i="65"/>
  <c r="L156" i="65" s="1"/>
  <c r="L61" i="105" s="1"/>
  <c r="L101" i="105" s="1"/>
  <c r="N38" i="82"/>
  <c r="N127" i="65"/>
  <c r="N156" i="65" s="1"/>
  <c r="N61" i="105" s="1"/>
  <c r="N101" i="105" s="1"/>
  <c r="N136" i="65"/>
  <c r="N165" i="65" s="1"/>
  <c r="N70" i="105" s="1"/>
  <c r="N145" i="65"/>
  <c r="N174" i="65" s="1"/>
  <c r="N79" i="105" s="1"/>
  <c r="Y127" i="65"/>
  <c r="Y156" i="65" s="1"/>
  <c r="Y61" i="105" s="1"/>
  <c r="Y101" i="105" s="1"/>
  <c r="Y38" i="82"/>
  <c r="Y145" i="65"/>
  <c r="Y174" i="65" s="1"/>
  <c r="Y79" i="105" s="1"/>
  <c r="P120" i="105"/>
  <c r="W24" i="65"/>
  <c r="W114" i="65" s="1"/>
  <c r="W79" i="41"/>
  <c r="Z127" i="65"/>
  <c r="Z156" i="65" s="1"/>
  <c r="Z61" i="105" s="1"/>
  <c r="Z101" i="105" s="1"/>
  <c r="Z38" i="82"/>
  <c r="Z145" i="65"/>
  <c r="Z174" i="65" s="1"/>
  <c r="Z79" i="105" s="1"/>
  <c r="AH78" i="41"/>
  <c r="AH82" i="41" s="1"/>
  <c r="AH23" i="65"/>
  <c r="P38" i="82"/>
  <c r="P136" i="65"/>
  <c r="P165" i="65" s="1"/>
  <c r="P70" i="105" s="1"/>
  <c r="P127" i="65"/>
  <c r="P156" i="65" s="1"/>
  <c r="P61" i="105" s="1"/>
  <c r="P101" i="105" s="1"/>
  <c r="P145" i="65"/>
  <c r="P174" i="65" s="1"/>
  <c r="P79" i="105" s="1"/>
  <c r="AE43" i="41"/>
  <c r="AD43" i="41"/>
  <c r="AF43" i="41"/>
  <c r="AB43" i="41"/>
  <c r="AC43" i="41"/>
  <c r="AG187" i="105"/>
  <c r="AG110" i="105"/>
  <c r="M24" i="65"/>
  <c r="M114" i="65" s="1"/>
  <c r="M79" i="41"/>
  <c r="S24" i="65"/>
  <c r="S114" i="65" s="1"/>
  <c r="S79" i="41"/>
  <c r="X43" i="41"/>
  <c r="AA43" i="41"/>
  <c r="W43" i="41"/>
  <c r="Z43" i="41"/>
  <c r="Y43" i="41"/>
  <c r="AC144" i="65"/>
  <c r="AC173" i="65" s="1"/>
  <c r="AC78" i="105" s="1"/>
  <c r="AC126" i="65"/>
  <c r="AC155" i="65" s="1"/>
  <c r="AC60" i="105" s="1"/>
  <c r="AC100" i="105" s="1"/>
  <c r="AC37" i="82"/>
  <c r="AL199" i="105"/>
  <c r="AL121" i="105"/>
  <c r="P187" i="105"/>
  <c r="P110" i="105"/>
  <c r="Y24" i="65"/>
  <c r="Y114" i="65" s="1"/>
  <c r="Y79" i="41"/>
  <c r="W144" i="65"/>
  <c r="W173" i="65" s="1"/>
  <c r="W78" i="105" s="1"/>
  <c r="W120" i="105" s="1"/>
  <c r="W37" i="82"/>
  <c r="W126" i="65"/>
  <c r="W155" i="65" s="1"/>
  <c r="W60" i="105" s="1"/>
  <c r="W100" i="105" s="1"/>
  <c r="O24" i="65"/>
  <c r="O114" i="65" s="1"/>
  <c r="O79" i="41"/>
  <c r="T24" i="65"/>
  <c r="T114" i="65" s="1"/>
  <c r="T79" i="41"/>
  <c r="U126" i="65"/>
  <c r="U155" i="65" s="1"/>
  <c r="U60" i="105" s="1"/>
  <c r="U100" i="105" s="1"/>
  <c r="U37" i="82"/>
  <c r="U135" i="65"/>
  <c r="U164" i="65" s="1"/>
  <c r="U69" i="105" s="1"/>
  <c r="U144" i="65"/>
  <c r="U173" i="65" s="1"/>
  <c r="U78" i="105" s="1"/>
  <c r="M187" i="105"/>
  <c r="M110" i="105"/>
  <c r="R126" i="65"/>
  <c r="R155" i="65" s="1"/>
  <c r="R60" i="105" s="1"/>
  <c r="R100" i="105" s="1"/>
  <c r="R135" i="65"/>
  <c r="R164" i="65" s="1"/>
  <c r="R69" i="105" s="1"/>
  <c r="R110" i="105" s="1"/>
  <c r="R37" i="82"/>
  <c r="R144" i="65"/>
  <c r="R173" i="65" s="1"/>
  <c r="R78" i="105" s="1"/>
  <c r="R120" i="105" s="1"/>
  <c r="AJ78" i="41"/>
  <c r="AJ82" i="41" s="1"/>
  <c r="AJ23" i="65"/>
  <c r="AE145" i="65"/>
  <c r="AE174" i="65" s="1"/>
  <c r="AE79" i="105" s="1"/>
  <c r="AE127" i="65"/>
  <c r="AE156" i="65" s="1"/>
  <c r="AE61" i="105" s="1"/>
  <c r="AE101" i="105" s="1"/>
  <c r="AE38" i="82"/>
  <c r="K36" i="82"/>
  <c r="K143" i="65"/>
  <c r="K172" i="65" s="1"/>
  <c r="K77" i="105" s="1"/>
  <c r="K119" i="105" s="1"/>
  <c r="K125" i="65"/>
  <c r="K154" i="65" s="1"/>
  <c r="K59" i="105" s="1"/>
  <c r="K99" i="105" s="1"/>
  <c r="K134" i="65"/>
  <c r="K163" i="65" s="1"/>
  <c r="K68" i="105" s="1"/>
  <c r="K109" i="105" s="1"/>
  <c r="AD24" i="65"/>
  <c r="AD114" i="65" s="1"/>
  <c r="AD79" i="41"/>
  <c r="AG111" i="105"/>
  <c r="AG188" i="105"/>
  <c r="S43" i="41"/>
  <c r="T43" i="41"/>
  <c r="U43" i="41"/>
  <c r="V43" i="41"/>
  <c r="R43" i="41"/>
  <c r="M78" i="41"/>
  <c r="M23" i="65"/>
  <c r="V126" i="65"/>
  <c r="V155" i="65" s="1"/>
  <c r="V60" i="105" s="1"/>
  <c r="V100" i="105" s="1"/>
  <c r="V37" i="82"/>
  <c r="V144" i="65"/>
  <c r="V173" i="65" s="1"/>
  <c r="V78" i="105" s="1"/>
  <c r="V135" i="65"/>
  <c r="V164" i="65" s="1"/>
  <c r="V69" i="105" s="1"/>
  <c r="R79" i="41"/>
  <c r="R24" i="65"/>
  <c r="R114" i="65" s="1"/>
  <c r="M198" i="105"/>
  <c r="M120" i="105"/>
  <c r="AB144" i="65"/>
  <c r="AB173" i="65" s="1"/>
  <c r="AB78" i="105" s="1"/>
  <c r="AB120" i="105" s="1"/>
  <c r="AB126" i="65"/>
  <c r="AB155" i="65" s="1"/>
  <c r="AB60" i="105" s="1"/>
  <c r="AB100" i="105" s="1"/>
  <c r="AB37" i="82"/>
  <c r="AD126" i="65"/>
  <c r="AD155" i="65" s="1"/>
  <c r="AD60" i="105" s="1"/>
  <c r="AD100" i="105" s="1"/>
  <c r="AD37" i="82"/>
  <c r="AD144" i="65"/>
  <c r="AD173" i="65" s="1"/>
  <c r="AD78" i="105" s="1"/>
  <c r="N110" i="105"/>
  <c r="N187" i="105"/>
  <c r="AI23" i="65"/>
  <c r="AI78" i="41"/>
  <c r="AI82" i="41" s="1"/>
  <c r="AF24" i="65"/>
  <c r="AF114" i="65" s="1"/>
  <c r="AF79" i="41"/>
  <c r="AG120" i="105"/>
  <c r="AG198" i="105"/>
  <c r="AJ121" i="105"/>
  <c r="AJ199" i="105"/>
  <c r="J109" i="105"/>
  <c r="J186" i="105"/>
  <c r="H75" i="41"/>
  <c r="U79" i="41"/>
  <c r="U24" i="65"/>
  <c r="U114" i="65" s="1"/>
  <c r="AD127" i="65"/>
  <c r="AD156" i="65" s="1"/>
  <c r="AD61" i="105" s="1"/>
  <c r="AD101" i="105" s="1"/>
  <c r="AD38" i="82"/>
  <c r="AD145" i="65"/>
  <c r="AD174" i="65" s="1"/>
  <c r="AD79" i="105" s="1"/>
  <c r="J120" i="105"/>
  <c r="J198" i="105"/>
  <c r="AB79" i="41"/>
  <c r="AB24" i="65"/>
  <c r="AB114" i="65" s="1"/>
  <c r="S135" i="65"/>
  <c r="S164" i="65" s="1"/>
  <c r="S69" i="105" s="1"/>
  <c r="S37" i="82"/>
  <c r="S126" i="65"/>
  <c r="S155" i="65" s="1"/>
  <c r="S60" i="105" s="1"/>
  <c r="S100" i="105" s="1"/>
  <c r="S144" i="65"/>
  <c r="S173" i="65" s="1"/>
  <c r="S78" i="105" s="1"/>
  <c r="AF37" i="82"/>
  <c r="AF144" i="65"/>
  <c r="AF173" i="65" s="1"/>
  <c r="AF78" i="105" s="1"/>
  <c r="AF126" i="65"/>
  <c r="AF155" i="65" s="1"/>
  <c r="AF60" i="105" s="1"/>
  <c r="AF100" i="105" s="1"/>
  <c r="AC145" i="65"/>
  <c r="AC174" i="65" s="1"/>
  <c r="AC79" i="105" s="1"/>
  <c r="AC38" i="82"/>
  <c r="AC127" i="65"/>
  <c r="AC156" i="65" s="1"/>
  <c r="AC61" i="105" s="1"/>
  <c r="AC101" i="105" s="1"/>
  <c r="Z37" i="82"/>
  <c r="Z126" i="65"/>
  <c r="Z155" i="65" s="1"/>
  <c r="Z60" i="105" s="1"/>
  <c r="Z100" i="105" s="1"/>
  <c r="Z144" i="65"/>
  <c r="Z173" i="65" s="1"/>
  <c r="Z78" i="105" s="1"/>
  <c r="N120" i="105"/>
  <c r="N198" i="105"/>
  <c r="J23" i="65"/>
  <c r="J78" i="41"/>
  <c r="J119" i="105"/>
  <c r="J197" i="105"/>
  <c r="X37" i="82"/>
  <c r="X126" i="65"/>
  <c r="X155" i="65" s="1"/>
  <c r="X60" i="105" s="1"/>
  <c r="X100" i="105" s="1"/>
  <c r="X144" i="65"/>
  <c r="X173" i="65" s="1"/>
  <c r="X78" i="105" s="1"/>
  <c r="AA79" i="41"/>
  <c r="AA24" i="65"/>
  <c r="AA114" i="65" s="1"/>
  <c r="AG23" i="65"/>
  <c r="AG78" i="41"/>
  <c r="AG82" i="41" s="1"/>
  <c r="J110" i="105"/>
  <c r="J187" i="105"/>
  <c r="Q23" i="65"/>
  <c r="Q78" i="41"/>
  <c r="Q82" i="41" s="1"/>
  <c r="O110" i="105"/>
  <c r="O187" i="105"/>
  <c r="AE24" i="65"/>
  <c r="AE114" i="65" s="1"/>
  <c r="AE79" i="41"/>
  <c r="M145" i="65"/>
  <c r="M174" i="65" s="1"/>
  <c r="M79" i="105" s="1"/>
  <c r="M38" i="82"/>
  <c r="M127" i="65"/>
  <c r="M156" i="65" s="1"/>
  <c r="M61" i="105" s="1"/>
  <c r="M101" i="105" s="1"/>
  <c r="M136" i="65"/>
  <c r="M165" i="65" s="1"/>
  <c r="M70" i="105" s="1"/>
  <c r="N79" i="41"/>
  <c r="N24" i="65"/>
  <c r="N114" i="65" s="1"/>
  <c r="O23" i="65"/>
  <c r="AN23" i="65"/>
  <c r="AN78" i="41"/>
  <c r="AN82" i="41" s="1"/>
  <c r="T144" i="65"/>
  <c r="T173" i="65" s="1"/>
  <c r="T78" i="105" s="1"/>
  <c r="T135" i="65"/>
  <c r="T164" i="65" s="1"/>
  <c r="T69" i="105" s="1"/>
  <c r="T37" i="82"/>
  <c r="T126" i="65"/>
  <c r="T155" i="65" s="1"/>
  <c r="T60" i="105" s="1"/>
  <c r="T100" i="105" s="1"/>
  <c r="AC24" i="65"/>
  <c r="AC114" i="65" s="1"/>
  <c r="AC79" i="41"/>
  <c r="AJ188" i="105"/>
  <c r="AJ111" i="105"/>
  <c r="L79" i="41"/>
  <c r="L24" i="65"/>
  <c r="L114" i="65" s="1"/>
  <c r="AA38" i="82"/>
  <c r="AA127" i="65"/>
  <c r="AA156" i="65" s="1"/>
  <c r="AA61" i="105" s="1"/>
  <c r="AA101" i="105" s="1"/>
  <c r="AA145" i="65"/>
  <c r="AA174" i="65" s="1"/>
  <c r="AA79" i="105" s="1"/>
  <c r="AG36" i="82"/>
  <c r="AG125" i="65"/>
  <c r="AG154" i="65" s="1"/>
  <c r="AG59" i="105" s="1"/>
  <c r="AG99" i="105" s="1"/>
  <c r="AG134" i="65"/>
  <c r="AG163" i="65" s="1"/>
  <c r="AG68" i="105" s="1"/>
  <c r="AG143" i="65"/>
  <c r="AG172" i="65" s="1"/>
  <c r="AG77" i="105" s="1"/>
  <c r="AE37" i="82"/>
  <c r="AE126" i="65"/>
  <c r="AE155" i="65" s="1"/>
  <c r="AE60" i="105" s="1"/>
  <c r="AE100" i="105" s="1"/>
  <c r="AE144" i="65"/>
  <c r="AE173" i="65" s="1"/>
  <c r="AE78" i="105" s="1"/>
  <c r="AL23" i="65"/>
  <c r="AL78" i="41"/>
  <c r="AL82" i="41" s="1"/>
  <c r="X24" i="65"/>
  <c r="X114" i="65" s="1"/>
  <c r="X79" i="41"/>
  <c r="AM78" i="41"/>
  <c r="AM82" i="41" s="1"/>
  <c r="AM23" i="65"/>
  <c r="H81" i="41"/>
  <c r="AF145" i="65"/>
  <c r="AF174" i="65" s="1"/>
  <c r="AF79" i="105" s="1"/>
  <c r="AF38" i="82"/>
  <c r="AF127" i="65"/>
  <c r="AF156" i="65" s="1"/>
  <c r="AF61" i="105" s="1"/>
  <c r="AF101" i="105" s="1"/>
  <c r="AG121" i="105"/>
  <c r="AG199" i="105"/>
  <c r="AA37" i="82"/>
  <c r="AA126" i="65"/>
  <c r="AA155" i="65" s="1"/>
  <c r="AA60" i="105" s="1"/>
  <c r="AA100" i="105" s="1"/>
  <c r="AA144" i="65"/>
  <c r="AA173" i="65" s="1"/>
  <c r="AA78" i="105" s="1"/>
  <c r="P24" i="65"/>
  <c r="P114" i="65" s="1"/>
  <c r="P79" i="41"/>
  <c r="W38" i="82"/>
  <c r="W127" i="65"/>
  <c r="W156" i="65" s="1"/>
  <c r="W61" i="105" s="1"/>
  <c r="W101" i="105" s="1"/>
  <c r="W145" i="65"/>
  <c r="W174" i="65" s="1"/>
  <c r="W79" i="105" s="1"/>
  <c r="W121" i="105" s="1"/>
  <c r="X145" i="65"/>
  <c r="X174" i="65" s="1"/>
  <c r="X79" i="105" s="1"/>
  <c r="X38" i="82"/>
  <c r="X127" i="65"/>
  <c r="X156" i="65" s="1"/>
  <c r="X61" i="105" s="1"/>
  <c r="X101" i="105" s="1"/>
  <c r="V79" i="41"/>
  <c r="V24" i="65"/>
  <c r="V114" i="65" s="1"/>
  <c r="U199" i="105" l="1"/>
  <c r="U121" i="105"/>
  <c r="N78" i="41"/>
  <c r="N82" i="41" s="1"/>
  <c r="S121" i="105"/>
  <c r="S199" i="105"/>
  <c r="S111" i="105"/>
  <c r="S188" i="105"/>
  <c r="L23" i="65"/>
  <c r="T199" i="105"/>
  <c r="T121" i="105"/>
  <c r="P23" i="65"/>
  <c r="T188" i="105"/>
  <c r="T111" i="105"/>
  <c r="O82" i="41"/>
  <c r="M82" i="41"/>
  <c r="J51" i="55"/>
  <c r="H100" i="105"/>
  <c r="AE143" i="65"/>
  <c r="AE172" i="65" s="1"/>
  <c r="AE77" i="105" s="1"/>
  <c r="AE125" i="65"/>
  <c r="AE154" i="65" s="1"/>
  <c r="AE59" i="105" s="1"/>
  <c r="AE99" i="105" s="1"/>
  <c r="AE36" i="82"/>
  <c r="P188" i="105"/>
  <c r="P111" i="105"/>
  <c r="N188" i="105"/>
  <c r="N111" i="105"/>
  <c r="N143" i="65"/>
  <c r="N172" i="65" s="1"/>
  <c r="N77" i="105" s="1"/>
  <c r="N36" i="82"/>
  <c r="N125" i="65"/>
  <c r="N154" i="65" s="1"/>
  <c r="N59" i="105" s="1"/>
  <c r="N99" i="105" s="1"/>
  <c r="N134" i="65"/>
  <c r="N163" i="65" s="1"/>
  <c r="N68" i="105" s="1"/>
  <c r="AA36" i="82"/>
  <c r="AA143" i="65"/>
  <c r="AA172" i="65" s="1"/>
  <c r="AA77" i="105" s="1"/>
  <c r="AA125" i="65"/>
  <c r="AA154" i="65" s="1"/>
  <c r="AA59" i="105" s="1"/>
  <c r="AA99" i="105" s="1"/>
  <c r="AD121" i="105"/>
  <c r="AD199" i="105"/>
  <c r="S78" i="41"/>
  <c r="S82" i="41" s="1"/>
  <c r="S23" i="65"/>
  <c r="AC23" i="65"/>
  <c r="AC78" i="41"/>
  <c r="AC82" i="41" s="1"/>
  <c r="W36" i="82"/>
  <c r="W143" i="65"/>
  <c r="W172" i="65" s="1"/>
  <c r="W77" i="105" s="1"/>
  <c r="W119" i="105" s="1"/>
  <c r="W125" i="65"/>
  <c r="W154" i="65" s="1"/>
  <c r="W59" i="105" s="1"/>
  <c r="W99" i="105" s="1"/>
  <c r="O199" i="105"/>
  <c r="O121" i="105"/>
  <c r="Y198" i="105"/>
  <c r="Y120" i="105"/>
  <c r="AA121" i="105"/>
  <c r="AA199" i="105"/>
  <c r="S120" i="105"/>
  <c r="S198" i="105"/>
  <c r="AF143" i="65"/>
  <c r="AF172" i="65" s="1"/>
  <c r="AF77" i="105" s="1"/>
  <c r="AF36" i="82"/>
  <c r="AF125" i="65"/>
  <c r="AF154" i="65" s="1"/>
  <c r="AF59" i="105" s="1"/>
  <c r="AF99" i="105" s="1"/>
  <c r="T78" i="41"/>
  <c r="T82" i="41" s="1"/>
  <c r="T23" i="65"/>
  <c r="X199" i="105"/>
  <c r="X121" i="105"/>
  <c r="AG119" i="105"/>
  <c r="AG197" i="105"/>
  <c r="S134" i="65"/>
  <c r="S163" i="65" s="1"/>
  <c r="S68" i="105" s="1"/>
  <c r="S143" i="65"/>
  <c r="S172" i="65" s="1"/>
  <c r="S77" i="105" s="1"/>
  <c r="S125" i="65"/>
  <c r="S154" i="65" s="1"/>
  <c r="S59" i="105" s="1"/>
  <c r="S99" i="105" s="1"/>
  <c r="S36" i="82"/>
  <c r="AB78" i="41"/>
  <c r="AB82" i="41" s="1"/>
  <c r="AB23" i="65"/>
  <c r="V198" i="105"/>
  <c r="V120" i="105"/>
  <c r="M111" i="105"/>
  <c r="M188" i="105"/>
  <c r="S187" i="105"/>
  <c r="S110" i="105"/>
  <c r="Y125" i="65"/>
  <c r="Y154" i="65" s="1"/>
  <c r="Y59" i="105" s="1"/>
  <c r="Y99" i="105" s="1"/>
  <c r="Y143" i="65"/>
  <c r="Y172" i="65" s="1"/>
  <c r="Y77" i="105" s="1"/>
  <c r="Y36" i="82"/>
  <c r="AC120" i="105"/>
  <c r="AC198" i="105"/>
  <c r="AF23" i="65"/>
  <c r="AF78" i="41"/>
  <c r="AF82" i="41" s="1"/>
  <c r="H101" i="105"/>
  <c r="AC143" i="65"/>
  <c r="AC172" i="65" s="1"/>
  <c r="AC77" i="105" s="1"/>
  <c r="AC36" i="82"/>
  <c r="AC125" i="65"/>
  <c r="AC154" i="65" s="1"/>
  <c r="AC59" i="105" s="1"/>
  <c r="AC99" i="105" s="1"/>
  <c r="L36" i="82"/>
  <c r="L134" i="65"/>
  <c r="L163" i="65" s="1"/>
  <c r="L68" i="105" s="1"/>
  <c r="L109" i="105" s="1"/>
  <c r="L143" i="65"/>
  <c r="L172" i="65" s="1"/>
  <c r="L77" i="105" s="1"/>
  <c r="L119" i="105" s="1"/>
  <c r="L125" i="65"/>
  <c r="L154" i="65" s="1"/>
  <c r="L59" i="105" s="1"/>
  <c r="L99" i="105" s="1"/>
  <c r="X198" i="105"/>
  <c r="X120" i="105"/>
  <c r="X125" i="65"/>
  <c r="X154" i="65" s="1"/>
  <c r="X59" i="105" s="1"/>
  <c r="X99" i="105" s="1"/>
  <c r="X143" i="65"/>
  <c r="X172" i="65" s="1"/>
  <c r="X77" i="105" s="1"/>
  <c r="X36" i="82"/>
  <c r="H79" i="41"/>
  <c r="T198" i="105"/>
  <c r="T120" i="105"/>
  <c r="AC199" i="105"/>
  <c r="AC121" i="105"/>
  <c r="AB125" i="65"/>
  <c r="AB154" i="65" s="1"/>
  <c r="AB59" i="105" s="1"/>
  <c r="AB99" i="105" s="1"/>
  <c r="AB36" i="82"/>
  <c r="AB143" i="65"/>
  <c r="AB172" i="65" s="1"/>
  <c r="AB77" i="105" s="1"/>
  <c r="AB119" i="105" s="1"/>
  <c r="U134" i="65"/>
  <c r="U163" i="65" s="1"/>
  <c r="U68" i="105" s="1"/>
  <c r="U125" i="65"/>
  <c r="U154" i="65" s="1"/>
  <c r="U59" i="105" s="1"/>
  <c r="U99" i="105" s="1"/>
  <c r="U143" i="65"/>
  <c r="U172" i="65" s="1"/>
  <c r="U77" i="105" s="1"/>
  <c r="U36" i="82"/>
  <c r="T125" i="65"/>
  <c r="T154" i="65" s="1"/>
  <c r="T59" i="105" s="1"/>
  <c r="T99" i="105" s="1"/>
  <c r="T36" i="82"/>
  <c r="T134" i="65"/>
  <c r="T163" i="65" s="1"/>
  <c r="T68" i="105" s="1"/>
  <c r="T143" i="65"/>
  <c r="T172" i="65" s="1"/>
  <c r="T77" i="105" s="1"/>
  <c r="Y78" i="41"/>
  <c r="Y82" i="41" s="1"/>
  <c r="Y23" i="65"/>
  <c r="P82" i="41"/>
  <c r="AD78" i="41"/>
  <c r="AD82" i="41" s="1"/>
  <c r="AD23" i="65"/>
  <c r="Y121" i="105"/>
  <c r="Y199" i="105"/>
  <c r="Z36" i="82"/>
  <c r="Z125" i="65"/>
  <c r="Z154" i="65" s="1"/>
  <c r="Z59" i="105" s="1"/>
  <c r="Z99" i="105" s="1"/>
  <c r="Z143" i="65"/>
  <c r="Z172" i="65" s="1"/>
  <c r="Z77" i="105" s="1"/>
  <c r="T110" i="105"/>
  <c r="T187" i="105"/>
  <c r="J82" i="41"/>
  <c r="AD120" i="105"/>
  <c r="AD198" i="105"/>
  <c r="R36" i="82"/>
  <c r="R125" i="65"/>
  <c r="R154" i="65" s="1"/>
  <c r="R59" i="105" s="1"/>
  <c r="R99" i="105" s="1"/>
  <c r="R143" i="65"/>
  <c r="R172" i="65" s="1"/>
  <c r="R77" i="105" s="1"/>
  <c r="R119" i="105" s="1"/>
  <c r="R134" i="65"/>
  <c r="R163" i="65" s="1"/>
  <c r="R68" i="105" s="1"/>
  <c r="R109" i="105" s="1"/>
  <c r="R78" i="41"/>
  <c r="R82" i="41" s="1"/>
  <c r="R23" i="65"/>
  <c r="AD36" i="82"/>
  <c r="AD125" i="65"/>
  <c r="AD154" i="65" s="1"/>
  <c r="AD59" i="105" s="1"/>
  <c r="AD99" i="105" s="1"/>
  <c r="AD143" i="65"/>
  <c r="AD172" i="65" s="1"/>
  <c r="AD77" i="105" s="1"/>
  <c r="AE121" i="105"/>
  <c r="AE199" i="105"/>
  <c r="Z78" i="41"/>
  <c r="Z82" i="41" s="1"/>
  <c r="Z23" i="65"/>
  <c r="AE78" i="41"/>
  <c r="AE82" i="41" s="1"/>
  <c r="AE23" i="65"/>
  <c r="Z199" i="105"/>
  <c r="Z121" i="105"/>
  <c r="AA120" i="105"/>
  <c r="AA198" i="105"/>
  <c r="U110" i="105"/>
  <c r="U187" i="105"/>
  <c r="AG109" i="105"/>
  <c r="AG186" i="105"/>
  <c r="V125" i="65"/>
  <c r="V154" i="65" s="1"/>
  <c r="V59" i="105" s="1"/>
  <c r="V99" i="105" s="1"/>
  <c r="V134" i="65"/>
  <c r="V163" i="65" s="1"/>
  <c r="V68" i="105" s="1"/>
  <c r="V143" i="65"/>
  <c r="V172" i="65" s="1"/>
  <c r="V77" i="105" s="1"/>
  <c r="V36" i="82"/>
  <c r="M121" i="105"/>
  <c r="M199" i="105"/>
  <c r="AF120" i="105"/>
  <c r="AF198" i="105"/>
  <c r="V23" i="65"/>
  <c r="V78" i="41"/>
  <c r="V82" i="41" s="1"/>
  <c r="O125" i="65"/>
  <c r="O154" i="65" s="1"/>
  <c r="O59" i="105" s="1"/>
  <c r="O99" i="105" s="1"/>
  <c r="O143" i="65"/>
  <c r="O172" i="65" s="1"/>
  <c r="O77" i="105" s="1"/>
  <c r="O36" i="82"/>
  <c r="O134" i="65"/>
  <c r="O163" i="65" s="1"/>
  <c r="O68" i="105" s="1"/>
  <c r="W78" i="41"/>
  <c r="W82" i="41" s="1"/>
  <c r="W23" i="65"/>
  <c r="M125" i="65"/>
  <c r="M154" i="65" s="1"/>
  <c r="M59" i="105" s="1"/>
  <c r="M99" i="105" s="1"/>
  <c r="M134" i="65"/>
  <c r="M163" i="65" s="1"/>
  <c r="M68" i="105" s="1"/>
  <c r="M143" i="65"/>
  <c r="M172" i="65" s="1"/>
  <c r="M77" i="105" s="1"/>
  <c r="M36" i="82"/>
  <c r="P121" i="105"/>
  <c r="P199" i="105"/>
  <c r="X23" i="65"/>
  <c r="X78" i="41"/>
  <c r="X82" i="41" s="1"/>
  <c r="P125" i="65"/>
  <c r="P154" i="65" s="1"/>
  <c r="P59" i="105" s="1"/>
  <c r="P99" i="105" s="1"/>
  <c r="P36" i="82"/>
  <c r="P143" i="65"/>
  <c r="P172" i="65" s="1"/>
  <c r="P77" i="105" s="1"/>
  <c r="P134" i="65"/>
  <c r="P163" i="65" s="1"/>
  <c r="P68" i="105" s="1"/>
  <c r="AF121" i="105"/>
  <c r="AF199" i="105"/>
  <c r="AE120" i="105"/>
  <c r="AE198" i="105"/>
  <c r="Z198" i="105"/>
  <c r="Z120" i="105"/>
  <c r="L82" i="41"/>
  <c r="V187" i="105"/>
  <c r="V110" i="105"/>
  <c r="U23" i="65"/>
  <c r="U78" i="41"/>
  <c r="U82" i="41" s="1"/>
  <c r="U198" i="105"/>
  <c r="U120" i="105"/>
  <c r="AA23" i="65"/>
  <c r="AA78" i="41"/>
  <c r="AA82" i="41" s="1"/>
  <c r="N199" i="105"/>
  <c r="N121" i="105"/>
  <c r="O111" i="105"/>
  <c r="O188" i="105"/>
  <c r="H69" i="89"/>
  <c r="H31" i="112"/>
  <c r="H41" i="112" s="1"/>
  <c r="H65" i="41"/>
  <c r="H30" i="112"/>
  <c r="H40" i="112" s="1"/>
  <c r="J44" i="112" s="1"/>
  <c r="H64" i="41"/>
  <c r="H56" i="89"/>
  <c r="H44" i="89"/>
  <c r="H45" i="89" s="1"/>
  <c r="H110" i="105" l="1"/>
  <c r="H99" i="105"/>
  <c r="H120" i="105"/>
  <c r="T186" i="105"/>
  <c r="T109" i="105"/>
  <c r="H82" i="41"/>
  <c r="H85" i="105" s="1"/>
  <c r="H128" i="105" s="1"/>
  <c r="Y197" i="105"/>
  <c r="Y119" i="105"/>
  <c r="P109" i="105"/>
  <c r="P186" i="105"/>
  <c r="O119" i="105"/>
  <c r="O197" i="105"/>
  <c r="H78" i="41"/>
  <c r="AC197" i="105"/>
  <c r="AC119" i="105"/>
  <c r="AA197" i="105"/>
  <c r="AA119" i="105"/>
  <c r="X119" i="105"/>
  <c r="X197" i="105"/>
  <c r="H121" i="105"/>
  <c r="M119" i="105"/>
  <c r="M197" i="105"/>
  <c r="M186" i="105"/>
  <c r="M109" i="105"/>
  <c r="U119" i="105"/>
  <c r="U197" i="105"/>
  <c r="N109" i="105"/>
  <c r="N186" i="105"/>
  <c r="P197" i="105"/>
  <c r="P119" i="105"/>
  <c r="V197" i="105"/>
  <c r="V119" i="105"/>
  <c r="Z119" i="105"/>
  <c r="Z197" i="105"/>
  <c r="S197" i="105"/>
  <c r="S119" i="105"/>
  <c r="V186" i="105"/>
  <c r="V109" i="105"/>
  <c r="AD119" i="105"/>
  <c r="AD197" i="105"/>
  <c r="U109" i="105"/>
  <c r="U186" i="105"/>
  <c r="H111" i="105"/>
  <c r="S186" i="105"/>
  <c r="S109" i="105"/>
  <c r="AE119" i="105"/>
  <c r="AE197" i="105"/>
  <c r="O109" i="105"/>
  <c r="O186" i="105"/>
  <c r="T197" i="105"/>
  <c r="T119" i="105"/>
  <c r="AF197" i="105"/>
  <c r="AF119" i="105"/>
  <c r="N119" i="105"/>
  <c r="N197" i="105"/>
  <c r="J45" i="112"/>
  <c r="J46" i="112" s="1"/>
  <c r="P45" i="112"/>
  <c r="P46" i="112" s="1"/>
  <c r="O45" i="112"/>
  <c r="O46" i="112" s="1"/>
  <c r="L45" i="112"/>
  <c r="L46" i="112" s="1"/>
  <c r="N45" i="112"/>
  <c r="N46" i="112" s="1"/>
  <c r="H109" i="105" l="1"/>
  <c r="H119" i="105"/>
  <c r="J29" i="41"/>
  <c r="J48" i="41" s="1"/>
  <c r="J50" i="112"/>
  <c r="J54" i="112"/>
  <c r="O50" i="112"/>
  <c r="O54" i="112"/>
  <c r="O29" i="41"/>
  <c r="P29" i="41"/>
  <c r="P50" i="112"/>
  <c r="P54" i="112"/>
  <c r="N29" i="41"/>
  <c r="N54" i="112"/>
  <c r="N50" i="112"/>
  <c r="L29" i="41"/>
  <c r="L54" i="112"/>
  <c r="L50" i="112"/>
  <c r="N60" i="112" l="1"/>
  <c r="H56" i="112"/>
  <c r="H87" i="105" s="1"/>
  <c r="H130" i="105" s="1"/>
  <c r="P60" i="112"/>
  <c r="O60" i="112"/>
  <c r="H52" i="112"/>
  <c r="H86" i="105" s="1"/>
  <c r="H129" i="105" s="1"/>
  <c r="J60" i="112"/>
  <c r="AA48" i="41"/>
  <c r="AA47" i="65" s="1"/>
  <c r="AA43" i="82" s="1"/>
  <c r="Z48" i="41"/>
  <c r="Z47" i="65" s="1"/>
  <c r="Z43" i="82" s="1"/>
  <c r="W48" i="41"/>
  <c r="W47" i="65" s="1"/>
  <c r="W43" i="82" s="1"/>
  <c r="X48" i="41"/>
  <c r="X47" i="65" s="1"/>
  <c r="X43" i="82" s="1"/>
  <c r="Y48" i="41"/>
  <c r="Y47" i="65" s="1"/>
  <c r="Y43" i="82" s="1"/>
  <c r="J47" i="65"/>
  <c r="J43" i="82" s="1"/>
  <c r="T48" i="41"/>
  <c r="T47" i="65" s="1"/>
  <c r="T43" i="82" s="1"/>
  <c r="U48" i="41"/>
  <c r="U47" i="65" s="1"/>
  <c r="U43" i="82" s="1"/>
  <c r="S48" i="41"/>
  <c r="S47" i="65" s="1"/>
  <c r="S43" i="82" s="1"/>
  <c r="R48" i="41"/>
  <c r="R47" i="65" s="1"/>
  <c r="R43" i="82" s="1"/>
  <c r="V48" i="41"/>
  <c r="V47" i="65" s="1"/>
  <c r="V43" i="82" s="1"/>
  <c r="M48" i="41"/>
  <c r="M47" i="65" s="1"/>
  <c r="M43" i="82" s="1"/>
  <c r="P48" i="41"/>
  <c r="P47" i="65" s="1"/>
  <c r="P43" i="82" s="1"/>
  <c r="L48" i="41"/>
  <c r="L47" i="65" s="1"/>
  <c r="L43" i="82" s="1"/>
  <c r="N48" i="41"/>
  <c r="N47" i="65" s="1"/>
  <c r="N43" i="82" s="1"/>
  <c r="O48" i="41"/>
  <c r="O47" i="65" s="1"/>
  <c r="O43" i="82" s="1"/>
  <c r="L60" i="112"/>
  <c r="AF48" i="41"/>
  <c r="AF47" i="65" s="1"/>
  <c r="AF43" i="82" s="1"/>
  <c r="AC48" i="41"/>
  <c r="AC47" i="65" s="1"/>
  <c r="AC43" i="82" s="1"/>
  <c r="AB48" i="41"/>
  <c r="AB47" i="65" s="1"/>
  <c r="AB43" i="82" s="1"/>
  <c r="AD48" i="41"/>
  <c r="AD47" i="65" s="1"/>
  <c r="AD43" i="82" s="1"/>
  <c r="AE48" i="41"/>
  <c r="AE47" i="65" s="1"/>
  <c r="AE43" i="82" s="1"/>
  <c r="R222" i="41" l="1" a="1"/>
  <c r="R222" i="41" s="1"/>
  <c r="R224" i="41" s="1"/>
  <c r="R415" i="41" s="1"/>
  <c r="R35" i="65" s="1"/>
  <c r="R113" i="65" s="1"/>
  <c r="AJ222" i="41" a="1"/>
  <c r="AJ222" i="41" s="1"/>
  <c r="AJ224" i="41" s="1"/>
  <c r="AJ226" i="41" s="1"/>
  <c r="AJ228" i="41" s="1"/>
  <c r="AM222" i="41" a="1"/>
  <c r="AM222" i="41" s="1"/>
  <c r="AM224" i="41" s="1"/>
  <c r="AM226" i="41" s="1"/>
  <c r="AM228" i="41" s="1"/>
  <c r="AL222" i="41" a="1"/>
  <c r="AL222" i="41" s="1"/>
  <c r="AL224" i="41" s="1"/>
  <c r="AL226" i="41" s="1"/>
  <c r="AL228" i="41" s="1"/>
  <c r="AH222" i="41" a="1"/>
  <c r="AH222" i="41" s="1"/>
  <c r="AH224" i="41" s="1"/>
  <c r="AH226" i="41" s="1"/>
  <c r="AH228" i="41" s="1"/>
  <c r="J222" i="41" a="1"/>
  <c r="J222" i="41" s="1"/>
  <c r="Q222" i="41" a="1"/>
  <c r="Q222" i="41" s="1"/>
  <c r="Q224" i="41" s="1"/>
  <c r="Q226" i="41" s="1"/>
  <c r="Q228" i="41" s="1"/>
  <c r="W222" i="41" a="1"/>
  <c r="W222" i="41" s="1"/>
  <c r="W224" i="41" s="1"/>
  <c r="W415" i="41" s="1"/>
  <c r="W35" i="65" s="1"/>
  <c r="W113" i="65" s="1"/>
  <c r="AK222" i="41" a="1"/>
  <c r="AK222" i="41" s="1"/>
  <c r="AK224" i="41" s="1"/>
  <c r="AK226" i="41" s="1"/>
  <c r="AK228" i="41" s="1"/>
  <c r="L222" i="41" a="1"/>
  <c r="L222" i="41" s="1"/>
  <c r="L224" i="41" s="1"/>
  <c r="L415" i="41" s="1"/>
  <c r="L35" i="65" s="1"/>
  <c r="L113" i="65" s="1"/>
  <c r="AB222" i="41" a="1"/>
  <c r="AB222" i="41" s="1"/>
  <c r="AB224" i="41" s="1"/>
  <c r="AB226" i="41" s="1"/>
  <c r="AB228" i="41" s="1"/>
  <c r="AI222" i="41" a="1"/>
  <c r="AI222" i="41" s="1"/>
  <c r="AI224" i="41" s="1"/>
  <c r="AI415" i="41" s="1"/>
  <c r="AI35" i="65" s="1"/>
  <c r="AI113" i="65" s="1"/>
  <c r="AN222" i="41" a="1"/>
  <c r="AN222" i="41" s="1"/>
  <c r="AN224" i="41" s="1"/>
  <c r="AN415" i="41" s="1"/>
  <c r="AN35" i="65" s="1"/>
  <c r="AN113" i="65" s="1"/>
  <c r="AO222" i="41" a="1"/>
  <c r="AO222" i="41" s="1"/>
  <c r="AO224" i="41" s="1"/>
  <c r="AO415" i="41" s="1"/>
  <c r="AO35" i="65" s="1"/>
  <c r="AO113" i="65" s="1"/>
  <c r="AO124" i="65" s="1"/>
  <c r="AO153" i="65" s="1"/>
  <c r="AO58" i="105" s="1"/>
  <c r="AO98" i="105" s="1"/>
  <c r="K222" i="41" a="1"/>
  <c r="K222" i="41" s="1"/>
  <c r="K224" i="41" s="1"/>
  <c r="K226" i="41" s="1"/>
  <c r="K228" i="41" s="1"/>
  <c r="H62" i="112"/>
  <c r="H64" i="112" s="1"/>
  <c r="H66" i="112" s="1" a="1"/>
  <c r="H66" i="112" s="1"/>
  <c r="J52" i="55" s="1"/>
  <c r="M222" i="41" a="1"/>
  <c r="M222" i="41" s="1"/>
  <c r="Z222" i="41" a="1"/>
  <c r="Z222" i="41" s="1"/>
  <c r="AD222" i="41" a="1"/>
  <c r="AD222" i="41" s="1"/>
  <c r="U222" i="41" a="1"/>
  <c r="U222" i="41" s="1"/>
  <c r="T222" i="41" a="1"/>
  <c r="T222" i="41" s="1"/>
  <c r="AE222" i="41" a="1"/>
  <c r="AE222" i="41" s="1"/>
  <c r="O222" i="41" a="1"/>
  <c r="O222" i="41" s="1"/>
  <c r="AF222" i="41" a="1"/>
  <c r="AF222" i="41" s="1"/>
  <c r="AG222" i="41" a="1"/>
  <c r="AG222" i="41" s="1"/>
  <c r="AG224" i="41" s="1"/>
  <c r="X222" i="41" a="1"/>
  <c r="X222" i="41" s="1"/>
  <c r="N222" i="41" a="1"/>
  <c r="N222" i="41" s="1"/>
  <c r="AA222" i="41" a="1"/>
  <c r="AA222" i="41" s="1"/>
  <c r="V222" i="41" a="1"/>
  <c r="V222" i="41" s="1"/>
  <c r="Y222" i="41" a="1"/>
  <c r="Y222" i="41" s="1"/>
  <c r="S222" i="41" a="1"/>
  <c r="S222" i="41" s="1"/>
  <c r="AC222" i="41" a="1"/>
  <c r="AC222" i="41" s="1"/>
  <c r="P222" i="41" a="1"/>
  <c r="P222" i="41" s="1"/>
  <c r="R226" i="41" l="1"/>
  <c r="R228" i="41" s="1"/>
  <c r="R424" i="41" s="1"/>
  <c r="AJ415" i="41"/>
  <c r="AJ35" i="65" s="1"/>
  <c r="AJ113" i="65" s="1"/>
  <c r="AJ35" i="82" s="1"/>
  <c r="L226" i="41"/>
  <c r="L228" i="41" s="1"/>
  <c r="L424" i="41" s="1"/>
  <c r="AM415" i="41"/>
  <c r="AM35" i="65" s="1"/>
  <c r="AM113" i="65" s="1"/>
  <c r="AM124" i="65" s="1"/>
  <c r="AM153" i="65" s="1"/>
  <c r="AM58" i="105" s="1"/>
  <c r="AM98" i="105" s="1"/>
  <c r="AL415" i="41"/>
  <c r="AL35" i="65" s="1"/>
  <c r="AL113" i="65" s="1"/>
  <c r="AK35" i="82" s="1"/>
  <c r="AO226" i="41"/>
  <c r="AO228" i="41" s="1"/>
  <c r="AO237" i="41" s="1"/>
  <c r="AH415" i="41"/>
  <c r="AH35" i="65" s="1"/>
  <c r="AH113" i="65" s="1"/>
  <c r="AH35" i="82" s="1"/>
  <c r="AI226" i="41"/>
  <c r="AI228" i="41" s="1"/>
  <c r="AI237" i="41" s="1"/>
  <c r="AB415" i="41"/>
  <c r="AB35" i="65" s="1"/>
  <c r="AB113" i="65" s="1"/>
  <c r="AB124" i="65" s="1"/>
  <c r="AB153" i="65" s="1"/>
  <c r="AB58" i="105" s="1"/>
  <c r="AB98" i="105" s="1"/>
  <c r="Q415" i="41"/>
  <c r="Q35" i="65" s="1"/>
  <c r="Q113" i="65" s="1"/>
  <c r="Q142" i="65" s="1"/>
  <c r="Q171" i="65" s="1"/>
  <c r="Q76" i="105" s="1"/>
  <c r="Q118" i="105" s="1"/>
  <c r="K415" i="41"/>
  <c r="K35" i="65" s="1"/>
  <c r="K113" i="65" s="1"/>
  <c r="K124" i="65" s="1"/>
  <c r="K153" i="65" s="1"/>
  <c r="K58" i="105" s="1"/>
  <c r="K98" i="105" s="1"/>
  <c r="AK415" i="41"/>
  <c r="AK35" i="65" s="1"/>
  <c r="AK113" i="65" s="1"/>
  <c r="AK124" i="65" s="1"/>
  <c r="AK153" i="65" s="1"/>
  <c r="AK58" i="105" s="1"/>
  <c r="AK98" i="105" s="1"/>
  <c r="W226" i="41"/>
  <c r="W228" i="41" s="1"/>
  <c r="W237" i="41" s="1"/>
  <c r="AN226" i="41"/>
  <c r="AN228" i="41" s="1"/>
  <c r="A4" i="112"/>
  <c r="AH424" i="41"/>
  <c r="AH237" i="41"/>
  <c r="AG226" i="41"/>
  <c r="AG228" i="41" s="1"/>
  <c r="AG415" i="41"/>
  <c r="AG35" i="65" s="1"/>
  <c r="AG113" i="65" s="1"/>
  <c r="Q424" i="41"/>
  <c r="Q237" i="41"/>
  <c r="AI35" i="82"/>
  <c r="AI124" i="65"/>
  <c r="AI153" i="65" s="1"/>
  <c r="AI58" i="105" s="1"/>
  <c r="AI98" i="105" s="1"/>
  <c r="AI142" i="65"/>
  <c r="AI171" i="65" s="1"/>
  <c r="AI76" i="105" s="1"/>
  <c r="AI118" i="105" s="1"/>
  <c r="K424" i="41"/>
  <c r="K237" i="41"/>
  <c r="AL424" i="41"/>
  <c r="AL237" i="41"/>
  <c r="AJ237" i="41"/>
  <c r="AJ424" i="41"/>
  <c r="R124" i="65"/>
  <c r="R153" i="65" s="1"/>
  <c r="R58" i="105" s="1"/>
  <c r="R98" i="105" s="1"/>
  <c r="R35" i="82"/>
  <c r="R133" i="65"/>
  <c r="R162" i="65" s="1"/>
  <c r="R67" i="105" s="1"/>
  <c r="R108" i="105" s="1"/>
  <c r="R142" i="65"/>
  <c r="R171" i="65" s="1"/>
  <c r="R76" i="105" s="1"/>
  <c r="R118" i="105" s="1"/>
  <c r="AL35" i="82"/>
  <c r="AN124" i="65"/>
  <c r="AN153" i="65" s="1"/>
  <c r="AN58" i="105" s="1"/>
  <c r="AN98" i="105" s="1"/>
  <c r="AN142" i="65"/>
  <c r="AN171" i="65" s="1"/>
  <c r="AN76" i="105" s="1"/>
  <c r="AM237" i="41"/>
  <c r="AM424" i="41"/>
  <c r="AK237" i="41"/>
  <c r="AK424" i="41"/>
  <c r="L35" i="82"/>
  <c r="L124" i="65"/>
  <c r="L153" i="65" s="1"/>
  <c r="L58" i="105" s="1"/>
  <c r="L98" i="105" s="1"/>
  <c r="L133" i="65"/>
  <c r="L162" i="65" s="1"/>
  <c r="L67" i="105" s="1"/>
  <c r="L108" i="105" s="1"/>
  <c r="L142" i="65"/>
  <c r="L171" i="65" s="1"/>
  <c r="L76" i="105" s="1"/>
  <c r="L118" i="105" s="1"/>
  <c r="AB237" i="41"/>
  <c r="AB424" i="41"/>
  <c r="W142" i="65"/>
  <c r="W171" i="65" s="1"/>
  <c r="W76" i="105" s="1"/>
  <c r="W118" i="105" s="1"/>
  <c r="W124" i="65"/>
  <c r="W153" i="65" s="1"/>
  <c r="W58" i="105" s="1"/>
  <c r="W98" i="105" s="1"/>
  <c r="W35" i="82"/>
  <c r="AJ142" i="65" l="1"/>
  <c r="AJ171" i="65" s="1"/>
  <c r="AJ76" i="105" s="1"/>
  <c r="AJ118" i="105" s="1"/>
  <c r="AJ133" i="65"/>
  <c r="AJ162" i="65" s="1"/>
  <c r="AJ67" i="105" s="1"/>
  <c r="AJ185" i="105" s="1"/>
  <c r="AH133" i="65"/>
  <c r="AH162" i="65" s="1"/>
  <c r="AH67" i="105" s="1"/>
  <c r="AH108" i="105" s="1"/>
  <c r="AJ124" i="65"/>
  <c r="AJ153" i="65" s="1"/>
  <c r="AJ58" i="105" s="1"/>
  <c r="AJ98" i="105" s="1"/>
  <c r="R237" i="41"/>
  <c r="R404" i="41" s="1"/>
  <c r="R413" i="41" s="1"/>
  <c r="R33" i="65" s="1"/>
  <c r="R111" i="65" s="1"/>
  <c r="L237" i="41"/>
  <c r="L267" i="41" s="1"/>
  <c r="AH124" i="65"/>
  <c r="AH153" i="65" s="1"/>
  <c r="AH58" i="105" s="1"/>
  <c r="AH98" i="105" s="1"/>
  <c r="AO424" i="41"/>
  <c r="AH142" i="65"/>
  <c r="AH171" i="65" s="1"/>
  <c r="AH76" i="105" s="1"/>
  <c r="AH118" i="105" s="1"/>
  <c r="AB142" i="65"/>
  <c r="AB171" i="65" s="1"/>
  <c r="AB76" i="105" s="1"/>
  <c r="AB118" i="105" s="1"/>
  <c r="AL124" i="65"/>
  <c r="AL153" i="65" s="1"/>
  <c r="AL58" i="105" s="1"/>
  <c r="AL98" i="105" s="1"/>
  <c r="AB35" i="82"/>
  <c r="AL142" i="65"/>
  <c r="AL171" i="65" s="1"/>
  <c r="AL76" i="105" s="1"/>
  <c r="AL196" i="105" s="1"/>
  <c r="AI424" i="41"/>
  <c r="Q133" i="65"/>
  <c r="Q162" i="65" s="1"/>
  <c r="Q67" i="105" s="1"/>
  <c r="Q108" i="105" s="1"/>
  <c r="AH293" i="41"/>
  <c r="AH295" i="41" s="1"/>
  <c r="W424" i="41"/>
  <c r="K133" i="65"/>
  <c r="K162" i="65" s="1"/>
  <c r="K67" i="105" s="1"/>
  <c r="K108" i="105" s="1"/>
  <c r="Q124" i="65"/>
  <c r="Q153" i="65" s="1"/>
  <c r="Q58" i="105" s="1"/>
  <c r="Q98" i="105" s="1"/>
  <c r="AB293" i="41"/>
  <c r="AB295" i="41" s="1"/>
  <c r="K35" i="82"/>
  <c r="W293" i="41"/>
  <c r="W295" i="41" s="1"/>
  <c r="K142" i="65"/>
  <c r="K171" i="65" s="1"/>
  <c r="K76" i="105" s="1"/>
  <c r="K118" i="105" s="1"/>
  <c r="Q35" i="82"/>
  <c r="AK293" i="41"/>
  <c r="AK295" i="41" s="1"/>
  <c r="AM293" i="41"/>
  <c r="AM295" i="41" s="1"/>
  <c r="K293" i="41"/>
  <c r="K295" i="41" s="1"/>
  <c r="AN293" i="41"/>
  <c r="AN295" i="41" s="1"/>
  <c r="AN424" i="41"/>
  <c r="AI293" i="41"/>
  <c r="AI295" i="41" s="1"/>
  <c r="AO293" i="41"/>
  <c r="AO295" i="41" s="1"/>
  <c r="AL293" i="41"/>
  <c r="AL295" i="41" s="1"/>
  <c r="L293" i="41"/>
  <c r="L295" i="41" s="1"/>
  <c r="AJ293" i="41"/>
  <c r="AJ295" i="41" s="1"/>
  <c r="Q293" i="41"/>
  <c r="Q295" i="41" s="1"/>
  <c r="AN237" i="41"/>
  <c r="AN274" i="41" s="1"/>
  <c r="R293" i="41"/>
  <c r="R295" i="41" s="1"/>
  <c r="AH269" i="41"/>
  <c r="AH403" i="41"/>
  <c r="AH412" i="41" s="1"/>
  <c r="AH32" i="65" s="1"/>
  <c r="AH110" i="65" s="1"/>
  <c r="AH404" i="41"/>
  <c r="AH413" i="41" s="1"/>
  <c r="AH33" i="65" s="1"/>
  <c r="AH111" i="65" s="1"/>
  <c r="AH272" i="41"/>
  <c r="AH267" i="41"/>
  <c r="AH273" i="41"/>
  <c r="AH405" i="41"/>
  <c r="AH414" i="41" s="1"/>
  <c r="AH34" i="65" s="1"/>
  <c r="AH112" i="65" s="1"/>
  <c r="AH249" i="41"/>
  <c r="AH268" i="41"/>
  <c r="AH274" i="41"/>
  <c r="AH251" i="41"/>
  <c r="AH250" i="41"/>
  <c r="W403" i="41"/>
  <c r="W412" i="41" s="1"/>
  <c r="W32" i="65" s="1"/>
  <c r="W110" i="65" s="1"/>
  <c r="W272" i="41"/>
  <c r="W405" i="41"/>
  <c r="W414" i="41" s="1"/>
  <c r="W34" i="65" s="1"/>
  <c r="W112" i="65" s="1"/>
  <c r="W249" i="41"/>
  <c r="W269" i="41"/>
  <c r="W268" i="41"/>
  <c r="W273" i="41"/>
  <c r="W404" i="41"/>
  <c r="W413" i="41" s="1"/>
  <c r="W33" i="65" s="1"/>
  <c r="W111" i="65" s="1"/>
  <c r="W274" i="41"/>
  <c r="W250" i="41"/>
  <c r="W251" i="41"/>
  <c r="W267" i="41"/>
  <c r="K269" i="41"/>
  <c r="K273" i="41"/>
  <c r="K249" i="41"/>
  <c r="K268" i="41"/>
  <c r="K403" i="41"/>
  <c r="K267" i="41"/>
  <c r="K251" i="41"/>
  <c r="K272" i="41"/>
  <c r="K405" i="41"/>
  <c r="K404" i="41"/>
  <c r="K274" i="41"/>
  <c r="K250" i="41"/>
  <c r="Q268" i="41"/>
  <c r="Q249" i="41"/>
  <c r="Q403" i="41"/>
  <c r="Q412" i="41" s="1"/>
  <c r="Q32" i="65" s="1"/>
  <c r="Q110" i="65" s="1"/>
  <c r="Q404" i="41"/>
  <c r="Q413" i="41" s="1"/>
  <c r="Q33" i="65" s="1"/>
  <c r="Q111" i="65" s="1"/>
  <c r="Q274" i="41"/>
  <c r="Q269" i="41"/>
  <c r="Q267" i="41"/>
  <c r="Q272" i="41"/>
  <c r="Q251" i="41"/>
  <c r="Q250" i="41"/>
  <c r="Q405" i="41"/>
  <c r="Q414" i="41" s="1"/>
  <c r="Q34" i="65" s="1"/>
  <c r="Q112" i="65" s="1"/>
  <c r="Q273" i="41"/>
  <c r="L268" i="41"/>
  <c r="AB249" i="41"/>
  <c r="AB405" i="41"/>
  <c r="AB414" i="41" s="1"/>
  <c r="AB34" i="65" s="1"/>
  <c r="AB112" i="65" s="1"/>
  <c r="AB273" i="41"/>
  <c r="AB268" i="41"/>
  <c r="AB404" i="41"/>
  <c r="AB413" i="41" s="1"/>
  <c r="AB33" i="65" s="1"/>
  <c r="AB111" i="65" s="1"/>
  <c r="AB251" i="41"/>
  <c r="AB403" i="41"/>
  <c r="AB412" i="41" s="1"/>
  <c r="AB32" i="65" s="1"/>
  <c r="AB110" i="65" s="1"/>
  <c r="AB274" i="41"/>
  <c r="AB272" i="41"/>
  <c r="AB250" i="41"/>
  <c r="AB267" i="41"/>
  <c r="AB269" i="41"/>
  <c r="AJ269" i="41"/>
  <c r="AJ273" i="41"/>
  <c r="AJ267" i="41"/>
  <c r="AJ250" i="41"/>
  <c r="AJ403" i="41"/>
  <c r="AJ412" i="41" s="1"/>
  <c r="AJ32" i="65" s="1"/>
  <c r="AJ110" i="65" s="1"/>
  <c r="AJ249" i="41"/>
  <c r="AJ405" i="41"/>
  <c r="AJ414" i="41" s="1"/>
  <c r="AJ34" i="65" s="1"/>
  <c r="AJ112" i="65" s="1"/>
  <c r="AJ272" i="41"/>
  <c r="AJ268" i="41"/>
  <c r="AJ274" i="41"/>
  <c r="AJ251" i="41"/>
  <c r="AJ404" i="41"/>
  <c r="AJ413" i="41" s="1"/>
  <c r="AJ33" i="65" s="1"/>
  <c r="AJ111" i="65" s="1"/>
  <c r="AN196" i="105"/>
  <c r="AN118" i="105"/>
  <c r="AI250" i="41"/>
  <c r="AI249" i="41"/>
  <c r="AI404" i="41"/>
  <c r="AI413" i="41" s="1"/>
  <c r="AI33" i="65" s="1"/>
  <c r="AI111" i="65" s="1"/>
  <c r="AI274" i="41"/>
  <c r="AI267" i="41"/>
  <c r="AI251" i="41"/>
  <c r="AI403" i="41"/>
  <c r="AI412" i="41" s="1"/>
  <c r="AI32" i="65" s="1"/>
  <c r="AI110" i="65" s="1"/>
  <c r="AI405" i="41"/>
  <c r="AI414" i="41" s="1"/>
  <c r="AI34" i="65" s="1"/>
  <c r="AI112" i="65" s="1"/>
  <c r="AI272" i="41"/>
  <c r="AI273" i="41"/>
  <c r="AI268" i="41"/>
  <c r="AI269" i="41"/>
  <c r="AK251" i="41"/>
  <c r="AK269" i="41"/>
  <c r="AK249" i="41"/>
  <c r="AK268" i="41"/>
  <c r="AK272" i="41"/>
  <c r="AK274" i="41"/>
  <c r="AK267" i="41"/>
  <c r="AK403" i="41"/>
  <c r="AK412" i="41" s="1"/>
  <c r="AK32" i="65" s="1"/>
  <c r="AK110" i="65" s="1"/>
  <c r="AK121" i="65" s="1"/>
  <c r="AK150" i="65" s="1"/>
  <c r="AK55" i="105" s="1"/>
  <c r="AK95" i="105" s="1"/>
  <c r="AK250" i="41"/>
  <c r="AK405" i="41"/>
  <c r="AK414" i="41" s="1"/>
  <c r="AK34" i="65" s="1"/>
  <c r="AK112" i="65" s="1"/>
  <c r="AK123" i="65" s="1"/>
  <c r="AK152" i="65" s="1"/>
  <c r="AK57" i="105" s="1"/>
  <c r="AK97" i="105" s="1"/>
  <c r="AK273" i="41"/>
  <c r="AK404" i="41"/>
  <c r="AK413" i="41" s="1"/>
  <c r="AK33" i="65" s="1"/>
  <c r="AK111" i="65" s="1"/>
  <c r="AK122" i="65" s="1"/>
  <c r="AK151" i="65" s="1"/>
  <c r="AK56" i="105" s="1"/>
  <c r="AK96" i="105" s="1"/>
  <c r="AM404" i="41"/>
  <c r="AM413" i="41" s="1"/>
  <c r="AM33" i="65" s="1"/>
  <c r="AM111" i="65" s="1"/>
  <c r="AM122" i="65" s="1"/>
  <c r="AM151" i="65" s="1"/>
  <c r="AM56" i="105" s="1"/>
  <c r="AM96" i="105" s="1"/>
  <c r="AM267" i="41"/>
  <c r="AM272" i="41"/>
  <c r="AM268" i="41"/>
  <c r="AM405" i="41"/>
  <c r="AM414" i="41" s="1"/>
  <c r="AM34" i="65" s="1"/>
  <c r="AM112" i="65" s="1"/>
  <c r="AM123" i="65" s="1"/>
  <c r="AM152" i="65" s="1"/>
  <c r="AM57" i="105" s="1"/>
  <c r="AM97" i="105" s="1"/>
  <c r="AM269" i="41"/>
  <c r="AM274" i="41"/>
  <c r="AM250" i="41"/>
  <c r="AM403" i="41"/>
  <c r="AM412" i="41" s="1"/>
  <c r="AM32" i="65" s="1"/>
  <c r="AM110" i="65" s="1"/>
  <c r="AM121" i="65" s="1"/>
  <c r="AM150" i="65" s="1"/>
  <c r="AM55" i="105" s="1"/>
  <c r="AM95" i="105" s="1"/>
  <c r="AM273" i="41"/>
  <c r="AM249" i="41"/>
  <c r="AM251" i="41"/>
  <c r="AO250" i="41"/>
  <c r="AO274" i="41"/>
  <c r="AO269" i="41"/>
  <c r="AO403" i="41"/>
  <c r="AO412" i="41" s="1"/>
  <c r="AO32" i="65" s="1"/>
  <c r="AO110" i="65" s="1"/>
  <c r="AO121" i="65" s="1"/>
  <c r="AO150" i="65" s="1"/>
  <c r="AO55" i="105" s="1"/>
  <c r="AO95" i="105" s="1"/>
  <c r="AO405" i="41"/>
  <c r="AO414" i="41" s="1"/>
  <c r="AO34" i="65" s="1"/>
  <c r="AO112" i="65" s="1"/>
  <c r="AO123" i="65" s="1"/>
  <c r="AO152" i="65" s="1"/>
  <c r="AO57" i="105" s="1"/>
  <c r="AO97" i="105" s="1"/>
  <c r="AO251" i="41"/>
  <c r="AO267" i="41"/>
  <c r="AO273" i="41"/>
  <c r="AO249" i="41"/>
  <c r="AO268" i="41"/>
  <c r="AO272" i="41"/>
  <c r="AO404" i="41"/>
  <c r="AO413" i="41" s="1"/>
  <c r="AO33" i="65" s="1"/>
  <c r="AO111" i="65" s="1"/>
  <c r="AO122" i="65" s="1"/>
  <c r="AO151" i="65" s="1"/>
  <c r="AO56" i="105" s="1"/>
  <c r="AO96" i="105" s="1"/>
  <c r="AG35" i="82"/>
  <c r="AG124" i="65"/>
  <c r="AG153" i="65" s="1"/>
  <c r="AG58" i="105" s="1"/>
  <c r="AG98" i="105" s="1"/>
  <c r="AG133" i="65"/>
  <c r="AG162" i="65" s="1"/>
  <c r="AG67" i="105" s="1"/>
  <c r="AG142" i="65"/>
  <c r="AG171" i="65" s="1"/>
  <c r="AG76" i="105" s="1"/>
  <c r="AJ196" i="105"/>
  <c r="AL403" i="41"/>
  <c r="AL412" i="41" s="1"/>
  <c r="AL32" i="65" s="1"/>
  <c r="AL110" i="65" s="1"/>
  <c r="AL267" i="41"/>
  <c r="AL272" i="41"/>
  <c r="AL404" i="41"/>
  <c r="AL413" i="41" s="1"/>
  <c r="AL33" i="65" s="1"/>
  <c r="AL111" i="65" s="1"/>
  <c r="AL249" i="41"/>
  <c r="AL251" i="41"/>
  <c r="AL274" i="41"/>
  <c r="AL273" i="41"/>
  <c r="AL405" i="41"/>
  <c r="AL414" i="41" s="1"/>
  <c r="AL34" i="65" s="1"/>
  <c r="AL112" i="65" s="1"/>
  <c r="AL269" i="41"/>
  <c r="AL268" i="41"/>
  <c r="AL250" i="41"/>
  <c r="AG424" i="41"/>
  <c r="AG237" i="41"/>
  <c r="AG293" i="41"/>
  <c r="AG295" i="41" s="1"/>
  <c r="AJ108" i="105" l="1"/>
  <c r="R274" i="41"/>
  <c r="R405" i="41"/>
  <c r="R414" i="41" s="1"/>
  <c r="R34" i="65" s="1"/>
  <c r="R112" i="65" s="1"/>
  <c r="R132" i="65" s="1"/>
  <c r="R161" i="65" s="1"/>
  <c r="R66" i="105" s="1"/>
  <c r="R107" i="105" s="1"/>
  <c r="R267" i="41"/>
  <c r="R268" i="41"/>
  <c r="R273" i="41"/>
  <c r="R249" i="41"/>
  <c r="R403" i="41"/>
  <c r="R412" i="41" s="1"/>
  <c r="R32" i="65" s="1"/>
  <c r="R110" i="65" s="1"/>
  <c r="R121" i="65" s="1"/>
  <c r="R150" i="65" s="1"/>
  <c r="R55" i="105" s="1"/>
  <c r="R95" i="105" s="1"/>
  <c r="R251" i="41"/>
  <c r="R269" i="41"/>
  <c r="R272" i="41"/>
  <c r="R250" i="41"/>
  <c r="L273" i="41"/>
  <c r="L404" i="41"/>
  <c r="L413" i="41" s="1"/>
  <c r="L33" i="65" s="1"/>
  <c r="L111" i="65" s="1"/>
  <c r="L140" i="65" s="1"/>
  <c r="L169" i="65" s="1"/>
  <c r="L74" i="105" s="1"/>
  <c r="L116" i="105" s="1"/>
  <c r="L272" i="41"/>
  <c r="L250" i="41"/>
  <c r="L249" i="41"/>
  <c r="L405" i="41"/>
  <c r="L414" i="41" s="1"/>
  <c r="L34" i="65" s="1"/>
  <c r="L112" i="65" s="1"/>
  <c r="L141" i="65" s="1"/>
  <c r="L170" i="65" s="1"/>
  <c r="L75" i="105" s="1"/>
  <c r="L117" i="105" s="1"/>
  <c r="L403" i="41"/>
  <c r="L412" i="41" s="1"/>
  <c r="L32" i="65" s="1"/>
  <c r="L110" i="65" s="1"/>
  <c r="L130" i="65" s="1"/>
  <c r="L159" i="65" s="1"/>
  <c r="L64" i="105" s="1"/>
  <c r="L105" i="105" s="1"/>
  <c r="L269" i="41"/>
  <c r="L251" i="41"/>
  <c r="L274" i="41"/>
  <c r="AL118" i="105"/>
  <c r="AN272" i="41"/>
  <c r="AN251" i="41"/>
  <c r="AN273" i="41"/>
  <c r="AN249" i="41"/>
  <c r="AN269" i="41"/>
  <c r="AN267" i="41"/>
  <c r="AN403" i="41"/>
  <c r="AN412" i="41" s="1"/>
  <c r="AN32" i="65" s="1"/>
  <c r="AN110" i="65" s="1"/>
  <c r="AL32" i="82" s="1"/>
  <c r="AN250" i="41"/>
  <c r="AN405" i="41"/>
  <c r="AN414" i="41" s="1"/>
  <c r="AN34" i="65" s="1"/>
  <c r="AN112" i="65" s="1"/>
  <c r="AN141" i="65" s="1"/>
  <c r="AN170" i="65" s="1"/>
  <c r="AN75" i="105" s="1"/>
  <c r="AN268" i="41"/>
  <c r="AN404" i="41"/>
  <c r="AN413" i="41" s="1"/>
  <c r="AN33" i="65" s="1"/>
  <c r="AN111" i="65" s="1"/>
  <c r="AL33" i="82" s="1"/>
  <c r="AK102" i="105"/>
  <c r="AM102" i="105"/>
  <c r="AO102" i="105"/>
  <c r="Q131" i="65"/>
  <c r="Q160" i="65" s="1"/>
  <c r="Q65" i="105" s="1"/>
  <c r="Q106" i="105" s="1"/>
  <c r="Q140" i="65"/>
  <c r="Q169" i="65" s="1"/>
  <c r="Q74" i="105" s="1"/>
  <c r="Q116" i="105" s="1"/>
  <c r="Q33" i="82"/>
  <c r="Q122" i="65"/>
  <c r="Q151" i="65" s="1"/>
  <c r="Q56" i="105" s="1"/>
  <c r="Q96" i="105" s="1"/>
  <c r="AK34" i="82"/>
  <c r="AL141" i="65"/>
  <c r="AL170" i="65" s="1"/>
  <c r="AL75" i="105" s="1"/>
  <c r="AL123" i="65"/>
  <c r="AL152" i="65" s="1"/>
  <c r="AL57" i="105" s="1"/>
  <c r="AL97" i="105" s="1"/>
  <c r="AK32" i="82"/>
  <c r="AL121" i="65"/>
  <c r="AL150" i="65" s="1"/>
  <c r="AL55" i="105" s="1"/>
  <c r="AL95" i="105" s="1"/>
  <c r="AL139" i="65"/>
  <c r="AL168" i="65" s="1"/>
  <c r="AL73" i="105" s="1"/>
  <c r="AI122" i="65"/>
  <c r="AI151" i="65" s="1"/>
  <c r="AI56" i="105" s="1"/>
  <c r="AI96" i="105" s="1"/>
  <c r="AI33" i="82"/>
  <c r="AI140" i="65"/>
  <c r="AI169" i="65" s="1"/>
  <c r="AI74" i="105" s="1"/>
  <c r="AI116" i="105" s="1"/>
  <c r="AB122" i="65"/>
  <c r="AB151" i="65" s="1"/>
  <c r="AB56" i="105" s="1"/>
  <c r="AB96" i="105" s="1"/>
  <c r="AB33" i="82"/>
  <c r="AB140" i="65"/>
  <c r="AB169" i="65" s="1"/>
  <c r="AB74" i="105" s="1"/>
  <c r="AB116" i="105" s="1"/>
  <c r="L131" i="65"/>
  <c r="L160" i="65" s="1"/>
  <c r="L65" i="105" s="1"/>
  <c r="L106" i="105" s="1"/>
  <c r="Q123" i="65"/>
  <c r="Q152" i="65" s="1"/>
  <c r="Q57" i="105" s="1"/>
  <c r="Q97" i="105" s="1"/>
  <c r="Q132" i="65"/>
  <c r="Q161" i="65" s="1"/>
  <c r="Q66" i="105" s="1"/>
  <c r="Q107" i="105" s="1"/>
  <c r="Q34" i="82"/>
  <c r="Q141" i="65"/>
  <c r="Q170" i="65" s="1"/>
  <c r="Q75" i="105" s="1"/>
  <c r="Q117" i="105" s="1"/>
  <c r="Q32" i="82"/>
  <c r="Q130" i="65"/>
  <c r="Q159" i="65" s="1"/>
  <c r="Q64" i="105" s="1"/>
  <c r="Q105" i="105" s="1"/>
  <c r="Q139" i="65"/>
  <c r="Q168" i="65" s="1"/>
  <c r="Q73" i="105" s="1"/>
  <c r="Q115" i="105" s="1"/>
  <c r="Q121" i="65"/>
  <c r="Q150" i="65" s="1"/>
  <c r="Q55" i="105" s="1"/>
  <c r="Q95" i="105" s="1"/>
  <c r="W32" i="82"/>
  <c r="W139" i="65"/>
  <c r="W168" i="65" s="1"/>
  <c r="W73" i="105" s="1"/>
  <c r="W115" i="105" s="1"/>
  <c r="W121" i="65"/>
  <c r="W150" i="65" s="1"/>
  <c r="W55" i="105" s="1"/>
  <c r="W95" i="105" s="1"/>
  <c r="AH34" i="82"/>
  <c r="AH123" i="65"/>
  <c r="AH152" i="65" s="1"/>
  <c r="AH57" i="105" s="1"/>
  <c r="AH97" i="105" s="1"/>
  <c r="AH132" i="65"/>
  <c r="AH161" i="65" s="1"/>
  <c r="AH66" i="105" s="1"/>
  <c r="AH107" i="105" s="1"/>
  <c r="AH141" i="65"/>
  <c r="AH170" i="65" s="1"/>
  <c r="AH75" i="105" s="1"/>
  <c r="AH117" i="105" s="1"/>
  <c r="W122" i="65"/>
  <c r="W151" i="65" s="1"/>
  <c r="W56" i="105" s="1"/>
  <c r="W96" i="105" s="1"/>
  <c r="W140" i="65"/>
  <c r="W169" i="65" s="1"/>
  <c r="W74" i="105" s="1"/>
  <c r="W116" i="105" s="1"/>
  <c r="W33" i="82"/>
  <c r="AJ141" i="65"/>
  <c r="AJ170" i="65" s="1"/>
  <c r="AJ75" i="105" s="1"/>
  <c r="AJ34" i="82"/>
  <c r="AJ132" i="65"/>
  <c r="AJ161" i="65" s="1"/>
  <c r="AJ66" i="105" s="1"/>
  <c r="AJ123" i="65"/>
  <c r="AJ152" i="65" s="1"/>
  <c r="AJ57" i="105" s="1"/>
  <c r="AJ97" i="105" s="1"/>
  <c r="AI123" i="65"/>
  <c r="AI152" i="65" s="1"/>
  <c r="AI57" i="105" s="1"/>
  <c r="AI97" i="105" s="1"/>
  <c r="AI34" i="82"/>
  <c r="AI141" i="65"/>
  <c r="AI170" i="65" s="1"/>
  <c r="AI75" i="105" s="1"/>
  <c r="AI117" i="105" s="1"/>
  <c r="AB34" i="82"/>
  <c r="AB123" i="65"/>
  <c r="AB152" i="65" s="1"/>
  <c r="AB57" i="105" s="1"/>
  <c r="AB97" i="105" s="1"/>
  <c r="AB141" i="65"/>
  <c r="AB170" i="65" s="1"/>
  <c r="AB75" i="105" s="1"/>
  <c r="AB117" i="105" s="1"/>
  <c r="AI32" i="82"/>
  <c r="AI139" i="65"/>
  <c r="AI168" i="65" s="1"/>
  <c r="AI73" i="105" s="1"/>
  <c r="AI115" i="105" s="1"/>
  <c r="AI121" i="65"/>
  <c r="AI150" i="65" s="1"/>
  <c r="AI55" i="105" s="1"/>
  <c r="AI95" i="105" s="1"/>
  <c r="AJ32" i="82"/>
  <c r="AJ121" i="65"/>
  <c r="AJ150" i="65" s="1"/>
  <c r="AJ55" i="105" s="1"/>
  <c r="AJ95" i="105" s="1"/>
  <c r="AJ130" i="65"/>
  <c r="AJ159" i="65" s="1"/>
  <c r="AJ64" i="105" s="1"/>
  <c r="AJ139" i="65"/>
  <c r="AJ168" i="65" s="1"/>
  <c r="AJ73" i="105" s="1"/>
  <c r="L121" i="65"/>
  <c r="L150" i="65" s="1"/>
  <c r="L55" i="105" s="1"/>
  <c r="L95" i="105" s="1"/>
  <c r="AH33" i="82"/>
  <c r="AH131" i="65"/>
  <c r="AH160" i="65" s="1"/>
  <c r="AH65" i="105" s="1"/>
  <c r="AH106" i="105" s="1"/>
  <c r="AH140" i="65"/>
  <c r="AH169" i="65" s="1"/>
  <c r="AH74" i="105" s="1"/>
  <c r="AH116" i="105" s="1"/>
  <c r="AH122" i="65"/>
  <c r="AH151" i="65" s="1"/>
  <c r="AH56" i="105" s="1"/>
  <c r="AH96" i="105" s="1"/>
  <c r="AG196" i="105"/>
  <c r="AG118" i="105"/>
  <c r="R131" i="65"/>
  <c r="R160" i="65" s="1"/>
  <c r="R65" i="105" s="1"/>
  <c r="R106" i="105" s="1"/>
  <c r="R122" i="65"/>
  <c r="R151" i="65" s="1"/>
  <c r="R56" i="105" s="1"/>
  <c r="R96" i="105" s="1"/>
  <c r="R33" i="82"/>
  <c r="R140" i="65"/>
  <c r="R169" i="65" s="1"/>
  <c r="R74" i="105" s="1"/>
  <c r="R116" i="105" s="1"/>
  <c r="AJ33" i="82"/>
  <c r="AJ140" i="65"/>
  <c r="AJ169" i="65" s="1"/>
  <c r="AJ74" i="105" s="1"/>
  <c r="AJ122" i="65"/>
  <c r="AJ151" i="65" s="1"/>
  <c r="AJ56" i="105" s="1"/>
  <c r="AJ96" i="105" s="1"/>
  <c r="AJ131" i="65"/>
  <c r="AJ160" i="65" s="1"/>
  <c r="AJ65" i="105" s="1"/>
  <c r="AH130" i="65"/>
  <c r="AH159" i="65" s="1"/>
  <c r="AH64" i="105" s="1"/>
  <c r="AH105" i="105" s="1"/>
  <c r="AH121" i="65"/>
  <c r="AH150" i="65" s="1"/>
  <c r="AH55" i="105" s="1"/>
  <c r="AH95" i="105" s="1"/>
  <c r="AH32" i="82"/>
  <c r="AH139" i="65"/>
  <c r="AH168" i="65" s="1"/>
  <c r="AH73" i="105" s="1"/>
  <c r="AH115" i="105" s="1"/>
  <c r="AG249" i="41"/>
  <c r="AG267" i="41"/>
  <c r="AG274" i="41"/>
  <c r="AG279" i="41" s="1"/>
  <c r="AG284" i="41" s="1"/>
  <c r="AG362" i="41" s="1"/>
  <c r="AG364" i="41" s="1"/>
  <c r="AG366" i="41" s="1"/>
  <c r="AG368" i="41" s="1"/>
  <c r="AG393" i="41" s="1"/>
  <c r="AG272" i="41"/>
  <c r="AG277" i="41" s="1"/>
  <c r="AG282" i="41" s="1"/>
  <c r="AG404" i="41"/>
  <c r="AG251" i="41"/>
  <c r="AG268" i="41"/>
  <c r="AG273" i="41"/>
  <c r="AG278" i="41" s="1"/>
  <c r="AG283" i="41" s="1"/>
  <c r="AG403" i="41"/>
  <c r="AG405" i="41"/>
  <c r="AG269" i="41"/>
  <c r="AG250" i="41"/>
  <c r="AL122" i="65"/>
  <c r="AL151" i="65" s="1"/>
  <c r="AL56" i="105" s="1"/>
  <c r="AL96" i="105" s="1"/>
  <c r="AL140" i="65"/>
  <c r="AL169" i="65" s="1"/>
  <c r="AL74" i="105" s="1"/>
  <c r="AK33" i="82"/>
  <c r="AG185" i="105"/>
  <c r="AG108" i="105"/>
  <c r="AB121" i="65"/>
  <c r="AB150" i="65" s="1"/>
  <c r="AB55" i="105" s="1"/>
  <c r="AB95" i="105" s="1"/>
  <c r="AB32" i="82"/>
  <c r="AB139" i="65"/>
  <c r="AB168" i="65" s="1"/>
  <c r="AB73" i="105" s="1"/>
  <c r="AB115" i="105" s="1"/>
  <c r="W123" i="65"/>
  <c r="W152" i="65" s="1"/>
  <c r="W57" i="105" s="1"/>
  <c r="W97" i="105" s="1"/>
  <c r="W141" i="65"/>
  <c r="W170" i="65" s="1"/>
  <c r="W75" i="105" s="1"/>
  <c r="W117" i="105" s="1"/>
  <c r="W34" i="82"/>
  <c r="L32" i="82" l="1"/>
  <c r="AN279" i="41"/>
  <c r="AN284" i="41" s="1"/>
  <c r="AN362" i="41" s="1"/>
  <c r="AK278" i="41"/>
  <c r="AK283" i="41" s="1"/>
  <c r="R32" i="82"/>
  <c r="R130" i="65"/>
  <c r="R159" i="65" s="1"/>
  <c r="R64" i="105" s="1"/>
  <c r="R105" i="105" s="1"/>
  <c r="W278" i="41"/>
  <c r="W283" i="41" s="1"/>
  <c r="R139" i="65"/>
  <c r="R168" i="65" s="1"/>
  <c r="R73" i="105" s="1"/>
  <c r="R115" i="105" s="1"/>
  <c r="AI279" i="41"/>
  <c r="AI284" i="41" s="1"/>
  <c r="AI362" i="41" s="1"/>
  <c r="R141" i="65"/>
  <c r="R170" i="65" s="1"/>
  <c r="R75" i="105" s="1"/>
  <c r="R117" i="105" s="1"/>
  <c r="L139" i="65"/>
  <c r="L168" i="65" s="1"/>
  <c r="L73" i="105" s="1"/>
  <c r="L115" i="105" s="1"/>
  <c r="L122" i="105" s="1"/>
  <c r="AK279" i="41"/>
  <c r="AK284" i="41" s="1"/>
  <c r="AK362" i="41" s="1"/>
  <c r="R123" i="65"/>
  <c r="R152" i="65" s="1"/>
  <c r="R57" i="105" s="1"/>
  <c r="R97" i="105" s="1"/>
  <c r="R102" i="105" s="1"/>
  <c r="R65" i="82" s="1"/>
  <c r="R34" i="82"/>
  <c r="AL279" i="41"/>
  <c r="AL284" i="41" s="1"/>
  <c r="AL362" i="41" s="1"/>
  <c r="AJ279" i="41"/>
  <c r="AJ284" i="41" s="1"/>
  <c r="AJ362" i="41" s="1"/>
  <c r="L279" i="41"/>
  <c r="L284" i="41" s="1"/>
  <c r="L362" i="41" s="1"/>
  <c r="L122" i="65"/>
  <c r="L151" i="65" s="1"/>
  <c r="L56" i="105" s="1"/>
  <c r="L96" i="105" s="1"/>
  <c r="L33" i="82"/>
  <c r="L123" i="65"/>
  <c r="L152" i="65" s="1"/>
  <c r="L57" i="105" s="1"/>
  <c r="L97" i="105" s="1"/>
  <c r="AO279" i="41"/>
  <c r="AO284" i="41" s="1"/>
  <c r="AO362" i="41" s="1"/>
  <c r="AH279" i="41"/>
  <c r="AH284" i="41" s="1"/>
  <c r="AH362" i="41" s="1"/>
  <c r="AB277" i="41"/>
  <c r="AB282" i="41" s="1"/>
  <c r="W279" i="41"/>
  <c r="W284" i="41" s="1"/>
  <c r="W362" i="41" s="1"/>
  <c r="Q279" i="41"/>
  <c r="Q284" i="41" s="1"/>
  <c r="Q362" i="41" s="1"/>
  <c r="AM279" i="41"/>
  <c r="AM284" i="41" s="1"/>
  <c r="AM362" i="41" s="1"/>
  <c r="AB279" i="41"/>
  <c r="AB284" i="41" s="1"/>
  <c r="AB362" i="41" s="1"/>
  <c r="K279" i="41"/>
  <c r="K284" i="41" s="1"/>
  <c r="K362" i="41" s="1"/>
  <c r="R279" i="41"/>
  <c r="R284" i="41" s="1"/>
  <c r="R362" i="41" s="1"/>
  <c r="L34" i="82"/>
  <c r="L132" i="65"/>
  <c r="L161" i="65" s="1"/>
  <c r="L66" i="105" s="1"/>
  <c r="L107" i="105" s="1"/>
  <c r="L112" i="105" s="1"/>
  <c r="K278" i="41"/>
  <c r="K283" i="41" s="1"/>
  <c r="AM278" i="41"/>
  <c r="AM283" i="41" s="1"/>
  <c r="AL278" i="41"/>
  <c r="AL283" i="41" s="1"/>
  <c r="AL277" i="41"/>
  <c r="AL282" i="41" s="1"/>
  <c r="AN278" i="41"/>
  <c r="AN283" i="41" s="1"/>
  <c r="AJ277" i="41"/>
  <c r="AJ282" i="41" s="1"/>
  <c r="K277" i="41"/>
  <c r="K282" i="41" s="1"/>
  <c r="AL34" i="82"/>
  <c r="L277" i="41"/>
  <c r="L282" i="41" s="1"/>
  <c r="AB278" i="41"/>
  <c r="AB283" i="41" s="1"/>
  <c r="AN277" i="41"/>
  <c r="AN282" i="41" s="1"/>
  <c r="R277" i="41"/>
  <c r="R282" i="41" s="1"/>
  <c r="AH277" i="41"/>
  <c r="AH282" i="41" s="1"/>
  <c r="Q278" i="41"/>
  <c r="Q283" i="41" s="1"/>
  <c r="AK277" i="41"/>
  <c r="AK282" i="41" s="1"/>
  <c r="Q277" i="41"/>
  <c r="Q282" i="41" s="1"/>
  <c r="AN123" i="65"/>
  <c r="AN152" i="65" s="1"/>
  <c r="AN57" i="105" s="1"/>
  <c r="AN97" i="105" s="1"/>
  <c r="AI277" i="41"/>
  <c r="AI282" i="41" s="1"/>
  <c r="AO277" i="41"/>
  <c r="AO282" i="41" s="1"/>
  <c r="W277" i="41"/>
  <c r="W282" i="41" s="1"/>
  <c r="AM277" i="41"/>
  <c r="AM282" i="41" s="1"/>
  <c r="AH278" i="41"/>
  <c r="AH283" i="41" s="1"/>
  <c r="R278" i="41"/>
  <c r="R283" i="41" s="1"/>
  <c r="AJ278" i="41"/>
  <c r="AJ283" i="41" s="1"/>
  <c r="AI278" i="41"/>
  <c r="AI283" i="41" s="1"/>
  <c r="AO278" i="41"/>
  <c r="AO283" i="41" s="1"/>
  <c r="L278" i="41"/>
  <c r="L283" i="41" s="1"/>
  <c r="AN121" i="65"/>
  <c r="AN150" i="65" s="1"/>
  <c r="AN55" i="105" s="1"/>
  <c r="AN95" i="105" s="1"/>
  <c r="AN139" i="65"/>
  <c r="AN168" i="65" s="1"/>
  <c r="AN73" i="105" s="1"/>
  <c r="AN193" i="105" s="1"/>
  <c r="AN122" i="65"/>
  <c r="AN151" i="65" s="1"/>
  <c r="AN56" i="105" s="1"/>
  <c r="AN96" i="105" s="1"/>
  <c r="AN140" i="65"/>
  <c r="AN169" i="65" s="1"/>
  <c r="AN74" i="105" s="1"/>
  <c r="AN194" i="105" s="1"/>
  <c r="AI122" i="105"/>
  <c r="AG298" i="41"/>
  <c r="AG304" i="41" s="1"/>
  <c r="AG391" i="41" s="1"/>
  <c r="AH102" i="105"/>
  <c r="AH174" i="105" s="1"/>
  <c r="AH65" i="82" s="1"/>
  <c r="Q122" i="105"/>
  <c r="AB102" i="105"/>
  <c r="AB65" i="82" s="1"/>
  <c r="AH122" i="105"/>
  <c r="AH148" i="105" s="1"/>
  <c r="Q102" i="105"/>
  <c r="Q174" i="105" s="1"/>
  <c r="Q65" i="82" s="1"/>
  <c r="AI102" i="105"/>
  <c r="AI174" i="105" s="1"/>
  <c r="AI65" i="82" s="1"/>
  <c r="AH112" i="105"/>
  <c r="AH147" i="105" s="1"/>
  <c r="Q112" i="105"/>
  <c r="AB122" i="105"/>
  <c r="AG330" i="41"/>
  <c r="AG332" i="41" s="1"/>
  <c r="AG334" i="41" s="1"/>
  <c r="AG336" i="41" s="1"/>
  <c r="AG392" i="41" s="1"/>
  <c r="AJ102" i="105"/>
  <c r="AJ140" i="105" s="1"/>
  <c r="AL102" i="105"/>
  <c r="AL146" i="105" s="1"/>
  <c r="AK63" i="82" s="1"/>
  <c r="W102" i="105"/>
  <c r="R112" i="105"/>
  <c r="W122" i="105"/>
  <c r="AL195" i="105"/>
  <c r="AL117" i="105"/>
  <c r="AJ193" i="105"/>
  <c r="AJ115" i="105"/>
  <c r="AN195" i="105"/>
  <c r="AN117" i="105"/>
  <c r="AJ105" i="105"/>
  <c r="AJ182" i="105"/>
  <c r="AJ195" i="105"/>
  <c r="AJ117" i="105"/>
  <c r="AJ183" i="105"/>
  <c r="AJ106" i="105"/>
  <c r="AJ107" i="105"/>
  <c r="AJ184" i="105"/>
  <c r="AL193" i="105"/>
  <c r="AL115" i="105"/>
  <c r="AL116" i="105"/>
  <c r="AL194" i="105"/>
  <c r="AJ194" i="105"/>
  <c r="AJ116" i="105"/>
  <c r="R122" i="105" l="1"/>
  <c r="AO330" i="41"/>
  <c r="AN330" i="41"/>
  <c r="AI330" i="41"/>
  <c r="R330" i="41"/>
  <c r="L102" i="105"/>
  <c r="AM330" i="41"/>
  <c r="AJ330" i="41"/>
  <c r="AK298" i="41"/>
  <c r="AK304" i="41" s="1"/>
  <c r="AK391" i="41" s="1"/>
  <c r="AK395" i="41" s="1"/>
  <c r="AK330" i="41"/>
  <c r="Q330" i="41"/>
  <c r="AL298" i="41"/>
  <c r="AL304" i="41" s="1"/>
  <c r="AL391" i="41" s="1"/>
  <c r="AL395" i="41" s="1"/>
  <c r="AB330" i="41"/>
  <c r="Q364" i="41"/>
  <c r="Q366" i="41" s="1"/>
  <c r="Q368" i="41" s="1"/>
  <c r="Q393" i="41" s="1"/>
  <c r="W364" i="41"/>
  <c r="W366" i="41" s="1"/>
  <c r="W368" i="41" s="1"/>
  <c r="W393" i="41" s="1"/>
  <c r="AL330" i="41"/>
  <c r="AH330" i="41"/>
  <c r="W330" i="41"/>
  <c r="AM298" i="41"/>
  <c r="AM304" i="41" s="1"/>
  <c r="AM391" i="41" s="1"/>
  <c r="AM395" i="41" s="1"/>
  <c r="K364" i="41"/>
  <c r="K366" i="41" s="1"/>
  <c r="K368" i="41" s="1"/>
  <c r="K393" i="41" s="1"/>
  <c r="W298" i="41"/>
  <c r="W304" i="41" s="1"/>
  <c r="W391" i="41" s="1"/>
  <c r="W395" i="41" s="1"/>
  <c r="AM364" i="41"/>
  <c r="AM366" i="41" s="1"/>
  <c r="AM368" i="41" s="1"/>
  <c r="AM393" i="41" s="1"/>
  <c r="R364" i="41"/>
  <c r="R366" i="41" s="1"/>
  <c r="R368" i="41" s="1"/>
  <c r="R393" i="41" s="1"/>
  <c r="K298" i="41"/>
  <c r="K304" i="41" s="1"/>
  <c r="K391" i="41" s="1"/>
  <c r="K395" i="41" s="1"/>
  <c r="AO364" i="41"/>
  <c r="AO366" i="41" s="1"/>
  <c r="AO368" i="41" s="1"/>
  <c r="AO393" i="41" s="1"/>
  <c r="K330" i="41"/>
  <c r="AJ364" i="41"/>
  <c r="AJ366" i="41" s="1"/>
  <c r="AJ368" i="41" s="1"/>
  <c r="AJ393" i="41" s="1"/>
  <c r="AK364" i="41"/>
  <c r="AK366" i="41" s="1"/>
  <c r="AK368" i="41" s="1"/>
  <c r="AK393" i="41" s="1"/>
  <c r="AB364" i="41"/>
  <c r="AB366" i="41" s="1"/>
  <c r="AB368" i="41" s="1"/>
  <c r="AB393" i="41" s="1"/>
  <c r="AN364" i="41"/>
  <c r="AN366" i="41" s="1"/>
  <c r="AN368" i="41" s="1"/>
  <c r="AN393" i="41" s="1"/>
  <c r="AI364" i="41"/>
  <c r="AI366" i="41" s="1"/>
  <c r="AI368" i="41" s="1"/>
  <c r="AI393" i="41" s="1"/>
  <c r="AL364" i="41"/>
  <c r="AL366" i="41" s="1"/>
  <c r="AL368" i="41" s="1"/>
  <c r="AL393" i="41" s="1"/>
  <c r="L364" i="41"/>
  <c r="L366" i="41" s="1"/>
  <c r="L368" i="41" s="1"/>
  <c r="L393" i="41" s="1"/>
  <c r="AH364" i="41"/>
  <c r="AH366" i="41" s="1"/>
  <c r="AH368" i="41" s="1"/>
  <c r="AH393" i="41" s="1"/>
  <c r="AN298" i="41"/>
  <c r="AN304" i="41" s="1"/>
  <c r="AN391" i="41" s="1"/>
  <c r="AN395" i="41" s="1"/>
  <c r="L298" i="41"/>
  <c r="L304" i="41" s="1"/>
  <c r="L391" i="41" s="1"/>
  <c r="L395" i="41" s="1"/>
  <c r="AB298" i="41"/>
  <c r="AB304" i="41" s="1"/>
  <c r="AB391" i="41" s="1"/>
  <c r="AB395" i="41" s="1"/>
  <c r="Q298" i="41"/>
  <c r="Q304" i="41" s="1"/>
  <c r="Q391" i="41" s="1"/>
  <c r="Q395" i="41" s="1"/>
  <c r="AN116" i="105"/>
  <c r="AH298" i="41"/>
  <c r="AH304" i="41" s="1"/>
  <c r="AH391" i="41" s="1"/>
  <c r="AH395" i="41" s="1"/>
  <c r="AN115" i="105"/>
  <c r="R298" i="41"/>
  <c r="R304" i="41" s="1"/>
  <c r="R391" i="41" s="1"/>
  <c r="R395" i="41" s="1"/>
  <c r="AJ298" i="41"/>
  <c r="AJ304" i="41" s="1"/>
  <c r="AJ391" i="41" s="1"/>
  <c r="AJ395" i="41" s="1"/>
  <c r="AI298" i="41"/>
  <c r="AI304" i="41" s="1"/>
  <c r="AI391" i="41" s="1"/>
  <c r="AI395" i="41" s="1"/>
  <c r="L330" i="41"/>
  <c r="AO298" i="41"/>
  <c r="AO304" i="41" s="1"/>
  <c r="AO391" i="41" s="1"/>
  <c r="AO395" i="41" s="1"/>
  <c r="AN102" i="105"/>
  <c r="AN146" i="105" s="1"/>
  <c r="AL63" i="82" s="1"/>
  <c r="AL140" i="105"/>
  <c r="AK62" i="82" s="1"/>
  <c r="AG300" i="41"/>
  <c r="AG302" i="41" s="1"/>
  <c r="AL174" i="105"/>
  <c r="AK65" i="82" s="1"/>
  <c r="Q146" i="105"/>
  <c r="Q63" i="82" s="1"/>
  <c r="AH146" i="105"/>
  <c r="AH63" i="82" s="1"/>
  <c r="AN200" i="105"/>
  <c r="AJ174" i="105"/>
  <c r="AJ65" i="82" s="1"/>
  <c r="AJ146" i="105"/>
  <c r="AJ63" i="82" s="1"/>
  <c r="AJ122" i="105"/>
  <c r="AJ142" i="105" s="1"/>
  <c r="AJ200" i="105"/>
  <c r="AJ207" i="105" s="1"/>
  <c r="AJ74" i="82" s="1"/>
  <c r="AL122" i="105"/>
  <c r="AL200" i="105"/>
  <c r="AJ189" i="105"/>
  <c r="AJ206" i="105" s="1"/>
  <c r="AJ73" i="82" s="1"/>
  <c r="AJ112" i="105"/>
  <c r="AJ62" i="82"/>
  <c r="H72" i="89"/>
  <c r="W332" i="41" l="1"/>
  <c r="W334" i="41" s="1"/>
  <c r="W336" i="41" s="1"/>
  <c r="W392" i="41" s="1"/>
  <c r="R332" i="41"/>
  <c r="R334" i="41" s="1"/>
  <c r="R336" i="41" s="1"/>
  <c r="R392" i="41" s="1"/>
  <c r="AN122" i="105"/>
  <c r="AN142" i="105" s="1"/>
  <c r="AB300" i="41"/>
  <c r="AB302" i="41" s="1"/>
  <c r="AB332" i="41"/>
  <c r="AB334" i="41" s="1"/>
  <c r="AB336" i="41" s="1"/>
  <c r="AB392" i="41" s="1"/>
  <c r="AI332" i="41"/>
  <c r="AI334" i="41" s="1"/>
  <c r="AI336" i="41" s="1"/>
  <c r="AI392" i="41" s="1"/>
  <c r="AJ300" i="41"/>
  <c r="AJ302" i="41" s="1"/>
  <c r="AH300" i="41"/>
  <c r="AH302" i="41" s="1"/>
  <c r="R300" i="41"/>
  <c r="R302" i="41" s="1"/>
  <c r="W300" i="41"/>
  <c r="W302" i="41" s="1"/>
  <c r="K300" i="41"/>
  <c r="K302" i="41" s="1"/>
  <c r="AL300" i="41"/>
  <c r="AL302" i="41" s="1"/>
  <c r="AO300" i="41"/>
  <c r="AO302" i="41" s="1"/>
  <c r="Q300" i="41"/>
  <c r="Q302" i="41" s="1"/>
  <c r="AK300" i="41"/>
  <c r="AK302" i="41" s="1"/>
  <c r="AI300" i="41"/>
  <c r="AI302" i="41" s="1"/>
  <c r="AN300" i="41"/>
  <c r="AN302" i="41" s="1"/>
  <c r="AM300" i="41"/>
  <c r="AM302" i="41" s="1"/>
  <c r="L300" i="41"/>
  <c r="L302" i="41" s="1"/>
  <c r="K332" i="41"/>
  <c r="K334" i="41" s="1"/>
  <c r="K336" i="41" s="1"/>
  <c r="K392" i="41" s="1"/>
  <c r="AN174" i="105"/>
  <c r="AL65" i="82" s="1"/>
  <c r="AN140" i="105"/>
  <c r="AL62" i="82" s="1"/>
  <c r="AJ332" i="41"/>
  <c r="AJ334" i="41" s="1"/>
  <c r="AJ336" i="41" s="1"/>
  <c r="AJ392" i="41" s="1"/>
  <c r="AN332" i="41"/>
  <c r="AN334" i="41" s="1"/>
  <c r="AN336" i="41" s="1"/>
  <c r="AN392" i="41" s="1"/>
  <c r="AH332" i="41"/>
  <c r="AH334" i="41" s="1"/>
  <c r="AH336" i="41" s="1"/>
  <c r="AH392" i="41" s="1"/>
  <c r="AO332" i="41"/>
  <c r="AO334" i="41" s="1"/>
  <c r="AO336" i="41" s="1"/>
  <c r="AO392" i="41" s="1"/>
  <c r="L332" i="41"/>
  <c r="L334" i="41" s="1"/>
  <c r="L336" i="41" s="1"/>
  <c r="L392" i="41" s="1"/>
  <c r="AL332" i="41"/>
  <c r="AL334" i="41" s="1"/>
  <c r="AL336" i="41" s="1"/>
  <c r="AL392" i="41" s="1"/>
  <c r="Q332" i="41"/>
  <c r="Q334" i="41" s="1"/>
  <c r="Q336" i="41" s="1"/>
  <c r="Q392" i="41" s="1"/>
  <c r="AK332" i="41"/>
  <c r="AK334" i="41" s="1"/>
  <c r="AK336" i="41" s="1"/>
  <c r="AK392" i="41" s="1"/>
  <c r="AM332" i="41"/>
  <c r="AM334" i="41" s="1"/>
  <c r="AM336" i="41" s="1"/>
  <c r="AM392" i="41" s="1"/>
  <c r="AL207" i="105"/>
  <c r="AK74" i="82" s="1"/>
  <c r="AJ148" i="105"/>
  <c r="H80" i="89"/>
  <c r="AN148" i="105" l="1"/>
  <c r="AN207" i="105"/>
  <c r="AL74" i="82" s="1"/>
  <c r="H87" i="89"/>
  <c r="H61" i="41" l="1"/>
  <c r="H83" i="105"/>
  <c r="H126" i="105" s="1"/>
  <c r="H108" i="89" a="1"/>
  <c r="H108" i="89" s="1"/>
  <c r="H114" i="89" s="1"/>
  <c r="H67" i="41" l="1"/>
  <c r="H84" i="41" s="1"/>
  <c r="J37" i="55"/>
  <c r="A4" i="89"/>
  <c r="H88" i="105" l="1"/>
  <c r="H131" i="105" s="1"/>
  <c r="V190" i="41"/>
  <c r="V196" i="41" s="1"/>
  <c r="V198" i="41" s="1"/>
  <c r="R190" i="41"/>
  <c r="AN190" i="41"/>
  <c r="AI190" i="41"/>
  <c r="AJ190" i="41"/>
  <c r="K190" i="41"/>
  <c r="K207" i="41" s="1"/>
  <c r="L190" i="41"/>
  <c r="T190" i="41"/>
  <c r="T196" i="41" s="1"/>
  <c r="T198" i="41" s="1"/>
  <c r="AE190" i="41"/>
  <c r="AE196" i="41" s="1"/>
  <c r="AE198" i="41" s="1"/>
  <c r="W190" i="41"/>
  <c r="X190" i="41"/>
  <c r="X196" i="41" s="1"/>
  <c r="X198" i="41" s="1"/>
  <c r="U190" i="41"/>
  <c r="U196" i="41" s="1"/>
  <c r="U198" i="41" s="1"/>
  <c r="M190" i="41"/>
  <c r="M196" i="41" s="1"/>
  <c r="M198" i="41" s="1"/>
  <c r="AD190" i="41"/>
  <c r="AD196" i="41" s="1"/>
  <c r="AD198" i="41" s="1"/>
  <c r="Q190" i="41"/>
  <c r="AB190" i="41"/>
  <c r="AH190" i="41"/>
  <c r="Y190" i="41"/>
  <c r="Y196" i="41" s="1"/>
  <c r="Y198" i="41" s="1"/>
  <c r="N190" i="41"/>
  <c r="N196" i="41" s="1"/>
  <c r="N198" i="41" s="1"/>
  <c r="J190" i="41"/>
  <c r="AM190" i="41"/>
  <c r="AK190" i="41"/>
  <c r="AF190" i="41"/>
  <c r="AF196" i="41" s="1"/>
  <c r="AF198" i="41" s="1"/>
  <c r="AL190" i="41"/>
  <c r="P190" i="41"/>
  <c r="P196" i="41" s="1"/>
  <c r="P198" i="41" s="1"/>
  <c r="AO190" i="41"/>
  <c r="AG190" i="41"/>
  <c r="AG205" i="41" s="1"/>
  <c r="AG207" i="41" s="1"/>
  <c r="Z190" i="41"/>
  <c r="Z196" i="41" s="1"/>
  <c r="Z198" i="41" s="1"/>
  <c r="AA190" i="41"/>
  <c r="AA196" i="41" s="1"/>
  <c r="AA198" i="41" s="1"/>
  <c r="S190" i="41"/>
  <c r="S196" i="41" s="1"/>
  <c r="S198" i="41" s="1"/>
  <c r="AC190" i="41"/>
  <c r="AC196" i="41" s="1"/>
  <c r="AC198" i="41" s="1"/>
  <c r="O190" i="41"/>
  <c r="O196" i="41" s="1"/>
  <c r="O198" i="41" s="1"/>
  <c r="M224" i="41" l="1"/>
  <c r="M415" i="41" s="1"/>
  <c r="M35" i="65" s="1"/>
  <c r="M113" i="65" s="1"/>
  <c r="Z224" i="41"/>
  <c r="Z415" i="41" s="1"/>
  <c r="Z35" i="65" s="1"/>
  <c r="Z113" i="65" s="1"/>
  <c r="X224" i="41"/>
  <c r="X415" i="41" s="1"/>
  <c r="X35" i="65" s="1"/>
  <c r="X113" i="65" s="1"/>
  <c r="N224" i="41"/>
  <c r="N415" i="41" s="1"/>
  <c r="N35" i="65" s="1"/>
  <c r="N113" i="65" s="1"/>
  <c r="Y224" i="41"/>
  <c r="Y415" i="41" s="1"/>
  <c r="Y35" i="65" s="1"/>
  <c r="Y113" i="65" s="1"/>
  <c r="AA224" i="41"/>
  <c r="AA415" i="41" s="1"/>
  <c r="AA35" i="65" s="1"/>
  <c r="AA113" i="65" s="1"/>
  <c r="AE224" i="41"/>
  <c r="AE415" i="41" s="1"/>
  <c r="AE35" i="65" s="1"/>
  <c r="AE113" i="65" s="1"/>
  <c r="V224" i="41"/>
  <c r="V415" i="41" s="1"/>
  <c r="V35" i="65" s="1"/>
  <c r="V113" i="65" s="1"/>
  <c r="O224" i="41"/>
  <c r="O415" i="41" s="1"/>
  <c r="O35" i="65" s="1"/>
  <c r="O113" i="65" s="1"/>
  <c r="T224" i="41"/>
  <c r="T415" i="41" s="1"/>
  <c r="T35" i="65" s="1"/>
  <c r="T113" i="65" s="1"/>
  <c r="U224" i="41"/>
  <c r="U415" i="41" s="1"/>
  <c r="U35" i="65" s="1"/>
  <c r="U113" i="65" s="1"/>
  <c r="AC224" i="41"/>
  <c r="AC415" i="41" s="1"/>
  <c r="AC35" i="65" s="1"/>
  <c r="AC113" i="65" s="1"/>
  <c r="AF224" i="41"/>
  <c r="AF415" i="41" s="1"/>
  <c r="AF35" i="65" s="1"/>
  <c r="AF113" i="65" s="1"/>
  <c r="P224" i="41"/>
  <c r="P415" i="41" s="1"/>
  <c r="P35" i="65" s="1"/>
  <c r="P113" i="65" s="1"/>
  <c r="S224" i="41"/>
  <c r="S415" i="41" s="1"/>
  <c r="S35" i="65" s="1"/>
  <c r="S113" i="65" s="1"/>
  <c r="AD224" i="41"/>
  <c r="AD415" i="41" s="1"/>
  <c r="AD35" i="65" s="1"/>
  <c r="AD113" i="65" s="1"/>
  <c r="K413" i="41"/>
  <c r="K33" i="65" s="1"/>
  <c r="K111" i="65" s="1"/>
  <c r="K412" i="41"/>
  <c r="K32" i="65" s="1"/>
  <c r="K110" i="65" s="1"/>
  <c r="K414" i="41"/>
  <c r="K34" i="65" s="1"/>
  <c r="K112" i="65" s="1"/>
  <c r="J196" i="41"/>
  <c r="J198" i="41" s="1"/>
  <c r="AG414" i="41"/>
  <c r="AG34" i="65" s="1"/>
  <c r="AG112" i="65" s="1"/>
  <c r="AG413" i="41"/>
  <c r="AG33" i="65" s="1"/>
  <c r="AG111" i="65" s="1"/>
  <c r="AG412" i="41"/>
  <c r="AG32" i="65" s="1"/>
  <c r="AG110" i="65" s="1"/>
  <c r="AD35" i="82" l="1"/>
  <c r="AD142" i="65"/>
  <c r="AD171" i="65" s="1"/>
  <c r="AD76" i="105" s="1"/>
  <c r="AD124" i="65"/>
  <c r="AD153" i="65" s="1"/>
  <c r="AD58" i="105" s="1"/>
  <c r="AD98" i="105" s="1"/>
  <c r="AC124" i="65"/>
  <c r="AC153" i="65" s="1"/>
  <c r="AC58" i="105" s="1"/>
  <c r="AC98" i="105" s="1"/>
  <c r="AC35" i="82"/>
  <c r="AC142" i="65"/>
  <c r="AC171" i="65" s="1"/>
  <c r="AC76" i="105" s="1"/>
  <c r="V124" i="65"/>
  <c r="V153" i="65" s="1"/>
  <c r="V58" i="105" s="1"/>
  <c r="V98" i="105" s="1"/>
  <c r="V142" i="65"/>
  <c r="V171" i="65" s="1"/>
  <c r="V76" i="105" s="1"/>
  <c r="V133" i="65"/>
  <c r="V162" i="65" s="1"/>
  <c r="V67" i="105" s="1"/>
  <c r="V35" i="82"/>
  <c r="N124" i="65"/>
  <c r="N153" i="65" s="1"/>
  <c r="N58" i="105" s="1"/>
  <c r="N98" i="105" s="1"/>
  <c r="N35" i="82"/>
  <c r="N133" i="65"/>
  <c r="N162" i="65" s="1"/>
  <c r="N67" i="105" s="1"/>
  <c r="N142" i="65"/>
  <c r="N171" i="65" s="1"/>
  <c r="N76" i="105" s="1"/>
  <c r="AD226" i="41"/>
  <c r="AD228" i="41" s="1"/>
  <c r="AC226" i="41"/>
  <c r="AC228" i="41" s="1"/>
  <c r="V226" i="41"/>
  <c r="V228" i="41" s="1"/>
  <c r="N226" i="41"/>
  <c r="N228" i="41" s="1"/>
  <c r="S35" i="82"/>
  <c r="S142" i="65"/>
  <c r="S171" i="65" s="1"/>
  <c r="S76" i="105" s="1"/>
  <c r="S124" i="65"/>
  <c r="S153" i="65" s="1"/>
  <c r="S58" i="105" s="1"/>
  <c r="S98" i="105" s="1"/>
  <c r="S133" i="65"/>
  <c r="S162" i="65" s="1"/>
  <c r="S67" i="105" s="1"/>
  <c r="U133" i="65"/>
  <c r="U162" i="65" s="1"/>
  <c r="U67" i="105" s="1"/>
  <c r="U142" i="65"/>
  <c r="U171" i="65" s="1"/>
  <c r="U76" i="105" s="1"/>
  <c r="U35" i="82"/>
  <c r="U124" i="65"/>
  <c r="U153" i="65" s="1"/>
  <c r="U58" i="105" s="1"/>
  <c r="U98" i="105" s="1"/>
  <c r="AE124" i="65"/>
  <c r="AE153" i="65" s="1"/>
  <c r="AE58" i="105" s="1"/>
  <c r="AE98" i="105" s="1"/>
  <c r="AE35" i="82"/>
  <c r="AE142" i="65"/>
  <c r="AE171" i="65" s="1"/>
  <c r="AE76" i="105" s="1"/>
  <c r="X124" i="65"/>
  <c r="X153" i="65" s="1"/>
  <c r="X58" i="105" s="1"/>
  <c r="X98" i="105" s="1"/>
  <c r="X142" i="65"/>
  <c r="X171" i="65" s="1"/>
  <c r="X76" i="105" s="1"/>
  <c r="X35" i="82"/>
  <c r="J224" i="41"/>
  <c r="J415" i="41" s="1"/>
  <c r="J35" i="65" s="1"/>
  <c r="J113" i="65" s="1"/>
  <c r="S226" i="41"/>
  <c r="S228" i="41" s="1"/>
  <c r="U226" i="41"/>
  <c r="U228" i="41" s="1"/>
  <c r="AE226" i="41"/>
  <c r="AE228" i="41" s="1"/>
  <c r="X226" i="41"/>
  <c r="X228" i="41" s="1"/>
  <c r="P142" i="65"/>
  <c r="P171" i="65" s="1"/>
  <c r="P76" i="105" s="1"/>
  <c r="P35" i="82"/>
  <c r="P124" i="65"/>
  <c r="P153" i="65" s="1"/>
  <c r="P58" i="105" s="1"/>
  <c r="P98" i="105" s="1"/>
  <c r="P133" i="65"/>
  <c r="P162" i="65" s="1"/>
  <c r="P67" i="105" s="1"/>
  <c r="T124" i="65"/>
  <c r="T153" i="65" s="1"/>
  <c r="T58" i="105" s="1"/>
  <c r="T98" i="105" s="1"/>
  <c r="T133" i="65"/>
  <c r="T162" i="65" s="1"/>
  <c r="T67" i="105" s="1"/>
  <c r="T35" i="82"/>
  <c r="T142" i="65"/>
  <c r="T171" i="65" s="1"/>
  <c r="T76" i="105" s="1"/>
  <c r="AA35" i="82"/>
  <c r="AA142" i="65"/>
  <c r="AA171" i="65" s="1"/>
  <c r="AA76" i="105" s="1"/>
  <c r="AA124" i="65"/>
  <c r="AA153" i="65" s="1"/>
  <c r="AA58" i="105" s="1"/>
  <c r="AA98" i="105" s="1"/>
  <c r="Z142" i="65"/>
  <c r="Z171" i="65" s="1"/>
  <c r="Z76" i="105" s="1"/>
  <c r="Z124" i="65"/>
  <c r="Z153" i="65" s="1"/>
  <c r="Z58" i="105" s="1"/>
  <c r="Z98" i="105" s="1"/>
  <c r="Z35" i="82"/>
  <c r="P226" i="41"/>
  <c r="P228" i="41" s="1"/>
  <c r="T226" i="41"/>
  <c r="T228" i="41" s="1"/>
  <c r="AA226" i="41"/>
  <c r="AA228" i="41" s="1"/>
  <c r="Z226" i="41"/>
  <c r="Z228" i="41" s="1"/>
  <c r="AF35" i="82"/>
  <c r="AF142" i="65"/>
  <c r="AF171" i="65" s="1"/>
  <c r="AF76" i="105" s="1"/>
  <c r="AF124" i="65"/>
  <c r="AF153" i="65" s="1"/>
  <c r="AF58" i="105" s="1"/>
  <c r="AF98" i="105" s="1"/>
  <c r="O133" i="65"/>
  <c r="O162" i="65" s="1"/>
  <c r="O67" i="105" s="1"/>
  <c r="O124" i="65"/>
  <c r="O153" i="65" s="1"/>
  <c r="O58" i="105" s="1"/>
  <c r="O98" i="105" s="1"/>
  <c r="O142" i="65"/>
  <c r="O171" i="65" s="1"/>
  <c r="O76" i="105" s="1"/>
  <c r="O35" i="82"/>
  <c r="Y142" i="65"/>
  <c r="Y171" i="65" s="1"/>
  <c r="Y76" i="105" s="1"/>
  <c r="Y124" i="65"/>
  <c r="Y153" i="65" s="1"/>
  <c r="Y58" i="105" s="1"/>
  <c r="Y98" i="105" s="1"/>
  <c r="Y35" i="82"/>
  <c r="M35" i="82"/>
  <c r="M124" i="65"/>
  <c r="M153" i="65" s="1"/>
  <c r="M58" i="105" s="1"/>
  <c r="M98" i="105" s="1"/>
  <c r="M133" i="65"/>
  <c r="M162" i="65" s="1"/>
  <c r="M67" i="105" s="1"/>
  <c r="M142" i="65"/>
  <c r="M171" i="65" s="1"/>
  <c r="M76" i="105" s="1"/>
  <c r="AF226" i="41"/>
  <c r="AF228" i="41" s="1"/>
  <c r="O226" i="41"/>
  <c r="O228" i="41" s="1"/>
  <c r="Y226" i="41"/>
  <c r="Y228" i="41" s="1"/>
  <c r="M226" i="41"/>
  <c r="M228" i="41" s="1"/>
  <c r="AG33" i="82"/>
  <c r="AG140" i="65"/>
  <c r="AG169" i="65" s="1"/>
  <c r="AG74" i="105" s="1"/>
  <c r="AG122" i="65"/>
  <c r="AG151" i="65" s="1"/>
  <c r="AG56" i="105" s="1"/>
  <c r="AG96" i="105" s="1"/>
  <c r="AG131" i="65"/>
  <c r="AG160" i="65" s="1"/>
  <c r="AG65" i="105" s="1"/>
  <c r="AG123" i="65"/>
  <c r="AG152" i="65" s="1"/>
  <c r="AG57" i="105" s="1"/>
  <c r="AG97" i="105" s="1"/>
  <c r="AG34" i="82"/>
  <c r="AG141" i="65"/>
  <c r="AG170" i="65" s="1"/>
  <c r="AG75" i="105" s="1"/>
  <c r="AG132" i="65"/>
  <c r="AG161" i="65" s="1"/>
  <c r="AG66" i="105" s="1"/>
  <c r="K34" i="82"/>
  <c r="K141" i="65"/>
  <c r="K170" i="65" s="1"/>
  <c r="K75" i="105" s="1"/>
  <c r="K117" i="105" s="1"/>
  <c r="K132" i="65"/>
  <c r="K161" i="65" s="1"/>
  <c r="K66" i="105" s="1"/>
  <c r="K107" i="105" s="1"/>
  <c r="K123" i="65"/>
  <c r="K152" i="65" s="1"/>
  <c r="K57" i="105" s="1"/>
  <c r="K97" i="105" s="1"/>
  <c r="K32" i="82"/>
  <c r="K121" i="65"/>
  <c r="K150" i="65" s="1"/>
  <c r="K55" i="105" s="1"/>
  <c r="K95" i="105" s="1"/>
  <c r="K130" i="65"/>
  <c r="K159" i="65" s="1"/>
  <c r="K64" i="105" s="1"/>
  <c r="K105" i="105" s="1"/>
  <c r="K139" i="65"/>
  <c r="K168" i="65" s="1"/>
  <c r="K73" i="105" s="1"/>
  <c r="K115" i="105" s="1"/>
  <c r="K122" i="65"/>
  <c r="K151" i="65" s="1"/>
  <c r="K56" i="105" s="1"/>
  <c r="K96" i="105" s="1"/>
  <c r="K140" i="65"/>
  <c r="K169" i="65" s="1"/>
  <c r="K74" i="105" s="1"/>
  <c r="K116" i="105" s="1"/>
  <c r="K131" i="65"/>
  <c r="K160" i="65" s="1"/>
  <c r="K65" i="105" s="1"/>
  <c r="K106" i="105" s="1"/>
  <c r="K33" i="82"/>
  <c r="AG130" i="65"/>
  <c r="AG159" i="65" s="1"/>
  <c r="AG64" i="105" s="1"/>
  <c r="AG32" i="82"/>
  <c r="AG121" i="65"/>
  <c r="AG150" i="65" s="1"/>
  <c r="AG55" i="105" s="1"/>
  <c r="AG95" i="105" s="1"/>
  <c r="AG139" i="65"/>
  <c r="AG168" i="65" s="1"/>
  <c r="AG73" i="105" s="1"/>
  <c r="AG102" i="105" l="1"/>
  <c r="AG140" i="105" s="1"/>
  <c r="K112" i="105"/>
  <c r="K102" i="105"/>
  <c r="K146" i="105" s="1"/>
  <c r="K63" i="82" s="1"/>
  <c r="Y424" i="41"/>
  <c r="Y237" i="41"/>
  <c r="O424" i="41"/>
  <c r="O237" i="41"/>
  <c r="O293" i="41"/>
  <c r="O295" i="41" s="1"/>
  <c r="Y196" i="105"/>
  <c r="Y118" i="105"/>
  <c r="Z424" i="41"/>
  <c r="Z237" i="41"/>
  <c r="AA196" i="105"/>
  <c r="AA118" i="105"/>
  <c r="U118" i="105"/>
  <c r="U196" i="105"/>
  <c r="AC424" i="41"/>
  <c r="AC293" i="41"/>
  <c r="AC295" i="41" s="1"/>
  <c r="AC237" i="41"/>
  <c r="V118" i="105"/>
  <c r="V196" i="105"/>
  <c r="AF293" i="41"/>
  <c r="AF295" i="41" s="1"/>
  <c r="AF424" i="41"/>
  <c r="AF237" i="41"/>
  <c r="AA424" i="41"/>
  <c r="AA237" i="41"/>
  <c r="P196" i="105"/>
  <c r="P118" i="105"/>
  <c r="X118" i="105"/>
  <c r="X196" i="105"/>
  <c r="U185" i="105"/>
  <c r="U108" i="105"/>
  <c r="AD424" i="41"/>
  <c r="AD237" i="41"/>
  <c r="AD293" i="41"/>
  <c r="AD295" i="41" s="1"/>
  <c r="M118" i="105"/>
  <c r="M196" i="105"/>
  <c r="O118" i="105"/>
  <c r="O196" i="105"/>
  <c r="T237" i="41"/>
  <c r="T293" i="41"/>
  <c r="T295" i="41" s="1"/>
  <c r="Y293" i="41"/>
  <c r="Y295" i="41" s="1"/>
  <c r="T424" i="41"/>
  <c r="T196" i="105"/>
  <c r="T118" i="105"/>
  <c r="X237" i="41"/>
  <c r="X424" i="41"/>
  <c r="S185" i="105"/>
  <c r="S108" i="105"/>
  <c r="N118" i="105"/>
  <c r="N196" i="105"/>
  <c r="AC118" i="105"/>
  <c r="AC196" i="105"/>
  <c r="M185" i="105"/>
  <c r="M108" i="105"/>
  <c r="P424" i="41"/>
  <c r="P237" i="41"/>
  <c r="P293" i="41"/>
  <c r="P295" i="41" s="1"/>
  <c r="AE424" i="41"/>
  <c r="AE237" i="41"/>
  <c r="AE293" i="41"/>
  <c r="AE295" i="41" s="1"/>
  <c r="AE196" i="105"/>
  <c r="AE118" i="105"/>
  <c r="N185" i="105"/>
  <c r="N108" i="105"/>
  <c r="O108" i="105"/>
  <c r="O185" i="105"/>
  <c r="T108" i="105"/>
  <c r="T185" i="105"/>
  <c r="U293" i="41"/>
  <c r="U295" i="41" s="1"/>
  <c r="Z293" i="41"/>
  <c r="Z295" i="41" s="1"/>
  <c r="U424" i="41"/>
  <c r="U237" i="41"/>
  <c r="S196" i="105"/>
  <c r="S118" i="105"/>
  <c r="K122" i="105"/>
  <c r="S424" i="41"/>
  <c r="S293" i="41"/>
  <c r="S295" i="41" s="1"/>
  <c r="X293" i="41"/>
  <c r="X295" i="41" s="1"/>
  <c r="S237" i="41"/>
  <c r="M237" i="41"/>
  <c r="M293" i="41"/>
  <c r="M295" i="41" s="1"/>
  <c r="M424" i="41"/>
  <c r="AF196" i="105"/>
  <c r="AF118" i="105"/>
  <c r="Z196" i="105"/>
  <c r="Z118" i="105"/>
  <c r="P185" i="105"/>
  <c r="P108" i="105"/>
  <c r="J35" i="82"/>
  <c r="J124" i="65"/>
  <c r="J153" i="65" s="1"/>
  <c r="J58" i="105" s="1"/>
  <c r="J98" i="105" s="1"/>
  <c r="H98" i="105" s="1"/>
  <c r="J142" i="65"/>
  <c r="J171" i="65" s="1"/>
  <c r="J76" i="105" s="1"/>
  <c r="J133" i="65"/>
  <c r="J162" i="65" s="1"/>
  <c r="J67" i="105" s="1"/>
  <c r="N293" i="41"/>
  <c r="N295" i="41" s="1"/>
  <c r="N237" i="41"/>
  <c r="N424" i="41"/>
  <c r="AD118" i="105"/>
  <c r="AD196" i="105"/>
  <c r="J226" i="41"/>
  <c r="J228" i="41" s="1"/>
  <c r="V424" i="41"/>
  <c r="V293" i="41"/>
  <c r="V295" i="41" s="1"/>
  <c r="V237" i="41"/>
  <c r="AA293" i="41"/>
  <c r="AA295" i="41" s="1"/>
  <c r="V185" i="105"/>
  <c r="V108" i="105"/>
  <c r="AG184" i="105"/>
  <c r="AG107" i="105"/>
  <c r="AG182" i="105"/>
  <c r="AG105" i="105"/>
  <c r="AG195" i="105"/>
  <c r="AG117" i="105"/>
  <c r="AG183" i="105"/>
  <c r="AG106" i="105"/>
  <c r="K174" i="105"/>
  <c r="K65" i="82" s="1"/>
  <c r="AG194" i="105"/>
  <c r="AG116" i="105"/>
  <c r="AG193" i="105"/>
  <c r="AG115" i="105"/>
  <c r="AG146" i="105" l="1"/>
  <c r="AG63" i="82" s="1"/>
  <c r="AG174" i="105"/>
  <c r="AG65" i="82" s="1"/>
  <c r="AG189" i="105"/>
  <c r="AG206" i="105" s="1"/>
  <c r="AG73" i="82" s="1"/>
  <c r="AD251" i="41"/>
  <c r="AD269" i="41" s="1"/>
  <c r="AD274" i="41" s="1"/>
  <c r="AD279" i="41" s="1"/>
  <c r="AD284" i="41" s="1"/>
  <c r="AD362" i="41" s="1"/>
  <c r="AD364" i="41" s="1"/>
  <c r="AD366" i="41" s="1"/>
  <c r="AD249" i="41"/>
  <c r="AD267" i="41" s="1"/>
  <c r="AD272" i="41" s="1"/>
  <c r="AD277" i="41" s="1"/>
  <c r="AD282" i="41" s="1"/>
  <c r="AD250" i="41"/>
  <c r="AD268" i="41" s="1"/>
  <c r="AD273" i="41" s="1"/>
  <c r="AD278" i="41" s="1"/>
  <c r="AD283" i="41" s="1"/>
  <c r="AA251" i="41"/>
  <c r="AA269" i="41" s="1"/>
  <c r="AA274" i="41" s="1"/>
  <c r="AA250" i="41"/>
  <c r="AA268" i="41" s="1"/>
  <c r="AA273" i="41" s="1"/>
  <c r="AA249" i="41"/>
  <c r="AA267" i="41" s="1"/>
  <c r="AA272" i="41" s="1"/>
  <c r="M251" i="41"/>
  <c r="M269" i="41" s="1"/>
  <c r="M274" i="41" s="1"/>
  <c r="M279" i="41" s="1"/>
  <c r="M284" i="41" s="1"/>
  <c r="M362" i="41" s="1"/>
  <c r="M364" i="41" s="1"/>
  <c r="M366" i="41" s="1"/>
  <c r="M405" i="41"/>
  <c r="M414" i="41" s="1"/>
  <c r="M34" i="65" s="1"/>
  <c r="M112" i="65" s="1"/>
  <c r="M249" i="41"/>
  <c r="M267" i="41" s="1"/>
  <c r="M272" i="41" s="1"/>
  <c r="M277" i="41" s="1"/>
  <c r="M282" i="41" s="1"/>
  <c r="M250" i="41"/>
  <c r="M268" i="41" s="1"/>
  <c r="M273" i="41" s="1"/>
  <c r="M278" i="41" s="1"/>
  <c r="M283" i="41" s="1"/>
  <c r="U250" i="41"/>
  <c r="U268" i="41" s="1"/>
  <c r="U273" i="41" s="1"/>
  <c r="U251" i="41"/>
  <c r="U269" i="41" s="1"/>
  <c r="U274" i="41" s="1"/>
  <c r="U249" i="41"/>
  <c r="U267" i="41" s="1"/>
  <c r="U272" i="41" s="1"/>
  <c r="P250" i="41"/>
  <c r="P268" i="41" s="1"/>
  <c r="P273" i="41" s="1"/>
  <c r="P278" i="41" s="1"/>
  <c r="P283" i="41" s="1"/>
  <c r="P251" i="41"/>
  <c r="P269" i="41" s="1"/>
  <c r="P274" i="41" s="1"/>
  <c r="P279" i="41" s="1"/>
  <c r="P284" i="41" s="1"/>
  <c r="P362" i="41" s="1"/>
  <c r="P364" i="41" s="1"/>
  <c r="P366" i="41" s="1"/>
  <c r="P249" i="41"/>
  <c r="P267" i="41" s="1"/>
  <c r="P272" i="41" s="1"/>
  <c r="P277" i="41" s="1"/>
  <c r="P282" i="41" s="1"/>
  <c r="AG122" i="105"/>
  <c r="AG148" i="105" s="1"/>
  <c r="S251" i="41"/>
  <c r="S269" i="41" s="1"/>
  <c r="S274" i="41" s="1"/>
  <c r="S250" i="41"/>
  <c r="S268" i="41" s="1"/>
  <c r="S273" i="41" s="1"/>
  <c r="S249" i="41"/>
  <c r="S267" i="41" s="1"/>
  <c r="S272" i="41" s="1"/>
  <c r="T251" i="41"/>
  <c r="T269" i="41" s="1"/>
  <c r="T274" i="41" s="1"/>
  <c r="T249" i="41"/>
  <c r="T267" i="41" s="1"/>
  <c r="T272" i="41" s="1"/>
  <c r="T250" i="41"/>
  <c r="T268" i="41" s="1"/>
  <c r="T273" i="41" s="1"/>
  <c r="AF251" i="41"/>
  <c r="AF269" i="41" s="1"/>
  <c r="AF274" i="41" s="1"/>
  <c r="AF279" i="41" s="1"/>
  <c r="AF284" i="41" s="1"/>
  <c r="AF362" i="41" s="1"/>
  <c r="AF364" i="41" s="1"/>
  <c r="AF366" i="41" s="1"/>
  <c r="AF250" i="41"/>
  <c r="AF268" i="41" s="1"/>
  <c r="AF273" i="41" s="1"/>
  <c r="AF278" i="41" s="1"/>
  <c r="AF283" i="41" s="1"/>
  <c r="AF249" i="41"/>
  <c r="AF267" i="41" s="1"/>
  <c r="AF272" i="41" s="1"/>
  <c r="AF277" i="41" s="1"/>
  <c r="AF282" i="41" s="1"/>
  <c r="J237" i="41"/>
  <c r="J424" i="41"/>
  <c r="H424" i="41" s="1"/>
  <c r="H230" i="41"/>
  <c r="J293" i="41"/>
  <c r="J295" i="41" s="1"/>
  <c r="AG200" i="105"/>
  <c r="AG207" i="105" s="1"/>
  <c r="AG74" i="82" s="1"/>
  <c r="AG112" i="105"/>
  <c r="AG147" i="105" s="1"/>
  <c r="N249" i="41"/>
  <c r="N267" i="41" s="1"/>
  <c r="N272" i="41" s="1"/>
  <c r="N277" i="41" s="1"/>
  <c r="N282" i="41" s="1"/>
  <c r="N250" i="41"/>
  <c r="N268" i="41" s="1"/>
  <c r="N273" i="41" s="1"/>
  <c r="N278" i="41" s="1"/>
  <c r="N283" i="41" s="1"/>
  <c r="N251" i="41"/>
  <c r="N269" i="41" s="1"/>
  <c r="N274" i="41" s="1"/>
  <c r="N279" i="41" s="1"/>
  <c r="N284" i="41" s="1"/>
  <c r="N362" i="41" s="1"/>
  <c r="N364" i="41" s="1"/>
  <c r="N366" i="41" s="1"/>
  <c r="O249" i="41"/>
  <c r="O267" i="41" s="1"/>
  <c r="O272" i="41" s="1"/>
  <c r="O277" i="41" s="1"/>
  <c r="O282" i="41" s="1"/>
  <c r="O250" i="41"/>
  <c r="O268" i="41" s="1"/>
  <c r="O273" i="41" s="1"/>
  <c r="O278" i="41" s="1"/>
  <c r="O283" i="41" s="1"/>
  <c r="O251" i="41"/>
  <c r="O269" i="41" s="1"/>
  <c r="O274" i="41" s="1"/>
  <c r="O279" i="41" s="1"/>
  <c r="O284" i="41" s="1"/>
  <c r="O362" i="41" s="1"/>
  <c r="O364" i="41" s="1"/>
  <c r="O366" i="41" s="1"/>
  <c r="V251" i="41"/>
  <c r="V269" i="41" s="1"/>
  <c r="V274" i="41" s="1"/>
  <c r="V250" i="41"/>
  <c r="V268" i="41" s="1"/>
  <c r="V273" i="41" s="1"/>
  <c r="V249" i="41"/>
  <c r="V267" i="41" s="1"/>
  <c r="V272" i="41" s="1"/>
  <c r="X249" i="41"/>
  <c r="X267" i="41" s="1"/>
  <c r="X272" i="41" s="1"/>
  <c r="X250" i="41"/>
  <c r="X268" i="41" s="1"/>
  <c r="X273" i="41" s="1"/>
  <c r="X251" i="41"/>
  <c r="X269" i="41" s="1"/>
  <c r="X274" i="41" s="1"/>
  <c r="J185" i="105"/>
  <c r="J108" i="105"/>
  <c r="H108" i="105" s="1"/>
  <c r="Y249" i="41"/>
  <c r="Y267" i="41" s="1"/>
  <c r="Y272" i="41" s="1"/>
  <c r="Y250" i="41"/>
  <c r="Y268" i="41" s="1"/>
  <c r="Y273" i="41" s="1"/>
  <c r="Y251" i="41"/>
  <c r="Y269" i="41" s="1"/>
  <c r="Y274" i="41" s="1"/>
  <c r="AC250" i="41"/>
  <c r="AC268" i="41" s="1"/>
  <c r="AC273" i="41" s="1"/>
  <c r="AC278" i="41" s="1"/>
  <c r="AC283" i="41" s="1"/>
  <c r="AC251" i="41"/>
  <c r="AC269" i="41" s="1"/>
  <c r="AC249" i="41"/>
  <c r="AC267" i="41" s="1"/>
  <c r="AC272" i="41" s="1"/>
  <c r="AC277" i="41" s="1"/>
  <c r="AC282" i="41" s="1"/>
  <c r="J196" i="105"/>
  <c r="J118" i="105"/>
  <c r="H118" i="105" s="1"/>
  <c r="AE249" i="41"/>
  <c r="AE267" i="41" s="1"/>
  <c r="AE272" i="41" s="1"/>
  <c r="AE277" i="41" s="1"/>
  <c r="AE282" i="41" s="1"/>
  <c r="AE251" i="41"/>
  <c r="AE269" i="41" s="1"/>
  <c r="AE274" i="41" s="1"/>
  <c r="AE279" i="41" s="1"/>
  <c r="AE284" i="41" s="1"/>
  <c r="AE362" i="41" s="1"/>
  <c r="AE364" i="41" s="1"/>
  <c r="AE366" i="41" s="1"/>
  <c r="AE250" i="41"/>
  <c r="AE268" i="41" s="1"/>
  <c r="AE273" i="41" s="1"/>
  <c r="AE278" i="41" s="1"/>
  <c r="AE283" i="41" s="1"/>
  <c r="Z249" i="41"/>
  <c r="Z267" i="41" s="1"/>
  <c r="Z272" i="41" s="1"/>
  <c r="Z250" i="41"/>
  <c r="Z268" i="41" s="1"/>
  <c r="Z273" i="41" s="1"/>
  <c r="Z251" i="41"/>
  <c r="Z269" i="41" s="1"/>
  <c r="Z274" i="41" s="1"/>
  <c r="AG62" i="82"/>
  <c r="AD330" i="41" l="1"/>
  <c r="AD332" i="41" s="1"/>
  <c r="AD334" i="41" s="1"/>
  <c r="N298" i="41"/>
  <c r="N300" i="41" s="1"/>
  <c r="N302" i="41" s="1"/>
  <c r="N304" i="41" s="1"/>
  <c r="N391" i="41" s="1"/>
  <c r="M298" i="41"/>
  <c r="M300" i="41" s="1"/>
  <c r="M302" i="41" s="1"/>
  <c r="M304" i="41" s="1"/>
  <c r="M391" i="41" s="1"/>
  <c r="O330" i="41"/>
  <c r="O332" i="41" s="1"/>
  <c r="O334" i="41" s="1"/>
  <c r="O298" i="41"/>
  <c r="O300" i="41" s="1"/>
  <c r="O302" i="41" s="1"/>
  <c r="O304" i="41" s="1"/>
  <c r="O391" i="41" s="1"/>
  <c r="AA278" i="41"/>
  <c r="AA283" i="41" s="1"/>
  <c r="V278" i="41"/>
  <c r="V283" i="41" s="1"/>
  <c r="S279" i="41"/>
  <c r="S284" i="41" s="1"/>
  <c r="S362" i="41" s="1"/>
  <c r="X279" i="41"/>
  <c r="X284" i="41" s="1"/>
  <c r="X362" i="41" s="1"/>
  <c r="AD298" i="41"/>
  <c r="AD300" i="41" s="1"/>
  <c r="AD302" i="41" s="1"/>
  <c r="AD304" i="41" s="1"/>
  <c r="AD391" i="41" s="1"/>
  <c r="AE330" i="41"/>
  <c r="AE332" i="41" s="1"/>
  <c r="AE334" i="41" s="1"/>
  <c r="AA277" i="41"/>
  <c r="AA282" i="41" s="1"/>
  <c r="V277" i="41"/>
  <c r="V282" i="41" s="1"/>
  <c r="AF330" i="41"/>
  <c r="AF332" i="41" s="1"/>
  <c r="AF334" i="41" s="1"/>
  <c r="X278" i="41"/>
  <c r="X283" i="41" s="1"/>
  <c r="S278" i="41"/>
  <c r="S283" i="41" s="1"/>
  <c r="P330" i="41"/>
  <c r="P332" i="41" s="1"/>
  <c r="P334" i="41" s="1"/>
  <c r="M132" i="65"/>
  <c r="M161" i="65" s="1"/>
  <c r="M66" i="105" s="1"/>
  <c r="M123" i="65"/>
  <c r="M152" i="65" s="1"/>
  <c r="M57" i="105" s="1"/>
  <c r="M97" i="105" s="1"/>
  <c r="M34" i="82"/>
  <c r="M141" i="65"/>
  <c r="M170" i="65" s="1"/>
  <c r="M75" i="105" s="1"/>
  <c r="T277" i="41"/>
  <c r="T282" i="41" s="1"/>
  <c r="Y277" i="41"/>
  <c r="Y282" i="41" s="1"/>
  <c r="Z279" i="41"/>
  <c r="Z284" i="41" s="1"/>
  <c r="Z362" i="41" s="1"/>
  <c r="U279" i="41"/>
  <c r="U284" i="41" s="1"/>
  <c r="U362" i="41" s="1"/>
  <c r="AE298" i="41"/>
  <c r="AE300" i="41" s="1"/>
  <c r="AE302" i="41" s="1"/>
  <c r="AE304" i="41" s="1"/>
  <c r="AE391" i="41" s="1"/>
  <c r="AC274" i="41"/>
  <c r="AC279" i="41" s="1"/>
  <c r="AC284" i="41" s="1"/>
  <c r="AC362" i="41" s="1"/>
  <c r="AC364" i="41" s="1"/>
  <c r="AC366" i="41" s="1"/>
  <c r="AA279" i="41"/>
  <c r="AA284" i="41" s="1"/>
  <c r="AA362" i="41" s="1"/>
  <c r="V279" i="41"/>
  <c r="V284" i="41" s="1"/>
  <c r="V362" i="41" s="1"/>
  <c r="T278" i="41"/>
  <c r="T283" i="41" s="1"/>
  <c r="Y278" i="41"/>
  <c r="Y283" i="41" s="1"/>
  <c r="U277" i="41"/>
  <c r="U282" i="41" s="1"/>
  <c r="Z277" i="41"/>
  <c r="Z282" i="41" s="1"/>
  <c r="J249" i="41"/>
  <c r="J250" i="41"/>
  <c r="J268" i="41" s="1"/>
  <c r="J273" i="41" s="1"/>
  <c r="J278" i="41" s="1"/>
  <c r="J283" i="41" s="1"/>
  <c r="J251" i="41"/>
  <c r="J269" i="41" s="1"/>
  <c r="J274" i="41" s="1"/>
  <c r="J279" i="41" s="1"/>
  <c r="J284" i="41" s="1"/>
  <c r="J362" i="41" s="1"/>
  <c r="J364" i="41" s="1"/>
  <c r="J366" i="41" s="1"/>
  <c r="N330" i="41"/>
  <c r="N332" i="41" s="1"/>
  <c r="N334" i="41" s="1"/>
  <c r="T279" i="41"/>
  <c r="T284" i="41" s="1"/>
  <c r="T362" i="41" s="1"/>
  <c r="Y279" i="41"/>
  <c r="Y284" i="41" s="1"/>
  <c r="Y362" i="41" s="1"/>
  <c r="U278" i="41"/>
  <c r="U283" i="41" s="1"/>
  <c r="Z278" i="41"/>
  <c r="Z283" i="41" s="1"/>
  <c r="AF298" i="41"/>
  <c r="AF300" i="41" s="1"/>
  <c r="AF302" i="41" s="1"/>
  <c r="AF304" i="41" s="1"/>
  <c r="AF391" i="41" s="1"/>
  <c r="S277" i="41"/>
  <c r="S282" i="41" s="1"/>
  <c r="X277" i="41"/>
  <c r="X282" i="41" s="1"/>
  <c r="P298" i="41"/>
  <c r="P300" i="41" s="1"/>
  <c r="P302" i="41" s="1"/>
  <c r="P304" i="41" s="1"/>
  <c r="P391" i="41" s="1"/>
  <c r="M330" i="41"/>
  <c r="M332" i="41" s="1"/>
  <c r="M334" i="41" s="1"/>
  <c r="S330" i="41" l="1"/>
  <c r="X330" i="41"/>
  <c r="U330" i="41"/>
  <c r="S298" i="41"/>
  <c r="Z330" i="41"/>
  <c r="X298" i="41"/>
  <c r="T330" i="41"/>
  <c r="AC330" i="41"/>
  <c r="AC332" i="41" s="1"/>
  <c r="AC334" i="41" s="1"/>
  <c r="AA364" i="41"/>
  <c r="AA366" i="41" s="1"/>
  <c r="V364" i="41"/>
  <c r="V366" i="41" s="1"/>
  <c r="AC298" i="41"/>
  <c r="AC300" i="41" s="1"/>
  <c r="AC302" i="41" s="1"/>
  <c r="AC304" i="41" s="1"/>
  <c r="AC391" i="41" s="1"/>
  <c r="M195" i="105"/>
  <c r="M117" i="105"/>
  <c r="Y259" i="41" a="1"/>
  <c r="Y259" i="41" s="1"/>
  <c r="Y264" i="41" s="1"/>
  <c r="AN259" i="41" a="1"/>
  <c r="AN259" i="41" s="1"/>
  <c r="AN264" i="41" s="1"/>
  <c r="AN400" i="41" s="1"/>
  <c r="AI259" i="41" a="1"/>
  <c r="AI259" i="41" s="1"/>
  <c r="AI264" i="41" s="1"/>
  <c r="AI400" i="41" s="1"/>
  <c r="M259" i="41" a="1"/>
  <c r="M259" i="41" s="1"/>
  <c r="M264" i="41" s="1"/>
  <c r="M309" i="41" s="1"/>
  <c r="AC259" i="41" a="1"/>
  <c r="AC259" i="41" s="1"/>
  <c r="AC264" i="41" s="1"/>
  <c r="AL259" i="41" a="1"/>
  <c r="AL259" i="41" s="1"/>
  <c r="AL264" i="41" s="1"/>
  <c r="AL400" i="41" s="1"/>
  <c r="Q259" i="41" a="1"/>
  <c r="Q259" i="41" s="1"/>
  <c r="Q264" i="41" s="1"/>
  <c r="Q400" i="41" s="1"/>
  <c r="AB259" i="41" a="1"/>
  <c r="AB259" i="41" s="1"/>
  <c r="AB264" i="41" s="1"/>
  <c r="AB400" i="41" s="1"/>
  <c r="Z259" i="41" a="1"/>
  <c r="Z259" i="41" s="1"/>
  <c r="Z264" i="41" s="1"/>
  <c r="V259" i="41" a="1"/>
  <c r="V259" i="41" s="1"/>
  <c r="V264" i="41" s="1"/>
  <c r="AD259" i="41" a="1"/>
  <c r="AD259" i="41" s="1"/>
  <c r="AD264" i="41" s="1"/>
  <c r="AG259" i="41" a="1"/>
  <c r="AG259" i="41" s="1"/>
  <c r="AG264" i="41" s="1"/>
  <c r="AK259" i="41" a="1"/>
  <c r="AK259" i="41" s="1"/>
  <c r="AK264" i="41" s="1"/>
  <c r="AK400" i="41" s="1"/>
  <c r="AF259" i="41" a="1"/>
  <c r="AF259" i="41" s="1"/>
  <c r="AF264" i="41" s="1"/>
  <c r="AF309" i="41" s="1"/>
  <c r="P259" i="41" a="1"/>
  <c r="P259" i="41" s="1"/>
  <c r="P264" i="41" s="1"/>
  <c r="U259" i="41" a="1"/>
  <c r="U259" i="41" s="1"/>
  <c r="U264" i="41" s="1"/>
  <c r="K259" i="41" a="1"/>
  <c r="K259" i="41" s="1"/>
  <c r="K264" i="41" s="1"/>
  <c r="K400" i="41" s="1"/>
  <c r="AJ259" i="41" a="1"/>
  <c r="AJ259" i="41" s="1"/>
  <c r="AJ264" i="41" s="1"/>
  <c r="AJ400" i="41" s="1"/>
  <c r="X259" i="41" a="1"/>
  <c r="X259" i="41" s="1"/>
  <c r="X264" i="41" s="1"/>
  <c r="T259" i="41" a="1"/>
  <c r="T259" i="41" s="1"/>
  <c r="T264" i="41" s="1"/>
  <c r="O259" i="41" a="1"/>
  <c r="O259" i="41" s="1"/>
  <c r="O264" i="41" s="1"/>
  <c r="L259" i="41" a="1"/>
  <c r="L259" i="41" s="1"/>
  <c r="L264" i="41" s="1"/>
  <c r="L400" i="41" s="1"/>
  <c r="AO259" i="41" a="1"/>
  <c r="AO259" i="41" s="1"/>
  <c r="AO264" i="41" s="1"/>
  <c r="AO400" i="41" s="1"/>
  <c r="W259" i="41" a="1"/>
  <c r="W259" i="41" s="1"/>
  <c r="W264" i="41" s="1"/>
  <c r="W400" i="41" s="1"/>
  <c r="AM259" i="41" a="1"/>
  <c r="AM259" i="41" s="1"/>
  <c r="AM264" i="41" s="1"/>
  <c r="AM400" i="41" s="1"/>
  <c r="AA259" i="41" a="1"/>
  <c r="AA259" i="41" s="1"/>
  <c r="AA264" i="41" s="1"/>
  <c r="N259" i="41" a="1"/>
  <c r="N259" i="41" s="1"/>
  <c r="N264" i="41" s="1"/>
  <c r="N309" i="41" s="1"/>
  <c r="R259" i="41" a="1"/>
  <c r="R259" i="41" s="1"/>
  <c r="R264" i="41" s="1"/>
  <c r="R400" i="41" s="1"/>
  <c r="AH259" i="41" a="1"/>
  <c r="AH259" i="41" s="1"/>
  <c r="AH264" i="41" s="1"/>
  <c r="AH400" i="41" s="1"/>
  <c r="AE259" i="41" a="1"/>
  <c r="AE259" i="41" s="1"/>
  <c r="AE264" i="41" s="1"/>
  <c r="S259" i="41" a="1"/>
  <c r="S259" i="41" s="1"/>
  <c r="S264" i="41" s="1"/>
  <c r="J259" i="41" a="1"/>
  <c r="J259" i="41" s="1"/>
  <c r="J264" i="41" s="1"/>
  <c r="S364" i="41"/>
  <c r="S366" i="41" s="1"/>
  <c r="X364" i="41"/>
  <c r="X366" i="41" s="1"/>
  <c r="V298" i="41"/>
  <c r="AC258" i="41" a="1"/>
  <c r="AC258" i="41" s="1"/>
  <c r="AC263" i="41" s="1"/>
  <c r="N258" i="41" a="1"/>
  <c r="N258" i="41" s="1"/>
  <c r="N263" i="41" s="1"/>
  <c r="N308" i="41" s="1"/>
  <c r="AN258" i="41" a="1"/>
  <c r="AN258" i="41" s="1"/>
  <c r="AN263" i="41" s="1"/>
  <c r="AN399" i="41" s="1"/>
  <c r="S258" i="41" a="1"/>
  <c r="S258" i="41" s="1"/>
  <c r="S263" i="41" s="1"/>
  <c r="P258" i="41" a="1"/>
  <c r="P258" i="41" s="1"/>
  <c r="P263" i="41" s="1"/>
  <c r="AG258" i="41" a="1"/>
  <c r="AG258" i="41" s="1"/>
  <c r="AG263" i="41" s="1"/>
  <c r="AH258" i="41" a="1"/>
  <c r="AH258" i="41" s="1"/>
  <c r="AH263" i="41" s="1"/>
  <c r="AH399" i="41" s="1"/>
  <c r="J258" i="41" a="1"/>
  <c r="J258" i="41" s="1"/>
  <c r="J263" i="41" s="1"/>
  <c r="AJ258" i="41" a="1"/>
  <c r="AJ258" i="41" s="1"/>
  <c r="AJ263" i="41" s="1"/>
  <c r="AJ399" i="41" s="1"/>
  <c r="X258" i="41" a="1"/>
  <c r="X258" i="41" s="1"/>
  <c r="X263" i="41" s="1"/>
  <c r="U258" i="41" a="1"/>
  <c r="U258" i="41" s="1"/>
  <c r="U263" i="41" s="1"/>
  <c r="W258" i="41" a="1"/>
  <c r="W258" i="41" s="1"/>
  <c r="W263" i="41" s="1"/>
  <c r="W399" i="41" s="1"/>
  <c r="K258" i="41" a="1"/>
  <c r="K258" i="41" s="1"/>
  <c r="K263" i="41" s="1"/>
  <c r="K399" i="41" s="1"/>
  <c r="AI258" i="41" a="1"/>
  <c r="AI258" i="41" s="1"/>
  <c r="AI263" i="41" s="1"/>
  <c r="AI399" i="41" s="1"/>
  <c r="AF258" i="41" a="1"/>
  <c r="AF258" i="41" s="1"/>
  <c r="AF263" i="41" s="1"/>
  <c r="AF308" i="41" s="1"/>
  <c r="R258" i="41" a="1"/>
  <c r="R258" i="41" s="1"/>
  <c r="R263" i="41" s="1"/>
  <c r="R399" i="41" s="1"/>
  <c r="O258" i="41" a="1"/>
  <c r="O258" i="41" s="1"/>
  <c r="O263" i="41" s="1"/>
  <c r="AB258" i="41" a="1"/>
  <c r="AB258" i="41" s="1"/>
  <c r="AB263" i="41" s="1"/>
  <c r="AB399" i="41" s="1"/>
  <c r="AO258" i="41" a="1"/>
  <c r="AO258" i="41" s="1"/>
  <c r="AO263" i="41" s="1"/>
  <c r="AO399" i="41" s="1"/>
  <c r="AD258" i="41" a="1"/>
  <c r="AD258" i="41" s="1"/>
  <c r="AD263" i="41" s="1"/>
  <c r="V258" i="41" a="1"/>
  <c r="V258" i="41" s="1"/>
  <c r="V263" i="41" s="1"/>
  <c r="AA258" i="41" a="1"/>
  <c r="AA258" i="41" s="1"/>
  <c r="AA263" i="41" s="1"/>
  <c r="Q258" i="41" a="1"/>
  <c r="Q258" i="41" s="1"/>
  <c r="Q263" i="41" s="1"/>
  <c r="Q399" i="41" s="1"/>
  <c r="M258" i="41" a="1"/>
  <c r="M258" i="41" s="1"/>
  <c r="M263" i="41" s="1"/>
  <c r="M308" i="41" s="1"/>
  <c r="AM258" i="41" a="1"/>
  <c r="AM258" i="41" s="1"/>
  <c r="AM263" i="41" s="1"/>
  <c r="AM399" i="41" s="1"/>
  <c r="AK258" i="41" a="1"/>
  <c r="AK258" i="41" s="1"/>
  <c r="AK263" i="41" s="1"/>
  <c r="AK399" i="41" s="1"/>
  <c r="T258" i="41" a="1"/>
  <c r="T258" i="41" s="1"/>
  <c r="T263" i="41" s="1"/>
  <c r="L258" i="41" a="1"/>
  <c r="L258" i="41" s="1"/>
  <c r="L263" i="41" s="1"/>
  <c r="L399" i="41" s="1"/>
  <c r="Y258" i="41" a="1"/>
  <c r="Y258" i="41" s="1"/>
  <c r="Y263" i="41" s="1"/>
  <c r="AL258" i="41" a="1"/>
  <c r="AL258" i="41" s="1"/>
  <c r="AL263" i="41" s="1"/>
  <c r="AL399" i="41" s="1"/>
  <c r="AE258" i="41" a="1"/>
  <c r="AE258" i="41" s="1"/>
  <c r="AE263" i="41" s="1"/>
  <c r="AE308" i="41" s="1"/>
  <c r="Z258" i="41" a="1"/>
  <c r="Z258" i="41" s="1"/>
  <c r="Z263" i="41" s="1"/>
  <c r="Z298" i="41"/>
  <c r="Z364" i="41"/>
  <c r="Z366" i="41" s="1"/>
  <c r="U364" i="41"/>
  <c r="U366" i="41" s="1"/>
  <c r="M184" i="105"/>
  <c r="M107" i="105"/>
  <c r="AA298" i="41"/>
  <c r="V330" i="41"/>
  <c r="T364" i="41"/>
  <c r="T366" i="41" s="1"/>
  <c r="Y364" i="41"/>
  <c r="Y366" i="41" s="1"/>
  <c r="AI257" i="41" a="1"/>
  <c r="AI257" i="41" s="1"/>
  <c r="AI262" i="41" s="1"/>
  <c r="AN257" i="41" a="1"/>
  <c r="AN257" i="41" s="1"/>
  <c r="AN262" i="41" s="1"/>
  <c r="T257" i="41" a="1"/>
  <c r="T257" i="41" s="1"/>
  <c r="T262" i="41" s="1"/>
  <c r="Y257" i="41" a="1"/>
  <c r="Y257" i="41" s="1"/>
  <c r="Y262" i="41" s="1"/>
  <c r="AJ257" i="41" a="1"/>
  <c r="AJ257" i="41" s="1"/>
  <c r="AJ262" i="41" s="1"/>
  <c r="K257" i="41" a="1"/>
  <c r="K257" i="41" s="1"/>
  <c r="K262" i="41" s="1"/>
  <c r="M257" i="41" a="1"/>
  <c r="M257" i="41" s="1"/>
  <c r="M262" i="41" s="1"/>
  <c r="V257" i="41" a="1"/>
  <c r="V257" i="41" s="1"/>
  <c r="V262" i="41" s="1"/>
  <c r="AD257" i="41" a="1"/>
  <c r="AD257" i="41" s="1"/>
  <c r="AD262" i="41" s="1"/>
  <c r="N257" i="41" a="1"/>
  <c r="N257" i="41" s="1"/>
  <c r="N262" i="41" s="1"/>
  <c r="AK257" i="41" a="1"/>
  <c r="AK257" i="41" s="1"/>
  <c r="AK262" i="41" s="1"/>
  <c r="L257" i="41" a="1"/>
  <c r="L257" i="41" s="1"/>
  <c r="L262" i="41" s="1"/>
  <c r="AL257" i="41" a="1"/>
  <c r="AL257" i="41" s="1"/>
  <c r="AL262" i="41" s="1"/>
  <c r="AF257" i="41" a="1"/>
  <c r="AF257" i="41" s="1"/>
  <c r="AF262" i="41" s="1"/>
  <c r="X257" i="41" a="1"/>
  <c r="X257" i="41" s="1"/>
  <c r="X262" i="41" s="1"/>
  <c r="O257" i="41" a="1"/>
  <c r="O257" i="41" s="1"/>
  <c r="O262" i="41" s="1"/>
  <c r="AH257" i="41" a="1"/>
  <c r="AH257" i="41" s="1"/>
  <c r="AH262" i="41" s="1"/>
  <c r="AE257" i="41" a="1"/>
  <c r="AE257" i="41" s="1"/>
  <c r="AE262" i="41" s="1"/>
  <c r="AO257" i="41" a="1"/>
  <c r="AO257" i="41" s="1"/>
  <c r="AO262" i="41" s="1"/>
  <c r="Z257" i="41" a="1"/>
  <c r="Z257" i="41" s="1"/>
  <c r="Z262" i="41" s="1"/>
  <c r="AG257" i="41" a="1"/>
  <c r="AG257" i="41" s="1"/>
  <c r="AG262" i="41" s="1"/>
  <c r="Q257" i="41" a="1"/>
  <c r="Q257" i="41" s="1"/>
  <c r="Q262" i="41" s="1"/>
  <c r="AM257" i="41" a="1"/>
  <c r="AM257" i="41" s="1"/>
  <c r="AM262" i="41" s="1"/>
  <c r="AB257" i="41" a="1"/>
  <c r="AB257" i="41" s="1"/>
  <c r="AB262" i="41" s="1"/>
  <c r="P257" i="41" a="1"/>
  <c r="P257" i="41" s="1"/>
  <c r="P262" i="41" s="1"/>
  <c r="U257" i="41" a="1"/>
  <c r="U257" i="41" s="1"/>
  <c r="U262" i="41" s="1"/>
  <c r="R257" i="41" a="1"/>
  <c r="R257" i="41" s="1"/>
  <c r="R262" i="41" s="1"/>
  <c r="AC257" i="41" a="1"/>
  <c r="AC257" i="41" s="1"/>
  <c r="AC262" i="41" s="1"/>
  <c r="AA257" i="41" a="1"/>
  <c r="AA257" i="41" s="1"/>
  <c r="AA262" i="41" s="1"/>
  <c r="S257" i="41" a="1"/>
  <c r="S257" i="41" s="1"/>
  <c r="S262" i="41" s="1"/>
  <c r="J257" i="41" a="1"/>
  <c r="J257" i="41" s="1"/>
  <c r="J262" i="41" s="1"/>
  <c r="W257" i="41" a="1"/>
  <c r="W257" i="41" s="1"/>
  <c r="W262" i="41" s="1"/>
  <c r="U298" i="41"/>
  <c r="AA330" i="41"/>
  <c r="J267" i="41"/>
  <c r="J272" i="41" s="1"/>
  <c r="J277" i="41" s="1"/>
  <c r="J282" i="41" s="1"/>
  <c r="J298" i="41" s="1"/>
  <c r="J300" i="41" s="1"/>
  <c r="J302" i="41" s="1"/>
  <c r="J304" i="41" s="1"/>
  <c r="J391" i="41" s="1"/>
  <c r="Y330" i="41"/>
  <c r="Y298" i="41"/>
  <c r="S332" i="41"/>
  <c r="S334" i="41" s="1"/>
  <c r="X332" i="41"/>
  <c r="X334" i="41" s="1"/>
  <c r="J330" i="41"/>
  <c r="J332" i="41" s="1"/>
  <c r="J334" i="41" s="1"/>
  <c r="T298" i="41"/>
  <c r="Y332" i="41" l="1"/>
  <c r="Y334" i="41" s="1"/>
  <c r="S300" i="41"/>
  <c r="S302" i="41" s="1"/>
  <c r="S304" i="41" s="1"/>
  <c r="S391" i="41" s="1"/>
  <c r="U332" i="41"/>
  <c r="U334" i="41" s="1"/>
  <c r="X300" i="41"/>
  <c r="X302" i="41" s="1"/>
  <c r="X304" i="41" s="1"/>
  <c r="X391" i="41" s="1"/>
  <c r="Z332" i="41"/>
  <c r="Z334" i="41" s="1"/>
  <c r="J307" i="41"/>
  <c r="J321" i="41"/>
  <c r="J323" i="41" s="1"/>
  <c r="J325" i="41" s="1"/>
  <c r="J327" i="41" s="1"/>
  <c r="T332" i="41"/>
  <c r="T334" i="41" s="1"/>
  <c r="U353" i="41"/>
  <c r="U355" i="41" s="1"/>
  <c r="U321" i="41"/>
  <c r="U323" i="41" s="1"/>
  <c r="AE307" i="41"/>
  <c r="AE353" i="41"/>
  <c r="AE355" i="41" s="1"/>
  <c r="AE357" i="41" s="1"/>
  <c r="AE359" i="41" s="1"/>
  <c r="AE368" i="41" s="1"/>
  <c r="AE321" i="41"/>
  <c r="AE323" i="41" s="1"/>
  <c r="AE325" i="41" s="1"/>
  <c r="AE327" i="41" s="1"/>
  <c r="AE336" i="41" s="1"/>
  <c r="AE341" i="41" s="1"/>
  <c r="N321" i="41"/>
  <c r="N323" i="41" s="1"/>
  <c r="N325" i="41" s="1"/>
  <c r="N327" i="41" s="1"/>
  <c r="N336" i="41" s="1"/>
  <c r="N307" i="41"/>
  <c r="N311" i="41" s="1"/>
  <c r="N384" i="41" s="1"/>
  <c r="N353" i="41"/>
  <c r="N355" i="41" s="1"/>
  <c r="N357" i="41" s="1"/>
  <c r="N359" i="41" s="1"/>
  <c r="N368" i="41" s="1"/>
  <c r="AN398" i="41"/>
  <c r="AN422" i="41" s="1"/>
  <c r="AN426" i="41" s="1"/>
  <c r="AN353" i="41"/>
  <c r="AN355" i="41" s="1"/>
  <c r="AN321" i="41"/>
  <c r="AN323" i="41" s="1"/>
  <c r="P308" i="41"/>
  <c r="J353" i="41"/>
  <c r="J355" i="41" s="1"/>
  <c r="J357" i="41" s="1"/>
  <c r="J359" i="41" s="1"/>
  <c r="J368" i="41" s="1"/>
  <c r="J393" i="41" s="1"/>
  <c r="J336" i="41"/>
  <c r="J392" i="41" s="1"/>
  <c r="U300" i="41"/>
  <c r="U302" i="41" s="1"/>
  <c r="U304" i="41" s="1"/>
  <c r="U391" i="41" s="1"/>
  <c r="Z300" i="41"/>
  <c r="Z302" i="41" s="1"/>
  <c r="Z304" i="41" s="1"/>
  <c r="Z391" i="41" s="1"/>
  <c r="P353" i="41"/>
  <c r="P355" i="41" s="1"/>
  <c r="P357" i="41" s="1"/>
  <c r="P359" i="41" s="1"/>
  <c r="P368" i="41" s="1"/>
  <c r="P321" i="41"/>
  <c r="P323" i="41" s="1"/>
  <c r="P325" i="41" s="1"/>
  <c r="P327" i="41" s="1"/>
  <c r="P336" i="41" s="1"/>
  <c r="P392" i="41" s="1"/>
  <c r="P307" i="41"/>
  <c r="AH398" i="41"/>
  <c r="AH422" i="41" s="1"/>
  <c r="AH426" i="41" s="1"/>
  <c r="AH321" i="41"/>
  <c r="AH323" i="41" s="1"/>
  <c r="AH353" i="41"/>
  <c r="AH355" i="41" s="1"/>
  <c r="AD307" i="41"/>
  <c r="AD353" i="41"/>
  <c r="AD355" i="41" s="1"/>
  <c r="AD357" i="41" s="1"/>
  <c r="AD359" i="41" s="1"/>
  <c r="AD368" i="41" s="1"/>
  <c r="AD321" i="41"/>
  <c r="AD323" i="41" s="1"/>
  <c r="AD325" i="41" s="1"/>
  <c r="AD327" i="41" s="1"/>
  <c r="AD336" i="41" s="1"/>
  <c r="AD392" i="41" s="1"/>
  <c r="AI398" i="41"/>
  <c r="AI422" i="41" s="1"/>
  <c r="AI426" i="41" s="1"/>
  <c r="AI353" i="41"/>
  <c r="AI355" i="41" s="1"/>
  <c r="AI321" i="41"/>
  <c r="AI323" i="41" s="1"/>
  <c r="AD308" i="41"/>
  <c r="W398" i="41"/>
  <c r="W422" i="41" s="1"/>
  <c r="W426" i="41" s="1"/>
  <c r="W321" i="41"/>
  <c r="W323" i="41" s="1"/>
  <c r="W353" i="41"/>
  <c r="W355" i="41" s="1"/>
  <c r="AB398" i="41"/>
  <c r="AB422" i="41" s="1"/>
  <c r="AB426" i="41" s="1"/>
  <c r="AB321" i="41"/>
  <c r="AB323" i="41" s="1"/>
  <c r="AB353" i="41"/>
  <c r="AB355" i="41" s="1"/>
  <c r="O321" i="41"/>
  <c r="O323" i="41" s="1"/>
  <c r="O325" i="41" s="1"/>
  <c r="O327" i="41" s="1"/>
  <c r="O336" i="41" s="1"/>
  <c r="O392" i="41" s="1"/>
  <c r="O353" i="41"/>
  <c r="O355" i="41" s="1"/>
  <c r="O357" i="41" s="1"/>
  <c r="O359" i="41" s="1"/>
  <c r="O368" i="41" s="1"/>
  <c r="O307" i="41"/>
  <c r="V353" i="41"/>
  <c r="V355" i="41" s="1"/>
  <c r="V321" i="41"/>
  <c r="V323" i="41" s="1"/>
  <c r="J309" i="41"/>
  <c r="AM398" i="41"/>
  <c r="AM422" i="41" s="1"/>
  <c r="AM426" i="41" s="1"/>
  <c r="AM353" i="41"/>
  <c r="AM355" i="41" s="1"/>
  <c r="AM321" i="41"/>
  <c r="AM323" i="41" s="1"/>
  <c r="X353" i="41"/>
  <c r="X355" i="41" s="1"/>
  <c r="X321" i="41"/>
  <c r="X323" i="41" s="1"/>
  <c r="M353" i="41"/>
  <c r="M355" i="41" s="1"/>
  <c r="M357" i="41" s="1"/>
  <c r="M359" i="41" s="1"/>
  <c r="M368" i="41" s="1"/>
  <c r="M307" i="41"/>
  <c r="M311" i="41" s="1"/>
  <c r="M384" i="41" s="1"/>
  <c r="M321" i="41"/>
  <c r="M323" i="41" s="1"/>
  <c r="M325" i="41" s="1"/>
  <c r="M327" i="41" s="1"/>
  <c r="M336" i="41" s="1"/>
  <c r="P309" i="41"/>
  <c r="S321" i="41"/>
  <c r="S323" i="41" s="1"/>
  <c r="S353" i="41"/>
  <c r="S355" i="41" s="1"/>
  <c r="Q398" i="41"/>
  <c r="Q422" i="41" s="1"/>
  <c r="Q426" i="41" s="1"/>
  <c r="Q321" i="41"/>
  <c r="Q323" i="41" s="1"/>
  <c r="Q353" i="41"/>
  <c r="Q355" i="41" s="1"/>
  <c r="AF321" i="41"/>
  <c r="AF323" i="41" s="1"/>
  <c r="AF325" i="41" s="1"/>
  <c r="AF327" i="41" s="1"/>
  <c r="AF336" i="41" s="1"/>
  <c r="AF307" i="41"/>
  <c r="AF311" i="41" s="1"/>
  <c r="AF384" i="41" s="1"/>
  <c r="AF353" i="41"/>
  <c r="AF355" i="41" s="1"/>
  <c r="AF357" i="41" s="1"/>
  <c r="AF359" i="41" s="1"/>
  <c r="AF368" i="41" s="1"/>
  <c r="K398" i="41"/>
  <c r="K422" i="41" s="1"/>
  <c r="K426" i="41" s="1"/>
  <c r="K321" i="41"/>
  <c r="K323" i="41" s="1"/>
  <c r="K353" i="41"/>
  <c r="K355" i="41" s="1"/>
  <c r="O308" i="41"/>
  <c r="AC308" i="41"/>
  <c r="AE309" i="41"/>
  <c r="AA353" i="41"/>
  <c r="AA355" i="41" s="1"/>
  <c r="AA321" i="41"/>
  <c r="AA323" i="41" s="1"/>
  <c r="AG307" i="41"/>
  <c r="AG321" i="41"/>
  <c r="AG323" i="41" s="1"/>
  <c r="AG325" i="41" s="1"/>
  <c r="AG327" i="41" s="1"/>
  <c r="AG353" i="41"/>
  <c r="AG355" i="41" s="1"/>
  <c r="AG357" i="41" s="1"/>
  <c r="AG359" i="41" s="1"/>
  <c r="AL398" i="41"/>
  <c r="AL422" i="41" s="1"/>
  <c r="AL426" i="41" s="1"/>
  <c r="AL353" i="41"/>
  <c r="AL355" i="41" s="1"/>
  <c r="AL321" i="41"/>
  <c r="AL323" i="41" s="1"/>
  <c r="AJ398" i="41"/>
  <c r="AJ422" i="41" s="1"/>
  <c r="AJ426" i="41" s="1"/>
  <c r="AJ353" i="41"/>
  <c r="AJ355" i="41" s="1"/>
  <c r="AJ321" i="41"/>
  <c r="AJ323" i="41" s="1"/>
  <c r="J308" i="41"/>
  <c r="V300" i="41"/>
  <c r="V302" i="41" s="1"/>
  <c r="V304" i="41" s="1"/>
  <c r="V391" i="41" s="1"/>
  <c r="AA300" i="41"/>
  <c r="AA302" i="41" s="1"/>
  <c r="AA304" i="41" s="1"/>
  <c r="AA391" i="41" s="1"/>
  <c r="O309" i="41"/>
  <c r="AC309" i="41"/>
  <c r="Y300" i="41"/>
  <c r="Y302" i="41" s="1"/>
  <c r="Y304" i="41" s="1"/>
  <c r="Y391" i="41" s="1"/>
  <c r="T300" i="41"/>
  <c r="T302" i="41" s="1"/>
  <c r="T304" i="41" s="1"/>
  <c r="T391" i="41" s="1"/>
  <c r="AC321" i="41"/>
  <c r="AC323" i="41" s="1"/>
  <c r="AC325" i="41" s="1"/>
  <c r="AC327" i="41" s="1"/>
  <c r="AC336" i="41" s="1"/>
  <c r="AC392" i="41" s="1"/>
  <c r="AC353" i="41"/>
  <c r="AC355" i="41" s="1"/>
  <c r="AC357" i="41" s="1"/>
  <c r="AC359" i="41" s="1"/>
  <c r="AC368" i="41" s="1"/>
  <c r="AC307" i="41"/>
  <c r="Z321" i="41"/>
  <c r="Z323" i="41" s="1"/>
  <c r="Z353" i="41"/>
  <c r="Z355" i="41" s="1"/>
  <c r="L398" i="41"/>
  <c r="L422" i="41" s="1"/>
  <c r="L426" i="41" s="1"/>
  <c r="L321" i="41"/>
  <c r="L323" i="41" s="1"/>
  <c r="L353" i="41"/>
  <c r="L355" i="41" s="1"/>
  <c r="Y353" i="41"/>
  <c r="Y355" i="41" s="1"/>
  <c r="Y321" i="41"/>
  <c r="Y323" i="41" s="1"/>
  <c r="AA332" i="41"/>
  <c r="AA334" i="41" s="1"/>
  <c r="V332" i="41"/>
  <c r="V334" i="41" s="1"/>
  <c r="AG373" i="41"/>
  <c r="AG375" i="41" s="1"/>
  <c r="AG386" i="41" s="1"/>
  <c r="AG309" i="41"/>
  <c r="AG341" i="41"/>
  <c r="R398" i="41"/>
  <c r="R422" i="41" s="1"/>
  <c r="R426" i="41" s="1"/>
  <c r="R353" i="41"/>
  <c r="R355" i="41" s="1"/>
  <c r="R321" i="41"/>
  <c r="R323" i="41" s="1"/>
  <c r="AO398" i="41"/>
  <c r="AO422" i="41" s="1"/>
  <c r="AO426" i="41" s="1"/>
  <c r="AO321" i="41"/>
  <c r="AO323" i="41" s="1"/>
  <c r="AO353" i="41"/>
  <c r="AO355" i="41" s="1"/>
  <c r="AK398" i="41"/>
  <c r="AK422" i="41" s="1"/>
  <c r="AK426" i="41" s="1"/>
  <c r="AK321" i="41"/>
  <c r="AK323" i="41" s="1"/>
  <c r="AK353" i="41"/>
  <c r="AK355" i="41" s="1"/>
  <c r="T353" i="41"/>
  <c r="T355" i="41" s="1"/>
  <c r="T321" i="41"/>
  <c r="T323" i="41" s="1"/>
  <c r="AG308" i="41"/>
  <c r="AG340" i="41"/>
  <c r="AD309" i="41"/>
  <c r="S308" i="41" l="1"/>
  <c r="S307" i="41"/>
  <c r="S309" i="41"/>
  <c r="X309" i="41"/>
  <c r="X308" i="41"/>
  <c r="X307" i="41"/>
  <c r="J340" i="41"/>
  <c r="J341" i="41"/>
  <c r="J311" i="41"/>
  <c r="J384" i="41" s="1"/>
  <c r="U309" i="41"/>
  <c r="U308" i="41"/>
  <c r="O341" i="41"/>
  <c r="O340" i="41"/>
  <c r="P341" i="41"/>
  <c r="AA308" i="41"/>
  <c r="AD341" i="41"/>
  <c r="AG343" i="41"/>
  <c r="AG385" i="41" s="1"/>
  <c r="Z308" i="41"/>
  <c r="T309" i="41"/>
  <c r="Z307" i="41"/>
  <c r="T307" i="41"/>
  <c r="X325" i="41"/>
  <c r="X327" i="41" s="1"/>
  <c r="X336" i="41" s="1"/>
  <c r="S325" i="41"/>
  <c r="S327" i="41" s="1"/>
  <c r="S336" i="41" s="1"/>
  <c r="O393" i="41"/>
  <c r="O373" i="41"/>
  <c r="O375" i="41" s="1"/>
  <c r="O386" i="41" s="1"/>
  <c r="V308" i="41"/>
  <c r="N392" i="41"/>
  <c r="N340" i="41"/>
  <c r="N341" i="41"/>
  <c r="AF393" i="41"/>
  <c r="AF373" i="41"/>
  <c r="AF375" i="41" s="1"/>
  <c r="AF386" i="41" s="1"/>
  <c r="Y309" i="41"/>
  <c r="AD340" i="41"/>
  <c r="AE392" i="41"/>
  <c r="AE340" i="41"/>
  <c r="AE343" i="41" s="1"/>
  <c r="AE385" i="41" s="1"/>
  <c r="AC340" i="41"/>
  <c r="M392" i="41"/>
  <c r="M340" i="41"/>
  <c r="M341" i="41"/>
  <c r="Y308" i="41"/>
  <c r="AE393" i="41"/>
  <c r="AE373" i="41"/>
  <c r="AE375" i="41" s="1"/>
  <c r="AE386" i="41" s="1"/>
  <c r="T325" i="41"/>
  <c r="T327" i="41" s="1"/>
  <c r="T336" i="41" s="1"/>
  <c r="Y325" i="41"/>
  <c r="Y327" i="41" s="1"/>
  <c r="Y336" i="41" s="1"/>
  <c r="T357" i="41"/>
  <c r="T359" i="41" s="1"/>
  <c r="T368" i="41" s="1"/>
  <c r="Y357" i="41"/>
  <c r="Y359" i="41" s="1"/>
  <c r="Y368" i="41" s="1"/>
  <c r="AC341" i="41"/>
  <c r="AF392" i="41"/>
  <c r="AF340" i="41"/>
  <c r="AF341" i="41"/>
  <c r="T308" i="41"/>
  <c r="Z309" i="41"/>
  <c r="P311" i="41"/>
  <c r="P384" i="41" s="1"/>
  <c r="V309" i="41"/>
  <c r="AE311" i="41"/>
  <c r="AE384" i="41" s="1"/>
  <c r="AG311" i="41"/>
  <c r="AG384" i="41" s="1"/>
  <c r="M393" i="41"/>
  <c r="M373" i="41"/>
  <c r="M375" i="41" s="1"/>
  <c r="M386" i="41" s="1"/>
  <c r="AA325" i="41"/>
  <c r="AA327" i="41" s="1"/>
  <c r="AA336" i="41" s="1"/>
  <c r="V325" i="41"/>
  <c r="V327" i="41" s="1"/>
  <c r="V336" i="41" s="1"/>
  <c r="Z325" i="41"/>
  <c r="Z327" i="41" s="1"/>
  <c r="Z336" i="41" s="1"/>
  <c r="U325" i="41"/>
  <c r="U327" i="41" s="1"/>
  <c r="U336" i="41" s="1"/>
  <c r="AC311" i="41"/>
  <c r="AC384" i="41" s="1"/>
  <c r="V357" i="41"/>
  <c r="V359" i="41" s="1"/>
  <c r="V368" i="41" s="1"/>
  <c r="AA357" i="41"/>
  <c r="AA359" i="41" s="1"/>
  <c r="AA368" i="41" s="1"/>
  <c r="P393" i="41"/>
  <c r="P373" i="41"/>
  <c r="P375" i="41" s="1"/>
  <c r="P386" i="41" s="1"/>
  <c r="AA309" i="41"/>
  <c r="U357" i="41"/>
  <c r="U359" i="41" s="1"/>
  <c r="U368" i="41" s="1"/>
  <c r="Z357" i="41"/>
  <c r="Z359" i="41" s="1"/>
  <c r="Z368" i="41" s="1"/>
  <c r="Y307" i="41"/>
  <c r="AC393" i="41"/>
  <c r="AC373" i="41"/>
  <c r="AC375" i="41" s="1"/>
  <c r="AC386" i="41" s="1"/>
  <c r="AI357" i="41"/>
  <c r="AI359" i="41" s="1"/>
  <c r="W357" i="41"/>
  <c r="W359" i="41" s="1"/>
  <c r="AL357" i="41"/>
  <c r="AL359" i="41" s="1"/>
  <c r="AO357" i="41"/>
  <c r="AO359" i="41" s="1"/>
  <c r="K357" i="41"/>
  <c r="K359" i="41" s="1"/>
  <c r="AJ357" i="41"/>
  <c r="AJ359" i="41" s="1"/>
  <c r="AH357" i="41"/>
  <c r="AH359" i="41" s="1"/>
  <c r="AM357" i="41"/>
  <c r="AM359" i="41" s="1"/>
  <c r="AN357" i="41"/>
  <c r="AN359" i="41" s="1"/>
  <c r="AB357" i="41"/>
  <c r="AB359" i="41" s="1"/>
  <c r="Q357" i="41"/>
  <c r="Q359" i="41" s="1"/>
  <c r="L357" i="41"/>
  <c r="L359" i="41" s="1"/>
  <c r="AK357" i="41"/>
  <c r="AK359" i="41" s="1"/>
  <c r="R357" i="41"/>
  <c r="R359" i="41" s="1"/>
  <c r="V307" i="41"/>
  <c r="AD393" i="41"/>
  <c r="AD373" i="41"/>
  <c r="AD375" i="41" s="1"/>
  <c r="AD386" i="41" s="1"/>
  <c r="P340" i="41"/>
  <c r="N393" i="41"/>
  <c r="N373" i="41"/>
  <c r="N375" i="41" s="1"/>
  <c r="N386" i="41" s="1"/>
  <c r="U307" i="41"/>
  <c r="AA307" i="41"/>
  <c r="W325" i="41"/>
  <c r="W327" i="41" s="1"/>
  <c r="AJ325" i="41"/>
  <c r="AJ327" i="41" s="1"/>
  <c r="R325" i="41"/>
  <c r="R327" i="41" s="1"/>
  <c r="AI325" i="41"/>
  <c r="AI327" i="41" s="1"/>
  <c r="AO325" i="41"/>
  <c r="AO327" i="41" s="1"/>
  <c r="Q325" i="41"/>
  <c r="Q327" i="41" s="1"/>
  <c r="L325" i="41"/>
  <c r="L327" i="41" s="1"/>
  <c r="AM325" i="41"/>
  <c r="AM327" i="41" s="1"/>
  <c r="AB325" i="41"/>
  <c r="AB327" i="41" s="1"/>
  <c r="AK325" i="41"/>
  <c r="AK327" i="41" s="1"/>
  <c r="AL325" i="41"/>
  <c r="AL327" i="41" s="1"/>
  <c r="AN325" i="41"/>
  <c r="AN327" i="41" s="1"/>
  <c r="AH325" i="41"/>
  <c r="AH327" i="41" s="1"/>
  <c r="K325" i="41"/>
  <c r="K327" i="41" s="1"/>
  <c r="S357" i="41"/>
  <c r="S359" i="41" s="1"/>
  <c r="S368" i="41" s="1"/>
  <c r="X357" i="41"/>
  <c r="X359" i="41" s="1"/>
  <c r="X368" i="41" s="1"/>
  <c r="J373" i="41"/>
  <c r="J375" i="41" s="1"/>
  <c r="J386" i="41" s="1"/>
  <c r="O311" i="41"/>
  <c r="O384" i="41" s="1"/>
  <c r="AD311" i="41"/>
  <c r="AD384" i="41" s="1"/>
  <c r="S311" i="41" l="1"/>
  <c r="S384" i="41" s="1"/>
  <c r="X311" i="41"/>
  <c r="X384" i="41" s="1"/>
  <c r="J343" i="41"/>
  <c r="J385" i="41" s="1"/>
  <c r="J388" i="41" s="1"/>
  <c r="J395" i="41" s="1"/>
  <c r="J400" i="41" s="1"/>
  <c r="J403" i="41" s="1"/>
  <c r="J412" i="41" s="1"/>
  <c r="J32" i="65" s="1"/>
  <c r="J110" i="65" s="1"/>
  <c r="O343" i="41"/>
  <c r="O385" i="41" s="1"/>
  <c r="O388" i="41" s="1"/>
  <c r="O395" i="41" s="1"/>
  <c r="T311" i="41"/>
  <c r="T384" i="41" s="1"/>
  <c r="U311" i="41"/>
  <c r="U384" i="41" s="1"/>
  <c r="Y311" i="41"/>
  <c r="Y384" i="41" s="1"/>
  <c r="P343" i="41"/>
  <c r="P385" i="41" s="1"/>
  <c r="P388" i="41" s="1"/>
  <c r="P395" i="41" s="1"/>
  <c r="AD343" i="41"/>
  <c r="AD385" i="41" s="1"/>
  <c r="AD388" i="41" s="1"/>
  <c r="AD395" i="41" s="1"/>
  <c r="M343" i="41"/>
  <c r="M385" i="41" s="1"/>
  <c r="M388" i="41" s="1"/>
  <c r="M395" i="41" s="1"/>
  <c r="AG388" i="41"/>
  <c r="AG395" i="41" s="1"/>
  <c r="Z311" i="41"/>
  <c r="Z384" i="41" s="1"/>
  <c r="V311" i="41"/>
  <c r="V384" i="41" s="1"/>
  <c r="AF343" i="41"/>
  <c r="AF385" i="41" s="1"/>
  <c r="AF388" i="41" s="1"/>
  <c r="AF395" i="41" s="1"/>
  <c r="AA311" i="41"/>
  <c r="AA384" i="41" s="1"/>
  <c r="AE388" i="41"/>
  <c r="AE395" i="41" s="1"/>
  <c r="AE400" i="41" s="1"/>
  <c r="AE403" i="41" s="1"/>
  <c r="AE412" i="41" s="1"/>
  <c r="AE32" i="65" s="1"/>
  <c r="AE110" i="65" s="1"/>
  <c r="AA392" i="41"/>
  <c r="AA341" i="41"/>
  <c r="AA340" i="41"/>
  <c r="X373" i="41"/>
  <c r="X375" i="41" s="1"/>
  <c r="X386" i="41" s="1"/>
  <c r="X393" i="41"/>
  <c r="V392" i="41"/>
  <c r="V341" i="41"/>
  <c r="V340" i="41"/>
  <c r="S393" i="41"/>
  <c r="S373" i="41"/>
  <c r="S375" i="41" s="1"/>
  <c r="Z393" i="41"/>
  <c r="Z373" i="41"/>
  <c r="Z375" i="41" s="1"/>
  <c r="Z386" i="41" s="1"/>
  <c r="U392" i="41"/>
  <c r="U341" i="41"/>
  <c r="U340" i="41"/>
  <c r="N343" i="41"/>
  <c r="N385" i="41" s="1"/>
  <c r="N388" i="41" s="1"/>
  <c r="N395" i="41" s="1"/>
  <c r="U393" i="41"/>
  <c r="U373" i="41"/>
  <c r="U375" i="41" s="1"/>
  <c r="U386" i="41" s="1"/>
  <c r="Z392" i="41"/>
  <c r="Z341" i="41"/>
  <c r="Z340" i="41"/>
  <c r="Y373" i="41"/>
  <c r="Y375" i="41" s="1"/>
  <c r="Y386" i="41" s="1"/>
  <c r="Y393" i="41"/>
  <c r="T393" i="41"/>
  <c r="T373" i="41"/>
  <c r="T375" i="41" s="1"/>
  <c r="T386" i="41" s="1"/>
  <c r="AA373" i="41"/>
  <c r="AA375" i="41" s="1"/>
  <c r="AA386" i="41" s="1"/>
  <c r="AA393" i="41"/>
  <c r="Y392" i="41"/>
  <c r="Y340" i="41"/>
  <c r="Y341" i="41"/>
  <c r="AC343" i="41"/>
  <c r="AC385" i="41" s="1"/>
  <c r="AC388" i="41" s="1"/>
  <c r="AC395" i="41" s="1"/>
  <c r="S392" i="41"/>
  <c r="S340" i="41"/>
  <c r="S341" i="41"/>
  <c r="V393" i="41"/>
  <c r="V373" i="41"/>
  <c r="V375" i="41" s="1"/>
  <c r="V386" i="41" s="1"/>
  <c r="T392" i="41"/>
  <c r="T341" i="41"/>
  <c r="T340" i="41"/>
  <c r="X392" i="41"/>
  <c r="X341" i="41"/>
  <c r="X340" i="41"/>
  <c r="J399" i="41" l="1"/>
  <c r="J404" i="41" s="1"/>
  <c r="J413" i="41" s="1"/>
  <c r="J33" i="65" s="1"/>
  <c r="J111" i="65" s="1"/>
  <c r="J122" i="65" s="1"/>
  <c r="J151" i="65" s="1"/>
  <c r="J56" i="105" s="1"/>
  <c r="J96" i="105" s="1"/>
  <c r="AE399" i="41"/>
  <c r="AE404" i="41" s="1"/>
  <c r="AE413" i="41" s="1"/>
  <c r="AE33" i="65" s="1"/>
  <c r="AE111" i="65" s="1"/>
  <c r="AE140" i="65" s="1"/>
  <c r="AE169" i="65" s="1"/>
  <c r="AE74" i="105" s="1"/>
  <c r="J398" i="41"/>
  <c r="AE398" i="41"/>
  <c r="S343" i="41"/>
  <c r="S385" i="41" s="1"/>
  <c r="O400" i="41"/>
  <c r="O403" i="41" s="1"/>
  <c r="O412" i="41" s="1"/>
  <c r="O32" i="65" s="1"/>
  <c r="O110" i="65" s="1"/>
  <c r="O399" i="41"/>
  <c r="O404" i="41" s="1"/>
  <c r="O413" i="41" s="1"/>
  <c r="O33" i="65" s="1"/>
  <c r="O111" i="65" s="1"/>
  <c r="O398" i="41"/>
  <c r="AD399" i="41"/>
  <c r="AD404" i="41" s="1"/>
  <c r="AD413" i="41" s="1"/>
  <c r="AD33" i="65" s="1"/>
  <c r="AD111" i="65" s="1"/>
  <c r="AD398" i="41"/>
  <c r="AD400" i="41"/>
  <c r="AD403" i="41" s="1"/>
  <c r="AD412" i="41" s="1"/>
  <c r="AD32" i="65" s="1"/>
  <c r="AD110" i="65" s="1"/>
  <c r="Z343" i="41"/>
  <c r="Z385" i="41" s="1"/>
  <c r="Z388" i="41" s="1"/>
  <c r="Z395" i="41" s="1"/>
  <c r="Z399" i="41" s="1"/>
  <c r="Z404" i="41" s="1"/>
  <c r="Z413" i="41" s="1"/>
  <c r="Z33" i="65" s="1"/>
  <c r="Z111" i="65" s="1"/>
  <c r="U343" i="41"/>
  <c r="U385" i="41" s="1"/>
  <c r="U388" i="41" s="1"/>
  <c r="U395" i="41" s="1"/>
  <c r="AA343" i="41"/>
  <c r="AA385" i="41" s="1"/>
  <c r="AA388" i="41" s="1"/>
  <c r="AA395" i="41" s="1"/>
  <c r="AG398" i="41"/>
  <c r="AG400" i="41"/>
  <c r="AG399" i="41"/>
  <c r="X343" i="41"/>
  <c r="X385" i="41" s="1"/>
  <c r="X388" i="41" s="1"/>
  <c r="X395" i="41" s="1"/>
  <c r="AF399" i="41"/>
  <c r="AF404" i="41" s="1"/>
  <c r="AF413" i="41" s="1"/>
  <c r="AF33" i="65" s="1"/>
  <c r="AF111" i="65" s="1"/>
  <c r="AF400" i="41"/>
  <c r="AF403" i="41" s="1"/>
  <c r="AF412" i="41" s="1"/>
  <c r="AF32" i="65" s="1"/>
  <c r="AF110" i="65" s="1"/>
  <c r="AF398" i="41"/>
  <c r="T343" i="41"/>
  <c r="T385" i="41" s="1"/>
  <c r="T388" i="41" s="1"/>
  <c r="T395" i="41" s="1"/>
  <c r="T399" i="41" s="1"/>
  <c r="T404" i="41" s="1"/>
  <c r="T413" i="41" s="1"/>
  <c r="T33" i="65" s="1"/>
  <c r="T111" i="65" s="1"/>
  <c r="AC400" i="41"/>
  <c r="AC403" i="41" s="1"/>
  <c r="AC412" i="41" s="1"/>
  <c r="AC32" i="65" s="1"/>
  <c r="AC110" i="65" s="1"/>
  <c r="AC398" i="41"/>
  <c r="AC399" i="41"/>
  <c r="AC404" i="41" s="1"/>
  <c r="AC413" i="41" s="1"/>
  <c r="AC33" i="65" s="1"/>
  <c r="AC111" i="65" s="1"/>
  <c r="AE405" i="41"/>
  <c r="AE414" i="41" s="1"/>
  <c r="AE34" i="65" s="1"/>
  <c r="AE112" i="65" s="1"/>
  <c r="S386" i="41"/>
  <c r="H428" i="41"/>
  <c r="J405" i="41"/>
  <c r="J414" i="41" s="1"/>
  <c r="J34" i="65" s="1"/>
  <c r="J112" i="65" s="1"/>
  <c r="AE139" i="65"/>
  <c r="AE168" i="65" s="1"/>
  <c r="AE73" i="105" s="1"/>
  <c r="AE121" i="65"/>
  <c r="AE150" i="65" s="1"/>
  <c r="AE55" i="105" s="1"/>
  <c r="AE95" i="105" s="1"/>
  <c r="AE32" i="82"/>
  <c r="N398" i="41"/>
  <c r="N400" i="41"/>
  <c r="N403" i="41" s="1"/>
  <c r="N412" i="41" s="1"/>
  <c r="N32" i="65" s="1"/>
  <c r="N110" i="65" s="1"/>
  <c r="N399" i="41"/>
  <c r="N404" i="41" s="1"/>
  <c r="N413" i="41" s="1"/>
  <c r="N33" i="65" s="1"/>
  <c r="N111" i="65" s="1"/>
  <c r="V343" i="41"/>
  <c r="V385" i="41" s="1"/>
  <c r="V388" i="41" s="1"/>
  <c r="V395" i="41" s="1"/>
  <c r="Y343" i="41"/>
  <c r="Y385" i="41" s="1"/>
  <c r="Y388" i="41" s="1"/>
  <c r="Y395" i="41" s="1"/>
  <c r="M400" i="41"/>
  <c r="M403" i="41" s="1"/>
  <c r="M412" i="41" s="1"/>
  <c r="M32" i="65" s="1"/>
  <c r="M110" i="65" s="1"/>
  <c r="M398" i="41"/>
  <c r="M399" i="41"/>
  <c r="M404" i="41" s="1"/>
  <c r="M413" i="41" s="1"/>
  <c r="M33" i="65" s="1"/>
  <c r="M111" i="65" s="1"/>
  <c r="P398" i="41"/>
  <c r="P399" i="41"/>
  <c r="P404" i="41" s="1"/>
  <c r="P413" i="41" s="1"/>
  <c r="P33" i="65" s="1"/>
  <c r="P111" i="65" s="1"/>
  <c r="P400" i="41"/>
  <c r="P403" i="41" s="1"/>
  <c r="P412" i="41" s="1"/>
  <c r="P32" i="65" s="1"/>
  <c r="P110" i="65" s="1"/>
  <c r="J32" i="82"/>
  <c r="J130" i="65"/>
  <c r="J159" i="65" s="1"/>
  <c r="J139" i="65"/>
  <c r="J168" i="65" s="1"/>
  <c r="J121" i="65"/>
  <c r="J150" i="65" s="1"/>
  <c r="J422" i="41" l="1"/>
  <c r="J426" i="41" s="1"/>
  <c r="J33" i="82"/>
  <c r="AE122" i="65"/>
  <c r="AE151" i="65" s="1"/>
  <c r="AE56" i="105" s="1"/>
  <c r="AE96" i="105" s="1"/>
  <c r="J131" i="65"/>
  <c r="J160" i="65" s="1"/>
  <c r="J65" i="105" s="1"/>
  <c r="J183" i="105" s="1"/>
  <c r="J140" i="65"/>
  <c r="J169" i="65" s="1"/>
  <c r="J74" i="105" s="1"/>
  <c r="J194" i="105" s="1"/>
  <c r="AE33" i="82"/>
  <c r="AE422" i="41"/>
  <c r="AE426" i="41" s="1"/>
  <c r="T400" i="41"/>
  <c r="T403" i="41" s="1"/>
  <c r="T412" i="41" s="1"/>
  <c r="T32" i="65" s="1"/>
  <c r="T110" i="65" s="1"/>
  <c r="T398" i="41"/>
  <c r="T405" i="41" s="1"/>
  <c r="T414" i="41" s="1"/>
  <c r="T34" i="65" s="1"/>
  <c r="T112" i="65" s="1"/>
  <c r="T123" i="65" s="1"/>
  <c r="T152" i="65" s="1"/>
  <c r="T57" i="105" s="1"/>
  <c r="T97" i="105" s="1"/>
  <c r="S388" i="41"/>
  <c r="S395" i="41" s="1"/>
  <c r="S398" i="41" s="1"/>
  <c r="AD32" i="82"/>
  <c r="AD139" i="65"/>
  <c r="AD168" i="65" s="1"/>
  <c r="AD73" i="105" s="1"/>
  <c r="AD121" i="65"/>
  <c r="AD150" i="65" s="1"/>
  <c r="AD55" i="105" s="1"/>
  <c r="AD95" i="105" s="1"/>
  <c r="AD122" i="65"/>
  <c r="AD151" i="65" s="1"/>
  <c r="AD56" i="105" s="1"/>
  <c r="AD96" i="105" s="1"/>
  <c r="AD140" i="65"/>
  <c r="AD169" i="65" s="1"/>
  <c r="AD74" i="105" s="1"/>
  <c r="AD33" i="82"/>
  <c r="AD422" i="41"/>
  <c r="AD426" i="41" s="1"/>
  <c r="AD405" i="41"/>
  <c r="AD414" i="41" s="1"/>
  <c r="AD34" i="65" s="1"/>
  <c r="AD112" i="65" s="1"/>
  <c r="O422" i="41"/>
  <c r="O426" i="41" s="1"/>
  <c r="O405" i="41"/>
  <c r="O414" i="41" s="1"/>
  <c r="O34" i="65" s="1"/>
  <c r="O112" i="65" s="1"/>
  <c r="Z400" i="41"/>
  <c r="Z403" i="41" s="1"/>
  <c r="Z412" i="41" s="1"/>
  <c r="Z32" i="65" s="1"/>
  <c r="Z110" i="65" s="1"/>
  <c r="Z139" i="65" s="1"/>
  <c r="Z168" i="65" s="1"/>
  <c r="Z73" i="105" s="1"/>
  <c r="O140" i="65"/>
  <c r="O169" i="65" s="1"/>
  <c r="O74" i="105" s="1"/>
  <c r="O131" i="65"/>
  <c r="O160" i="65" s="1"/>
  <c r="O65" i="105" s="1"/>
  <c r="O33" i="82"/>
  <c r="O122" i="65"/>
  <c r="O151" i="65" s="1"/>
  <c r="O56" i="105" s="1"/>
  <c r="O96" i="105" s="1"/>
  <c r="Z398" i="41"/>
  <c r="O121" i="65"/>
  <c r="O150" i="65" s="1"/>
  <c r="O55" i="105" s="1"/>
  <c r="O95" i="105" s="1"/>
  <c r="O32" i="82"/>
  <c r="O130" i="65"/>
  <c r="O159" i="65" s="1"/>
  <c r="O64" i="105" s="1"/>
  <c r="O139" i="65"/>
  <c r="O168" i="65" s="1"/>
  <c r="O73" i="105" s="1"/>
  <c r="AG422" i="41"/>
  <c r="AG426" i="41" s="1"/>
  <c r="AF422" i="41"/>
  <c r="AF426" i="41" s="1"/>
  <c r="AF405" i="41"/>
  <c r="AF414" i="41" s="1"/>
  <c r="AF34" i="65" s="1"/>
  <c r="AF112" i="65" s="1"/>
  <c r="AF32" i="82"/>
  <c r="AF139" i="65"/>
  <c r="AF168" i="65" s="1"/>
  <c r="AF73" i="105" s="1"/>
  <c r="AF121" i="65"/>
  <c r="AF150" i="65" s="1"/>
  <c r="AF55" i="105" s="1"/>
  <c r="AF95" i="105" s="1"/>
  <c r="AF122" i="65"/>
  <c r="AF151" i="65" s="1"/>
  <c r="AF56" i="105" s="1"/>
  <c r="AF96" i="105" s="1"/>
  <c r="AF140" i="65"/>
  <c r="AF169" i="65" s="1"/>
  <c r="AF74" i="105" s="1"/>
  <c r="AF33" i="82"/>
  <c r="V400" i="41"/>
  <c r="V403" i="41" s="1"/>
  <c r="V412" i="41" s="1"/>
  <c r="V32" i="65" s="1"/>
  <c r="V110" i="65" s="1"/>
  <c r="V399" i="41"/>
  <c r="V404" i="41" s="1"/>
  <c r="V413" i="41" s="1"/>
  <c r="V33" i="65" s="1"/>
  <c r="V111" i="65" s="1"/>
  <c r="V398" i="41"/>
  <c r="N140" i="65"/>
  <c r="N169" i="65" s="1"/>
  <c r="N74" i="105" s="1"/>
  <c r="N122" i="65"/>
  <c r="N151" i="65" s="1"/>
  <c r="N56" i="105" s="1"/>
  <c r="N96" i="105" s="1"/>
  <c r="N33" i="82"/>
  <c r="N131" i="65"/>
  <c r="N160" i="65" s="1"/>
  <c r="N65" i="105" s="1"/>
  <c r="N130" i="65"/>
  <c r="N159" i="65" s="1"/>
  <c r="N64" i="105" s="1"/>
  <c r="N139" i="65"/>
  <c r="N168" i="65" s="1"/>
  <c r="N73" i="105" s="1"/>
  <c r="N32" i="82"/>
  <c r="N121" i="65"/>
  <c r="N150" i="65" s="1"/>
  <c r="N55" i="105" s="1"/>
  <c r="N95" i="105" s="1"/>
  <c r="J132" i="65"/>
  <c r="J161" i="65" s="1"/>
  <c r="J66" i="105" s="1"/>
  <c r="J123" i="65"/>
  <c r="J152" i="65" s="1"/>
  <c r="J57" i="105" s="1"/>
  <c r="J97" i="105" s="1"/>
  <c r="J34" i="82"/>
  <c r="J141" i="65"/>
  <c r="J170" i="65" s="1"/>
  <c r="J75" i="105" s="1"/>
  <c r="P32" i="82"/>
  <c r="P139" i="65"/>
  <c r="P168" i="65" s="1"/>
  <c r="P73" i="105" s="1"/>
  <c r="P121" i="65"/>
  <c r="P150" i="65" s="1"/>
  <c r="P55" i="105" s="1"/>
  <c r="P95" i="105" s="1"/>
  <c r="P130" i="65"/>
  <c r="P159" i="65" s="1"/>
  <c r="P64" i="105" s="1"/>
  <c r="M33" i="82"/>
  <c r="M131" i="65"/>
  <c r="M160" i="65" s="1"/>
  <c r="M65" i="105" s="1"/>
  <c r="M140" i="65"/>
  <c r="M169" i="65" s="1"/>
  <c r="M74" i="105" s="1"/>
  <c r="M122" i="65"/>
  <c r="M151" i="65" s="1"/>
  <c r="M56" i="105" s="1"/>
  <c r="M96" i="105" s="1"/>
  <c r="N422" i="41"/>
  <c r="N426" i="41" s="1"/>
  <c r="N405" i="41"/>
  <c r="N414" i="41" s="1"/>
  <c r="N34" i="65" s="1"/>
  <c r="N112" i="65" s="1"/>
  <c r="Z405" i="41"/>
  <c r="Z414" i="41" s="1"/>
  <c r="Z34" i="65" s="1"/>
  <c r="Z112" i="65" s="1"/>
  <c r="P131" i="65"/>
  <c r="P160" i="65" s="1"/>
  <c r="P65" i="105" s="1"/>
  <c r="P33" i="82"/>
  <c r="P122" i="65"/>
  <c r="P151" i="65" s="1"/>
  <c r="P56" i="105" s="1"/>
  <c r="P96" i="105" s="1"/>
  <c r="P140" i="65"/>
  <c r="P169" i="65" s="1"/>
  <c r="P74" i="105" s="1"/>
  <c r="M422" i="41"/>
  <c r="M426" i="41" s="1"/>
  <c r="Z33" i="82"/>
  <c r="Z122" i="65"/>
  <c r="Z151" i="65" s="1"/>
  <c r="Z56" i="105" s="1"/>
  <c r="Z96" i="105" s="1"/>
  <c r="Z140" i="65"/>
  <c r="Z169" i="65" s="1"/>
  <c r="Z74" i="105" s="1"/>
  <c r="P422" i="41"/>
  <c r="P426" i="41" s="1"/>
  <c r="P405" i="41"/>
  <c r="P414" i="41" s="1"/>
  <c r="P34" i="65" s="1"/>
  <c r="P112" i="65" s="1"/>
  <c r="M130" i="65"/>
  <c r="M159" i="65" s="1"/>
  <c r="M64" i="105" s="1"/>
  <c r="M139" i="65"/>
  <c r="M168" i="65" s="1"/>
  <c r="M73" i="105" s="1"/>
  <c r="M32" i="82"/>
  <c r="M121" i="65"/>
  <c r="M150" i="65" s="1"/>
  <c r="M55" i="105" s="1"/>
  <c r="M95" i="105" s="1"/>
  <c r="AC140" i="65"/>
  <c r="AC169" i="65" s="1"/>
  <c r="AC74" i="105" s="1"/>
  <c r="AC122" i="65"/>
  <c r="AC151" i="65" s="1"/>
  <c r="AC56" i="105" s="1"/>
  <c r="AC96" i="105" s="1"/>
  <c r="AC33" i="82"/>
  <c r="AA399" i="41"/>
  <c r="AA404" i="41" s="1"/>
  <c r="AA413" i="41" s="1"/>
  <c r="AA33" i="65" s="1"/>
  <c r="AA111" i="65" s="1"/>
  <c r="AA398" i="41"/>
  <c r="AA400" i="41"/>
  <c r="AA403" i="41" s="1"/>
  <c r="AA412" i="41" s="1"/>
  <c r="AA32" i="65" s="1"/>
  <c r="AA110" i="65" s="1"/>
  <c r="Y399" i="41"/>
  <c r="Y404" i="41" s="1"/>
  <c r="Y413" i="41" s="1"/>
  <c r="Y33" i="65" s="1"/>
  <c r="Y111" i="65" s="1"/>
  <c r="Y400" i="41"/>
  <c r="Y403" i="41" s="1"/>
  <c r="Y412" i="41" s="1"/>
  <c r="Y32" i="65" s="1"/>
  <c r="Y110" i="65" s="1"/>
  <c r="Y398" i="41"/>
  <c r="AE115" i="105"/>
  <c r="AE193" i="105"/>
  <c r="AE194" i="105"/>
  <c r="AE116" i="105"/>
  <c r="AE123" i="65"/>
  <c r="AE152" i="65" s="1"/>
  <c r="AE57" i="105" s="1"/>
  <c r="AE97" i="105" s="1"/>
  <c r="AE141" i="65"/>
  <c r="AE170" i="65" s="1"/>
  <c r="AE75" i="105" s="1"/>
  <c r="AE34" i="82"/>
  <c r="AC422" i="41"/>
  <c r="AC426" i="41" s="1"/>
  <c r="AC405" i="41"/>
  <c r="AC414" i="41" s="1"/>
  <c r="AC34" i="65" s="1"/>
  <c r="AC112" i="65" s="1"/>
  <c r="U399" i="41"/>
  <c r="U404" i="41" s="1"/>
  <c r="U413" i="41" s="1"/>
  <c r="U33" i="65" s="1"/>
  <c r="U111" i="65" s="1"/>
  <c r="U400" i="41"/>
  <c r="U403" i="41" s="1"/>
  <c r="U412" i="41" s="1"/>
  <c r="U32" i="65" s="1"/>
  <c r="U110" i="65" s="1"/>
  <c r="U398" i="41"/>
  <c r="X398" i="41"/>
  <c r="X400" i="41"/>
  <c r="X403" i="41" s="1"/>
  <c r="X412" i="41" s="1"/>
  <c r="X32" i="65" s="1"/>
  <c r="X110" i="65" s="1"/>
  <c r="X399" i="41"/>
  <c r="X404" i="41" s="1"/>
  <c r="X413" i="41" s="1"/>
  <c r="X33" i="65" s="1"/>
  <c r="X111" i="65" s="1"/>
  <c r="AC121" i="65"/>
  <c r="AC150" i="65" s="1"/>
  <c r="AC55" i="105" s="1"/>
  <c r="AC95" i="105" s="1"/>
  <c r="AC32" i="82"/>
  <c r="AC139" i="65"/>
  <c r="AC168" i="65" s="1"/>
  <c r="AC73" i="105" s="1"/>
  <c r="J73" i="105"/>
  <c r="J55" i="105"/>
  <c r="J64" i="105"/>
  <c r="T33" i="82"/>
  <c r="T140" i="65"/>
  <c r="T169" i="65" s="1"/>
  <c r="T74" i="105" s="1"/>
  <c r="T131" i="65"/>
  <c r="T160" i="65" s="1"/>
  <c r="T65" i="105" s="1"/>
  <c r="T122" i="65"/>
  <c r="T151" i="65" s="1"/>
  <c r="T56" i="105" s="1"/>
  <c r="T96" i="105" s="1"/>
  <c r="J106" i="105" l="1"/>
  <c r="T141" i="65"/>
  <c r="T170" i="65" s="1"/>
  <c r="T75" i="105" s="1"/>
  <c r="T195" i="105" s="1"/>
  <c r="J116" i="105"/>
  <c r="AE102" i="105"/>
  <c r="AE146" i="105" s="1"/>
  <c r="AE63" i="82" s="1"/>
  <c r="T422" i="41"/>
  <c r="T426" i="41" s="1"/>
  <c r="S400" i="41"/>
  <c r="S403" i="41" s="1"/>
  <c r="S412" i="41" s="1"/>
  <c r="S32" i="65" s="1"/>
  <c r="S110" i="65" s="1"/>
  <c r="S32" i="82" s="1"/>
  <c r="S399" i="41"/>
  <c r="S404" i="41" s="1"/>
  <c r="S413" i="41" s="1"/>
  <c r="S33" i="65" s="1"/>
  <c r="S111" i="65" s="1"/>
  <c r="S140" i="65" s="1"/>
  <c r="S169" i="65" s="1"/>
  <c r="S74" i="105" s="1"/>
  <c r="T34" i="82"/>
  <c r="T132" i="65"/>
  <c r="T161" i="65" s="1"/>
  <c r="T66" i="105" s="1"/>
  <c r="T184" i="105" s="1"/>
  <c r="Z422" i="41"/>
  <c r="Z426" i="41" s="1"/>
  <c r="Z32" i="82"/>
  <c r="Z121" i="65"/>
  <c r="Z150" i="65" s="1"/>
  <c r="Z55" i="105" s="1"/>
  <c r="Z95" i="105" s="1"/>
  <c r="AD194" i="105"/>
  <c r="AD116" i="105"/>
  <c r="AD34" i="82"/>
  <c r="AD123" i="65"/>
  <c r="AD152" i="65" s="1"/>
  <c r="AD57" i="105" s="1"/>
  <c r="AD97" i="105" s="1"/>
  <c r="AD102" i="105" s="1"/>
  <c r="AD141" i="65"/>
  <c r="AD170" i="65" s="1"/>
  <c r="AD75" i="105" s="1"/>
  <c r="O106" i="105"/>
  <c r="O183" i="105"/>
  <c r="O193" i="105"/>
  <c r="O115" i="105"/>
  <c r="O182" i="105"/>
  <c r="O105" i="105"/>
  <c r="O34" i="82"/>
  <c r="O123" i="65"/>
  <c r="O152" i="65" s="1"/>
  <c r="O57" i="105" s="1"/>
  <c r="O97" i="105" s="1"/>
  <c r="O102" i="105" s="1"/>
  <c r="O141" i="65"/>
  <c r="O170" i="65" s="1"/>
  <c r="O75" i="105" s="1"/>
  <c r="O132" i="65"/>
  <c r="O161" i="65" s="1"/>
  <c r="O66" i="105" s="1"/>
  <c r="AD193" i="105"/>
  <c r="AD115" i="105"/>
  <c r="O116" i="105"/>
  <c r="O194" i="105"/>
  <c r="M102" i="105"/>
  <c r="M140" i="105" s="1"/>
  <c r="AF194" i="105"/>
  <c r="AF116" i="105"/>
  <c r="AF115" i="105"/>
  <c r="AF193" i="105"/>
  <c r="AF34" i="82"/>
  <c r="AF123" i="65"/>
  <c r="AF152" i="65" s="1"/>
  <c r="AF57" i="105" s="1"/>
  <c r="AF97" i="105" s="1"/>
  <c r="AF102" i="105" s="1"/>
  <c r="AF141" i="65"/>
  <c r="AF170" i="65" s="1"/>
  <c r="AF75" i="105" s="1"/>
  <c r="X422" i="41"/>
  <c r="X426" i="41" s="1"/>
  <c r="X405" i="41"/>
  <c r="X414" i="41" s="1"/>
  <c r="X34" i="65" s="1"/>
  <c r="X112" i="65" s="1"/>
  <c r="AA32" i="82"/>
  <c r="AA121" i="65"/>
  <c r="AA150" i="65" s="1"/>
  <c r="AA55" i="105" s="1"/>
  <c r="AA95" i="105" s="1"/>
  <c r="AA139" i="65"/>
  <c r="AA168" i="65" s="1"/>
  <c r="AA73" i="105" s="1"/>
  <c r="P106" i="105"/>
  <c r="P183" i="105"/>
  <c r="N34" i="82"/>
  <c r="N141" i="65"/>
  <c r="N170" i="65" s="1"/>
  <c r="N75" i="105" s="1"/>
  <c r="N123" i="65"/>
  <c r="N152" i="65" s="1"/>
  <c r="N57" i="105" s="1"/>
  <c r="N97" i="105" s="1"/>
  <c r="N102" i="105" s="1"/>
  <c r="N132" i="65"/>
  <c r="N161" i="65" s="1"/>
  <c r="N66" i="105" s="1"/>
  <c r="P193" i="105"/>
  <c r="P115" i="105"/>
  <c r="Z115" i="105"/>
  <c r="Z193" i="105"/>
  <c r="N182" i="105"/>
  <c r="N105" i="105"/>
  <c r="U422" i="41"/>
  <c r="U426" i="41" s="1"/>
  <c r="U405" i="41"/>
  <c r="U414" i="41" s="1"/>
  <c r="U34" i="65" s="1"/>
  <c r="U112" i="65" s="1"/>
  <c r="AA422" i="41"/>
  <c r="AA426" i="41" s="1"/>
  <c r="AA405" i="41"/>
  <c r="AA414" i="41" s="1"/>
  <c r="AA34" i="65" s="1"/>
  <c r="AA112" i="65" s="1"/>
  <c r="J195" i="105"/>
  <c r="J117" i="105"/>
  <c r="U139" i="65"/>
  <c r="U168" i="65" s="1"/>
  <c r="U73" i="105" s="1"/>
  <c r="U130" i="65"/>
  <c r="U159" i="65" s="1"/>
  <c r="U64" i="105" s="1"/>
  <c r="U121" i="65"/>
  <c r="U150" i="65" s="1"/>
  <c r="U55" i="105" s="1"/>
  <c r="U95" i="105" s="1"/>
  <c r="U32" i="82"/>
  <c r="AA33" i="82"/>
  <c r="AA140" i="65"/>
  <c r="AA169" i="65" s="1"/>
  <c r="AA74" i="105" s="1"/>
  <c r="AA122" i="65"/>
  <c r="AA151" i="65" s="1"/>
  <c r="AA56" i="105" s="1"/>
  <c r="AA96" i="105" s="1"/>
  <c r="Z141" i="65"/>
  <c r="Z170" i="65" s="1"/>
  <c r="Z75" i="105" s="1"/>
  <c r="Z34" i="82"/>
  <c r="Z123" i="65"/>
  <c r="Z152" i="65" s="1"/>
  <c r="Z57" i="105" s="1"/>
  <c r="Z97" i="105" s="1"/>
  <c r="N106" i="105"/>
  <c r="N183" i="105"/>
  <c r="AC193" i="105"/>
  <c r="AC115" i="105"/>
  <c r="U33" i="82"/>
  <c r="U140" i="65"/>
  <c r="U169" i="65" s="1"/>
  <c r="U74" i="105" s="1"/>
  <c r="U131" i="65"/>
  <c r="U160" i="65" s="1"/>
  <c r="U65" i="105" s="1"/>
  <c r="U122" i="65"/>
  <c r="U151" i="65" s="1"/>
  <c r="U56" i="105" s="1"/>
  <c r="U96" i="105" s="1"/>
  <c r="M115" i="105"/>
  <c r="M193" i="105"/>
  <c r="M116" i="105"/>
  <c r="M194" i="105"/>
  <c r="AC141" i="65"/>
  <c r="AC170" i="65" s="1"/>
  <c r="AC75" i="105" s="1"/>
  <c r="AC123" i="65"/>
  <c r="AC152" i="65" s="1"/>
  <c r="AC57" i="105" s="1"/>
  <c r="AC97" i="105" s="1"/>
  <c r="AC102" i="105" s="1"/>
  <c r="AC140" i="105" s="1"/>
  <c r="AC34" i="82"/>
  <c r="M182" i="105"/>
  <c r="M105" i="105"/>
  <c r="M183" i="105"/>
  <c r="M106" i="105"/>
  <c r="J184" i="105"/>
  <c r="J107" i="105"/>
  <c r="S405" i="41"/>
  <c r="Y422" i="41"/>
  <c r="Y426" i="41" s="1"/>
  <c r="Y405" i="41"/>
  <c r="Y414" i="41" s="1"/>
  <c r="Y34" i="65" s="1"/>
  <c r="Y112" i="65" s="1"/>
  <c r="AC116" i="105"/>
  <c r="AC194" i="105"/>
  <c r="P132" i="65"/>
  <c r="P161" i="65" s="1"/>
  <c r="P66" i="105" s="1"/>
  <c r="P34" i="82"/>
  <c r="P123" i="65"/>
  <c r="P152" i="65" s="1"/>
  <c r="P57" i="105" s="1"/>
  <c r="P97" i="105" s="1"/>
  <c r="P102" i="105" s="1"/>
  <c r="P141" i="65"/>
  <c r="P170" i="65" s="1"/>
  <c r="P75" i="105" s="1"/>
  <c r="P116" i="105"/>
  <c r="P194" i="105"/>
  <c r="N194" i="105"/>
  <c r="N116" i="105"/>
  <c r="V422" i="41"/>
  <c r="V426" i="41" s="1"/>
  <c r="V405" i="41"/>
  <c r="V414" i="41" s="1"/>
  <c r="V34" i="65" s="1"/>
  <c r="V112" i="65" s="1"/>
  <c r="X140" i="65"/>
  <c r="X169" i="65" s="1"/>
  <c r="X74" i="105" s="1"/>
  <c r="X122" i="65"/>
  <c r="X151" i="65" s="1"/>
  <c r="X56" i="105" s="1"/>
  <c r="X96" i="105" s="1"/>
  <c r="X33" i="82"/>
  <c r="Y121" i="65"/>
  <c r="Y150" i="65" s="1"/>
  <c r="Y55" i="105" s="1"/>
  <c r="Y95" i="105" s="1"/>
  <c r="Y139" i="65"/>
  <c r="Y168" i="65" s="1"/>
  <c r="Y73" i="105" s="1"/>
  <c r="Y32" i="82"/>
  <c r="P182" i="105"/>
  <c r="P105" i="105"/>
  <c r="V131" i="65"/>
  <c r="V160" i="65" s="1"/>
  <c r="V65" i="105" s="1"/>
  <c r="V140" i="65"/>
  <c r="V169" i="65" s="1"/>
  <c r="V74" i="105" s="1"/>
  <c r="V33" i="82"/>
  <c r="V122" i="65"/>
  <c r="V151" i="65" s="1"/>
  <c r="V56" i="105" s="1"/>
  <c r="V96" i="105" s="1"/>
  <c r="X139" i="65"/>
  <c r="X168" i="65" s="1"/>
  <c r="X73" i="105" s="1"/>
  <c r="X121" i="65"/>
  <c r="X150" i="65" s="1"/>
  <c r="X55" i="105" s="1"/>
  <c r="X95" i="105" s="1"/>
  <c r="X32" i="82"/>
  <c r="AE195" i="105"/>
  <c r="AE200" i="105" s="1"/>
  <c r="AE117" i="105"/>
  <c r="AE122" i="105" s="1"/>
  <c r="Y140" i="65"/>
  <c r="Y169" i="65" s="1"/>
  <c r="Y74" i="105" s="1"/>
  <c r="Y33" i="82"/>
  <c r="Y122" i="65"/>
  <c r="Y151" i="65" s="1"/>
  <c r="Y56" i="105" s="1"/>
  <c r="Y96" i="105" s="1"/>
  <c r="Z116" i="105"/>
  <c r="Z194" i="105"/>
  <c r="N193" i="105"/>
  <c r="N115" i="105"/>
  <c r="V32" i="82"/>
  <c r="V121" i="65"/>
  <c r="V150" i="65" s="1"/>
  <c r="V55" i="105" s="1"/>
  <c r="V95" i="105" s="1"/>
  <c r="V130" i="65"/>
  <c r="V159" i="65" s="1"/>
  <c r="V64" i="105" s="1"/>
  <c r="V139" i="65"/>
  <c r="V168" i="65" s="1"/>
  <c r="V73" i="105" s="1"/>
  <c r="J182" i="105"/>
  <c r="J105" i="105"/>
  <c r="T130" i="65"/>
  <c r="T159" i="65" s="1"/>
  <c r="T32" i="82"/>
  <c r="T121" i="65"/>
  <c r="T139" i="65"/>
  <c r="T168" i="65" s="1"/>
  <c r="T106" i="105"/>
  <c r="T183" i="105"/>
  <c r="T116" i="105"/>
  <c r="T194" i="105"/>
  <c r="J193" i="105"/>
  <c r="J115" i="105"/>
  <c r="J95" i="105"/>
  <c r="S33" i="82" l="1"/>
  <c r="S131" i="65"/>
  <c r="S160" i="65" s="1"/>
  <c r="S65" i="105" s="1"/>
  <c r="S183" i="105" s="1"/>
  <c r="S122" i="65"/>
  <c r="S151" i="65" s="1"/>
  <c r="S56" i="105" s="1"/>
  <c r="S96" i="105" s="1"/>
  <c r="H96" i="105" s="1"/>
  <c r="AE174" i="105"/>
  <c r="AE65" i="82" s="1"/>
  <c r="AE140" i="105"/>
  <c r="AE206" i="105" s="1"/>
  <c r="S139" i="65"/>
  <c r="S168" i="65" s="1"/>
  <c r="S73" i="105" s="1"/>
  <c r="S115" i="105" s="1"/>
  <c r="S121" i="65"/>
  <c r="S150" i="65" s="1"/>
  <c r="S55" i="105" s="1"/>
  <c r="S95" i="105" s="1"/>
  <c r="T107" i="105"/>
  <c r="T117" i="105"/>
  <c r="S130" i="65"/>
  <c r="S159" i="65" s="1"/>
  <c r="S64" i="105" s="1"/>
  <c r="S105" i="105" s="1"/>
  <c r="S422" i="41"/>
  <c r="S426" i="41" s="1"/>
  <c r="H426" i="41" s="1"/>
  <c r="M174" i="105"/>
  <c r="M65" i="82" s="1"/>
  <c r="M146" i="105"/>
  <c r="M63" i="82" s="1"/>
  <c r="O174" i="105"/>
  <c r="O65" i="82" s="1"/>
  <c r="O146" i="105"/>
  <c r="O63" i="82" s="1"/>
  <c r="O140" i="105"/>
  <c r="O62" i="82" s="1"/>
  <c r="AF146" i="105"/>
  <c r="AF63" i="82" s="1"/>
  <c r="AF140" i="105"/>
  <c r="AF62" i="82" s="1"/>
  <c r="AF174" i="105"/>
  <c r="AF65" i="82" s="1"/>
  <c r="AD146" i="105"/>
  <c r="AD63" i="82" s="1"/>
  <c r="AD174" i="105"/>
  <c r="AD65" i="82" s="1"/>
  <c r="AD140" i="105"/>
  <c r="AD206" i="105" s="1"/>
  <c r="P174" i="105"/>
  <c r="P65" i="82" s="1"/>
  <c r="P146" i="105"/>
  <c r="P63" i="82" s="1"/>
  <c r="P140" i="105"/>
  <c r="P62" i="82" s="1"/>
  <c r="AE148" i="105"/>
  <c r="AE142" i="105"/>
  <c r="AC146" i="105"/>
  <c r="AC63" i="82" s="1"/>
  <c r="AC174" i="105"/>
  <c r="AC65" i="82" s="1"/>
  <c r="Z102" i="105"/>
  <c r="O107" i="105"/>
  <c r="O112" i="105" s="1"/>
  <c r="O184" i="105"/>
  <c r="O189" i="105" s="1"/>
  <c r="O206" i="105" s="1"/>
  <c r="O73" i="82" s="1"/>
  <c r="AD117" i="105"/>
  <c r="AD122" i="105" s="1"/>
  <c r="AD195" i="105"/>
  <c r="AD200" i="105" s="1"/>
  <c r="O117" i="105"/>
  <c r="O122" i="105" s="1"/>
  <c r="O195" i="105"/>
  <c r="O200" i="105" s="1"/>
  <c r="J200" i="105"/>
  <c r="M189" i="105"/>
  <c r="M206" i="105" s="1"/>
  <c r="M73" i="82" s="1"/>
  <c r="AF195" i="105"/>
  <c r="AF200" i="105" s="1"/>
  <c r="AF117" i="105"/>
  <c r="AF122" i="105" s="1"/>
  <c r="AF148" i="105" s="1"/>
  <c r="U194" i="105"/>
  <c r="U116" i="105"/>
  <c r="X194" i="105"/>
  <c r="X116" i="105"/>
  <c r="P195" i="105"/>
  <c r="P200" i="105" s="1"/>
  <c r="P117" i="105"/>
  <c r="P122" i="105" s="1"/>
  <c r="AA194" i="105"/>
  <c r="AA116" i="105"/>
  <c r="X193" i="105"/>
  <c r="X115" i="105"/>
  <c r="V141" i="65"/>
  <c r="V170" i="65" s="1"/>
  <c r="V75" i="105" s="1"/>
  <c r="V132" i="65"/>
  <c r="V161" i="65" s="1"/>
  <c r="V66" i="105" s="1"/>
  <c r="V123" i="65"/>
  <c r="V152" i="65" s="1"/>
  <c r="V57" i="105" s="1"/>
  <c r="V97" i="105" s="1"/>
  <c r="V102" i="105" s="1"/>
  <c r="V140" i="105" s="1"/>
  <c r="V34" i="82"/>
  <c r="AC195" i="105"/>
  <c r="AC200" i="105" s="1"/>
  <c r="AC207" i="105" s="1"/>
  <c r="AC74" i="82" s="1"/>
  <c r="AC117" i="105"/>
  <c r="AC122" i="105" s="1"/>
  <c r="AA34" i="82"/>
  <c r="AA141" i="65"/>
  <c r="AA170" i="65" s="1"/>
  <c r="AA75" i="105" s="1"/>
  <c r="AA123" i="65"/>
  <c r="AA152" i="65" s="1"/>
  <c r="AA57" i="105" s="1"/>
  <c r="AA97" i="105" s="1"/>
  <c r="AA102" i="105" s="1"/>
  <c r="AA193" i="105"/>
  <c r="AA115" i="105"/>
  <c r="J189" i="105"/>
  <c r="AC62" i="82"/>
  <c r="AC206" i="105"/>
  <c r="U182" i="105"/>
  <c r="U105" i="105"/>
  <c r="V115" i="105"/>
  <c r="V193" i="105"/>
  <c r="P184" i="105"/>
  <c r="P189" i="105" s="1"/>
  <c r="P107" i="105"/>
  <c r="P112" i="105" s="1"/>
  <c r="S414" i="41"/>
  <c r="S34" i="65" s="1"/>
  <c r="S112" i="65" s="1"/>
  <c r="H430" i="41" a="1"/>
  <c r="H430" i="41" s="1"/>
  <c r="M112" i="105"/>
  <c r="M200" i="105"/>
  <c r="M207" i="105" s="1"/>
  <c r="M74" i="82" s="1"/>
  <c r="U193" i="105"/>
  <c r="U115" i="105"/>
  <c r="U123" i="65"/>
  <c r="U152" i="65" s="1"/>
  <c r="U57" i="105" s="1"/>
  <c r="U97" i="105" s="1"/>
  <c r="U102" i="105" s="1"/>
  <c r="U132" i="65"/>
  <c r="U161" i="65" s="1"/>
  <c r="U66" i="105" s="1"/>
  <c r="U141" i="65"/>
  <c r="U170" i="65" s="1"/>
  <c r="U75" i="105" s="1"/>
  <c r="U34" i="82"/>
  <c r="N107" i="105"/>
  <c r="N184" i="105"/>
  <c r="N189" i="105" s="1"/>
  <c r="Y34" i="82"/>
  <c r="Y141" i="65"/>
  <c r="Y170" i="65" s="1"/>
  <c r="Y75" i="105" s="1"/>
  <c r="Y123" i="65"/>
  <c r="Y152" i="65" s="1"/>
  <c r="Y57" i="105" s="1"/>
  <c r="Y97" i="105" s="1"/>
  <c r="Y102" i="105" s="1"/>
  <c r="M62" i="82"/>
  <c r="V182" i="105"/>
  <c r="V105" i="105"/>
  <c r="Y116" i="105"/>
  <c r="Y194" i="105"/>
  <c r="V194" i="105"/>
  <c r="V116" i="105"/>
  <c r="Y193" i="105"/>
  <c r="Y115" i="105"/>
  <c r="M122" i="105"/>
  <c r="Z117" i="105"/>
  <c r="Z122" i="105" s="1"/>
  <c r="Z195" i="105"/>
  <c r="Z200" i="105" s="1"/>
  <c r="X123" i="65"/>
  <c r="X152" i="65" s="1"/>
  <c r="X57" i="105" s="1"/>
  <c r="X97" i="105" s="1"/>
  <c r="X102" i="105" s="1"/>
  <c r="X141" i="65"/>
  <c r="X170" i="65" s="1"/>
  <c r="X75" i="105" s="1"/>
  <c r="X34" i="82"/>
  <c r="U183" i="105"/>
  <c r="U106" i="105"/>
  <c r="V183" i="105"/>
  <c r="V106" i="105"/>
  <c r="N140" i="105"/>
  <c r="N146" i="105"/>
  <c r="N63" i="82" s="1"/>
  <c r="N174" i="105"/>
  <c r="N65" i="82" s="1"/>
  <c r="S194" i="105"/>
  <c r="S116" i="105"/>
  <c r="N117" i="105"/>
  <c r="N122" i="105" s="1"/>
  <c r="N195" i="105"/>
  <c r="N200" i="105" s="1"/>
  <c r="T64" i="105"/>
  <c r="J102" i="105"/>
  <c r="T73" i="105"/>
  <c r="J112" i="105"/>
  <c r="T150" i="65"/>
  <c r="J122" i="105"/>
  <c r="S106" i="105" l="1"/>
  <c r="H106" i="105" s="1"/>
  <c r="S193" i="105"/>
  <c r="AE62" i="82"/>
  <c r="AE207" i="105"/>
  <c r="AE74" i="82" s="1"/>
  <c r="H422" i="41"/>
  <c r="H432" i="41"/>
  <c r="J53" i="55" s="1"/>
  <c r="S182" i="105"/>
  <c r="O207" i="105"/>
  <c r="O74" i="82" s="1"/>
  <c r="AD62" i="82"/>
  <c r="AF206" i="105"/>
  <c r="P207" i="105"/>
  <c r="P74" i="82" s="1"/>
  <c r="P206" i="105"/>
  <c r="P73" i="82" s="1"/>
  <c r="AF207" i="105"/>
  <c r="AF74" i="82" s="1"/>
  <c r="AD207" i="105"/>
  <c r="AD74" i="82" s="1"/>
  <c r="V146" i="105"/>
  <c r="V63" i="82" s="1"/>
  <c r="H116" i="105"/>
  <c r="O148" i="105"/>
  <c r="O142" i="105"/>
  <c r="AA174" i="105"/>
  <c r="AA65" i="82" s="1"/>
  <c r="AA140" i="105"/>
  <c r="AA206" i="105" s="1"/>
  <c r="AA146" i="105"/>
  <c r="AA63" i="82" s="1"/>
  <c r="AD148" i="105"/>
  <c r="AD142" i="105"/>
  <c r="X140" i="105"/>
  <c r="X62" i="82" s="1"/>
  <c r="X146" i="105"/>
  <c r="X63" i="82" s="1"/>
  <c r="X174" i="105"/>
  <c r="X65" i="82" s="1"/>
  <c r="O147" i="105"/>
  <c r="O141" i="105"/>
  <c r="Y174" i="105"/>
  <c r="Y65" i="82" s="1"/>
  <c r="Y146" i="105"/>
  <c r="Y63" i="82" s="1"/>
  <c r="Y140" i="105"/>
  <c r="Y206" i="105" s="1"/>
  <c r="U146" i="105"/>
  <c r="U63" i="82" s="1"/>
  <c r="U140" i="105"/>
  <c r="U62" i="82" s="1"/>
  <c r="U174" i="105"/>
  <c r="U65" i="82" s="1"/>
  <c r="Z148" i="105"/>
  <c r="Z142" i="105"/>
  <c r="P147" i="105"/>
  <c r="P141" i="105"/>
  <c r="AC142" i="105"/>
  <c r="AC148" i="105"/>
  <c r="P142" i="105"/>
  <c r="P148" i="105"/>
  <c r="V174" i="105"/>
  <c r="V65" i="82" s="1"/>
  <c r="AF142" i="105"/>
  <c r="Z140" i="105"/>
  <c r="Z146" i="105"/>
  <c r="Z63" i="82" s="1"/>
  <c r="Z174" i="105"/>
  <c r="Z65" i="82" s="1"/>
  <c r="N112" i="105"/>
  <c r="N141" i="105" s="1"/>
  <c r="N142" i="105"/>
  <c r="N148" i="105"/>
  <c r="U184" i="105"/>
  <c r="U189" i="105" s="1"/>
  <c r="U107" i="105"/>
  <c r="U112" i="105" s="1"/>
  <c r="U141" i="105" s="1"/>
  <c r="N207" i="105"/>
  <c r="N74" i="82" s="1"/>
  <c r="N206" i="105"/>
  <c r="N73" i="82" s="1"/>
  <c r="N62" i="82"/>
  <c r="V184" i="105"/>
  <c r="V189" i="105" s="1"/>
  <c r="V206" i="105" s="1"/>
  <c r="V73" i="82" s="1"/>
  <c r="V107" i="105"/>
  <c r="V112" i="105" s="1"/>
  <c r="V62" i="82"/>
  <c r="V195" i="105"/>
  <c r="V200" i="105" s="1"/>
  <c r="V207" i="105" s="1"/>
  <c r="V74" i="82" s="1"/>
  <c r="V117" i="105"/>
  <c r="V122" i="105" s="1"/>
  <c r="U195" i="105"/>
  <c r="U200" i="105" s="1"/>
  <c r="U117" i="105"/>
  <c r="U122" i="105" s="1"/>
  <c r="M141" i="105"/>
  <c r="M147" i="105"/>
  <c r="S141" i="65"/>
  <c r="S170" i="65" s="1"/>
  <c r="S132" i="65"/>
  <c r="S161" i="65" s="1"/>
  <c r="S123" i="65"/>
  <c r="S152" i="65" s="1"/>
  <c r="S57" i="105" s="1"/>
  <c r="S97" i="105" s="1"/>
  <c r="S34" i="82"/>
  <c r="M148" i="105"/>
  <c r="M142" i="105"/>
  <c r="Y117" i="105"/>
  <c r="Y122" i="105" s="1"/>
  <c r="Y195" i="105"/>
  <c r="Y200" i="105" s="1"/>
  <c r="AA117" i="105"/>
  <c r="AA122" i="105" s="1"/>
  <c r="AA195" i="105"/>
  <c r="AA200" i="105" s="1"/>
  <c r="X117" i="105"/>
  <c r="X122" i="105" s="1"/>
  <c r="X195" i="105"/>
  <c r="X200" i="105" s="1"/>
  <c r="J147" i="105"/>
  <c r="J141" i="105"/>
  <c r="T193" i="105"/>
  <c r="T200" i="105" s="1"/>
  <c r="T115" i="105"/>
  <c r="T55" i="105"/>
  <c r="J148" i="105"/>
  <c r="J142" i="105"/>
  <c r="J146" i="105"/>
  <c r="J63" i="82" s="1"/>
  <c r="J174" i="105"/>
  <c r="J65" i="82" s="1"/>
  <c r="J140" i="105"/>
  <c r="T105" i="105"/>
  <c r="T182" i="105"/>
  <c r="T189" i="105" s="1"/>
  <c r="A4" i="41" l="1"/>
  <c r="AA62" i="82"/>
  <c r="AA207" i="105"/>
  <c r="AA74" i="82" s="1"/>
  <c r="Y207" i="105"/>
  <c r="Y74" i="82" s="1"/>
  <c r="X206" i="105"/>
  <c r="Y62" i="82"/>
  <c r="U207" i="105"/>
  <c r="U74" i="82" s="1"/>
  <c r="U147" i="105"/>
  <c r="X207" i="105"/>
  <c r="X74" i="82" s="1"/>
  <c r="U206" i="105"/>
  <c r="U73" i="82" s="1"/>
  <c r="Y148" i="105"/>
  <c r="Y142" i="105"/>
  <c r="X142" i="105"/>
  <c r="X148" i="105"/>
  <c r="U142" i="105"/>
  <c r="U148" i="105"/>
  <c r="AA148" i="105"/>
  <c r="AA142" i="105"/>
  <c r="V148" i="105"/>
  <c r="V142" i="105"/>
  <c r="V147" i="105"/>
  <c r="V141" i="105"/>
  <c r="Z62" i="82"/>
  <c r="Z207" i="105"/>
  <c r="Z74" i="82" s="1"/>
  <c r="Z206" i="105"/>
  <c r="H97" i="105"/>
  <c r="S102" i="105"/>
  <c r="T112" i="105"/>
  <c r="T147" i="105" s="1"/>
  <c r="H105" i="105"/>
  <c r="T122" i="105"/>
  <c r="T148" i="105" s="1"/>
  <c r="H115" i="105"/>
  <c r="N147" i="105"/>
  <c r="H178" i="65" a="1"/>
  <c r="H178" i="65" s="1"/>
  <c r="A4" i="65" s="1"/>
  <c r="J16" i="106" a="1"/>
  <c r="J34" i="106" s="1"/>
  <c r="S66" i="105"/>
  <c r="J50" i="106" a="1"/>
  <c r="S75" i="105"/>
  <c r="J84" i="106" a="1"/>
  <c r="T95" i="105"/>
  <c r="J62" i="82"/>
  <c r="J207" i="105"/>
  <c r="J74" i="82" s="1"/>
  <c r="J206" i="105"/>
  <c r="J73" i="82" s="1"/>
  <c r="T141" i="105" l="1"/>
  <c r="T142" i="105"/>
  <c r="T102" i="105"/>
  <c r="T140" i="105" s="1"/>
  <c r="H95" i="105"/>
  <c r="H102" i="105" s="1"/>
  <c r="S140" i="105"/>
  <c r="S174" i="105"/>
  <c r="S65" i="82" s="1"/>
  <c r="S146" i="105"/>
  <c r="S63" i="82" s="1"/>
  <c r="P27" i="106"/>
  <c r="N42" i="106"/>
  <c r="M36" i="106"/>
  <c r="J46" i="106"/>
  <c r="O33" i="106"/>
  <c r="P19" i="106"/>
  <c r="L30" i="106"/>
  <c r="J18" i="106"/>
  <c r="N38" i="106"/>
  <c r="M20" i="106"/>
  <c r="N45" i="106"/>
  <c r="P42" i="106"/>
  <c r="L28" i="106"/>
  <c r="N44" i="106"/>
  <c r="M34" i="106"/>
  <c r="L22" i="106"/>
  <c r="L37" i="106"/>
  <c r="P16" i="106"/>
  <c r="J31" i="106"/>
  <c r="N34" i="106"/>
  <c r="O26" i="106"/>
  <c r="N32" i="106"/>
  <c r="J37" i="106"/>
  <c r="L43" i="106"/>
  <c r="O24" i="106"/>
  <c r="J39" i="106"/>
  <c r="J28" i="106"/>
  <c r="P43" i="106"/>
  <c r="N46" i="106"/>
  <c r="L19" i="106"/>
  <c r="O43" i="106"/>
  <c r="L20" i="106"/>
  <c r="K29" i="106"/>
  <c r="K30" i="106"/>
  <c r="L16" i="106"/>
  <c r="J38" i="106"/>
  <c r="O17" i="106"/>
  <c r="K17" i="106"/>
  <c r="L32" i="106"/>
  <c r="K43" i="106"/>
  <c r="M18" i="106"/>
  <c r="K23" i="106"/>
  <c r="M17" i="106"/>
  <c r="N37" i="106"/>
  <c r="P37" i="106"/>
  <c r="M25" i="106"/>
  <c r="P38" i="106"/>
  <c r="N33" i="106"/>
  <c r="N16" i="106"/>
  <c r="M21" i="106"/>
  <c r="K16" i="106"/>
  <c r="O41" i="106"/>
  <c r="J40" i="106"/>
  <c r="P35" i="106"/>
  <c r="L33" i="106"/>
  <c r="O28" i="106"/>
  <c r="O25" i="106"/>
  <c r="J47" i="106"/>
  <c r="O20" i="106"/>
  <c r="O19" i="106"/>
  <c r="O36" i="106"/>
  <c r="O32" i="106"/>
  <c r="M40" i="106"/>
  <c r="K45" i="106"/>
  <c r="P26" i="106"/>
  <c r="P33" i="106"/>
  <c r="J33" i="106"/>
  <c r="P17" i="106"/>
  <c r="M30" i="106"/>
  <c r="K24" i="106"/>
  <c r="M47" i="106"/>
  <c r="J27" i="106"/>
  <c r="P31" i="106"/>
  <c r="J21" i="106"/>
  <c r="N40" i="106"/>
  <c r="P41" i="106"/>
  <c r="J23" i="106"/>
  <c r="J26" i="106"/>
  <c r="J44" i="106"/>
  <c r="P34" i="106"/>
  <c r="N17" i="106"/>
  <c r="P40" i="106"/>
  <c r="L29" i="106"/>
  <c r="K21" i="106"/>
  <c r="N20" i="106"/>
  <c r="P47" i="106"/>
  <c r="M38" i="106"/>
  <c r="P32" i="106"/>
  <c r="M22" i="106"/>
  <c r="P44" i="106"/>
  <c r="O38" i="106"/>
  <c r="K40" i="106"/>
  <c r="J36" i="106"/>
  <c r="M32" i="106"/>
  <c r="N27" i="106"/>
  <c r="K22" i="106"/>
  <c r="K44" i="106"/>
  <c r="N41" i="106"/>
  <c r="L26" i="106"/>
  <c r="L27" i="106"/>
  <c r="O34" i="106"/>
  <c r="P25" i="106"/>
  <c r="L31" i="106"/>
  <c r="O30" i="106"/>
  <c r="M27" i="106"/>
  <c r="K37" i="106"/>
  <c r="K41" i="106"/>
  <c r="P36" i="106"/>
  <c r="M29" i="106"/>
  <c r="M41" i="106"/>
  <c r="O22" i="106"/>
  <c r="L35" i="106"/>
  <c r="J16" i="106"/>
  <c r="K46" i="106"/>
  <c r="N36" i="106"/>
  <c r="P45" i="106"/>
  <c r="N18" i="106"/>
  <c r="P29" i="106"/>
  <c r="K34" i="106"/>
  <c r="N23" i="106"/>
  <c r="N39" i="106"/>
  <c r="N24" i="106"/>
  <c r="K32" i="106"/>
  <c r="M26" i="106"/>
  <c r="M31" i="106"/>
  <c r="O44" i="106"/>
  <c r="K27" i="106"/>
  <c r="N26" i="106"/>
  <c r="J29" i="106"/>
  <c r="O27" i="106"/>
  <c r="L25" i="106"/>
  <c r="O47" i="106"/>
  <c r="M33" i="106"/>
  <c r="K18" i="106"/>
  <c r="L45" i="106"/>
  <c r="J20" i="106"/>
  <c r="L40" i="106"/>
  <c r="N25" i="106"/>
  <c r="P20" i="106"/>
  <c r="J54" i="55"/>
  <c r="J41" i="106"/>
  <c r="L24" i="106"/>
  <c r="O21" i="106"/>
  <c r="P28" i="106"/>
  <c r="M42" i="106"/>
  <c r="M23" i="106"/>
  <c r="L39" i="106"/>
  <c r="L46" i="106"/>
  <c r="N47" i="106"/>
  <c r="J24" i="106"/>
  <c r="L21" i="106"/>
  <c r="O37" i="106"/>
  <c r="K28" i="106"/>
  <c r="L18" i="106"/>
  <c r="P18" i="106"/>
  <c r="N43" i="106"/>
  <c r="O40" i="106"/>
  <c r="K20" i="106"/>
  <c r="K39" i="106"/>
  <c r="L44" i="106"/>
  <c r="M39" i="106"/>
  <c r="J19" i="106"/>
  <c r="K36" i="106"/>
  <c r="N19" i="106"/>
  <c r="M44" i="106"/>
  <c r="O31" i="106"/>
  <c r="N29" i="106"/>
  <c r="O18" i="106"/>
  <c r="J32" i="106"/>
  <c r="L17" i="106"/>
  <c r="N22" i="106"/>
  <c r="P21" i="106"/>
  <c r="M28" i="106"/>
  <c r="O35" i="106"/>
  <c r="K33" i="106"/>
  <c r="J30" i="106"/>
  <c r="P23" i="106"/>
  <c r="N30" i="106"/>
  <c r="K19" i="106"/>
  <c r="P30" i="106"/>
  <c r="O16" i="106"/>
  <c r="J22" i="106"/>
  <c r="J17" i="106"/>
  <c r="P39" i="106"/>
  <c r="L36" i="106"/>
  <c r="M37" i="106"/>
  <c r="M35" i="106"/>
  <c r="N21" i="106"/>
  <c r="K38" i="106"/>
  <c r="P24" i="106"/>
  <c r="N28" i="106"/>
  <c r="O23" i="106"/>
  <c r="O39" i="106"/>
  <c r="J25" i="106"/>
  <c r="L34" i="106"/>
  <c r="M16" i="106"/>
  <c r="N31" i="106"/>
  <c r="P22" i="106"/>
  <c r="L23" i="106"/>
  <c r="K25" i="106"/>
  <c r="P46" i="106"/>
  <c r="K31" i="106"/>
  <c r="O29" i="106"/>
  <c r="N35" i="106"/>
  <c r="K26" i="106"/>
  <c r="K35" i="106"/>
  <c r="M19" i="106"/>
  <c r="M24" i="106"/>
  <c r="O46" i="106"/>
  <c r="M45" i="106"/>
  <c r="L47" i="106"/>
  <c r="O42" i="106"/>
  <c r="L42" i="106"/>
  <c r="M46" i="106"/>
  <c r="L38" i="106"/>
  <c r="J45" i="106"/>
  <c r="M43" i="106"/>
  <c r="J43" i="106"/>
  <c r="J42" i="106"/>
  <c r="L41" i="106"/>
  <c r="O45" i="106"/>
  <c r="K42" i="106"/>
  <c r="J35" i="106"/>
  <c r="K47" i="106"/>
  <c r="J89" i="106"/>
  <c r="P99" i="106"/>
  <c r="L98" i="106"/>
  <c r="M112" i="106"/>
  <c r="O96" i="106"/>
  <c r="J91" i="106"/>
  <c r="L114" i="106"/>
  <c r="M105" i="106"/>
  <c r="P90" i="106"/>
  <c r="P102" i="106"/>
  <c r="M108" i="106"/>
  <c r="L96" i="106"/>
  <c r="K96" i="106"/>
  <c r="N97" i="106"/>
  <c r="N103" i="106"/>
  <c r="O84" i="106"/>
  <c r="M86" i="106"/>
  <c r="P114" i="106"/>
  <c r="M89" i="106"/>
  <c r="M103" i="106"/>
  <c r="O111" i="106"/>
  <c r="L91" i="106"/>
  <c r="M95" i="106"/>
  <c r="O112" i="106"/>
  <c r="N90" i="106"/>
  <c r="N108" i="106"/>
  <c r="J97" i="106"/>
  <c r="M97" i="106"/>
  <c r="L111" i="106"/>
  <c r="O86" i="106"/>
  <c r="J104" i="106"/>
  <c r="M92" i="106"/>
  <c r="L106" i="106"/>
  <c r="O98" i="106"/>
  <c r="K113" i="106"/>
  <c r="J114" i="106"/>
  <c r="M104" i="106"/>
  <c r="N102" i="106"/>
  <c r="N112" i="106"/>
  <c r="O108" i="106"/>
  <c r="J113" i="106"/>
  <c r="N99" i="106"/>
  <c r="L104" i="106"/>
  <c r="P100" i="106"/>
  <c r="L93" i="106"/>
  <c r="P111" i="106"/>
  <c r="L113" i="106"/>
  <c r="K95" i="106"/>
  <c r="O85" i="106"/>
  <c r="J101" i="106"/>
  <c r="M106" i="106"/>
  <c r="P97" i="106"/>
  <c r="J99" i="106"/>
  <c r="J98" i="106"/>
  <c r="P106" i="106"/>
  <c r="P89" i="106"/>
  <c r="K89" i="106"/>
  <c r="J85" i="106"/>
  <c r="P86" i="106"/>
  <c r="M96" i="106"/>
  <c r="K109" i="106"/>
  <c r="M87" i="106"/>
  <c r="K84" i="106"/>
  <c r="N104" i="106"/>
  <c r="N98" i="106"/>
  <c r="K106" i="106"/>
  <c r="K104" i="106"/>
  <c r="M113" i="106"/>
  <c r="O87" i="106"/>
  <c r="K97" i="106"/>
  <c r="N92" i="106"/>
  <c r="J103" i="106"/>
  <c r="K85" i="106"/>
  <c r="O94" i="106"/>
  <c r="P93" i="106"/>
  <c r="N87" i="106"/>
  <c r="P115" i="106"/>
  <c r="M90" i="106"/>
  <c r="N101" i="106"/>
  <c r="P85" i="106"/>
  <c r="N84" i="106"/>
  <c r="O113" i="106"/>
  <c r="L89" i="106"/>
  <c r="N93" i="106"/>
  <c r="P101" i="106"/>
  <c r="J84" i="106"/>
  <c r="K86" i="106"/>
  <c r="O97" i="106"/>
  <c r="N85" i="106"/>
  <c r="J92" i="106"/>
  <c r="M100" i="106"/>
  <c r="O88" i="106"/>
  <c r="L109" i="106"/>
  <c r="M99" i="106"/>
  <c r="M110" i="106"/>
  <c r="J105" i="106"/>
  <c r="O101" i="106"/>
  <c r="J106" i="106"/>
  <c r="L88" i="106"/>
  <c r="L86" i="106"/>
  <c r="K108" i="106"/>
  <c r="N96" i="106"/>
  <c r="K101" i="106"/>
  <c r="K94" i="106"/>
  <c r="N94" i="106"/>
  <c r="M93" i="106"/>
  <c r="P96" i="106"/>
  <c r="O107" i="106"/>
  <c r="P107" i="106"/>
  <c r="K88" i="106"/>
  <c r="O90" i="106"/>
  <c r="M115" i="106"/>
  <c r="J115" i="106"/>
  <c r="K90" i="106"/>
  <c r="K91" i="106"/>
  <c r="K103" i="106"/>
  <c r="N105" i="106"/>
  <c r="J107" i="106"/>
  <c r="N86" i="106"/>
  <c r="O105" i="106"/>
  <c r="L110" i="106"/>
  <c r="N109" i="106"/>
  <c r="J93" i="106"/>
  <c r="P88" i="106"/>
  <c r="O102" i="106"/>
  <c r="O95" i="106"/>
  <c r="P92" i="106"/>
  <c r="K111" i="106"/>
  <c r="L87" i="106"/>
  <c r="K100" i="106"/>
  <c r="P94" i="106"/>
  <c r="O92" i="106"/>
  <c r="J112" i="106"/>
  <c r="L90" i="106"/>
  <c r="N89" i="106"/>
  <c r="O115" i="106"/>
  <c r="O106" i="106"/>
  <c r="M102" i="106"/>
  <c r="N88" i="106"/>
  <c r="P103" i="106"/>
  <c r="O91" i="106"/>
  <c r="L100" i="106"/>
  <c r="L84" i="106"/>
  <c r="O89" i="106"/>
  <c r="J111" i="106"/>
  <c r="P109" i="106"/>
  <c r="N91" i="106"/>
  <c r="L105" i="106"/>
  <c r="P108" i="106"/>
  <c r="M107" i="106"/>
  <c r="K93" i="106"/>
  <c r="J108" i="106"/>
  <c r="L92" i="106"/>
  <c r="L108" i="106"/>
  <c r="N106" i="106"/>
  <c r="J94" i="106"/>
  <c r="O104" i="106"/>
  <c r="J90" i="106"/>
  <c r="J86" i="106"/>
  <c r="M84" i="106"/>
  <c r="O100" i="106"/>
  <c r="K114" i="106"/>
  <c r="P87" i="106"/>
  <c r="L97" i="106"/>
  <c r="L107" i="106"/>
  <c r="L95" i="106"/>
  <c r="K115" i="106"/>
  <c r="M88" i="106"/>
  <c r="K112" i="106"/>
  <c r="K110" i="106"/>
  <c r="M91" i="106"/>
  <c r="P110" i="106"/>
  <c r="P112" i="106"/>
  <c r="O110" i="106"/>
  <c r="J96" i="106"/>
  <c r="P84" i="106"/>
  <c r="J100" i="106"/>
  <c r="N100" i="106"/>
  <c r="J95" i="106"/>
  <c r="O93" i="106"/>
  <c r="O109" i="106"/>
  <c r="O99" i="106"/>
  <c r="N111" i="106"/>
  <c r="M114" i="106"/>
  <c r="P104" i="106"/>
  <c r="N107" i="106"/>
  <c r="M85" i="106"/>
  <c r="N95" i="106"/>
  <c r="O103" i="106"/>
  <c r="L85" i="106"/>
  <c r="P113" i="106"/>
  <c r="L101" i="106"/>
  <c r="N114" i="106"/>
  <c r="N113" i="106"/>
  <c r="L102" i="106"/>
  <c r="L99" i="106"/>
  <c r="P95" i="106"/>
  <c r="L103" i="106"/>
  <c r="J102" i="106"/>
  <c r="L112" i="106"/>
  <c r="M109" i="106"/>
  <c r="J109" i="106"/>
  <c r="L94" i="106"/>
  <c r="N115" i="106"/>
  <c r="M98" i="106"/>
  <c r="K107" i="106"/>
  <c r="K105" i="106"/>
  <c r="K87" i="106"/>
  <c r="K102" i="106"/>
  <c r="K98" i="106"/>
  <c r="P98" i="106"/>
  <c r="P105" i="106"/>
  <c r="O114" i="106"/>
  <c r="P91" i="106"/>
  <c r="N110" i="106"/>
  <c r="M101" i="106"/>
  <c r="L115" i="106"/>
  <c r="M111" i="106"/>
  <c r="J87" i="106"/>
  <c r="J88" i="106"/>
  <c r="K99" i="106"/>
  <c r="K92" i="106"/>
  <c r="J110" i="106"/>
  <c r="M94" i="106"/>
  <c r="S195" i="105"/>
  <c r="S200" i="105" s="1"/>
  <c r="S117" i="105"/>
  <c r="J51" i="106"/>
  <c r="P71" i="106"/>
  <c r="P74" i="106"/>
  <c r="L66" i="106"/>
  <c r="P57" i="106"/>
  <c r="N77" i="106"/>
  <c r="N60" i="106"/>
  <c r="L79" i="106"/>
  <c r="J53" i="106"/>
  <c r="M78" i="106"/>
  <c r="O69" i="106"/>
  <c r="L81" i="106"/>
  <c r="P56" i="106"/>
  <c r="M65" i="106"/>
  <c r="P65" i="106"/>
  <c r="J77" i="106"/>
  <c r="M62" i="106"/>
  <c r="J69" i="106"/>
  <c r="J68" i="106"/>
  <c r="M60" i="106"/>
  <c r="K51" i="106"/>
  <c r="L69" i="106"/>
  <c r="N63" i="106"/>
  <c r="P51" i="106"/>
  <c r="K57" i="106"/>
  <c r="M67" i="106"/>
  <c r="M54" i="106"/>
  <c r="J58" i="106"/>
  <c r="L50" i="106"/>
  <c r="J65" i="106"/>
  <c r="L72" i="106"/>
  <c r="P61" i="106"/>
  <c r="M55" i="106"/>
  <c r="K56" i="106"/>
  <c r="O75" i="106"/>
  <c r="J67" i="106"/>
  <c r="O61" i="106"/>
  <c r="O56" i="106"/>
  <c r="K76" i="106"/>
  <c r="N68" i="106"/>
  <c r="M56" i="106"/>
  <c r="L76" i="106"/>
  <c r="N57" i="106"/>
  <c r="L57" i="106"/>
  <c r="N72" i="106"/>
  <c r="J73" i="106"/>
  <c r="J56" i="106"/>
  <c r="P55" i="106"/>
  <c r="O55" i="106"/>
  <c r="P77" i="106"/>
  <c r="M70" i="106"/>
  <c r="P78" i="106"/>
  <c r="L75" i="106"/>
  <c r="J78" i="106"/>
  <c r="K66" i="106"/>
  <c r="N56" i="106"/>
  <c r="L58" i="106"/>
  <c r="J64" i="106"/>
  <c r="J57" i="106"/>
  <c r="M61" i="106"/>
  <c r="L77" i="106"/>
  <c r="M57" i="106"/>
  <c r="N52" i="106"/>
  <c r="N79" i="106"/>
  <c r="M64" i="106"/>
  <c r="M79" i="106"/>
  <c r="K73" i="106"/>
  <c r="K71" i="106"/>
  <c r="J74" i="106"/>
  <c r="M72" i="106"/>
  <c r="K61" i="106"/>
  <c r="M74" i="106"/>
  <c r="M52" i="106"/>
  <c r="M63" i="106"/>
  <c r="K50" i="106"/>
  <c r="N73" i="106"/>
  <c r="N59" i="106"/>
  <c r="P80" i="106"/>
  <c r="M75" i="106"/>
  <c r="O54" i="106"/>
  <c r="O64" i="106"/>
  <c r="N53" i="106"/>
  <c r="K80" i="106"/>
  <c r="O73" i="106"/>
  <c r="J63" i="106"/>
  <c r="L65" i="106"/>
  <c r="J80" i="106"/>
  <c r="J60" i="106"/>
  <c r="P67" i="106"/>
  <c r="M80" i="106"/>
  <c r="M81" i="106"/>
  <c r="P79" i="106"/>
  <c r="J62" i="106"/>
  <c r="L80" i="106"/>
  <c r="L55" i="106"/>
  <c r="L68" i="106"/>
  <c r="K77" i="106"/>
  <c r="M50" i="106"/>
  <c r="O70" i="106"/>
  <c r="M77" i="106"/>
  <c r="J61" i="106"/>
  <c r="O79" i="106"/>
  <c r="M71" i="106"/>
  <c r="K70" i="106"/>
  <c r="J50" i="106"/>
  <c r="K67" i="106"/>
  <c r="N67" i="106"/>
  <c r="N54" i="106"/>
  <c r="L51" i="106"/>
  <c r="N61" i="106"/>
  <c r="J70" i="106"/>
  <c r="P72" i="106"/>
  <c r="M51" i="106"/>
  <c r="P52" i="106"/>
  <c r="P62" i="106"/>
  <c r="P59" i="106"/>
  <c r="O72" i="106"/>
  <c r="P50" i="106"/>
  <c r="N62" i="106"/>
  <c r="N81" i="106"/>
  <c r="P70" i="106"/>
  <c r="L62" i="106"/>
  <c r="K64" i="106"/>
  <c r="N75" i="106"/>
  <c r="L53" i="106"/>
  <c r="J81" i="106"/>
  <c r="O76" i="106"/>
  <c r="N64" i="106"/>
  <c r="K69" i="106"/>
  <c r="M69" i="106"/>
  <c r="K53" i="106"/>
  <c r="K79" i="106"/>
  <c r="L73" i="106"/>
  <c r="N74" i="106"/>
  <c r="O78" i="106"/>
  <c r="J71" i="106"/>
  <c r="L61" i="106"/>
  <c r="J75" i="106"/>
  <c r="O62" i="106"/>
  <c r="L60" i="106"/>
  <c r="N50" i="106"/>
  <c r="P66" i="106"/>
  <c r="J66" i="106"/>
  <c r="P73" i="106"/>
  <c r="O77" i="106"/>
  <c r="N70" i="106"/>
  <c r="K55" i="106"/>
  <c r="K72" i="106"/>
  <c r="O57" i="106"/>
  <c r="L70" i="106"/>
  <c r="O65" i="106"/>
  <c r="O51" i="106"/>
  <c r="O58" i="106"/>
  <c r="O67" i="106"/>
  <c r="K63" i="106"/>
  <c r="O66" i="106"/>
  <c r="O74" i="106"/>
  <c r="O50" i="106"/>
  <c r="K52" i="106"/>
  <c r="N55" i="106"/>
  <c r="J55" i="106"/>
  <c r="K58" i="106"/>
  <c r="K68" i="106"/>
  <c r="M66" i="106"/>
  <c r="J79" i="106"/>
  <c r="N65" i="106"/>
  <c r="O63" i="106"/>
  <c r="N51" i="106"/>
  <c r="L56" i="106"/>
  <c r="J72" i="106"/>
  <c r="N66" i="106"/>
  <c r="O81" i="106"/>
  <c r="O60" i="106"/>
  <c r="O59" i="106"/>
  <c r="N58" i="106"/>
  <c r="K65" i="106"/>
  <c r="K81" i="106"/>
  <c r="J54" i="106"/>
  <c r="P54" i="106"/>
  <c r="P75" i="106"/>
  <c r="P60" i="106"/>
  <c r="P63" i="106"/>
  <c r="N78" i="106"/>
  <c r="L78" i="106"/>
  <c r="M58" i="106"/>
  <c r="O71" i="106"/>
  <c r="P53" i="106"/>
  <c r="P58" i="106"/>
  <c r="P76" i="106"/>
  <c r="N71" i="106"/>
  <c r="P64" i="106"/>
  <c r="K60" i="106"/>
  <c r="P69" i="106"/>
  <c r="K59" i="106"/>
  <c r="L64" i="106"/>
  <c r="P81" i="106"/>
  <c r="M59" i="106"/>
  <c r="J59" i="106"/>
  <c r="K75" i="106"/>
  <c r="K54" i="106"/>
  <c r="L54" i="106"/>
  <c r="L67" i="106"/>
  <c r="M68" i="106"/>
  <c r="O80" i="106"/>
  <c r="M76" i="106"/>
  <c r="M53" i="106"/>
  <c r="J52" i="106"/>
  <c r="N69" i="106"/>
  <c r="N80" i="106"/>
  <c r="K78" i="106"/>
  <c r="O53" i="106"/>
  <c r="L71" i="106"/>
  <c r="O52" i="106"/>
  <c r="P68" i="106"/>
  <c r="L52" i="106"/>
  <c r="L59" i="106"/>
  <c r="J76" i="106"/>
  <c r="N76" i="106"/>
  <c r="K62" i="106"/>
  <c r="O68" i="106"/>
  <c r="L74" i="106"/>
  <c r="M73" i="106"/>
  <c r="L63" i="106"/>
  <c r="K74" i="106"/>
  <c r="S184" i="105"/>
  <c r="S189" i="105" s="1"/>
  <c r="S107" i="105"/>
  <c r="T174" i="105" l="1"/>
  <c r="T65" i="82" s="1"/>
  <c r="T146" i="105"/>
  <c r="T63" i="82" s="1"/>
  <c r="S62" i="82"/>
  <c r="S206" i="105"/>
  <c r="S73" i="82" s="1"/>
  <c r="S207" i="105"/>
  <c r="S74" i="82" s="1"/>
  <c r="H107" i="105"/>
  <c r="H112" i="105" s="1"/>
  <c r="S112" i="105"/>
  <c r="S122" i="105"/>
  <c r="H117" i="105"/>
  <c r="H122" i="105" s="1"/>
  <c r="H119" i="106" a="1"/>
  <c r="H119" i="106" s="1"/>
  <c r="A4" i="106" s="1"/>
  <c r="T207" i="105"/>
  <c r="T74" i="82" s="1"/>
  <c r="T206" i="105"/>
  <c r="T73" i="82" s="1"/>
  <c r="T62" i="82"/>
  <c r="H78" i="82" l="1" a="1"/>
  <c r="H78" i="82" s="1"/>
  <c r="J57" i="55" s="1"/>
  <c r="H132" i="105"/>
  <c r="H133" i="105" s="1"/>
  <c r="S148" i="105"/>
  <c r="S142" i="105"/>
  <c r="S141" i="105"/>
  <c r="S147" i="105"/>
  <c r="J56" i="55"/>
  <c r="A4" i="82" l="1"/>
  <c r="H136" i="105"/>
  <c r="H135" i="105"/>
  <c r="H211" i="105" s="1" a="1"/>
  <c r="H211" i="105" s="1"/>
  <c r="A4" i="105" l="1"/>
  <c r="J55" i="55"/>
  <c r="J58" i="55" s="1"/>
  <c r="A4" i="55" s="1"/>
</calcChain>
</file>

<file path=xl/sharedStrings.xml><?xml version="1.0" encoding="utf-8"?>
<sst xmlns="http://schemas.openxmlformats.org/spreadsheetml/2006/main" count="7915" uniqueCount="1160">
  <si>
    <t>CDCM charging model</t>
  </si>
  <si>
    <t>DISCLAIMER</t>
  </si>
  <si>
    <t>© All rights reserved by Cambridge Economic Policy Associates Ltd (CEPA) and TNEI Services Ltd (TNEI).</t>
  </si>
  <si>
    <t>Charging year:</t>
  </si>
  <si>
    <t>DNO name:</t>
  </si>
  <si>
    <t>Data version:</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</si>
  <si>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</si>
  <si>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</si>
  <si>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</si>
  <si>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</si>
  <si>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</si>
  <si>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</si>
  <si>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</si>
  <si>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</si>
  <si>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</si>
  <si>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</si>
  <si>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</si>
  <si>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</si>
  <si>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</si>
  <si>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</si>
  <si>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</si>
  <si>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</si>
  <si>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</si>
  <si>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</si>
  <si>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</si>
  <si>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</si>
  <si>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</si>
  <si>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</si>
  <si>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</si>
  <si>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</si>
  <si>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</si>
  <si>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</si>
  <si>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</si>
  <si>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</si>
  <si>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</si>
  <si>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</si>
  <si>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</si>
  <si>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</si>
  <si>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</si>
  <si>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</si>
  <si>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</si>
  <si>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</si>
  <si>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</si>
  <si>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</si>
  <si>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</si>
  <si>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</si>
  <si>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</si>
  <si>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</si>
  <si>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</si>
  <si>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</si>
  <si>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</si>
  <si>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</si>
  <si>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</si>
  <si>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</si>
  <si>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</si>
  <si>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</si>
  <si>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</si>
  <si>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</si>
  <si>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</si>
  <si>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</si>
  <si>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</si>
  <si>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</si>
  <si>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</si>
  <si>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</si>
  <si>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</si>
  <si>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</si>
  <si>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</si>
  <si>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</si>
  <si>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</si>
  <si>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</si>
  <si>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</si>
  <si>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</si>
  <si>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</si>
  <si>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</si>
  <si>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</si>
  <si>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</si>
  <si>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</si>
  <si>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</si>
  <si>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</si>
  <si>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</si>
  <si>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</si>
  <si>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</si>
  <si>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</si>
  <si>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</si>
  <si>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</si>
  <si>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</si>
  <si>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</si>
  <si>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</si>
  <si>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</si>
  <si>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</si>
  <si>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</si>
  <si>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</si>
  <si>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</si>
  <si>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</si>
  <si>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</si>
  <si>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</si>
  <si>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</si>
  <si>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</si>
  <si>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</si>
  <si>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</si>
  <si>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</si>
  <si>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</si>
  <si>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</si>
  <si>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</si>
  <si>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</si>
  <si>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</si>
  <si>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</si>
  <si>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</si>
  <si>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</si>
  <si>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</si>
  <si>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</si>
  <si>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</si>
  <si>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</si>
  <si>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</si>
  <si>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</si>
  <si>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</si>
  <si>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</si>
  <si>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</si>
  <si>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</si>
  <si>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</si>
  <si>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</si>
  <si>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</si>
  <si>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</si>
  <si>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</si>
  <si>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</si>
  <si>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</si>
  <si>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</si>
  <si>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</si>
  <si>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</si>
  <si>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</si>
  <si>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</si>
  <si>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</si>
  <si>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</si>
  <si>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</si>
  <si>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</si>
  <si>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</si>
  <si>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</si>
  <si>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</si>
  <si>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</si>
  <si>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</si>
  <si>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</si>
  <si>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</si>
  <si>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</si>
  <si>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</si>
  <si>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</si>
  <si>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</si>
  <si>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</si>
  <si>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</si>
  <si>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</si>
  <si>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</si>
  <si>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</si>
  <si>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</si>
  <si>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</si>
  <si>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</si>
  <si>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</si>
  <si>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</si>
  <si>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</si>
  <si>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</si>
  <si>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</si>
  <si>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</si>
  <si>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</si>
  <si>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</si>
  <si>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</si>
  <si>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</si>
  <si>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</si>
  <si>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</si>
  <si>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</si>
  <si>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</si>
  <si>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</si>
  <si>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</si>
  <si>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</si>
  <si>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</si>
  <si>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</si>
  <si>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</si>
  <si>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</si>
  <si>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</si>
  <si>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</si>
  <si>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</si>
  <si>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</si>
  <si>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</si>
  <si>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</si>
  <si>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</si>
  <si>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</si>
  <si>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</si>
  <si>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</si>
  <si>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</si>
  <si>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</si>
  <si>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</si>
  <si>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</si>
  <si>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</si>
  <si>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</si>
  <si>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</si>
  <si>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</si>
  <si>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</si>
  <si>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</si>
  <si>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</si>
  <si>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</si>
  <si>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</si>
  <si>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</si>
  <si>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</si>
  <si>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</si>
  <si>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</si>
  <si>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</si>
  <si>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</si>
  <si>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</si>
  <si>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</si>
  <si>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</si>
  <si>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</si>
  <si>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</si>
  <si>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</si>
  <si>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</si>
  <si>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</si>
  <si>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</si>
  <si>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</si>
  <si>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</si>
  <si>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</si>
  <si>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</si>
  <si>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</si>
  <si>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</si>
  <si>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</si>
  <si>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</si>
  <si>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</si>
  <si>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</si>
  <si>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</si>
  <si>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</si>
  <si>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</si>
  <si>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</si>
  <si>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</si>
  <si>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</si>
  <si>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</si>
  <si>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</si>
  <si>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</si>
  <si>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</si>
  <si>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</si>
  <si>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</si>
  <si>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</si>
  <si>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</si>
  <si>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</si>
  <si>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</si>
  <si>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</si>
  <si>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</si>
  <si>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</si>
  <si>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</si>
  <si>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</si>
  <si>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</si>
  <si>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</si>
  <si>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</si>
  <si>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</si>
  <si>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</si>
  <si>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</si>
  <si>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</si>
  <si>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</si>
  <si>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</si>
  <si>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</si>
  <si>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</si>
  <si>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</si>
  <si>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</si>
  <si>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</si>
  <si>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</si>
  <si>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</si>
  <si>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</si>
  <si>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</si>
  <si>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</si>
  <si>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</si>
  <si>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</si>
  <si>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</si>
  <si>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</si>
  <si>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</si>
  <si>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</si>
  <si>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</si>
  <si>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</si>
  <si>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</si>
  <si>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</si>
  <si>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</si>
  <si>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</si>
  <si>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</si>
  <si>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</si>
  <si>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</si>
  <si>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</si>
  <si>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</si>
  <si>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</si>
  <si>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</si>
  <si>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</si>
  <si>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</si>
  <si>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</si>
  <si>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</si>
  <si>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</si>
  <si>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</si>
  <si>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</si>
  <si>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</si>
  <si>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</si>
  <si>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</si>
  <si>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</si>
  <si>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</si>
  <si>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</si>
  <si>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</si>
  <si>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</si>
  <si>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</si>
  <si>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</si>
  <si>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</si>
  <si>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</si>
  <si>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</si>
  <si>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</si>
  <si>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</si>
  <si>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</si>
  <si>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</si>
  <si>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</si>
  <si>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</si>
  <si>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</si>
  <si>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</si>
  <si>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</si>
  <si>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Paragraph 54 and Schedule 15 Table 1</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</si>
  <si>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</si>
  <si>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</si>
  <si>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</si>
  <si>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</si>
  <si>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</si>
  <si>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</si>
  <si>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</si>
  <si>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</si>
  <si>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</si>
  <si>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</si>
  <si>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</si>
  <si>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</si>
  <si>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</si>
  <si>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</si>
  <si>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</si>
  <si>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</si>
  <si>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</si>
  <si>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</si>
  <si>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</si>
  <si>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</si>
  <si>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</si>
  <si>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</si>
  <si>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</si>
  <si>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</si>
  <si>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</si>
  <si>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</si>
  <si>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</si>
  <si>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</si>
  <si>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</si>
  <si>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</si>
  <si>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</si>
  <si>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</si>
  <si>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</si>
  <si>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</si>
  <si>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</si>
  <si>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</si>
  <si>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</si>
  <si>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</si>
  <si>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</si>
  <si>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</si>
  <si>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</si>
  <si>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</si>
  <si>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</si>
  <si>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</si>
  <si>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</si>
  <si>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</si>
  <si>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</si>
  <si>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</si>
  <si>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</si>
  <si>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</si>
  <si>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</si>
  <si>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</si>
  <si>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</si>
  <si>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</si>
  <si>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</si>
  <si>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</si>
  <si>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</si>
  <si>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</si>
  <si>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</si>
  <si>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</si>
  <si>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</si>
  <si>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</si>
  <si>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</si>
  <si>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</si>
  <si>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</si>
  <si>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</si>
  <si>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</si>
  <si>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</si>
  <si>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</si>
  <si>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</si>
  <si>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</si>
  <si>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</si>
  <si>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</si>
  <si>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</si>
  <si>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</si>
  <si>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</si>
  <si>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</si>
  <si>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</si>
  <si>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</si>
  <si>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</si>
  <si>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</si>
  <si>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</si>
  <si>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</si>
  <si>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</si>
  <si>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</si>
  <si>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</si>
  <si>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</si>
  <si>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</si>
  <si>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</si>
  <si>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</si>
  <si>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</si>
  <si>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</si>
  <si>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</si>
  <si>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</si>
  <si>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</si>
  <si>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</si>
  <si>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</si>
  <si>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</si>
  <si>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</si>
  <si>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</si>
  <si>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</si>
  <si>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</si>
  <si>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</si>
  <si>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</si>
  <si>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</si>
  <si>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</si>
  <si>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</si>
  <si>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</si>
  <si>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</si>
  <si>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</si>
  <si>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</si>
  <si>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</si>
  <si>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</si>
  <si>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</si>
  <si>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</si>
  <si>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</si>
  <si>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</si>
  <si>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</si>
  <si>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</si>
  <si>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</si>
  <si>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</si>
  <si>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</si>
  <si>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</si>
  <si>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</si>
  <si>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</si>
  <si>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</si>
  <si>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</si>
  <si>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</si>
  <si>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</si>
  <si>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</si>
  <si>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</si>
  <si>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</si>
  <si>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</si>
  <si>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</si>
  <si>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</si>
  <si>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</si>
  <si>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</si>
  <si>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</si>
  <si>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</si>
  <si>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</si>
  <si>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</si>
  <si>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</si>
  <si>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</si>
  <si>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</si>
  <si>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</si>
  <si>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</si>
  <si>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</si>
  <si>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</si>
  <si>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</si>
  <si>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</si>
  <si>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</si>
  <si>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</si>
  <si>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</si>
  <si>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</si>
  <si>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</si>
  <si>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</si>
  <si>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</si>
  <si>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</si>
  <si>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</si>
  <si>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</si>
  <si>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</si>
  <si>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</si>
  <si>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</si>
  <si>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</si>
  <si>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</si>
  <si>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</si>
  <si>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</si>
  <si>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</si>
  <si>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</si>
  <si>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</si>
  <si>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</si>
  <si>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</si>
  <si>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</si>
  <si>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</si>
  <si>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</si>
  <si>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</si>
  <si>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</si>
  <si>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</si>
  <si>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</si>
  <si>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</si>
  <si>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</si>
  <si>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</si>
  <si>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</si>
  <si>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</si>
  <si>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</si>
  <si>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</si>
  <si>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</si>
  <si>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</si>
  <si>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</si>
  <si>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</si>
  <si>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</si>
  <si>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</si>
  <si>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</si>
  <si>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</si>
  <si>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</si>
  <si>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</si>
  <si>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</si>
  <si>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</si>
  <si>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</si>
  <si>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</si>
  <si>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</si>
  <si>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</si>
  <si>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</si>
  <si>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</si>
  <si>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</si>
  <si>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</si>
  <si>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</si>
  <si>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</si>
  <si>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</si>
  <si>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</si>
  <si>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</si>
  <si>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</si>
  <si>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</si>
  <si>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</si>
  <si>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</si>
  <si>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</si>
  <si>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</si>
  <si>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</si>
  <si>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</si>
  <si>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</si>
  <si>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</si>
  <si>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</si>
  <si>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</si>
  <si>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</si>
  <si>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</si>
  <si>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</si>
  <si>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</si>
  <si>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</si>
  <si>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</si>
  <si>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</si>
  <si>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</si>
  <si>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</si>
  <si>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</si>
  <si>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</si>
  <si>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</si>
  <si>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</si>
  <si>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</si>
  <si>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</si>
  <si>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</si>
  <si>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</si>
  <si>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</si>
  <si>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</si>
  <si>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</si>
  <si>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</si>
  <si>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</si>
  <si>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</si>
  <si>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</si>
  <si>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</si>
  <si>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</si>
  <si>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</si>
  <si>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</si>
  <si>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</si>
  <si>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</si>
  <si>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</si>
  <si>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</si>
  <si>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</si>
  <si>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</si>
  <si>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</si>
  <si>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</si>
  <si>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</si>
  <si>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</si>
  <si>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</si>
  <si>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</si>
  <si>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</si>
  <si>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</si>
  <si>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</si>
  <si>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</si>
  <si>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</si>
  <si>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</si>
  <si>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</si>
  <si>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</si>
  <si>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</si>
  <si>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</si>
  <si>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</si>
  <si>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</si>
  <si>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</si>
  <si>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</si>
  <si>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</si>
  <si>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</si>
  <si>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</si>
  <si>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</si>
  <si>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</si>
  <si>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</si>
  <si>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</si>
  <si>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</si>
  <si>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</si>
  <si>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</si>
  <si>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</si>
  <si>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</si>
  <si>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</si>
  <si>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</si>
  <si>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</si>
  <si>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</si>
  <si>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</si>
  <si>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</si>
  <si>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</si>
  <si>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</si>
  <si>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</si>
  <si>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</si>
  <si>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</si>
  <si>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</si>
  <si>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</si>
  <si>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</si>
  <si>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</si>
  <si>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</si>
  <si>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</si>
  <si>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</si>
  <si>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</si>
  <si>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</si>
  <si>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</si>
  <si>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</si>
  <si>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</si>
  <si>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</si>
  <si>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</si>
  <si>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</si>
  <si>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</si>
  <si>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</si>
  <si>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</si>
  <si>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</si>
  <si>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</si>
  <si>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</si>
  <si>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</si>
  <si>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</si>
  <si>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</si>
  <si>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</si>
  <si>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</si>
  <si>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</si>
  <si>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</si>
  <si>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</si>
  <si>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</si>
  <si>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</si>
  <si>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</si>
  <si>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</si>
  <si>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</si>
  <si>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</si>
  <si>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</si>
  <si>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</si>
  <si>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</si>
  <si>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</si>
  <si>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</si>
  <si>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</si>
  <si>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</si>
  <si>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</si>
  <si>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</si>
  <si>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</si>
  <si>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</si>
  <si>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</si>
  <si>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</si>
  <si>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</si>
  <si>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</si>
  <si>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</si>
  <si>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</si>
  <si>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</si>
  <si>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</si>
  <si>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</si>
  <si>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</si>
  <si>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</si>
  <si>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</si>
  <si>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</si>
  <si>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</si>
  <si>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</si>
  <si>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</si>
  <si>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</si>
  <si>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</si>
  <si>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</si>
  <si>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</si>
  <si>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</si>
  <si>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</si>
  <si>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</si>
  <si>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</si>
  <si>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</si>
  <si>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</si>
  <si>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</si>
  <si>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</si>
  <si>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</si>
  <si>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</si>
  <si>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</si>
  <si>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</si>
  <si>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</si>
  <si>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</si>
  <si>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</si>
  <si>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</si>
  <si>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</si>
  <si>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</si>
  <si>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</si>
  <si>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</si>
  <si>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</si>
  <si>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</si>
  <si>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</si>
  <si>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</si>
  <si>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</si>
  <si>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</si>
  <si>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</si>
  <si>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</si>
  <si>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</si>
  <si>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</si>
  <si>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</si>
  <si>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</si>
  <si>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</si>
  <si>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</si>
  <si>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</si>
  <si>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</si>
  <si>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</si>
  <si>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</si>
  <si>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</si>
  <si>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</si>
  <si>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</si>
  <si>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</si>
  <si>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</si>
  <si>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</si>
  <si>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</si>
  <si>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</si>
  <si>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</si>
  <si>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</si>
  <si>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</si>
  <si>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</si>
  <si>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</si>
  <si>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</si>
  <si>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</si>
  <si>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</si>
  <si>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</si>
  <si>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</si>
  <si>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</si>
  <si>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</si>
  <si>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</si>
  <si>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</si>
  <si>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</si>
  <si>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</si>
  <si>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</si>
  <si>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</si>
  <si>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</si>
  <si>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</si>
  <si>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</si>
  <si>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</si>
  <si>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</si>
  <si>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</si>
  <si>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</si>
  <si>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</si>
  <si>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</si>
  <si>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</si>
  <si>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</si>
  <si>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</si>
  <si>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</si>
  <si>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</si>
  <si>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</si>
  <si>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</si>
  <si>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</si>
  <si>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</si>
  <si>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</si>
  <si>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</si>
  <si>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</si>
  <si>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</si>
  <si>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</si>
  <si>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</si>
  <si>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</si>
  <si>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</si>
  <si>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</si>
  <si>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</si>
  <si>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</si>
  <si>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</si>
  <si>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</si>
  <si>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</si>
  <si>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</si>
  <si>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</si>
  <si>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</si>
  <si>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</si>
  <si>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</si>
  <si>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</si>
  <si>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</si>
  <si>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</si>
  <si>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</si>
  <si>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</si>
  <si>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</si>
  <si>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</si>
  <si>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</si>
  <si>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</si>
  <si>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</si>
  <si>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</si>
  <si>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</si>
  <si>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</si>
  <si>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</si>
  <si>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</si>
  <si>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</si>
  <si>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</si>
  <si>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</si>
  <si>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</si>
  <si>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</si>
  <si>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</si>
  <si>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</si>
  <si>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</si>
  <si>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</si>
  <si>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</si>
  <si>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</si>
  <si>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</si>
  <si>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</si>
  <si>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</si>
  <si>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</si>
  <si>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</si>
  <si>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</si>
  <si>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</si>
  <si>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</si>
  <si>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</si>
  <si>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</si>
  <si>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</si>
  <si>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</si>
  <si>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</si>
  <si>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</si>
  <si>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</si>
  <si>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</si>
  <si>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</si>
  <si>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</si>
  <si>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</si>
  <si>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</si>
  <si>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</si>
  <si>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</si>
  <si>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</si>
  <si>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"Latest forecast of CDCM Revenue" is the only row used as an input to the model itself</t>
  </si>
  <si>
    <t>Domestic Aggregated</t>
  </si>
  <si>
    <t>Non-Domestic Aggregated</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</si>
  <si>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</si>
  <si>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</si>
  <si>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</si>
  <si>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</si>
  <si>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</si>
  <si>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</si>
  <si>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</si>
  <si>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</si>
  <si>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</si>
  <si>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</si>
  <si>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</si>
  <si>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</si>
  <si>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</si>
  <si>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</si>
  <si>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</si>
  <si>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</si>
  <si>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</si>
  <si>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</si>
  <si>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</si>
  <si>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</si>
  <si>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</si>
  <si>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</si>
  <si>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</si>
  <si>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</si>
  <si>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</si>
  <si>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</si>
  <si>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</si>
  <si>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</si>
  <si>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</si>
  <si>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</si>
  <si>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</si>
  <si>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</si>
  <si>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</si>
  <si>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</si>
  <si>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</si>
  <si>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</si>
  <si>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</si>
  <si>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</si>
  <si>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</si>
  <si>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</si>
  <si>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</si>
  <si>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</si>
  <si>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Supplier of Last Resort Adjustment</t>
  </si>
  <si>
    <t>Pass-through Eligible Bad Debt Adjustment</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</si>
  <si>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</si>
  <si>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</si>
  <si>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</si>
  <si>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</si>
  <si>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</si>
  <si>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</si>
  <si>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</si>
  <si>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</si>
  <si>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</si>
  <si>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</si>
  <si>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</si>
  <si>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</si>
  <si>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</si>
  <si>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</si>
  <si>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</si>
  <si>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</si>
  <si>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</si>
  <si>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</si>
  <si>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</si>
  <si>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</si>
  <si>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</si>
  <si>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</si>
  <si>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101 and 103</t>
  </si>
  <si>
    <t>Paragraph 90A</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</si>
  <si>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</si>
  <si>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</si>
  <si>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</si>
  <si>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</si>
  <si>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</si>
  <si>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</si>
  <si>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</si>
  <si>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Paragraphs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</si>
  <si>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</si>
  <si>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</si>
  <si>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</si>
  <si>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</si>
  <si>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</si>
  <si>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</si>
  <si>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Domestic Aggregated with Residual</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</si>
  <si>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</si>
  <si>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</si>
  <si>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</si>
  <si>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</si>
  <si>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</si>
  <si>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</si>
  <si>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</si>
  <si>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</si>
  <si>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</si>
  <si>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</si>
  <si>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</si>
  <si>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</si>
  <si>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</si>
  <si>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</si>
  <si>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</si>
  <si>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</si>
  <si>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</si>
  <si>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</si>
  <si>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</si>
  <si>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</si>
  <si>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</si>
  <si>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</si>
  <si>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</si>
  <si>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</si>
  <si>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</si>
  <si>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</si>
  <si>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</si>
  <si>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</si>
  <si>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</si>
  <si>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</si>
  <si>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</si>
  <si>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</si>
  <si>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</si>
  <si>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</si>
  <si>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</si>
  <si>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</si>
  <si>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</si>
  <si>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</si>
  <si>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</si>
  <si>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</si>
  <si>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</si>
  <si>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</si>
  <si>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</si>
  <si>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</si>
  <si>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</si>
  <si>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</si>
  <si>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</si>
  <si>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</si>
  <si>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</si>
  <si>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</si>
  <si>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</si>
  <si>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</si>
  <si>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</si>
  <si>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</si>
  <si>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</si>
  <si>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</si>
  <si>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</si>
  <si>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</si>
  <si>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</si>
  <si>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</si>
  <si>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</si>
  <si>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</si>
  <si>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</si>
  <si>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</si>
  <si>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</si>
  <si>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</si>
  <si>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</si>
  <si>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</si>
  <si>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</si>
  <si>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</si>
  <si>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</si>
  <si>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</si>
  <si>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</si>
  <si>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</si>
  <si>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</si>
  <si>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</si>
  <si>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</si>
  <si>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</si>
  <si>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</si>
  <si>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</si>
  <si>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</si>
  <si>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</si>
  <si>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</si>
  <si>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</si>
  <si>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</si>
  <si>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</si>
  <si>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</si>
  <si>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</si>
  <si>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</si>
  <si>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</si>
  <si>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</si>
  <si>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</si>
  <si>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</si>
  <si>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</si>
  <si>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</si>
  <si>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</si>
  <si>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</si>
  <si>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</si>
  <si>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</si>
  <si>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</si>
  <si>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</si>
  <si>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</si>
  <si>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</si>
  <si>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</si>
  <si>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</si>
  <si>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</si>
  <si>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</si>
  <si>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</si>
  <si>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</si>
  <si>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</si>
  <si>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</si>
  <si>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</si>
  <si>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</si>
  <si>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</si>
  <si>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</si>
  <si>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</si>
  <si>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</si>
  <si>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</si>
  <si>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</si>
  <si>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</si>
  <si>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</si>
  <si>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</si>
  <si>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</si>
  <si>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</si>
  <si>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</si>
  <si>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</si>
  <si>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</si>
  <si>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</si>
  <si>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</si>
  <si>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</si>
  <si>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</si>
  <si>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</si>
  <si>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</si>
  <si>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</si>
  <si>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</si>
  <si>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</si>
  <si>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</si>
  <si>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</si>
  <si>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</si>
  <si>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</si>
  <si>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</si>
  <si>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</si>
  <si>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</si>
  <si>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</si>
  <si>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</si>
  <si>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</si>
  <si>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</si>
  <si>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</si>
  <si>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</si>
  <si>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</si>
  <si>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</si>
  <si>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</si>
  <si>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</si>
  <si>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</si>
  <si>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</si>
  <si>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</si>
  <si>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</si>
  <si>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</si>
  <si>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</si>
  <si>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</si>
  <si>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</si>
  <si>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</si>
  <si>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</si>
  <si>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</si>
  <si>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</si>
  <si>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</si>
  <si>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</si>
  <si>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</si>
  <si>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</si>
  <si>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</si>
  <si>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</si>
  <si>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</si>
  <si>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</si>
  <si>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</si>
  <si>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</si>
  <si>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</si>
  <si>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</si>
  <si>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</si>
  <si>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</si>
  <si>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</si>
  <si>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</si>
  <si>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</si>
  <si>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</si>
  <si>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</si>
  <si>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</si>
  <si>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</si>
  <si>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</si>
  <si>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</si>
  <si>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</si>
  <si>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</si>
  <si>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</si>
  <si>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</si>
  <si>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</si>
  <si>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</si>
  <si>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</si>
  <si>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</si>
  <si>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</si>
  <si>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</si>
  <si>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</si>
  <si>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</si>
  <si>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</si>
  <si>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</si>
  <si>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</si>
  <si>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</si>
  <si>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</si>
  <si>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</si>
  <si>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</si>
  <si>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</si>
  <si>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</si>
  <si>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</si>
  <si>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</si>
  <si>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</si>
  <si>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</si>
  <si>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</si>
  <si>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</si>
  <si>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</si>
  <si>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</si>
  <si>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</si>
  <si>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</si>
  <si>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</si>
  <si>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</si>
  <si>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</si>
  <si>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</si>
  <si>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</si>
  <si>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</si>
  <si>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</si>
  <si>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2022/23</t>
  </si>
  <si>
    <t>Release for 2022/23 charge setting</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</si>
  <si>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</si>
  <si>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</si>
  <si>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</si>
  <si>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</si>
  <si>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</si>
  <si>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</si>
  <si>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</si>
  <si>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</si>
  <si>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</si>
  <si>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</si>
  <si>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</si>
  <si>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</si>
  <si>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</si>
  <si>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</si>
  <si>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</si>
  <si>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</si>
  <si>
    <t>WPD Mid West</t>
  </si>
  <si>
    <t>April 22 Pricing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</si>
</sst>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 numFmtId="182" formatCode="#,##0.000000000000_ ;\-#,##0.000000000000\ "/>
    <numFmt numFmtId="183" formatCode="0.0000000%"/>
    <numFmt numFmtId="184" formatCode="#,##0.00000000000000_ ;\-#,##0.00000000000000\ "/>
  </numFmts>
  <fonts count="4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s>
  <fills count="47">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s>
  <borders count="19">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40">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25" fillId="0" borderId="0" xfId="0" applyFont="1" applyAlignment="1">
      <alignment horizontal="left" vertical="center" wrapText="1"/>
    </xf>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xf>
    <xf numFmtId="0" fontId="34" fillId="0" borderId="0" xfId="56" applyNumberFormat="1" applyAlignment="1">
      <alignment horizontal="left"/>
    </xf>
    <xf numFmtId="0" fontId="1" fillId="3" borderId="0" xfId="1" applyNumberFormat="1" applyAlignment="1">
      <alignment horizontal="left"/>
    </xf>
    <xf numFmtId="168" fontId="8" fillId="4" borderId="2" xfId="55" applyBorder="1" applyAlignment="1"/>
    <xf numFmtId="0" fontId="0" fillId="0" borderId="2" xfId="0" applyBorder="1"/>
    <xf numFmtId="0" fontId="8" fillId="0" borderId="0" xfId="60" applyNumberFormat="1" applyAlignment="1"/>
    <xf numFmtId="9" fontId="34" fillId="0" borderId="0" xfId="56"/>
    <xf numFmtId="0" fontId="35" fillId="0" borderId="0" xfId="52" applyBorder="1"/>
    <xf numFmtId="0" fontId="8" fillId="0" borderId="16" xfId="60" applyNumberFormat="1" applyBorder="1" applyAlignment="1"/>
    <xf numFmtId="0" fontId="7" fillId="0" borderId="0" xfId="50"/>
    <xf numFmtId="0" fontId="36" fillId="0" borderId="0" xfId="58"/>
    <xf numFmtId="0" fontId="1" fillId="5" borderId="0" xfId="49"/>
    <xf numFmtId="0" fontId="22" fillId="37" borderId="0" xfId="48"/>
    <xf numFmtId="0" fontId="2" fillId="0" borderId="0" xfId="53"/>
    <xf numFmtId="0" fontId="0" fillId="40" borderId="0" xfId="0" applyFill="1"/>
    <xf numFmtId="0" fontId="0" fillId="41" borderId="0" xfId="0" applyFill="1"/>
    <xf numFmtId="0" fontId="0" fillId="42" borderId="0" xfId="0" applyFill="1"/>
    <xf numFmtId="0" fontId="0" fillId="43" borderId="3" xfId="0" applyFill="1" applyBorder="1"/>
    <xf numFmtId="0" fontId="0" fillId="0" borderId="3" xfId="0" applyBorder="1"/>
    <xf numFmtId="0" fontId="27" fillId="0" borderId="0" xfId="0" applyFont="1" applyAlignment="1">
      <alignment horizontal="left"/>
    </xf>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0" fontId="0" fillId="0" borderId="3" xfId="0" applyBorder="1" applyAlignment="1">
      <alignment horizontal="left"/>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5"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175" fontId="0" fillId="5" borderId="0" xfId="0" applyNumberFormat="1" applyFill="1"/>
    <xf numFmtId="175" fontId="0" fillId="0" borderId="0" xfId="0" applyNumberFormat="1" applyAlignment="1">
      <alignment horizontal="right"/>
    </xf>
    <xf numFmtId="4" fontId="0" fillId="0" borderId="0" xfId="0" applyNumberFormat="1" applyAlignment="1">
      <alignment horizontal="right"/>
    </xf>
    <xf numFmtId="10" fontId="8" fillId="4" borderId="2" xfId="55" applyNumberFormat="1" applyBorder="1">
      <alignment vertical="top"/>
    </xf>
    <xf numFmtId="10" fontId="0" fillId="0" borderId="0" xfId="0" applyNumberFormat="1"/>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167" fontId="0" fillId="0" borderId="0" xfId="0" applyNumberFormat="1"/>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1"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0" fontId="8" fillId="2" borderId="0" xfId="51" applyAlignment="1" applyProtection="1">
      <alignment horizontal="left" vertical="top" wrapText="1"/>
      <protection locked="0"/>
    </xf>
    <xf numFmtId="0" fontId="7" fillId="38" borderId="0" xfId="59" applyAlignment="1" applyProtection="1">
      <protection locked="0"/>
    </xf>
    <xf numFmtId="0" fontId="8" fillId="2" borderId="0" xfId="51" applyProtection="1">
      <protection locked="0"/>
    </xf>
    <xf numFmtId="0" fontId="8" fillId="39" borderId="0" xfId="51" applyFill="1" applyProtection="1">
      <protection locked="0"/>
    </xf>
    <xf numFmtId="170" fontId="8" fillId="2" borderId="0" xfId="51" applyNumberFormat="1" applyAlignment="1" applyProtection="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applyProtection="1">
      <protection locked="0"/>
    </xf>
    <xf numFmtId="175" fontId="8" fillId="2" borderId="2" xfId="51" applyNumberFormat="1" applyBorder="1" applyProtection="1">
      <protection locked="0"/>
    </xf>
    <xf numFmtId="175" fontId="8" fillId="2" borderId="0" xfId="51" applyNumberFormat="1" applyProtection="1">
      <protection locked="0"/>
    </xf>
    <xf numFmtId="175" fontId="8" fillId="2" borderId="0" xfId="51" applyNumberFormat="1" applyAlignment="1" applyProtection="1">
      <alignment vertical="top"/>
      <protection locked="0"/>
    </xf>
    <xf numFmtId="175" fontId="8" fillId="2" borderId="3" xfId="51" applyNumberFormat="1" applyBorder="1" applyProtection="1">
      <protection locked="0"/>
    </xf>
    <xf numFmtId="9" fontId="8" fillId="2" borderId="2" xfId="51" applyNumberFormat="1" applyBorder="1" applyProtection="1">
      <protection locked="0"/>
    </xf>
    <xf numFmtId="9" fontId="8" fillId="2" borderId="3" xfId="51" applyNumberFormat="1" applyBorder="1" applyProtection="1">
      <protection locked="0"/>
    </xf>
    <xf numFmtId="10" fontId="8" fillId="2" borderId="0" xfId="51" applyNumberFormat="1" applyProtection="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0" fillId="0" borderId="0" xfId="0" applyNumberFormat="1"/>
    <xf numFmtId="176" fontId="8" fillId="4" borderId="0" xfId="55" applyNumberFormat="1">
      <alignment vertical="top"/>
    </xf>
    <xf numFmtId="176" fontId="0" fillId="0" borderId="3" xfId="0" applyNumberFormat="1" applyBorder="1"/>
    <xf numFmtId="176" fontId="8" fillId="4" borderId="3" xfId="55" applyNumberFormat="1" applyBorder="1">
      <alignment vertical="top"/>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8" fillId="39" borderId="2" xfId="65" applyNumberFormat="1" applyFont="1" applyBorder="1"/>
    <xf numFmtId="176" fontId="8" fillId="39" borderId="3" xfId="65" applyNumberFormat="1" applyFont="1" applyBorder="1"/>
    <xf numFmtId="0" fontId="1" fillId="3" borderId="17" xfId="1" applyNumberFormat="1" applyBorder="1" applyAlignment="1"/>
    <xf numFmtId="0" fontId="26" fillId="44" borderId="0" xfId="54" quotePrefix="1" applyFill="1"/>
    <xf numFmtId="0" fontId="26" fillId="44" borderId="18" xfId="54" quotePrefix="1" applyFill="1" applyBorder="1"/>
    <xf numFmtId="0" fontId="26" fillId="45" borderId="0" xfId="54" quotePrefix="1" applyFill="1"/>
    <xf numFmtId="0" fontId="26" fillId="45" borderId="18" xfId="54" quotePrefix="1" applyFill="1" applyBorder="1"/>
    <xf numFmtId="0" fontId="26" fillId="37" borderId="0" xfId="54" quotePrefix="1" applyFill="1"/>
    <xf numFmtId="0" fontId="26" fillId="37" borderId="18" xfId="54" quotePrefix="1" applyFill="1" applyBorder="1"/>
    <xf numFmtId="0" fontId="26" fillId="46" borderId="0" xfId="54" quotePrefix="1" applyFill="1"/>
    <xf numFmtId="0" fontId="26" fillId="46" borderId="18" xfId="54" quotePrefix="1" applyFill="1" applyBorder="1"/>
    <xf numFmtId="170" fontId="0" fillId="2" borderId="0" xfId="51" applyNumberFormat="1" applyFont="1" applyBorder="1" applyAlignment="1" applyProtection="1">
      <alignment horizontal="left" vertical="top" wrapText="1"/>
      <protection locked="0"/>
    </xf>
    <xf numFmtId="0" fontId="8" fillId="2" borderId="0" xfId="51" applyAlignment="1" applyProtection="1">
      <alignment wrapText="1"/>
      <protection locked="0"/>
    </xf>
    <xf numFmtId="0" fontId="0" fillId="0" borderId="0" xfId="0" applyFont="1" applyAlignment="1" applyProtection="1">
      <alignment vertical="center"/>
    </xf>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32" fillId="0" borderId="3" xfId="0" applyFont="1" applyBorder="1" applyAlignment="1">
      <alignment vertical="center"/>
    </xf>
    <xf numFmtId="3" fontId="8" fillId="4" borderId="3" xfId="55" applyNumberFormat="1" applyBorder="1">
      <alignment vertical="top"/>
    </xf>
    <xf numFmtId="9" fontId="8" fillId="39" borderId="3" xfId="65" applyNumberFormat="1" applyFont="1" applyBorder="1"/>
    <xf numFmtId="0" fontId="32" fillId="0" borderId="4" xfId="0" applyFont="1" applyBorder="1" applyAlignment="1">
      <alignment vertical="center"/>
    </xf>
    <xf numFmtId="175" fontId="8" fillId="39" borderId="4" xfId="65" applyNumberFormat="1" applyFont="1" applyBorder="1"/>
    <xf numFmtId="175" fontId="8" fillId="4" borderId="4" xfId="55" applyNumberFormat="1" applyBorder="1">
      <alignment vertical="top"/>
    </xf>
    <xf numFmtId="0" fontId="32" fillId="0" borderId="2" xfId="0" applyFont="1" applyBorder="1" applyAlignment="1">
      <alignment vertical="center"/>
    </xf>
    <xf numFmtId="176" fontId="0" fillId="0" borderId="4" xfId="0" applyNumberFormat="1" applyBorder="1"/>
    <xf numFmtId="10" fontId="8" fillId="39" borderId="2" xfId="65" applyNumberFormat="1" applyFont="1" applyBorder="1"/>
    <xf numFmtId="10" fontId="8" fillId="39" borderId="3" xfId="65" applyNumberFormat="1" applyFont="1" applyBorder="1"/>
    <xf numFmtId="0" fontId="0" fillId="0" borderId="0" xfId="0" applyBorder="1"/>
    <xf numFmtId="0" fontId="7" fillId="0" borderId="0" xfId="53" applyFont="1" applyBorder="1"/>
    <xf numFmtId="0" fontId="7" fillId="0" borderId="0" xfId="50" applyBorder="1"/>
    <xf numFmtId="0" fontId="34" fillId="0" borderId="0" xfId="56" applyNumberFormat="1" applyBorder="1" applyAlignment="1">
      <alignment horizontal="right"/>
    </xf>
    <xf numFmtId="177" fontId="34" fillId="0" borderId="0" xfId="56" applyNumberFormat="1"/>
    <xf numFmtId="177" fontId="8" fillId="4" borderId="0" xfId="55" applyNumberFormat="1">
      <alignment vertical="top"/>
    </xf>
    <xf numFmtId="9" fontId="8" fillId="4" borderId="2" xfId="55" applyNumberFormat="1" applyBorder="1">
      <alignment vertical="top"/>
    </xf>
    <xf numFmtId="4" fontId="8" fillId="0" borderId="0" xfId="60" applyNumberFormat="1" applyAlignment="1">
      <alignment horizontal="right"/>
    </xf>
    <xf numFmtId="10" fontId="8" fillId="0" borderId="0" xfId="60" applyNumberFormat="1" applyAlignment="1">
      <alignment horizontal="right"/>
    </xf>
    <xf numFmtId="0" fontId="0" fillId="0" borderId="0" xfId="0" applyFill="1"/>
    <xf numFmtId="0" fontId="1" fillId="3" borderId="0" xfId="1" applyNumberFormat="1" applyBorder="1" applyAlignment="1"/>
    <xf numFmtId="175" fontId="8" fillId="0" borderId="2" xfId="60" applyNumberFormat="1" applyBorder="1" applyAlignment="1">
      <alignment horizontal="right"/>
    </xf>
    <xf numFmtId="175" fontId="8" fillId="0" borderId="3" xfId="60" applyNumberFormat="1" applyBorder="1" applyAlignment="1">
      <alignment horizontal="right"/>
    </xf>
    <xf numFmtId="175" fontId="35" fillId="0" borderId="4" xfId="52" applyNumberFormat="1" applyBorder="1" applyAlignment="1">
      <alignment horizontal="right"/>
    </xf>
    <xf numFmtId="0" fontId="7" fillId="38" borderId="2" xfId="59" applyBorder="1" applyAlignment="1"/>
    <xf numFmtId="0" fontId="7" fillId="38" borderId="3" xfId="59" applyBorder="1" applyAlignment="1"/>
    <xf numFmtId="179" fontId="8" fillId="2" borderId="0" xfId="51" applyNumberFormat="1">
      <protection locked="0"/>
    </xf>
    <xf numFmtId="178" fontId="8" fillId="0" borderId="2" xfId="60" applyNumberFormat="1" applyBorder="1" applyAlignment="1"/>
    <xf numFmtId="176" fontId="8" fillId="0" borderId="0" xfId="60" applyNumberFormat="1" applyBorder="1" applyAlignment="1"/>
    <xf numFmtId="175" fontId="8" fillId="0" borderId="0" xfId="60" applyNumberFormat="1" applyBorder="1" applyAlignment="1"/>
    <xf numFmtId="175" fontId="8" fillId="4" borderId="0" xfId="55" applyNumberFormat="1" applyBorder="1">
      <alignment vertical="top"/>
    </xf>
    <xf numFmtId="9" fontId="8" fillId="0" borderId="0" xfId="60" applyNumberFormat="1" applyBorder="1" applyAlignment="1"/>
    <xf numFmtId="175" fontId="34" fillId="0" borderId="0" xfId="56" applyNumberFormat="1" applyBorder="1"/>
    <xf numFmtId="177" fontId="0" fillId="0" borderId="0" xfId="0" applyNumberFormat="1" applyAlignment="1">
      <alignment horizontal="right"/>
    </xf>
    <xf numFmtId="9" fontId="8" fillId="0" borderId="0" xfId="60" applyNumberFormat="1" applyAlignment="1">
      <alignment horizontal="right"/>
    </xf>
    <xf numFmtId="0" fontId="0" fillId="0" borderId="0" xfId="0" applyFont="1"/>
    <xf numFmtId="0" fontId="7" fillId="38" borderId="0" xfId="59" applyBorder="1" applyAlignment="1"/>
    <xf numFmtId="176" fontId="0" fillId="0" borderId="0" xfId="0" applyNumberFormat="1" applyAlignment="1">
      <alignment horizontal="right"/>
    </xf>
    <xf numFmtId="175" fontId="34" fillId="0" borderId="0" xfId="56" applyNumberFormat="1" applyBorder="1" applyAlignment="1">
      <alignment horizontal="right"/>
    </xf>
    <xf numFmtId="167" fontId="0" fillId="0" borderId="0" xfId="0" applyNumberFormat="1" applyAlignment="1">
      <alignment horizontal="right"/>
    </xf>
    <xf numFmtId="175" fontId="8" fillId="2" borderId="0" xfId="51" applyNumberFormat="1" applyBorder="1" applyProtection="1">
      <protection locked="0"/>
    </xf>
    <xf numFmtId="176" fontId="34" fillId="0" borderId="0" xfId="56" applyNumberFormat="1" applyBorder="1"/>
    <xf numFmtId="9" fontId="34" fillId="0" borderId="2" xfId="56" applyNumberFormat="1" applyBorder="1"/>
    <xf numFmtId="9" fontId="34" fillId="0" borderId="0" xfId="56" applyNumberFormat="1" applyBorder="1"/>
    <xf numFmtId="9" fontId="34" fillId="0" borderId="3" xfId="56" applyNumberFormat="1" applyBorder="1"/>
    <xf numFmtId="171"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4" borderId="0" xfId="55" applyNumberFormat="1" applyBorder="1">
      <alignment vertical="top"/>
    </xf>
    <xf numFmtId="172" fontId="8" fillId="4" borderId="0" xfId="55" applyNumberFormat="1">
      <alignment vertical="top"/>
    </xf>
    <xf numFmtId="172" fontId="8" fillId="4" borderId="0" xfId="55" applyNumberFormat="1" applyBorder="1">
      <alignment vertical="top"/>
    </xf>
    <xf numFmtId="172" fontId="8" fillId="4" borderId="3" xfId="55" applyNumberFormat="1" applyBorder="1">
      <alignment vertical="top"/>
    </xf>
    <xf numFmtId="0" fontId="7" fillId="0" borderId="0" xfId="50" applyBorder="1" applyAlignment="1">
      <alignment horizontal="left"/>
    </xf>
    <xf numFmtId="0" fontId="5" fillId="0" borderId="0" xfId="0" applyFont="1" applyBorder="1"/>
    <xf numFmtId="0" fontId="5" fillId="0" borderId="3" xfId="0" applyFont="1" applyBorder="1"/>
    <xf numFmtId="177" fontId="34" fillId="0" borderId="0" xfId="56" applyNumberFormat="1" applyBorder="1"/>
    <xf numFmtId="177" fontId="8" fillId="4" borderId="0" xfId="55" applyNumberFormat="1" applyBorder="1">
      <alignment vertical="top"/>
    </xf>
    <xf numFmtId="177" fontId="34" fillId="0" borderId="3" xfId="56" applyNumberFormat="1" applyBorder="1"/>
    <xf numFmtId="177" fontId="8" fillId="4" borderId="3" xfId="55" applyNumberFormat="1" applyBorder="1">
      <alignment vertical="top"/>
    </xf>
    <xf numFmtId="177" fontId="34" fillId="0" borderId="2" xfId="56" applyNumberFormat="1" applyBorder="1"/>
    <xf numFmtId="177" fontId="8" fillId="4" borderId="2" xfId="55" applyNumberFormat="1" applyBorder="1">
      <alignment vertical="top"/>
    </xf>
    <xf numFmtId="177" fontId="0" fillId="0" borderId="2" xfId="0" applyNumberFormat="1" applyBorder="1" applyAlignment="1">
      <alignment horizontal="right"/>
    </xf>
    <xf numFmtId="177" fontId="0" fillId="0" borderId="0" xfId="0" applyNumberFormat="1" applyBorder="1" applyAlignment="1">
      <alignment horizontal="right"/>
    </xf>
    <xf numFmtId="177" fontId="0" fillId="0" borderId="3" xfId="0" applyNumberFormat="1" applyBorder="1" applyAlignment="1">
      <alignment horizontal="right"/>
    </xf>
    <xf numFmtId="175" fontId="35" fillId="0" borderId="4" xfId="52" applyNumberFormat="1" applyBorder="1"/>
    <xf numFmtId="178" fontId="0" fillId="0" borderId="0" xfId="0" applyNumberFormat="1"/>
    <xf numFmtId="175" fontId="7" fillId="0" borderId="0" xfId="50" applyNumberFormat="1" applyBorder="1"/>
    <xf numFmtId="175" fontId="7" fillId="0" borderId="2" xfId="50" applyNumberFormat="1" applyBorder="1"/>
    <xf numFmtId="175" fontId="7" fillId="0" borderId="3" xfId="50" applyNumberFormat="1" applyBorder="1"/>
    <xf numFmtId="9" fontId="8" fillId="2" borderId="0" xfId="51" applyNumberFormat="1" applyBorder="1" applyProtection="1">
      <protection locked="0"/>
    </xf>
    <xf numFmtId="0" fontId="0" fillId="0" borderId="0" xfId="0" applyFill="1" applyBorder="1"/>
    <xf numFmtId="0" fontId="8" fillId="4" borderId="0" xfId="55" applyNumberFormat="1" applyBorder="1">
      <alignment vertical="top"/>
    </xf>
    <xf numFmtId="0" fontId="7" fillId="38" borderId="0" xfId="59" applyBorder="1" applyAlignment="1">
      <alignment horizontal="right"/>
    </xf>
    <xf numFmtId="0" fontId="0" fillId="0" borderId="3" xfId="0" applyFill="1" applyBorder="1"/>
    <xf numFmtId="0" fontId="7" fillId="38" borderId="3" xfId="59" applyBorder="1" applyAlignment="1">
      <alignment horizontal="right"/>
    </xf>
    <xf numFmtId="0" fontId="7" fillId="38" borderId="2" xfId="59" applyBorder="1" applyAlignment="1">
      <alignment horizontal="right"/>
    </xf>
    <xf numFmtId="0" fontId="7" fillId="38" borderId="0" xfId="59" applyAlignment="1"/>
    <xf numFmtId="0" fontId="0" fillId="0" borderId="0" xfId="64" applyFont="1" applyFill="1"/>
    <xf numFmtId="0" fontId="7" fillId="0" borderId="0" xfId="50" applyNumberFormat="1"/>
    <xf numFmtId="0" fontId="2" fillId="0" borderId="0" xfId="53" applyNumberFormat="1" applyAlignment="1">
      <alignment horizontal="left"/>
    </xf>
    <xf numFmtId="176" fontId="8" fillId="39" borderId="0" xfId="65" applyNumberFormat="1" applyFont="1" applyBorder="1"/>
    <xf numFmtId="175" fontId="8" fillId="39" borderId="0" xfId="65" applyNumberFormat="1" applyFont="1" applyBorder="1"/>
    <xf numFmtId="0" fontId="36" fillId="0" borderId="0" xfId="58" applyAlignment="1">
      <alignment vertical="top"/>
    </xf>
    <xf numFmtId="9" fontId="7" fillId="38" borderId="0" xfId="59" applyNumberFormat="1" applyAlignment="1">
      <alignment horizontal="right"/>
    </xf>
    <xf numFmtId="177" fontId="8" fillId="0" borderId="0" xfId="60" applyNumberFormat="1" applyAlignment="1"/>
    <xf numFmtId="9" fontId="8" fillId="0" borderId="0" xfId="60" applyNumberFormat="1" applyBorder="1" applyAlignment="1">
      <alignment vertical="top"/>
    </xf>
    <xf numFmtId="9" fontId="1" fillId="3" borderId="2" xfId="1" applyNumberFormat="1" applyBorder="1" applyAlignment="1">
      <alignment horizontal="right"/>
    </xf>
    <xf numFmtId="9" fontId="1" fillId="3" borderId="0" xfId="1" applyNumberFormat="1" applyBorder="1" applyAlignment="1">
      <alignment horizontal="right"/>
    </xf>
    <xf numFmtId="180" fontId="8" fillId="39" borderId="2" xfId="65" applyNumberFormat="1" applyFont="1" applyBorder="1" applyAlignment="1">
      <alignment horizontal="right"/>
    </xf>
    <xf numFmtId="180" fontId="8" fillId="39" borderId="0" xfId="65" applyNumberFormat="1" applyFont="1" applyAlignment="1">
      <alignment horizontal="right"/>
    </xf>
    <xf numFmtId="180" fontId="8" fillId="39" borderId="0" xfId="65" applyNumberFormat="1" applyFont="1" applyBorder="1" applyAlignment="1">
      <alignment horizontal="right"/>
    </xf>
    <xf numFmtId="180" fontId="8" fillId="39" borderId="3" xfId="65" applyNumberFormat="1" applyFont="1" applyBorder="1" applyAlignment="1">
      <alignment horizontal="right"/>
    </xf>
    <xf numFmtId="175" fontId="8" fillId="2" borderId="0" xfId="51" applyNumberFormat="1" applyBorder="1">
      <protection locked="0"/>
    </xf>
    <xf numFmtId="175" fontId="8" fillId="2" borderId="3" xfId="51" applyNumberFormat="1" applyBorder="1">
      <protection locked="0"/>
    </xf>
    <xf numFmtId="175" fontId="8" fillId="2" borderId="2" xfId="51" applyNumberFormat="1" applyBorder="1">
      <protection locked="0"/>
    </xf>
    <xf numFmtId="0" fontId="2" fillId="0" borderId="0" xfId="53" applyBorder="1"/>
    <xf numFmtId="0" fontId="7" fillId="0" borderId="2" xfId="64" applyBorder="1" applyAlignment="1"/>
    <xf numFmtId="0" fontId="7" fillId="0" borderId="0" xfId="64" applyAlignment="1"/>
    <xf numFmtId="0" fontId="7" fillId="0" borderId="3" xfId="64" applyBorder="1" applyAlignment="1"/>
    <xf numFmtId="49" fontId="1" fillId="3" borderId="0" xfId="1" applyBorder="1" applyAlignment="1">
      <alignment horizontal="right" vertical="center" wrapText="1"/>
    </xf>
    <xf numFmtId="0" fontId="0" fillId="0" borderId="0" xfId="0" applyBorder="1" applyAlignment="1">
      <alignment horizontal="left"/>
    </xf>
    <xf numFmtId="175" fontId="8" fillId="0" borderId="0" xfId="60" applyNumberFormat="1" applyBorder="1" applyAlignment="1">
      <alignment horizontal="right"/>
    </xf>
    <xf numFmtId="181" fontId="8" fillId="0" borderId="0" xfId="60" applyNumberFormat="1" applyAlignment="1">
      <alignment horizontal="right"/>
    </xf>
    <xf numFmtId="175" fontId="0" fillId="0" borderId="0" xfId="0" applyNumberFormat="1" applyBorder="1"/>
    <xf numFmtId="0" fontId="36" fillId="0" borderId="3" xfId="58" applyBorder="1"/>
    <xf numFmtId="0" fontId="36" fillId="0" borderId="0" xfId="58" applyBorder="1"/>
    <xf numFmtId="9" fontId="8" fillId="4" borderId="0" xfId="55" applyNumberFormat="1" applyBorder="1">
      <alignment vertical="top"/>
    </xf>
    <xf numFmtId="180" fontId="8" fillId="4" borderId="0" xfId="55" applyNumberFormat="1">
      <alignment vertical="top"/>
    </xf>
    <xf numFmtId="180" fontId="8" fillId="4" borderId="0" xfId="55" applyNumberFormat="1" applyBorder="1">
      <alignment vertical="top"/>
    </xf>
    <xf numFmtId="180" fontId="8" fillId="4" borderId="3" xfId="55" applyNumberFormat="1" applyBorder="1">
      <alignment vertical="top"/>
    </xf>
    <xf numFmtId="0" fontId="0" fillId="0" borderId="0" xfId="50" applyFont="1"/>
    <xf numFmtId="176" fontId="0" fillId="0" borderId="2" xfId="0" applyNumberFormat="1" applyBorder="1" applyAlignment="1">
      <alignment horizontal="right"/>
    </xf>
    <xf numFmtId="176" fontId="0" fillId="0" borderId="3" xfId="0" applyNumberFormat="1" applyBorder="1" applyAlignment="1">
      <alignment horizontal="right"/>
    </xf>
    <xf numFmtId="175" fontId="0" fillId="0" borderId="2" xfId="0" applyNumberFormat="1" applyBorder="1" applyAlignment="1">
      <alignment horizontal="right"/>
    </xf>
    <xf numFmtId="175" fontId="0" fillId="0" borderId="3" xfId="0" applyNumberFormat="1"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0" borderId="0" xfId="53" applyFont="1"/>
    <xf numFmtId="0" fontId="8" fillId="4" borderId="2" xfId="55" applyNumberFormat="1" applyBorder="1" applyAlignment="1">
      <alignment horizontal="right" vertical="top"/>
    </xf>
    <xf numFmtId="0" fontId="8" fillId="4" borderId="0" xfId="55" applyNumberFormat="1" applyBorder="1" applyAlignment="1">
      <alignment horizontal="right" vertical="top"/>
    </xf>
    <xf numFmtId="0" fontId="0" fillId="0" borderId="4" xfId="0" applyBorder="1" applyAlignment="1">
      <alignment horizontal="right"/>
    </xf>
    <xf numFmtId="176" fontId="0" fillId="0" borderId="4" xfId="0" applyNumberFormat="1" applyBorder="1" applyAlignment="1">
      <alignment horizontal="right"/>
    </xf>
    <xf numFmtId="9" fontId="8" fillId="0" borderId="2" xfId="60" applyNumberFormat="1" applyBorder="1" applyAlignment="1">
      <alignment horizontal="right"/>
    </xf>
    <xf numFmtId="9" fontId="8" fillId="0" borderId="0" xfId="60" applyNumberFormat="1" applyBorder="1" applyAlignment="1">
      <alignment horizontal="right"/>
    </xf>
    <xf numFmtId="9" fontId="8" fillId="0" borderId="3" xfId="60" applyNumberFormat="1" applyBorder="1" applyAlignment="1">
      <alignment horizontal="right"/>
    </xf>
    <xf numFmtId="175" fontId="8" fillId="0" borderId="0" xfId="60" applyNumberFormat="1" applyBorder="1" applyAlignment="1">
      <alignment vertical="top"/>
    </xf>
    <xf numFmtId="9" fontId="34" fillId="0" borderId="0" xfId="56" applyNumberFormat="1"/>
    <xf numFmtId="9" fontId="35" fillId="0" borderId="0" xfId="52" applyNumberFormat="1" applyBorder="1" applyAlignment="1">
      <alignment horizontal="right"/>
    </xf>
    <xf numFmtId="176" fontId="8" fillId="39" borderId="4" xfId="65" applyNumberFormat="1" applyFont="1" applyBorder="1" applyAlignment="1">
      <alignment horizontal="right"/>
    </xf>
    <xf numFmtId="9" fontId="8" fillId="39" borderId="4" xfId="65" applyNumberFormat="1" applyFont="1" applyBorder="1" applyAlignment="1">
      <alignment horizontal="right"/>
    </xf>
    <xf numFmtId="176" fontId="8" fillId="39" borderId="2" xfId="65" applyNumberFormat="1" applyFont="1" applyBorder="1" applyAlignment="1">
      <alignment horizontal="right"/>
    </xf>
    <xf numFmtId="0" fontId="0" fillId="0" borderId="2" xfId="0" applyFont="1" applyBorder="1"/>
    <xf numFmtId="0" fontId="0" fillId="0" borderId="0" xfId="0" applyFont="1" applyBorder="1"/>
    <xf numFmtId="175" fontId="34" fillId="0" borderId="4" xfId="56" applyNumberFormat="1" applyBorder="1" applyAlignment="1">
      <alignment horizontal="right"/>
    </xf>
    <xf numFmtId="176" fontId="8" fillId="0" borderId="4" xfId="60" applyNumberFormat="1" applyBorder="1" applyAlignment="1"/>
    <xf numFmtId="176" fontId="35" fillId="0" borderId="4" xfId="52" applyNumberFormat="1" applyBorder="1"/>
    <xf numFmtId="3" fontId="8" fillId="0" borderId="4" xfId="60" applyNumberFormat="1" applyBorder="1" applyAlignment="1"/>
    <xf numFmtId="182" fontId="0" fillId="0" borderId="0" xfId="0" applyNumberFormat="1"/>
    <xf numFmtId="183" fontId="0" fillId="0" borderId="0" xfId="0" applyNumberFormat="1"/>
    <xf numFmtId="184"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229">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D086CC"/>
      <color rgb="FFFF9999"/>
      <color rgb="FFFF4343"/>
      <color rgb="FFFFAFAF"/>
      <color rgb="FF333F4F"/>
      <color rgb="FFF1DBF0"/>
      <color rgb="FF92D2EE"/>
      <color rgb="FF4B86CD"/>
      <color rgb="FF275792"/>
      <color rgb="FFFFE2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579437</xdr:colOff>
      <xdr:row>3</xdr:row>
      <xdr:rowOff>28888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698103</xdr:colOff>
      <xdr:row>4</xdr:row>
      <xdr:rowOff>97670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zoomScale="80" zoomScaleNormal="80" workbookViewId="0">
      <selection activeCell="D23" sqref="D23"/>
    </sheetView>
  </sheetViews>
  <sheetFormatPr defaultColWidth="0" defaultRowHeight="15" customHeight="1" x14ac:dyDescent="0.3"/>
  <cols>
    <col min="1" max="1" width="2.77734375" style="3" customWidth="1"/>
    <col min="2" max="2" width="22.77734375" style="3" customWidth="1"/>
    <col min="3" max="3" width="2.77734375" style="3" customWidth="1"/>
    <col min="4" max="4" width="100.44140625" style="4" customWidth="1"/>
    <col min="5" max="5" width="2.5546875" style="3" customWidth="1"/>
    <col min="6" max="16384" width="9.21875" style="3" hidden="1"/>
  </cols>
  <sheetData>
    <row r="2" spans="2:4" ht="28.8" x14ac:dyDescent="0.3">
      <c r="D2" s="16" t="s">
        <v>0</v>
      </c>
    </row>
    <row r="4" spans="2:4" ht="21" x14ac:dyDescent="0.3">
      <c r="D4" s="7" t="s">
        <v>1141</v>
      </c>
    </row>
    <row r="5" spans="2:4" ht="14.4" x14ac:dyDescent="0.3">
      <c r="D5" s="17"/>
    </row>
    <row r="6" spans="2:4" ht="14.4" x14ac:dyDescent="0.3">
      <c r="B6" s="18" t="str">
        <f>'Version control'!F7</f>
        <v>Model date:</v>
      </c>
      <c r="D6" s="19">
        <f>'Version control'!H7</f>
        <v>44141</v>
      </c>
    </row>
    <row r="7" spans="2:4" ht="15" customHeight="1" x14ac:dyDescent="0.3">
      <c r="D7" s="20"/>
    </row>
    <row r="8" spans="2:4" ht="15" customHeight="1" x14ac:dyDescent="0.3">
      <c r="B8" s="18" t="str">
        <f>'Version control'!F9</f>
        <v>Development stage:</v>
      </c>
      <c r="D8" s="19" t="str">
        <f>'Version control'!H9</f>
        <v>Release for charge setting</v>
      </c>
    </row>
    <row r="9" spans="2:4" ht="15" customHeight="1" x14ac:dyDescent="0.3">
      <c r="D9" s="20"/>
    </row>
    <row r="10" spans="2:4" ht="15" customHeight="1" x14ac:dyDescent="0.3">
      <c r="B10" s="18" t="str">
        <f>'Version control'!F11</f>
        <v>Model number:</v>
      </c>
      <c r="D10" s="20">
        <f>'Version control'!H11</f>
        <v>7</v>
      </c>
    </row>
    <row r="11" spans="2:4" ht="15" customHeight="1" x14ac:dyDescent="0.3">
      <c r="D11" s="20"/>
    </row>
    <row r="12" spans="2:4" ht="15" customHeight="1" x14ac:dyDescent="0.3">
      <c r="B12" s="18" t="str">
        <f>'Version control'!F13</f>
        <v>DCUSA text version:</v>
      </c>
      <c r="D12" s="19" t="str">
        <f>'Version control'!H13</f>
        <v>01 April 2022 Charging Methodologies Pre-Release – October 2020 (Schedules 16, 17, 18, 20 and 29) DCP 361</v>
      </c>
    </row>
    <row r="13" spans="2:4" ht="15" customHeight="1" x14ac:dyDescent="0.3">
      <c r="D13" s="20"/>
    </row>
    <row r="14" spans="2:4" ht="15" customHeight="1" x14ac:dyDescent="0.3">
      <c r="B14" s="18" t="str">
        <f>'Version control'!F15</f>
        <v>DCUSA text schedule:</v>
      </c>
      <c r="D14" s="19" t="str">
        <f>'Version control'!H15</f>
        <v>Schedule 16</v>
      </c>
    </row>
    <row r="16" spans="2:4" ht="28.8" x14ac:dyDescent="0.3">
      <c r="B16" s="18" t="s">
        <v>1</v>
      </c>
      <c r="D16" s="8" t="s">
        <v>1142</v>
      </c>
    </row>
    <row r="17" spans="2:4" ht="14.4" x14ac:dyDescent="0.3">
      <c r="D17" s="4" t="s">
        <v>2</v>
      </c>
    </row>
    <row r="18" spans="2:4" ht="14.4" x14ac:dyDescent="0.3">
      <c r="D18" s="3"/>
    </row>
    <row r="19" spans="2:4" ht="15" customHeight="1" x14ac:dyDescent="0.3">
      <c r="B19" s="18" t="s">
        <v>3</v>
      </c>
      <c r="D19" s="241" t="s">
        <v>1140</v>
      </c>
    </row>
    <row r="21" spans="2:4" ht="15" customHeight="1" x14ac:dyDescent="0.3">
      <c r="B21" s="18" t="s">
        <v>4</v>
      </c>
      <c r="D21" s="241" t="s">
        <v>1158</v>
      </c>
    </row>
    <row r="23" spans="2:4" ht="15" customHeight="1" x14ac:dyDescent="0.3">
      <c r="B23" s="18" t="s">
        <v>5</v>
      </c>
      <c r="D23" s="241" t="s">
        <v>1159</v>
      </c>
    </row>
    <row r="25" spans="2:4" ht="30" customHeight="1" x14ac:dyDescent="0.3">
      <c r="B25" s="18" t="s">
        <v>6</v>
      </c>
      <c r="D25" s="241" t="s">
        <v>7</v>
      </c>
    </row>
    <row r="26" spans="2:4" ht="15" customHeight="1" x14ac:dyDescent="0.3">
      <c r="B26" s="18"/>
    </row>
    <row r="27" spans="2:4" ht="15" customHeight="1" x14ac:dyDescent="0.3">
      <c r="B27" s="18" t="s">
        <v>8</v>
      </c>
    </row>
    <row r="28" spans="2:4" customFormat="1" ht="15" customHeight="1" x14ac:dyDescent="0.3">
      <c r="B28" s="21" t="s">
        <v>9</v>
      </c>
      <c r="C28" s="1"/>
      <c r="D28" s="1" t="s">
        <v>10</v>
      </c>
    </row>
    <row r="29" spans="2:4" customFormat="1" ht="14.4" x14ac:dyDescent="0.3">
      <c r="B29" s="22"/>
      <c r="C29" s="23"/>
      <c r="D29" s="23" t="s">
        <v>11</v>
      </c>
    </row>
    <row r="30" spans="2:4" customFormat="1" ht="14.4" x14ac:dyDescent="0.3">
      <c r="B30" s="242" t="s">
        <v>12</v>
      </c>
      <c r="D30" t="s">
        <v>13</v>
      </c>
    </row>
    <row r="31" spans="2:4" customFormat="1" ht="14.4" x14ac:dyDescent="0.3">
      <c r="B31" s="243" t="s">
        <v>12</v>
      </c>
      <c r="D31" t="s">
        <v>14</v>
      </c>
    </row>
    <row r="32" spans="2:4" customFormat="1" ht="14.4" x14ac:dyDescent="0.3">
      <c r="B32" s="244" t="s">
        <v>12</v>
      </c>
      <c r="D32" t="s">
        <v>15</v>
      </c>
    </row>
    <row r="33" spans="2:4" customFormat="1" ht="14.4" x14ac:dyDescent="0.3">
      <c r="B33" s="24" t="s">
        <v>12</v>
      </c>
      <c r="D33" t="s">
        <v>16</v>
      </c>
    </row>
    <row r="34" spans="2:4" customFormat="1" ht="14.4" x14ac:dyDescent="0.3">
      <c r="B34" s="25" t="s">
        <v>12</v>
      </c>
      <c r="D34" t="s">
        <v>17</v>
      </c>
    </row>
    <row r="35" spans="2:4" customFormat="1" ht="14.4" x14ac:dyDescent="0.3">
      <c r="B35" s="26" t="s">
        <v>12</v>
      </c>
      <c r="D35" t="s">
        <v>18</v>
      </c>
    </row>
    <row r="36" spans="2:4" customFormat="1" ht="14.4" x14ac:dyDescent="0.3">
      <c r="B36" s="27" t="s">
        <v>12</v>
      </c>
      <c r="D36" t="s">
        <v>19</v>
      </c>
    </row>
    <row r="37" spans="2:4" customFormat="1" ht="14.4" x14ac:dyDescent="0.3">
      <c r="B37" s="28" t="s">
        <v>20</v>
      </c>
      <c r="D37" t="s">
        <v>21</v>
      </c>
    </row>
    <row r="38" spans="2:4" customFormat="1" ht="15" customHeight="1" x14ac:dyDescent="0.3">
      <c r="B38" s="29" t="s">
        <v>20</v>
      </c>
      <c r="D38" t="s">
        <v>22</v>
      </c>
    </row>
    <row r="39" spans="2:4" customFormat="1" ht="15" customHeight="1" x14ac:dyDescent="0.3">
      <c r="B39" s="1" t="s">
        <v>20</v>
      </c>
      <c r="D39" t="s">
        <v>23</v>
      </c>
    </row>
    <row r="40" spans="2:4" customFormat="1" ht="15" customHeight="1" x14ac:dyDescent="0.3">
      <c r="B40" s="30" t="s">
        <v>20</v>
      </c>
      <c r="D40" t="s">
        <v>24</v>
      </c>
    </row>
    <row r="41" spans="2:4" customFormat="1" ht="15" customHeight="1" x14ac:dyDescent="0.3">
      <c r="B41" s="31" t="s">
        <v>20</v>
      </c>
      <c r="D41" t="s">
        <v>25</v>
      </c>
    </row>
    <row r="42" spans="2:4" customFormat="1" ht="15" customHeight="1" x14ac:dyDescent="0.3">
      <c r="B42" s="32" t="s">
        <v>20</v>
      </c>
      <c r="D42" t="s">
        <v>26</v>
      </c>
    </row>
    <row r="43" spans="2:4" customFormat="1" ht="15" customHeight="1" x14ac:dyDescent="0.3">
      <c r="B43" s="33" t="s">
        <v>27</v>
      </c>
      <c r="D43" t="s">
        <v>28</v>
      </c>
    </row>
    <row r="44" spans="2:4" customFormat="1" ht="15" customHeight="1" x14ac:dyDescent="0.3">
      <c r="B44" s="34" t="s">
        <v>27</v>
      </c>
      <c r="D44" t="s">
        <v>29</v>
      </c>
    </row>
    <row r="45" spans="2:4" customFormat="1" ht="15" customHeight="1" x14ac:dyDescent="0.3">
      <c r="B45" s="35" t="s">
        <v>27</v>
      </c>
      <c r="D45" t="s">
        <v>30</v>
      </c>
    </row>
    <row r="46" spans="2:4" customFormat="1" ht="15" customHeight="1" x14ac:dyDescent="0.3">
      <c r="B46" s="36" t="s">
        <v>27</v>
      </c>
      <c r="C46" s="37"/>
      <c r="D46" s="37" t="s">
        <v>31</v>
      </c>
    </row>
    <row r="47" spans="2:4" ht="15" customHeight="1" x14ac:dyDescent="0.3">
      <c r="D47" s="38"/>
    </row>
    <row r="48" spans="2:4" ht="15" customHeight="1" x14ac:dyDescent="0.3">
      <c r="B48" s="4"/>
    </row>
    <row r="49" spans="2:4" ht="15" customHeight="1" x14ac:dyDescent="0.3">
      <c r="B49" s="39"/>
    </row>
    <row r="50" spans="2:4" ht="15" customHeight="1" x14ac:dyDescent="0.3">
      <c r="B50" s="39"/>
    </row>
    <row r="51" spans="2:4" ht="15" customHeight="1" x14ac:dyDescent="0.3">
      <c r="B51" s="39"/>
    </row>
    <row r="52" spans="2:4" ht="15" customHeight="1" x14ac:dyDescent="0.3">
      <c r="B52" s="39"/>
      <c r="D52" s="3"/>
    </row>
  </sheetData>
  <sheetProtection sheet="1" objects="1" formatCells="0" formatColumns="0" formatRows="0" sort="0" autoFilter="0"/>
  <dataValidations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Standing charge factors</v>
      </c>
    </row>
    <row r="2" spans="1:27" s="1" customFormat="1" x14ac:dyDescent="0.3">
      <c r="A2" s="1" t="str">
        <f>Cover!D21&amp;" - "&amp;Cover!D23</f>
        <v>WPD Mid West - April 22 Pricing</v>
      </c>
    </row>
    <row r="3" spans="1:27" s="5" customFormat="1" x14ac:dyDescent="0.3">
      <c r="A3" s="5" t="str">
        <f>Cover!D2&amp;" - "&amp;Cover!D8&amp;" v"&amp;Cover!D10&amp;" - "&amp;Cover!D19</f>
        <v>CDCM charging model - Release for charge setting v7 - 2022/23</v>
      </c>
    </row>
    <row r="4" spans="1:27" x14ac:dyDescent="0.3">
      <c r="A4" s="12" t="str">
        <f>H58 &amp; IF(H58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105"/>
      <c r="D7" s="106"/>
      <c r="E7" s="106"/>
      <c r="F7" s="105"/>
      <c r="G7" s="105"/>
      <c r="H7" s="105"/>
      <c r="I7" s="105"/>
      <c r="J7" s="105"/>
      <c r="K7" s="105"/>
      <c r="L7" s="105"/>
      <c r="M7" s="105"/>
      <c r="N7" s="105"/>
      <c r="O7" s="105"/>
      <c r="P7" s="105"/>
      <c r="Q7" s="105"/>
      <c r="R7" s="105"/>
      <c r="S7" s="105"/>
      <c r="T7" s="105"/>
      <c r="U7" s="105"/>
      <c r="V7" s="105"/>
      <c r="W7" s="105"/>
      <c r="X7" s="105"/>
      <c r="Y7" s="105"/>
      <c r="Z7" s="105"/>
      <c r="AA7" s="105"/>
    </row>
    <row r="9" spans="1:27" x14ac:dyDescent="0.3">
      <c r="C9" s="29" t="s">
        <v>366</v>
      </c>
      <c r="E9"/>
    </row>
    <row r="10" spans="1:27" x14ac:dyDescent="0.3">
      <c r="C10" s="29" t="s">
        <v>367</v>
      </c>
      <c r="E10"/>
    </row>
    <row r="11" spans="1:27" x14ac:dyDescent="0.3">
      <c r="C11" s="29" t="s">
        <v>368</v>
      </c>
      <c r="E11"/>
    </row>
    <row r="12" spans="1:27" x14ac:dyDescent="0.3">
      <c r="C12" s="29" t="s">
        <v>369</v>
      </c>
      <c r="E12"/>
    </row>
    <row r="13" spans="1:27" x14ac:dyDescent="0.3">
      <c r="C13" s="29"/>
      <c r="E13"/>
    </row>
    <row r="14" spans="1:27" x14ac:dyDescent="0.3">
      <c r="C14" s="29" t="s">
        <v>370</v>
      </c>
      <c r="E14"/>
    </row>
    <row r="15" spans="1:27" x14ac:dyDescent="0.3">
      <c r="C15" s="29" t="s">
        <v>371</v>
      </c>
      <c r="E15"/>
    </row>
    <row r="17" spans="2:27" x14ac:dyDescent="0.3">
      <c r="B17" s="30" t="s">
        <v>372</v>
      </c>
      <c r="C17" s="105"/>
      <c r="D17" s="106"/>
      <c r="E17" s="106"/>
      <c r="F17" s="105"/>
      <c r="G17" s="105"/>
      <c r="H17" s="105"/>
      <c r="I17" s="105"/>
      <c r="J17" s="105"/>
      <c r="K17" s="105"/>
      <c r="L17" s="105"/>
      <c r="M17" s="105"/>
      <c r="N17" s="105"/>
      <c r="O17" s="105"/>
      <c r="P17" s="105"/>
      <c r="Q17" s="105"/>
      <c r="R17" s="105"/>
      <c r="S17" s="105"/>
      <c r="T17" s="105"/>
      <c r="U17" s="105"/>
      <c r="V17" s="105"/>
      <c r="W17" s="105"/>
      <c r="X17" s="105"/>
      <c r="Y17" s="105"/>
      <c r="Z17" s="105"/>
      <c r="AA17" s="105"/>
    </row>
    <row r="18" spans="2:27" x14ac:dyDescent="0.3">
      <c r="C18" s="88"/>
    </row>
    <row r="19" spans="2:27" x14ac:dyDescent="0.3">
      <c r="C19" s="31" t="str">
        <f ca="1">INDEX('Version control'!$H$34:$H$57,MATCH($A$1,'Version control'!$F$34:$F$57,0),1)&amp;"-A: Adjustments to standing charges"</f>
        <v>Section 101-A: Adjustments to standing charges</v>
      </c>
      <c r="D19" s="31"/>
      <c r="E19" s="31"/>
      <c r="F19" s="31"/>
      <c r="G19" s="31"/>
      <c r="H19" s="31"/>
      <c r="I19" s="31"/>
      <c r="J19" s="31"/>
      <c r="K19" s="31"/>
      <c r="L19" s="31"/>
      <c r="M19" s="31"/>
      <c r="N19" s="31"/>
      <c r="O19" s="31"/>
      <c r="P19" s="31"/>
      <c r="Q19" s="31"/>
      <c r="R19" s="31"/>
      <c r="S19" s="31"/>
      <c r="T19" s="31"/>
      <c r="U19" s="31"/>
      <c r="V19" s="31"/>
      <c r="W19" s="31"/>
      <c r="X19" s="31"/>
      <c r="Y19" s="31"/>
      <c r="Z19" s="31"/>
      <c r="AA19" s="31"/>
    </row>
    <row r="20" spans="2:27" x14ac:dyDescent="0.3">
      <c r="C20" s="88"/>
    </row>
    <row r="21" spans="2:27" x14ac:dyDescent="0.3">
      <c r="D21" s="29" t="s">
        <v>373</v>
      </c>
      <c r="F21" s="2"/>
    </row>
    <row r="22" spans="2:27" x14ac:dyDescent="0.3">
      <c r="D22" s="88"/>
      <c r="F22" s="2"/>
    </row>
    <row r="23" spans="2:27" x14ac:dyDescent="0.3">
      <c r="D23"/>
      <c r="E23" s="32" t="s">
        <v>374</v>
      </c>
      <c r="F23" s="32"/>
      <c r="I23" t="s">
        <v>154</v>
      </c>
      <c r="AA23" t="s">
        <v>203</v>
      </c>
    </row>
    <row r="24" spans="2:27" x14ac:dyDescent="0.3">
      <c r="D24"/>
      <c r="E24" s="29" t="s">
        <v>375</v>
      </c>
    </row>
    <row r="25" spans="2:27" x14ac:dyDescent="0.3">
      <c r="D25" s="88"/>
      <c r="F25" s="23" t="s">
        <v>189</v>
      </c>
      <c r="G25" s="23" t="s">
        <v>167</v>
      </c>
      <c r="H25" s="23"/>
      <c r="I25" s="23"/>
      <c r="J25" s="107">
        <f>'Fixed inputs'!J88</f>
        <v>0</v>
      </c>
      <c r="K25" s="107">
        <f>'Fixed inputs'!K88</f>
        <v>0</v>
      </c>
      <c r="L25" s="107">
        <f>'Fixed inputs'!L88</f>
        <v>0</v>
      </c>
      <c r="M25" s="107">
        <f>'Fixed inputs'!M88</f>
        <v>0</v>
      </c>
      <c r="N25" s="107">
        <f>'Fixed inputs'!N88</f>
        <v>0</v>
      </c>
      <c r="O25" s="107">
        <f>'Fixed inputs'!O88</f>
        <v>0</v>
      </c>
      <c r="P25" s="107">
        <f>'Fixed inputs'!P88</f>
        <v>0</v>
      </c>
      <c r="Q25" s="107">
        <f>'Fixed inputs'!Q88</f>
        <v>0</v>
      </c>
      <c r="R25" s="65"/>
      <c r="S25" s="65"/>
      <c r="T25" s="65"/>
      <c r="U25" s="65"/>
      <c r="V25" s="65"/>
      <c r="W25" s="65"/>
      <c r="X25" s="65"/>
      <c r="Y25" s="65"/>
    </row>
    <row r="26" spans="2:27" x14ac:dyDescent="0.3">
      <c r="D26" s="88"/>
      <c r="F26" t="s">
        <v>191</v>
      </c>
      <c r="G26" t="s">
        <v>167</v>
      </c>
      <c r="J26" s="25">
        <f>'Fixed inputs'!J89</f>
        <v>0</v>
      </c>
      <c r="K26" s="25">
        <f>'Fixed inputs'!K89</f>
        <v>0</v>
      </c>
      <c r="L26" s="25">
        <f>'Fixed inputs'!L89</f>
        <v>0</v>
      </c>
      <c r="M26" s="25">
        <f>'Fixed inputs'!M89</f>
        <v>0</v>
      </c>
      <c r="N26" s="25">
        <f>'Fixed inputs'!N89</f>
        <v>0</v>
      </c>
      <c r="O26" s="25">
        <f>'Fixed inputs'!O89</f>
        <v>0</v>
      </c>
      <c r="P26" s="25">
        <f>'Fixed inputs'!P89</f>
        <v>0</v>
      </c>
      <c r="Q26" s="25">
        <f>'Fixed inputs'!Q89</f>
        <v>0</v>
      </c>
      <c r="R26" s="66"/>
      <c r="S26" s="66"/>
      <c r="T26" s="66"/>
      <c r="U26" s="66"/>
      <c r="V26" s="66"/>
      <c r="W26" s="66"/>
      <c r="X26" s="66"/>
      <c r="Y26" s="66"/>
    </row>
    <row r="27" spans="2:27" x14ac:dyDescent="0.3">
      <c r="D27" s="88"/>
      <c r="F27" t="s">
        <v>192</v>
      </c>
      <c r="G27" t="s">
        <v>167</v>
      </c>
      <c r="J27" s="25">
        <f>'Fixed inputs'!J90</f>
        <v>0</v>
      </c>
      <c r="K27" s="25">
        <f>'Fixed inputs'!K90</f>
        <v>0</v>
      </c>
      <c r="L27" s="25">
        <f>'Fixed inputs'!L90</f>
        <v>0</v>
      </c>
      <c r="M27" s="25">
        <f>'Fixed inputs'!M90</f>
        <v>0</v>
      </c>
      <c r="N27" s="25">
        <f>'Fixed inputs'!N90</f>
        <v>0</v>
      </c>
      <c r="O27" s="25">
        <f>'Fixed inputs'!O90</f>
        <v>0</v>
      </c>
      <c r="P27" s="25">
        <f>'Fixed inputs'!P90</f>
        <v>0</v>
      </c>
      <c r="Q27" s="25">
        <f>'Fixed inputs'!Q90</f>
        <v>0</v>
      </c>
      <c r="R27" s="66"/>
      <c r="S27" s="66"/>
      <c r="T27" s="66"/>
      <c r="U27" s="66"/>
      <c r="V27" s="66"/>
      <c r="W27" s="66"/>
      <c r="X27" s="66"/>
      <c r="Y27" s="66"/>
    </row>
    <row r="28" spans="2:27" x14ac:dyDescent="0.3">
      <c r="D28" s="88"/>
      <c r="F28" t="s">
        <v>193</v>
      </c>
      <c r="G28" t="s">
        <v>167</v>
      </c>
      <c r="J28" s="25">
        <f>'Fixed inputs'!J91</f>
        <v>0</v>
      </c>
      <c r="K28" s="25">
        <f>'Fixed inputs'!K91</f>
        <v>0</v>
      </c>
      <c r="L28" s="25">
        <f>'Fixed inputs'!L91</f>
        <v>0</v>
      </c>
      <c r="M28" s="25">
        <f>'Fixed inputs'!M91</f>
        <v>0</v>
      </c>
      <c r="N28" s="25">
        <f>'Fixed inputs'!N91</f>
        <v>0</v>
      </c>
      <c r="O28" s="25">
        <f>'Fixed inputs'!O91</f>
        <v>0</v>
      </c>
      <c r="P28" s="25">
        <f>'Fixed inputs'!P91</f>
        <v>0</v>
      </c>
      <c r="Q28" s="25">
        <f>'Fixed inputs'!Q91</f>
        <v>0</v>
      </c>
      <c r="R28" s="66"/>
      <c r="S28" s="66"/>
      <c r="T28" s="66"/>
      <c r="U28" s="66"/>
      <c r="V28" s="66"/>
      <c r="W28" s="66"/>
      <c r="X28" s="66"/>
      <c r="Y28" s="66"/>
    </row>
    <row r="29" spans="2:27" x14ac:dyDescent="0.3">
      <c r="D29" s="88"/>
      <c r="F29" t="s">
        <v>194</v>
      </c>
      <c r="G29" t="s">
        <v>167</v>
      </c>
      <c r="J29" s="25">
        <f>'Fixed inputs'!J92</f>
        <v>0</v>
      </c>
      <c r="K29" s="25">
        <f>'Fixed inputs'!K92</f>
        <v>0</v>
      </c>
      <c r="L29" s="25">
        <f>'Fixed inputs'!L92</f>
        <v>0</v>
      </c>
      <c r="M29" s="25">
        <f>'Fixed inputs'!M92</f>
        <v>0</v>
      </c>
      <c r="N29" s="25">
        <f>'Fixed inputs'!N92</f>
        <v>0</v>
      </c>
      <c r="O29" s="25">
        <f>'Fixed inputs'!O92</f>
        <v>0</v>
      </c>
      <c r="P29" s="25">
        <f>'Fixed inputs'!P92</f>
        <v>0.2</v>
      </c>
      <c r="Q29" s="25">
        <f>'Fixed inputs'!Q92</f>
        <v>0</v>
      </c>
      <c r="R29" s="66"/>
      <c r="S29" s="66"/>
      <c r="T29" s="66"/>
      <c r="U29" s="66"/>
      <c r="V29" s="66"/>
      <c r="W29" s="66"/>
      <c r="X29" s="66"/>
      <c r="Y29" s="66"/>
    </row>
    <row r="30" spans="2:27" x14ac:dyDescent="0.3">
      <c r="D30" s="88"/>
      <c r="F30" t="s">
        <v>195</v>
      </c>
      <c r="G30" t="s">
        <v>167</v>
      </c>
      <c r="J30" s="25">
        <f>'Fixed inputs'!J93</f>
        <v>0</v>
      </c>
      <c r="K30" s="25">
        <f>'Fixed inputs'!K93</f>
        <v>0</v>
      </c>
      <c r="L30" s="25">
        <f>'Fixed inputs'!L93</f>
        <v>0</v>
      </c>
      <c r="M30" s="25">
        <f>'Fixed inputs'!M93</f>
        <v>0</v>
      </c>
      <c r="N30" s="25">
        <f>'Fixed inputs'!N93</f>
        <v>0</v>
      </c>
      <c r="O30" s="25">
        <f>'Fixed inputs'!O93</f>
        <v>0</v>
      </c>
      <c r="P30" s="25">
        <f>'Fixed inputs'!P93</f>
        <v>1</v>
      </c>
      <c r="Q30" s="25">
        <f>'Fixed inputs'!Q93</f>
        <v>0</v>
      </c>
      <c r="R30" s="66"/>
      <c r="S30" s="66"/>
      <c r="T30" s="66"/>
      <c r="U30" s="66"/>
      <c r="V30" s="66"/>
      <c r="W30" s="66"/>
      <c r="X30" s="66"/>
      <c r="Y30" s="66"/>
    </row>
    <row r="31" spans="2:27" x14ac:dyDescent="0.3">
      <c r="D31" s="88"/>
      <c r="F31" t="s">
        <v>196</v>
      </c>
      <c r="G31" t="s">
        <v>167</v>
      </c>
      <c r="J31" s="25">
        <f>'Fixed inputs'!J94</f>
        <v>0</v>
      </c>
      <c r="K31" s="25">
        <f>'Fixed inputs'!K94</f>
        <v>0</v>
      </c>
      <c r="L31" s="25">
        <f>'Fixed inputs'!L94</f>
        <v>0</v>
      </c>
      <c r="M31" s="25">
        <f>'Fixed inputs'!M94</f>
        <v>0</v>
      </c>
      <c r="N31" s="25">
        <f>'Fixed inputs'!N94</f>
        <v>0</v>
      </c>
      <c r="O31" s="25">
        <f>'Fixed inputs'!O94</f>
        <v>0</v>
      </c>
      <c r="P31" s="25">
        <f>'Fixed inputs'!P94</f>
        <v>0</v>
      </c>
      <c r="Q31" s="25">
        <f>'Fixed inputs'!Q94</f>
        <v>0</v>
      </c>
      <c r="R31" s="66"/>
      <c r="S31" s="66"/>
      <c r="T31" s="66"/>
      <c r="U31" s="66"/>
      <c r="V31" s="66"/>
      <c r="W31" s="66"/>
      <c r="X31" s="66"/>
      <c r="Y31" s="66"/>
    </row>
    <row r="32" spans="2:27" x14ac:dyDescent="0.3">
      <c r="D32" s="88"/>
      <c r="F32" t="s">
        <v>197</v>
      </c>
      <c r="G32" t="s">
        <v>167</v>
      </c>
      <c r="J32" s="25">
        <f>'Fixed inputs'!J95</f>
        <v>0</v>
      </c>
      <c r="K32" s="25">
        <f>'Fixed inputs'!K95</f>
        <v>0</v>
      </c>
      <c r="L32" s="25">
        <f>'Fixed inputs'!L95</f>
        <v>0</v>
      </c>
      <c r="M32" s="25">
        <f>'Fixed inputs'!M95</f>
        <v>0</v>
      </c>
      <c r="N32" s="25">
        <f>'Fixed inputs'!N95</f>
        <v>0.2</v>
      </c>
      <c r="O32" s="25">
        <f>'Fixed inputs'!O95</f>
        <v>1</v>
      </c>
      <c r="P32" s="25">
        <f>'Fixed inputs'!P95</f>
        <v>1</v>
      </c>
      <c r="Q32" s="25">
        <f>'Fixed inputs'!Q95</f>
        <v>0</v>
      </c>
      <c r="R32" s="66"/>
      <c r="S32" s="66"/>
      <c r="T32" s="66"/>
      <c r="U32" s="66"/>
      <c r="V32" s="66"/>
      <c r="W32" s="66"/>
      <c r="X32" s="66"/>
      <c r="Y32" s="66"/>
    </row>
    <row r="33" spans="4:27" x14ac:dyDescent="0.3">
      <c r="D33" s="88"/>
      <c r="F33" t="s">
        <v>198</v>
      </c>
      <c r="G33" t="s">
        <v>167</v>
      </c>
      <c r="J33" s="25">
        <f>'Fixed inputs'!J96</f>
        <v>0</v>
      </c>
      <c r="K33" s="25">
        <f>'Fixed inputs'!K96</f>
        <v>0</v>
      </c>
      <c r="L33" s="25">
        <f>'Fixed inputs'!L96</f>
        <v>0</v>
      </c>
      <c r="M33" s="25">
        <f>'Fixed inputs'!M96</f>
        <v>0</v>
      </c>
      <c r="N33" s="25">
        <f>'Fixed inputs'!N96</f>
        <v>1</v>
      </c>
      <c r="O33" s="25">
        <f>'Fixed inputs'!O96</f>
        <v>1</v>
      </c>
      <c r="P33" s="25">
        <f>'Fixed inputs'!P96</f>
        <v>0</v>
      </c>
      <c r="Q33" s="25">
        <f>'Fixed inputs'!Q96</f>
        <v>0</v>
      </c>
      <c r="R33" s="66"/>
      <c r="S33" s="66"/>
      <c r="T33" s="66"/>
      <c r="U33" s="66"/>
      <c r="V33" s="66"/>
      <c r="W33" s="66"/>
      <c r="X33" s="66"/>
      <c r="Y33" s="66"/>
    </row>
    <row r="34" spans="4:27" x14ac:dyDescent="0.3">
      <c r="D34" s="88"/>
      <c r="F34" t="s">
        <v>199</v>
      </c>
      <c r="G34" t="s">
        <v>167</v>
      </c>
      <c r="J34" s="25">
        <f>'Fixed inputs'!J97</f>
        <v>1</v>
      </c>
      <c r="K34" s="25">
        <f>'Fixed inputs'!K97</f>
        <v>1</v>
      </c>
      <c r="L34" s="25">
        <f>'Fixed inputs'!L97</f>
        <v>1</v>
      </c>
      <c r="M34" s="25">
        <f>'Fixed inputs'!M97</f>
        <v>1</v>
      </c>
      <c r="N34" s="25">
        <f>'Fixed inputs'!N97</f>
        <v>1</v>
      </c>
      <c r="O34" s="25">
        <f>'Fixed inputs'!O97</f>
        <v>0</v>
      </c>
      <c r="P34" s="25">
        <f>'Fixed inputs'!P97</f>
        <v>0</v>
      </c>
      <c r="Q34" s="25">
        <f>'Fixed inputs'!Q97</f>
        <v>0</v>
      </c>
      <c r="R34" s="66"/>
      <c r="S34" s="66"/>
      <c r="T34" s="66"/>
      <c r="U34" s="66"/>
      <c r="V34" s="66"/>
      <c r="W34" s="66"/>
      <c r="X34" s="66"/>
      <c r="Y34" s="66"/>
    </row>
    <row r="35" spans="4:27" x14ac:dyDescent="0.3">
      <c r="D35" s="88"/>
      <c r="F35" t="s">
        <v>376</v>
      </c>
      <c r="G35" t="s">
        <v>167</v>
      </c>
      <c r="J35" s="66"/>
      <c r="K35" s="66"/>
      <c r="L35" s="66"/>
      <c r="M35" s="66"/>
      <c r="N35" s="66"/>
      <c r="O35" s="66"/>
      <c r="P35" s="66"/>
      <c r="Q35" s="66"/>
      <c r="R35" s="66"/>
      <c r="S35" s="66"/>
      <c r="T35" s="66"/>
      <c r="U35" s="66"/>
      <c r="V35" s="66"/>
      <c r="W35" s="66"/>
      <c r="X35" s="66"/>
      <c r="Y35" s="66"/>
    </row>
    <row r="36" spans="4:27" x14ac:dyDescent="0.3">
      <c r="D36" s="88"/>
      <c r="F36" s="37" t="s">
        <v>377</v>
      </c>
      <c r="G36" s="37" t="s">
        <v>167</v>
      </c>
      <c r="H36" s="37"/>
      <c r="I36" s="37"/>
      <c r="J36" s="68"/>
      <c r="K36" s="68"/>
      <c r="L36" s="68"/>
      <c r="M36" s="68"/>
      <c r="N36" s="68"/>
      <c r="O36" s="68"/>
      <c r="P36" s="68"/>
      <c r="Q36" s="68"/>
      <c r="R36" s="68"/>
      <c r="S36" s="68"/>
      <c r="T36" s="68"/>
      <c r="U36" s="68"/>
      <c r="V36" s="68"/>
      <c r="W36" s="68"/>
      <c r="X36" s="68"/>
      <c r="Y36" s="68"/>
    </row>
    <row r="37" spans="4:27" x14ac:dyDescent="0.3">
      <c r="D37" s="88"/>
      <c r="F37" s="2"/>
    </row>
    <row r="38" spans="4:27" x14ac:dyDescent="0.3">
      <c r="D38"/>
      <c r="E38" s="32" t="s">
        <v>281</v>
      </c>
      <c r="F38" s="2"/>
    </row>
    <row r="39" spans="4:27" x14ac:dyDescent="0.3">
      <c r="D39" s="88"/>
      <c r="E39"/>
      <c r="F39" s="28" t="s">
        <v>281</v>
      </c>
      <c r="G39" s="28" t="s">
        <v>167</v>
      </c>
      <c r="H39" s="25">
        <f>'Inputs by network level'!P17</f>
        <v>0.69256562916818787</v>
      </c>
    </row>
    <row r="40" spans="4:27" x14ac:dyDescent="0.3">
      <c r="D40" s="88"/>
      <c r="F40" s="2"/>
    </row>
    <row r="41" spans="4:27" x14ac:dyDescent="0.3">
      <c r="D41"/>
      <c r="E41" s="32" t="s">
        <v>378</v>
      </c>
      <c r="F41" s="32"/>
    </row>
    <row r="42" spans="4:27" x14ac:dyDescent="0.3">
      <c r="D42"/>
      <c r="E42" s="29" t="s">
        <v>379</v>
      </c>
    </row>
    <row r="43" spans="4:27" x14ac:dyDescent="0.3">
      <c r="D43" s="88"/>
      <c r="F43" s="23" t="s">
        <v>189</v>
      </c>
      <c r="G43" s="23" t="s">
        <v>167</v>
      </c>
      <c r="H43" s="23"/>
      <c r="I43" s="23"/>
      <c r="J43" s="65"/>
      <c r="K43" s="65"/>
      <c r="L43" s="65"/>
      <c r="M43" s="65"/>
      <c r="N43" s="65"/>
      <c r="O43" s="65"/>
      <c r="P43" s="65"/>
      <c r="Q43" s="65"/>
      <c r="R43" s="65"/>
      <c r="S43" s="65"/>
      <c r="T43" s="65"/>
      <c r="U43" s="65"/>
      <c r="V43" s="65"/>
      <c r="W43" s="65"/>
      <c r="X43" s="65"/>
      <c r="Y43" s="65"/>
    </row>
    <row r="44" spans="4:27" x14ac:dyDescent="0.3">
      <c r="D44" s="88"/>
      <c r="F44" t="s">
        <v>191</v>
      </c>
      <c r="G44" t="s">
        <v>167</v>
      </c>
      <c r="J44" s="66"/>
      <c r="K44" s="66"/>
      <c r="L44" s="66"/>
      <c r="M44" s="66"/>
      <c r="N44" s="66"/>
      <c r="O44" s="66"/>
      <c r="P44" s="66"/>
      <c r="Q44" s="66"/>
      <c r="R44" s="66"/>
      <c r="S44" s="66"/>
      <c r="T44" s="66"/>
      <c r="U44" s="66"/>
      <c r="V44" s="66"/>
      <c r="W44" s="66"/>
      <c r="X44" s="66"/>
      <c r="Y44" s="66"/>
    </row>
    <row r="45" spans="4:27" x14ac:dyDescent="0.3">
      <c r="D45" s="88"/>
      <c r="F45" s="108" t="s">
        <v>192</v>
      </c>
      <c r="G45" s="108" t="s">
        <v>167</v>
      </c>
      <c r="H45" s="108"/>
      <c r="I45" s="108" t="s">
        <v>154</v>
      </c>
      <c r="J45" s="109">
        <f>IF($H$39 = 0, J27, J29 * $H$39)</f>
        <v>0</v>
      </c>
      <c r="K45" s="109">
        <f t="shared" ref="K45:Q45" si="0">IF($H$39 = 0, K27, K29 * $H$39)</f>
        <v>0</v>
      </c>
      <c r="L45" s="109">
        <f t="shared" si="0"/>
        <v>0</v>
      </c>
      <c r="M45" s="109">
        <f t="shared" si="0"/>
        <v>0</v>
      </c>
      <c r="N45" s="109">
        <f t="shared" si="0"/>
        <v>0</v>
      </c>
      <c r="O45" s="109">
        <f t="shared" si="0"/>
        <v>0</v>
      </c>
      <c r="P45" s="109">
        <f t="shared" si="0"/>
        <v>0.13851312583363759</v>
      </c>
      <c r="Q45" s="109">
        <f t="shared" si="0"/>
        <v>0</v>
      </c>
      <c r="R45" s="110"/>
      <c r="S45" s="110"/>
      <c r="T45" s="110"/>
      <c r="U45" s="110"/>
      <c r="V45" s="110"/>
      <c r="W45" s="110"/>
      <c r="X45" s="110"/>
      <c r="Y45" s="110"/>
      <c r="AA45" t="s">
        <v>380</v>
      </c>
    </row>
    <row r="46" spans="4:27" x14ac:dyDescent="0.3">
      <c r="D46" s="88"/>
      <c r="F46" t="s">
        <v>193</v>
      </c>
      <c r="G46" t="s">
        <v>167</v>
      </c>
      <c r="J46" s="111">
        <f t="shared" ref="J46:Q46" si="1">J28</f>
        <v>0</v>
      </c>
      <c r="K46" s="111">
        <f t="shared" si="1"/>
        <v>0</v>
      </c>
      <c r="L46" s="111">
        <f t="shared" si="1"/>
        <v>0</v>
      </c>
      <c r="M46" s="111">
        <f t="shared" si="1"/>
        <v>0</v>
      </c>
      <c r="N46" s="111">
        <f t="shared" si="1"/>
        <v>0</v>
      </c>
      <c r="O46" s="111">
        <f t="shared" si="1"/>
        <v>0</v>
      </c>
      <c r="P46" s="111">
        <f t="shared" si="1"/>
        <v>0</v>
      </c>
      <c r="Q46" s="111">
        <f t="shared" si="1"/>
        <v>0</v>
      </c>
      <c r="R46" s="66"/>
      <c r="S46" s="66"/>
      <c r="T46" s="66"/>
      <c r="U46" s="66"/>
      <c r="V46" s="66"/>
      <c r="W46" s="66"/>
      <c r="X46" s="66"/>
      <c r="Y46" s="66"/>
    </row>
    <row r="47" spans="4:27" x14ac:dyDescent="0.3">
      <c r="D47" s="88"/>
      <c r="F47" t="s">
        <v>194</v>
      </c>
      <c r="G47" t="s">
        <v>167</v>
      </c>
      <c r="J47" s="111">
        <f t="shared" ref="J47:Q47" si="2">J29</f>
        <v>0</v>
      </c>
      <c r="K47" s="111">
        <f t="shared" si="2"/>
        <v>0</v>
      </c>
      <c r="L47" s="111">
        <f t="shared" si="2"/>
        <v>0</v>
      </c>
      <c r="M47" s="111">
        <f t="shared" si="2"/>
        <v>0</v>
      </c>
      <c r="N47" s="111">
        <f t="shared" si="2"/>
        <v>0</v>
      </c>
      <c r="O47" s="111">
        <f t="shared" si="2"/>
        <v>0</v>
      </c>
      <c r="P47" s="111">
        <f t="shared" si="2"/>
        <v>0.2</v>
      </c>
      <c r="Q47" s="111">
        <f t="shared" si="2"/>
        <v>0</v>
      </c>
      <c r="R47" s="66"/>
      <c r="S47" s="66"/>
      <c r="T47" s="66"/>
      <c r="U47" s="66"/>
      <c r="V47" s="66"/>
      <c r="W47" s="66"/>
      <c r="X47" s="66"/>
      <c r="Y47" s="66"/>
    </row>
    <row r="48" spans="4:27" x14ac:dyDescent="0.3">
      <c r="D48" s="88"/>
      <c r="F48" t="s">
        <v>195</v>
      </c>
      <c r="G48" t="s">
        <v>167</v>
      </c>
      <c r="J48" s="111">
        <f t="shared" ref="J48:Q48" si="3">J30</f>
        <v>0</v>
      </c>
      <c r="K48" s="111">
        <f t="shared" si="3"/>
        <v>0</v>
      </c>
      <c r="L48" s="111">
        <f t="shared" si="3"/>
        <v>0</v>
      </c>
      <c r="M48" s="111">
        <f t="shared" si="3"/>
        <v>0</v>
      </c>
      <c r="N48" s="111">
        <f t="shared" si="3"/>
        <v>0</v>
      </c>
      <c r="O48" s="111">
        <f t="shared" si="3"/>
        <v>0</v>
      </c>
      <c r="P48" s="111">
        <f t="shared" si="3"/>
        <v>1</v>
      </c>
      <c r="Q48" s="111">
        <f t="shared" si="3"/>
        <v>0</v>
      </c>
      <c r="R48" s="66"/>
      <c r="S48" s="66"/>
      <c r="T48" s="66"/>
      <c r="U48" s="66"/>
      <c r="V48" s="66"/>
      <c r="W48" s="66"/>
      <c r="X48" s="66"/>
      <c r="Y48" s="66"/>
    </row>
    <row r="49" spans="2:27" x14ac:dyDescent="0.3">
      <c r="D49" s="88"/>
      <c r="F49" s="108" t="s">
        <v>196</v>
      </c>
      <c r="G49" s="108" t="s">
        <v>167</v>
      </c>
      <c r="H49" s="108"/>
      <c r="I49" s="108" t="s">
        <v>154</v>
      </c>
      <c r="J49" s="109">
        <f t="shared" ref="J49:Q49" si="4">J30</f>
        <v>0</v>
      </c>
      <c r="K49" s="109">
        <f t="shared" si="4"/>
        <v>0</v>
      </c>
      <c r="L49" s="109">
        <f t="shared" si="4"/>
        <v>0</v>
      </c>
      <c r="M49" s="109">
        <f t="shared" si="4"/>
        <v>0</v>
      </c>
      <c r="N49" s="109">
        <f t="shared" si="4"/>
        <v>0</v>
      </c>
      <c r="O49" s="109">
        <f t="shared" si="4"/>
        <v>0</v>
      </c>
      <c r="P49" s="109">
        <f t="shared" si="4"/>
        <v>1</v>
      </c>
      <c r="Q49" s="109">
        <f t="shared" si="4"/>
        <v>0</v>
      </c>
      <c r="R49" s="110"/>
      <c r="S49" s="110"/>
      <c r="T49" s="110"/>
      <c r="U49" s="110"/>
      <c r="V49" s="110"/>
      <c r="W49" s="110"/>
      <c r="X49" s="110"/>
      <c r="Y49" s="110"/>
      <c r="AA49" t="s">
        <v>381</v>
      </c>
    </row>
    <row r="50" spans="2:27" x14ac:dyDescent="0.3">
      <c r="D50" s="88"/>
      <c r="F50" t="s">
        <v>197</v>
      </c>
      <c r="G50" t="s">
        <v>167</v>
      </c>
      <c r="J50" s="111">
        <f t="shared" ref="J50:Q50" si="5">J32</f>
        <v>0</v>
      </c>
      <c r="K50" s="111">
        <f t="shared" si="5"/>
        <v>0</v>
      </c>
      <c r="L50" s="111">
        <f t="shared" si="5"/>
        <v>0</v>
      </c>
      <c r="M50" s="111">
        <f t="shared" si="5"/>
        <v>0</v>
      </c>
      <c r="N50" s="111">
        <f t="shared" si="5"/>
        <v>0.2</v>
      </c>
      <c r="O50" s="111">
        <f t="shared" si="5"/>
        <v>1</v>
      </c>
      <c r="P50" s="111">
        <f t="shared" si="5"/>
        <v>1</v>
      </c>
      <c r="Q50" s="111">
        <f t="shared" si="5"/>
        <v>0</v>
      </c>
      <c r="R50" s="66"/>
      <c r="S50" s="66"/>
      <c r="T50" s="66"/>
      <c r="U50" s="66"/>
      <c r="V50" s="66"/>
      <c r="W50" s="66"/>
      <c r="X50" s="66"/>
      <c r="Y50" s="66"/>
    </row>
    <row r="51" spans="2:27" x14ac:dyDescent="0.3">
      <c r="D51" s="88"/>
      <c r="F51" t="s">
        <v>198</v>
      </c>
      <c r="G51" t="s">
        <v>167</v>
      </c>
      <c r="J51" s="111">
        <f t="shared" ref="J51:Q51" si="6">J33</f>
        <v>0</v>
      </c>
      <c r="K51" s="111">
        <f t="shared" si="6"/>
        <v>0</v>
      </c>
      <c r="L51" s="111">
        <f t="shared" si="6"/>
        <v>0</v>
      </c>
      <c r="M51" s="111">
        <f t="shared" si="6"/>
        <v>0</v>
      </c>
      <c r="N51" s="111">
        <f t="shared" si="6"/>
        <v>1</v>
      </c>
      <c r="O51" s="111">
        <f t="shared" si="6"/>
        <v>1</v>
      </c>
      <c r="P51" s="111">
        <f t="shared" si="6"/>
        <v>0</v>
      </c>
      <c r="Q51" s="111">
        <f t="shared" si="6"/>
        <v>0</v>
      </c>
      <c r="R51" s="66"/>
      <c r="S51" s="66"/>
      <c r="T51" s="66"/>
      <c r="U51" s="66"/>
      <c r="V51" s="66"/>
      <c r="W51" s="66"/>
      <c r="X51" s="66"/>
      <c r="Y51" s="66"/>
    </row>
    <row r="52" spans="2:27" x14ac:dyDescent="0.3">
      <c r="D52" s="88"/>
      <c r="F52" t="s">
        <v>199</v>
      </c>
      <c r="G52" t="s">
        <v>167</v>
      </c>
      <c r="J52" s="111">
        <f t="shared" ref="J52:Q52" si="7">J34</f>
        <v>1</v>
      </c>
      <c r="K52" s="111">
        <f t="shared" si="7"/>
        <v>1</v>
      </c>
      <c r="L52" s="111">
        <f t="shared" si="7"/>
        <v>1</v>
      </c>
      <c r="M52" s="111">
        <f t="shared" si="7"/>
        <v>1</v>
      </c>
      <c r="N52" s="111">
        <f t="shared" si="7"/>
        <v>1</v>
      </c>
      <c r="O52" s="111">
        <f t="shared" si="7"/>
        <v>0</v>
      </c>
      <c r="P52" s="111">
        <f t="shared" si="7"/>
        <v>0</v>
      </c>
      <c r="Q52" s="111">
        <f t="shared" si="7"/>
        <v>0</v>
      </c>
      <c r="R52" s="66"/>
      <c r="S52" s="66"/>
      <c r="T52" s="66"/>
      <c r="U52" s="66"/>
      <c r="V52" s="66"/>
      <c r="W52" s="66"/>
      <c r="X52" s="66"/>
      <c r="Y52" s="66"/>
    </row>
    <row r="53" spans="2:27" x14ac:dyDescent="0.3">
      <c r="D53" s="88"/>
      <c r="F53" t="s">
        <v>376</v>
      </c>
      <c r="G53" t="s">
        <v>167</v>
      </c>
      <c r="J53" s="66"/>
      <c r="K53" s="66"/>
      <c r="L53" s="66"/>
      <c r="M53" s="66"/>
      <c r="N53" s="66"/>
      <c r="O53" s="66"/>
      <c r="P53" s="66"/>
      <c r="Q53" s="66"/>
      <c r="R53" s="66"/>
      <c r="S53" s="66"/>
      <c r="T53" s="66"/>
      <c r="U53" s="66"/>
      <c r="V53" s="66"/>
      <c r="W53" s="66"/>
      <c r="X53" s="66"/>
      <c r="Y53" s="66"/>
    </row>
    <row r="54" spans="2:27" x14ac:dyDescent="0.3">
      <c r="D54" s="88"/>
      <c r="F54" s="37" t="s">
        <v>377</v>
      </c>
      <c r="G54" s="37" t="s">
        <v>167</v>
      </c>
      <c r="H54" s="37"/>
      <c r="I54" s="37"/>
      <c r="J54" s="68"/>
      <c r="K54" s="68"/>
      <c r="L54" s="68"/>
      <c r="M54" s="68"/>
      <c r="N54" s="68"/>
      <c r="O54" s="68"/>
      <c r="P54" s="68"/>
      <c r="Q54" s="68"/>
      <c r="R54" s="68"/>
      <c r="S54" s="68"/>
      <c r="T54" s="68"/>
      <c r="U54" s="68"/>
      <c r="V54" s="68"/>
      <c r="W54" s="68"/>
      <c r="X54" s="68"/>
      <c r="Y54" s="68"/>
    </row>
    <row r="55" spans="2:27" x14ac:dyDescent="0.3">
      <c r="C55" s="88"/>
    </row>
    <row r="56" spans="2:27" x14ac:dyDescent="0.3">
      <c r="B56" s="30" t="s">
        <v>231</v>
      </c>
      <c r="C56" s="30"/>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row>
    <row r="57" spans="2:27" x14ac:dyDescent="0.3">
      <c r="D57"/>
      <c r="E57"/>
    </row>
    <row r="58" spans="2:27" x14ac:dyDescent="0.3">
      <c r="D58"/>
      <c r="E58" t="s">
        <v>232</v>
      </c>
      <c r="G58" s="6" t="s">
        <v>55</v>
      </c>
      <c r="H58" s="103">
        <f t="array" ref="H58">SUM(IF(ISERROR(H25:Y54), 1))</f>
        <v>0</v>
      </c>
    </row>
    <row r="59" spans="2:27" x14ac:dyDescent="0.3">
      <c r="D59"/>
      <c r="E59"/>
    </row>
    <row r="60" spans="2:27" x14ac:dyDescent="0.3">
      <c r="B60" s="30" t="s">
        <v>106</v>
      </c>
      <c r="C60" s="104"/>
      <c r="D60" s="112"/>
      <c r="E60" s="112"/>
      <c r="F60" s="104"/>
      <c r="G60" s="104"/>
      <c r="H60" s="104"/>
      <c r="I60" s="104"/>
      <c r="J60" s="104"/>
      <c r="K60" s="104"/>
      <c r="L60" s="104"/>
      <c r="M60" s="104"/>
      <c r="N60" s="104"/>
      <c r="O60" s="104"/>
      <c r="P60" s="104"/>
      <c r="Q60" s="104"/>
      <c r="R60" s="104"/>
      <c r="S60" s="104"/>
      <c r="T60" s="104"/>
      <c r="U60" s="104"/>
      <c r="V60" s="104"/>
      <c r="W60" s="104"/>
      <c r="X60" s="104"/>
      <c r="Y60" s="104"/>
      <c r="Z60" s="105"/>
      <c r="AA60" s="105"/>
    </row>
  </sheetData>
  <sheetProtection sheet="1" objects="1" formatCells="0" formatColumns="0" formatRows="0" sort="0" autoFilter="0"/>
  <conditionalFormatting sqref="A4:I4 Z4:XFD4">
    <cfRule type="expression" dxfId="180" priority="10">
      <formula>LEFT($A$4,1) &lt;&gt; "0"</formula>
    </cfRule>
  </conditionalFormatting>
  <conditionalFormatting sqref="N4:P4">
    <cfRule type="expression" dxfId="179" priority="9">
      <formula>LEFT($A$4,1) &lt;&gt; "0"</formula>
    </cfRule>
  </conditionalFormatting>
  <conditionalFormatting sqref="L4:M4">
    <cfRule type="expression" dxfId="178" priority="8">
      <formula>LEFT($A$4,1) &lt;&gt; "0"</formula>
    </cfRule>
  </conditionalFormatting>
  <conditionalFormatting sqref="J4:K4">
    <cfRule type="expression" dxfId="177" priority="7">
      <formula>LEFT($A$4,1) &lt;&gt; "0"</formula>
    </cfRule>
  </conditionalFormatting>
  <conditionalFormatting sqref="Q4">
    <cfRule type="expression" dxfId="176" priority="6">
      <formula>LEFT($A$4,1) &lt;&gt; "0"</formula>
    </cfRule>
  </conditionalFormatting>
  <conditionalFormatting sqref="R4:S4">
    <cfRule type="expression" dxfId="175" priority="5">
      <formula>LEFT($A$4,1) &lt;&gt; "0"</formula>
    </cfRule>
  </conditionalFormatting>
  <conditionalFormatting sqref="T4:U4">
    <cfRule type="expression" dxfId="174" priority="4">
      <formula>LEFT($A$4,1) &lt;&gt; "0"</formula>
    </cfRule>
  </conditionalFormatting>
  <conditionalFormatting sqref="V4:W4">
    <cfRule type="expression" dxfId="173" priority="3">
      <formula>LEFT($A$4,1) &lt;&gt; "0"</formula>
    </cfRule>
  </conditionalFormatting>
  <conditionalFormatting sqref="X4:Y4">
    <cfRule type="expression" dxfId="172" priority="2">
      <formula>LEFT($A$4,1) &lt;&gt; "0"</formula>
    </cfRule>
  </conditionalFormatting>
  <conditionalFormatting sqref="H58">
    <cfRule type="cellIs" dxfId="171"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1" width="17" customWidth="1"/>
    <col min="22" max="22" width="2.44140625" customWidth="1"/>
    <col min="23" max="23" width="50.5546875" customWidth="1"/>
    <col min="24" max="24" width="2.44140625" customWidth="1"/>
    <col min="25" max="16384" width="8.77734375" hidden="1"/>
  </cols>
  <sheetData>
    <row r="1" spans="1:23" s="1" customFormat="1" x14ac:dyDescent="0.3">
      <c r="A1" s="1" t="str">
        <f ca="1">MID(CELL("filename",A1),FIND("]",CELL("filename",A1))+1,255)</f>
        <v>Load &amp; loss characteristics</v>
      </c>
    </row>
    <row r="2" spans="1:23" s="1" customFormat="1" x14ac:dyDescent="0.3">
      <c r="A2" s="1" t="str">
        <f>Cover!D21&amp;" - "&amp;Cover!D23</f>
        <v>WPD Mid West - April 22 Pricing</v>
      </c>
    </row>
    <row r="3" spans="1:23" s="5" customFormat="1" x14ac:dyDescent="0.3">
      <c r="A3" s="5" t="str">
        <f>Cover!D2&amp;" - "&amp;Cover!D8&amp;" v"&amp;Cover!D10&amp;" - "&amp;Cover!D19</f>
        <v>CDCM charging model - Release for charge setting v7 - 2022/23</v>
      </c>
    </row>
    <row r="4" spans="1:23" x14ac:dyDescent="0.3">
      <c r="A4" s="12" t="str">
        <f>H183 &amp; IF(H183 = 1, " issue", " issues") &amp;" identified in checks on this sheet"</f>
        <v>0 issues identified in checks on this sheet</v>
      </c>
      <c r="B4" s="13"/>
      <c r="C4" s="13"/>
      <c r="D4" s="13"/>
      <c r="E4" s="13"/>
      <c r="F4" s="13"/>
      <c r="G4" s="13"/>
      <c r="H4" s="14"/>
      <c r="I4" s="14"/>
      <c r="J4" s="13"/>
    </row>
    <row r="5" spans="1:23" x14ac:dyDescent="0.3">
      <c r="B5" s="59" t="s">
        <v>142</v>
      </c>
      <c r="C5" s="60"/>
      <c r="D5" s="60"/>
      <c r="E5" s="60"/>
      <c r="F5" s="60"/>
      <c r="G5" s="61" t="s">
        <v>143</v>
      </c>
      <c r="H5" s="62" t="s">
        <v>144</v>
      </c>
      <c r="I5" s="113"/>
      <c r="J5" s="114" t="s">
        <v>189</v>
      </c>
      <c r="K5" s="114" t="s">
        <v>191</v>
      </c>
      <c r="L5" s="114" t="s">
        <v>192</v>
      </c>
      <c r="M5" s="114" t="s">
        <v>193</v>
      </c>
      <c r="N5" s="114" t="s">
        <v>194</v>
      </c>
      <c r="O5" s="114" t="s">
        <v>195</v>
      </c>
      <c r="P5" s="114" t="s">
        <v>196</v>
      </c>
      <c r="Q5" s="114" t="s">
        <v>197</v>
      </c>
      <c r="R5" s="114" t="s">
        <v>198</v>
      </c>
      <c r="S5" s="114" t="s">
        <v>199</v>
      </c>
      <c r="T5" s="114" t="s">
        <v>376</v>
      </c>
      <c r="U5" s="114" t="s">
        <v>377</v>
      </c>
      <c r="W5" s="60" t="s">
        <v>145</v>
      </c>
    </row>
    <row r="6" spans="1:23" x14ac:dyDescent="0.3">
      <c r="H6" s="3"/>
      <c r="I6" s="29"/>
      <c r="J6" s="3"/>
      <c r="K6" s="3"/>
      <c r="L6" s="3"/>
      <c r="M6" s="3"/>
      <c r="N6" s="3"/>
      <c r="O6" s="3"/>
      <c r="P6" s="3"/>
      <c r="Q6" s="3"/>
      <c r="R6" s="3"/>
      <c r="S6" s="3"/>
      <c r="T6" s="3"/>
      <c r="U6" s="3"/>
      <c r="W6" s="3"/>
    </row>
    <row r="7" spans="1:23" x14ac:dyDescent="0.3">
      <c r="B7" s="30" t="s">
        <v>10</v>
      </c>
      <c r="C7" s="30"/>
      <c r="D7" s="30"/>
      <c r="E7" s="30"/>
      <c r="F7" s="30"/>
      <c r="G7" s="30"/>
      <c r="H7" s="30"/>
      <c r="I7" s="30"/>
      <c r="J7" s="30"/>
      <c r="K7" s="30"/>
      <c r="L7" s="30"/>
      <c r="M7" s="30"/>
      <c r="N7" s="30"/>
      <c r="O7" s="30"/>
      <c r="P7" s="30"/>
      <c r="Q7" s="30"/>
      <c r="R7" s="30"/>
      <c r="S7" s="30"/>
      <c r="T7" s="30"/>
      <c r="U7" s="30"/>
      <c r="V7" s="30"/>
      <c r="W7" s="30"/>
    </row>
    <row r="9" spans="1:23" x14ac:dyDescent="0.3">
      <c r="C9" s="29" t="s">
        <v>382</v>
      </c>
    </row>
    <row r="10" spans="1:23" x14ac:dyDescent="0.3">
      <c r="C10" s="29" t="s">
        <v>383</v>
      </c>
    </row>
    <row r="11" spans="1:23" x14ac:dyDescent="0.3">
      <c r="C11" s="29" t="s">
        <v>384</v>
      </c>
    </row>
    <row r="13" spans="1:23" x14ac:dyDescent="0.3">
      <c r="B13" s="30" t="s">
        <v>385</v>
      </c>
      <c r="C13" s="30"/>
      <c r="D13" s="30"/>
      <c r="E13" s="30"/>
      <c r="F13" s="30"/>
      <c r="G13" s="30"/>
      <c r="H13" s="30"/>
      <c r="I13" s="30"/>
      <c r="J13" s="30"/>
      <c r="K13" s="30"/>
      <c r="L13" s="30"/>
      <c r="M13" s="30"/>
      <c r="N13" s="30"/>
      <c r="O13" s="30"/>
      <c r="P13" s="30"/>
      <c r="Q13" s="30"/>
      <c r="R13" s="30"/>
      <c r="S13" s="30"/>
      <c r="T13" s="30"/>
      <c r="U13" s="30"/>
      <c r="V13" s="30"/>
      <c r="W13" s="30"/>
    </row>
    <row r="14" spans="1:23" x14ac:dyDescent="0.3">
      <c r="H14" s="3"/>
      <c r="I14" s="3"/>
      <c r="J14" s="3"/>
      <c r="K14" s="3"/>
      <c r="L14" s="3"/>
      <c r="M14" s="3"/>
      <c r="N14" s="3"/>
      <c r="O14" s="3"/>
      <c r="P14" s="3"/>
      <c r="Q14" s="3"/>
      <c r="R14" s="3"/>
      <c r="S14" s="3"/>
      <c r="T14" s="3"/>
      <c r="U14" s="3"/>
      <c r="W14" s="3"/>
    </row>
    <row r="15" spans="1:23" x14ac:dyDescent="0.3">
      <c r="C15" s="29" t="s">
        <v>386</v>
      </c>
      <c r="H15" s="3"/>
      <c r="I15" s="3"/>
      <c r="J15" s="3"/>
      <c r="K15" s="3"/>
      <c r="L15" s="3"/>
      <c r="M15" s="3"/>
      <c r="N15" s="3"/>
      <c r="O15" s="3"/>
      <c r="P15" s="3"/>
      <c r="Q15" s="3"/>
      <c r="R15" s="3"/>
      <c r="S15" s="3"/>
      <c r="T15" s="3"/>
      <c r="U15" s="3"/>
      <c r="W15" s="3"/>
    </row>
    <row r="16" spans="1:23" x14ac:dyDescent="0.3">
      <c r="H16" s="3"/>
      <c r="I16" s="3"/>
      <c r="J16" s="3"/>
      <c r="K16" s="3"/>
      <c r="L16" s="3"/>
      <c r="M16" s="3"/>
      <c r="N16" s="3"/>
      <c r="O16" s="3"/>
      <c r="P16" s="3"/>
      <c r="Q16" s="3"/>
      <c r="R16" s="3"/>
      <c r="S16" s="3"/>
      <c r="T16" s="3"/>
      <c r="U16" s="3"/>
      <c r="W16" s="3"/>
    </row>
    <row r="17" spans="2:23" x14ac:dyDescent="0.3">
      <c r="C17" s="31" t="str">
        <f ca="1">INDEX('Version control'!$H$34:$H$57,MATCH($A$1,'Version control'!$F$34:$F$57,0),1)&amp;"-A: Load characteristics"</f>
        <v>Section 102-A: Load characteristics</v>
      </c>
      <c r="D17" s="31"/>
      <c r="E17" s="31"/>
      <c r="F17" s="31"/>
      <c r="G17" s="31"/>
      <c r="H17" s="31"/>
      <c r="I17" s="31"/>
      <c r="J17" s="31"/>
      <c r="K17" s="31"/>
      <c r="L17" s="31"/>
      <c r="M17" s="31"/>
      <c r="N17" s="31"/>
      <c r="O17" s="31"/>
      <c r="P17" s="31"/>
      <c r="Q17" s="31"/>
      <c r="R17" s="31"/>
      <c r="S17" s="31"/>
      <c r="T17" s="31"/>
      <c r="U17" s="31"/>
      <c r="V17" s="31"/>
      <c r="W17" s="31"/>
    </row>
    <row r="18" spans="2:23" x14ac:dyDescent="0.3">
      <c r="H18" s="3"/>
      <c r="I18" s="3"/>
      <c r="J18" s="3"/>
      <c r="K18" s="3"/>
      <c r="L18" s="3"/>
      <c r="M18" s="3"/>
      <c r="N18" s="3"/>
      <c r="O18" s="3"/>
      <c r="P18" s="3"/>
      <c r="Q18" s="3"/>
      <c r="R18" s="3"/>
      <c r="S18" s="3"/>
      <c r="T18" s="3"/>
      <c r="U18" s="3"/>
      <c r="W18" s="3"/>
    </row>
    <row r="19" spans="2:23" x14ac:dyDescent="0.3">
      <c r="E19" t="s">
        <v>387</v>
      </c>
      <c r="F19" s="115"/>
      <c r="G19" s="13" t="s">
        <v>167</v>
      </c>
      <c r="H19" s="3"/>
      <c r="I19" s="3"/>
      <c r="J19" s="94"/>
      <c r="K19" s="116">
        <f>'Inputs by network level'!K15</f>
        <v>5.649040831841079E-2</v>
      </c>
      <c r="L19" s="116">
        <f>'Inputs by network level'!L15</f>
        <v>2.5568682496299511E-2</v>
      </c>
      <c r="M19" s="94"/>
      <c r="N19" s="116">
        <f>'Inputs by network level'!N15</f>
        <v>2.6631596666738533E-2</v>
      </c>
      <c r="O19" s="94"/>
      <c r="P19" s="94"/>
      <c r="Q19" s="116">
        <f>'Inputs by network level'!Q15</f>
        <v>0.34000000000000008</v>
      </c>
      <c r="R19" s="94"/>
      <c r="S19" s="94"/>
      <c r="T19" s="66"/>
      <c r="U19" s="66"/>
    </row>
    <row r="20" spans="2:23" x14ac:dyDescent="0.3">
      <c r="E20" t="s">
        <v>243</v>
      </c>
      <c r="F20" s="115"/>
      <c r="G20" s="13" t="s">
        <v>167</v>
      </c>
      <c r="H20" s="3"/>
      <c r="I20" s="3"/>
      <c r="J20" s="117">
        <f t="shared" ref="J20" si="0">IF(I20 = "", 1, I20 / (1 + J19))</f>
        <v>1</v>
      </c>
      <c r="K20" s="117">
        <f>IF(J20 = "", 1, J20 / (1 + K19))</f>
        <v>0.946530126659337</v>
      </c>
      <c r="L20" s="117">
        <f t="shared" ref="L20:S20" si="1">IF(K20 = "", 1, K20 / (1 + L19))</f>
        <v>0.92293197209905276</v>
      </c>
      <c r="M20" s="117">
        <f t="shared" si="1"/>
        <v>0.92293197209905276</v>
      </c>
      <c r="N20" s="117">
        <f t="shared" si="1"/>
        <v>0.89899042177897392</v>
      </c>
      <c r="O20" s="117">
        <f t="shared" si="1"/>
        <v>0.89899042177897392</v>
      </c>
      <c r="P20" s="117">
        <f t="shared" si="1"/>
        <v>0.89899042177897392</v>
      </c>
      <c r="Q20" s="117">
        <f t="shared" si="1"/>
        <v>0.67088837446192084</v>
      </c>
      <c r="R20" s="117">
        <f t="shared" si="1"/>
        <v>0.67088837446192084</v>
      </c>
      <c r="S20" s="117">
        <f t="shared" si="1"/>
        <v>0.67088837446192084</v>
      </c>
      <c r="T20" s="66"/>
      <c r="U20" s="66"/>
    </row>
    <row r="21" spans="2:23" x14ac:dyDescent="0.3">
      <c r="E21" t="s">
        <v>388</v>
      </c>
      <c r="F21" s="115"/>
      <c r="G21" s="13" t="s">
        <v>167</v>
      </c>
      <c r="H21" s="3"/>
      <c r="I21" s="3"/>
      <c r="J21" s="117">
        <f>1 / J20 - 1</f>
        <v>0</v>
      </c>
      <c r="K21" s="117">
        <f t="shared" ref="K21:S21" si="2">1 / K20 - 1</f>
        <v>5.649040831841079E-2</v>
      </c>
      <c r="L21" s="117">
        <f t="shared" si="2"/>
        <v>8.3503476129090037E-2</v>
      </c>
      <c r="M21" s="117">
        <f t="shared" si="2"/>
        <v>8.3503476129090037E-2</v>
      </c>
      <c r="N21" s="117">
        <f t="shared" si="2"/>
        <v>0.11235890369236912</v>
      </c>
      <c r="O21" s="117">
        <f t="shared" si="2"/>
        <v>0.11235890369236912</v>
      </c>
      <c r="P21" s="117">
        <f t="shared" si="2"/>
        <v>0.11235890369236912</v>
      </c>
      <c r="Q21" s="117">
        <f t="shared" si="2"/>
        <v>0.49056093094777475</v>
      </c>
      <c r="R21" s="117">
        <f t="shared" si="2"/>
        <v>0.49056093094777475</v>
      </c>
      <c r="S21" s="117">
        <f t="shared" si="2"/>
        <v>0.49056093094777475</v>
      </c>
      <c r="T21" s="66"/>
      <c r="U21" s="66"/>
    </row>
    <row r="22" spans="2:23" x14ac:dyDescent="0.3">
      <c r="E22" t="s">
        <v>389</v>
      </c>
      <c r="F22" s="115"/>
      <c r="G22" s="13" t="s">
        <v>167</v>
      </c>
      <c r="H22" s="3"/>
      <c r="I22" s="3"/>
      <c r="J22" s="94"/>
      <c r="K22" s="94"/>
      <c r="L22" s="94"/>
      <c r="M22" s="94"/>
      <c r="N22" s="94"/>
      <c r="O22" s="94"/>
      <c r="P22" s="117">
        <f>M21</f>
        <v>8.3503476129090037E-2</v>
      </c>
      <c r="Q22" s="94"/>
      <c r="R22" s="94"/>
      <c r="S22" s="94"/>
      <c r="T22" s="66"/>
      <c r="U22" s="66"/>
    </row>
    <row r="23" spans="2:23" x14ac:dyDescent="0.3">
      <c r="E23" t="s">
        <v>390</v>
      </c>
      <c r="F23" s="115"/>
      <c r="G23" s="13" t="s">
        <v>167</v>
      </c>
      <c r="H23" s="3"/>
      <c r="I23" s="3" t="s">
        <v>154</v>
      </c>
      <c r="J23" s="118">
        <f t="shared" ref="J23:S23" si="3">IF(J22 = "", J21, J22)</f>
        <v>0</v>
      </c>
      <c r="K23" s="118">
        <f t="shared" si="3"/>
        <v>5.649040831841079E-2</v>
      </c>
      <c r="L23" s="118">
        <f t="shared" si="3"/>
        <v>8.3503476129090037E-2</v>
      </c>
      <c r="M23" s="118">
        <f t="shared" si="3"/>
        <v>8.3503476129090037E-2</v>
      </c>
      <c r="N23" s="118">
        <f t="shared" si="3"/>
        <v>0.11235890369236912</v>
      </c>
      <c r="O23" s="118">
        <f t="shared" si="3"/>
        <v>0.11235890369236912</v>
      </c>
      <c r="P23" s="118">
        <f t="shared" si="3"/>
        <v>8.3503476129090037E-2</v>
      </c>
      <c r="Q23" s="118">
        <f t="shared" si="3"/>
        <v>0.49056093094777475</v>
      </c>
      <c r="R23" s="118">
        <f t="shared" si="3"/>
        <v>0.49056093094777475</v>
      </c>
      <c r="S23" s="118">
        <f t="shared" si="3"/>
        <v>0.49056093094777475</v>
      </c>
      <c r="T23" s="66"/>
      <c r="U23" s="66"/>
      <c r="W23" s="63" t="s">
        <v>391</v>
      </c>
    </row>
    <row r="24" spans="2:23" x14ac:dyDescent="0.3">
      <c r="F24" s="115"/>
      <c r="G24" s="13"/>
      <c r="H24" s="3"/>
      <c r="I24" s="3"/>
      <c r="J24" s="117"/>
      <c r="K24" s="117"/>
      <c r="L24" s="117"/>
      <c r="M24" s="117"/>
      <c r="N24" s="117"/>
      <c r="O24" s="117"/>
      <c r="P24" s="117"/>
      <c r="Q24" s="117"/>
      <c r="R24" s="117"/>
      <c r="S24" s="117"/>
      <c r="T24" s="3"/>
      <c r="U24" s="3"/>
    </row>
    <row r="25" spans="2:23" x14ac:dyDescent="0.3">
      <c r="C25" s="31" t="str">
        <f ca="1">INDEX('Version control'!$H$34:$H$57,MATCH($A$1,'Version control'!$F$34:$F$57,0),1)&amp;"-B: Loss adjustment factors"</f>
        <v>Section 102-B: Loss adjustment factors</v>
      </c>
      <c r="D25" s="31"/>
      <c r="E25" s="31"/>
      <c r="F25" s="31"/>
      <c r="G25" s="31"/>
      <c r="H25" s="31"/>
      <c r="I25" s="31"/>
      <c r="J25" s="31"/>
      <c r="K25" s="31"/>
      <c r="L25" s="31"/>
      <c r="M25" s="31"/>
      <c r="N25" s="31"/>
      <c r="O25" s="31"/>
      <c r="P25" s="31"/>
      <c r="Q25" s="31"/>
      <c r="R25" s="31"/>
      <c r="S25" s="31"/>
      <c r="T25" s="31"/>
      <c r="U25" s="31"/>
      <c r="V25" s="31"/>
      <c r="W25" s="31"/>
    </row>
    <row r="26" spans="2:23" x14ac:dyDescent="0.3">
      <c r="H26" s="3"/>
      <c r="I26" s="3"/>
      <c r="J26" s="3"/>
      <c r="K26" s="3"/>
      <c r="L26" s="3"/>
      <c r="M26" s="3"/>
      <c r="N26" s="3"/>
      <c r="O26" s="3"/>
      <c r="P26" s="3"/>
      <c r="Q26" s="3"/>
      <c r="R26" s="3"/>
      <c r="S26" s="3"/>
      <c r="T26" s="3"/>
      <c r="U26" s="3"/>
      <c r="W26" s="3"/>
    </row>
    <row r="27" spans="2:23" x14ac:dyDescent="0.3">
      <c r="E27" t="s">
        <v>392</v>
      </c>
      <c r="F27" s="119"/>
      <c r="G27" s="72" t="s">
        <v>283</v>
      </c>
      <c r="H27" s="3"/>
      <c r="I27" s="3"/>
      <c r="J27" s="79"/>
      <c r="K27" s="120">
        <f>'Inputs by network level'!K19</f>
        <v>1</v>
      </c>
      <c r="L27" s="120">
        <f>'Inputs by network level'!L19</f>
        <v>1.0049999999999999</v>
      </c>
      <c r="M27" s="120">
        <f>'Inputs by network level'!M19</f>
        <v>1.0089999999999999</v>
      </c>
      <c r="N27" s="120">
        <f>'Inputs by network level'!N19</f>
        <v>1.0269999999999999</v>
      </c>
      <c r="O27" s="120">
        <f>'Inputs by network level'!O19</f>
        <v>1.0329999999999999</v>
      </c>
      <c r="P27" s="79"/>
      <c r="Q27" s="120">
        <f>'Inputs by network level'!Q19</f>
        <v>1.0509999999999999</v>
      </c>
      <c r="R27" s="120">
        <f>'Inputs by network level'!R19</f>
        <v>1.0669999999999999</v>
      </c>
      <c r="S27" s="120">
        <f>'Inputs by network level'!S19</f>
        <v>1.0900000000000001</v>
      </c>
      <c r="T27" s="79"/>
      <c r="U27" s="79"/>
    </row>
    <row r="28" spans="2:23" x14ac:dyDescent="0.3">
      <c r="E28" t="s">
        <v>393</v>
      </c>
      <c r="F28" s="119"/>
      <c r="G28" s="72" t="s">
        <v>283</v>
      </c>
      <c r="H28" s="3"/>
      <c r="I28" s="3"/>
      <c r="J28" s="98">
        <f>K27</f>
        <v>1</v>
      </c>
      <c r="K28" s="79"/>
      <c r="L28" s="79"/>
      <c r="M28" s="79"/>
      <c r="N28" s="79"/>
      <c r="O28" s="79"/>
      <c r="P28" s="98">
        <f>O27</f>
        <v>1.0329999999999999</v>
      </c>
      <c r="Q28" s="79"/>
      <c r="R28" s="79"/>
      <c r="S28" s="79"/>
      <c r="T28" s="79"/>
      <c r="U28" s="79"/>
    </row>
    <row r="29" spans="2:23" x14ac:dyDescent="0.3">
      <c r="E29" t="s">
        <v>394</v>
      </c>
      <c r="F29" s="119"/>
      <c r="G29" s="72" t="s">
        <v>283</v>
      </c>
      <c r="H29" s="3"/>
      <c r="I29" s="3" t="s">
        <v>154</v>
      </c>
      <c r="J29" s="121">
        <f t="shared" ref="J29:S29" si="4">J27 + J28</f>
        <v>1</v>
      </c>
      <c r="K29" s="121">
        <f t="shared" si="4"/>
        <v>1</v>
      </c>
      <c r="L29" s="121">
        <f t="shared" si="4"/>
        <v>1.0049999999999999</v>
      </c>
      <c r="M29" s="121">
        <f t="shared" si="4"/>
        <v>1.0089999999999999</v>
      </c>
      <c r="N29" s="121">
        <f t="shared" si="4"/>
        <v>1.0269999999999999</v>
      </c>
      <c r="O29" s="121">
        <f t="shared" si="4"/>
        <v>1.0329999999999999</v>
      </c>
      <c r="P29" s="121">
        <f t="shared" si="4"/>
        <v>1.0329999999999999</v>
      </c>
      <c r="Q29" s="121">
        <f t="shared" si="4"/>
        <v>1.0509999999999999</v>
      </c>
      <c r="R29" s="121">
        <f t="shared" si="4"/>
        <v>1.0669999999999999</v>
      </c>
      <c r="S29" s="121">
        <f t="shared" si="4"/>
        <v>1.0900000000000001</v>
      </c>
      <c r="T29" s="79"/>
      <c r="U29" s="79"/>
      <c r="W29" s="63" t="s">
        <v>284</v>
      </c>
    </row>
    <row r="30" spans="2:23" x14ac:dyDescent="0.3">
      <c r="F30" s="115"/>
      <c r="G30" s="13"/>
      <c r="H30" s="3"/>
      <c r="I30" s="3"/>
      <c r="J30" s="3"/>
      <c r="K30" s="3"/>
      <c r="L30" s="3"/>
      <c r="M30" s="3"/>
      <c r="N30" s="3"/>
      <c r="O30" s="3"/>
      <c r="Q30" s="3"/>
      <c r="R30" s="3"/>
      <c r="S30" s="3"/>
      <c r="T30" s="3"/>
      <c r="U30" s="3"/>
    </row>
    <row r="31" spans="2:23" x14ac:dyDescent="0.3">
      <c r="B31" s="30" t="s">
        <v>395</v>
      </c>
      <c r="C31" s="30"/>
      <c r="D31" s="30"/>
      <c r="E31" s="30"/>
      <c r="F31" s="30"/>
      <c r="G31" s="92"/>
      <c r="H31" s="30"/>
      <c r="I31" s="30"/>
      <c r="J31" s="30"/>
      <c r="K31" s="30"/>
      <c r="L31" s="30"/>
      <c r="M31" s="30"/>
      <c r="N31" s="30"/>
      <c r="O31" s="30"/>
      <c r="P31" s="30"/>
      <c r="Q31" s="30"/>
      <c r="R31" s="30"/>
      <c r="S31" s="30"/>
      <c r="T31" s="30"/>
      <c r="U31" s="30"/>
      <c r="V31" s="30"/>
      <c r="W31" s="30"/>
    </row>
    <row r="32" spans="2:23" x14ac:dyDescent="0.3">
      <c r="F32" s="115"/>
      <c r="G32" s="13"/>
      <c r="H32" s="3"/>
      <c r="I32" s="3"/>
      <c r="J32" s="3"/>
      <c r="K32" s="3"/>
      <c r="L32" s="3"/>
      <c r="M32" s="3"/>
      <c r="N32" s="3"/>
      <c r="O32" s="3"/>
      <c r="Q32" s="3"/>
      <c r="R32" s="3"/>
      <c r="S32" s="3"/>
      <c r="T32" s="3"/>
      <c r="U32" s="3"/>
    </row>
    <row r="33" spans="3:23" x14ac:dyDescent="0.3">
      <c r="C33" s="29" t="s">
        <v>396</v>
      </c>
      <c r="F33" s="115"/>
      <c r="G33" s="13"/>
      <c r="H33" s="3"/>
      <c r="I33" s="3"/>
      <c r="J33" s="3"/>
      <c r="K33" s="3"/>
      <c r="L33" s="3"/>
      <c r="M33" s="3"/>
      <c r="N33" s="3"/>
      <c r="O33" s="3"/>
      <c r="Q33" s="3"/>
      <c r="R33" s="3"/>
      <c r="S33" s="3"/>
      <c r="T33" s="3"/>
      <c r="U33" s="3"/>
    </row>
    <row r="34" spans="3:23" x14ac:dyDescent="0.3">
      <c r="F34" s="115"/>
      <c r="G34" s="13"/>
      <c r="H34" s="3"/>
      <c r="I34" s="3"/>
      <c r="J34" s="3"/>
      <c r="K34" s="3"/>
      <c r="L34" s="3"/>
      <c r="M34" s="3"/>
      <c r="N34" s="3"/>
      <c r="O34" s="3"/>
      <c r="Q34" s="3"/>
      <c r="R34" s="3"/>
      <c r="S34" s="3"/>
      <c r="T34" s="3"/>
      <c r="U34" s="3"/>
    </row>
    <row r="35" spans="3:23" x14ac:dyDescent="0.3">
      <c r="C35" s="31" t="str">
        <f ca="1">INDEX('Version control'!$H$34:$H$57,MATCH($A$1,'Version control'!$F$34:$F$57,0),1)&amp;"-C: Proportion of relevant load going through 132kV/HV direct transformation"</f>
        <v>Section 102-C: Proportion of relevant load going through 132kV/HV direct transformation</v>
      </c>
      <c r="D35" s="31"/>
      <c r="E35" s="31"/>
      <c r="F35" s="31"/>
      <c r="G35" s="31"/>
      <c r="H35" s="31"/>
      <c r="I35" s="31"/>
      <c r="J35" s="31"/>
      <c r="K35" s="31"/>
      <c r="L35" s="31"/>
      <c r="M35" s="31"/>
      <c r="N35" s="31"/>
      <c r="O35" s="31"/>
      <c r="P35" s="31"/>
      <c r="Q35" s="31"/>
      <c r="R35" s="31"/>
      <c r="S35" s="31"/>
      <c r="T35" s="31"/>
      <c r="U35" s="31"/>
      <c r="V35" s="31"/>
      <c r="W35" s="31"/>
    </row>
    <row r="36" spans="3:23" x14ac:dyDescent="0.3">
      <c r="H36" s="3"/>
      <c r="I36" s="3"/>
      <c r="J36" s="3"/>
      <c r="K36" s="3"/>
      <c r="L36" s="3"/>
      <c r="M36" s="3"/>
      <c r="N36" s="3"/>
      <c r="O36" s="3"/>
      <c r="P36" s="3"/>
      <c r="Q36" s="3"/>
      <c r="R36" s="3"/>
      <c r="S36" s="3"/>
      <c r="T36" s="3"/>
      <c r="U36" s="3"/>
      <c r="W36" s="3"/>
    </row>
    <row r="37" spans="3:23" x14ac:dyDescent="0.3">
      <c r="E37" t="s">
        <v>196</v>
      </c>
      <c r="F37" s="28"/>
      <c r="G37" s="72" t="s">
        <v>167</v>
      </c>
      <c r="H37" s="116">
        <f>'Inputs by network level'!P17</f>
        <v>0.69256562916818787</v>
      </c>
      <c r="I37" s="3"/>
    </row>
    <row r="38" spans="3:23" x14ac:dyDescent="0.3">
      <c r="E38" t="s">
        <v>397</v>
      </c>
      <c r="F38" s="115"/>
      <c r="G38" s="13" t="s">
        <v>167</v>
      </c>
      <c r="H38" s="3"/>
      <c r="I38" s="3"/>
      <c r="J38" s="66"/>
      <c r="K38" s="66"/>
      <c r="L38" s="66"/>
      <c r="M38" s="122">
        <f>1 - $H$37</f>
        <v>0.30743437083181213</v>
      </c>
      <c r="N38" s="122">
        <f>1 - $H$37</f>
        <v>0.30743437083181213</v>
      </c>
      <c r="O38" s="122">
        <f>1 - $H$37</f>
        <v>0.30743437083181213</v>
      </c>
      <c r="P38" s="123">
        <f>H37</f>
        <v>0.69256562916818787</v>
      </c>
      <c r="Q38" s="66"/>
      <c r="R38" s="66"/>
      <c r="S38" s="66"/>
      <c r="T38" s="66"/>
      <c r="U38" s="66"/>
    </row>
    <row r="39" spans="3:23" x14ac:dyDescent="0.3">
      <c r="F39" s="115"/>
      <c r="G39" s="13"/>
      <c r="H39" s="3"/>
      <c r="I39" s="3"/>
      <c r="J39" s="3"/>
      <c r="K39" s="3"/>
      <c r="L39" s="3"/>
      <c r="M39" s="3"/>
      <c r="N39" s="3"/>
      <c r="O39" s="3"/>
      <c r="Q39" s="3"/>
      <c r="R39" s="3"/>
      <c r="S39" s="3"/>
      <c r="T39" s="3"/>
      <c r="U39" s="3"/>
    </row>
    <row r="40" spans="3:23" x14ac:dyDescent="0.3">
      <c r="C40" s="31" t="str">
        <f ca="1">INDEX('Version control'!$H$34:$H$57,MATCH($A$1,'Version control'!$F$34:$F$57,0),1)&amp;"-D: Network use factors"</f>
        <v>Section 102-D: Network use factors</v>
      </c>
      <c r="D40" s="31"/>
      <c r="E40" s="31"/>
      <c r="F40" s="31"/>
      <c r="G40" s="31"/>
      <c r="H40" s="31"/>
      <c r="I40" s="31"/>
      <c r="J40" s="31"/>
      <c r="K40" s="31"/>
      <c r="L40" s="31"/>
      <c r="M40" s="31"/>
      <c r="N40" s="31"/>
      <c r="O40" s="31"/>
      <c r="P40" s="31"/>
      <c r="Q40" s="31"/>
      <c r="R40" s="31"/>
      <c r="S40" s="31"/>
      <c r="T40" s="31"/>
      <c r="U40" s="31"/>
      <c r="V40" s="31"/>
      <c r="W40" s="31"/>
    </row>
    <row r="41" spans="3:23" x14ac:dyDescent="0.3">
      <c r="H41" s="3"/>
      <c r="I41" s="3"/>
      <c r="J41" s="3"/>
      <c r="K41" s="3"/>
      <c r="L41" s="3"/>
      <c r="M41" s="3"/>
      <c r="N41" s="3"/>
      <c r="O41" s="3"/>
      <c r="P41" s="3"/>
      <c r="Q41" s="3"/>
      <c r="R41" s="3"/>
      <c r="S41" s="3"/>
      <c r="T41" s="3"/>
      <c r="U41" s="3"/>
      <c r="W41" s="3"/>
    </row>
    <row r="42" spans="3:23" x14ac:dyDescent="0.3">
      <c r="D42" s="29" t="s">
        <v>398</v>
      </c>
      <c r="H42" s="3"/>
      <c r="I42" s="3"/>
      <c r="J42" s="3"/>
      <c r="K42" s="3"/>
      <c r="L42" s="3"/>
      <c r="M42" s="3"/>
      <c r="N42" s="3"/>
      <c r="O42" s="3"/>
      <c r="P42" s="3"/>
      <c r="Q42" s="3"/>
      <c r="R42" s="3"/>
      <c r="S42" s="3"/>
      <c r="T42" s="3"/>
      <c r="U42" s="3"/>
      <c r="W42" s="3"/>
    </row>
    <row r="43" spans="3:23" x14ac:dyDescent="0.3">
      <c r="D43" s="29"/>
      <c r="H43" s="3"/>
      <c r="I43" s="3"/>
      <c r="J43" s="3"/>
      <c r="K43" s="3"/>
      <c r="L43" s="3"/>
      <c r="M43" s="3"/>
      <c r="N43" s="3"/>
      <c r="O43" s="3"/>
      <c r="P43" s="3"/>
      <c r="Q43" s="3"/>
      <c r="R43" s="3"/>
      <c r="S43" s="3"/>
      <c r="T43" s="3"/>
      <c r="U43" s="3"/>
      <c r="W43" s="3"/>
    </row>
    <row r="44" spans="3:23" x14ac:dyDescent="0.3">
      <c r="E44" s="32" t="s">
        <v>187</v>
      </c>
      <c r="G44" s="13"/>
    </row>
    <row r="45" spans="3:23" x14ac:dyDescent="0.3">
      <c r="E45" s="29" t="s">
        <v>399</v>
      </c>
      <c r="G45" s="13"/>
    </row>
    <row r="46" spans="3:23" x14ac:dyDescent="0.3">
      <c r="F46" s="23" t="s">
        <v>829</v>
      </c>
      <c r="G46" s="78" t="s">
        <v>190</v>
      </c>
      <c r="H46" s="23"/>
      <c r="I46" s="23"/>
      <c r="J46" s="124">
        <f t="array" ref="J46:S61">TRANSPOSE('Fixed inputs'!J60:Y69)</f>
        <v>1</v>
      </c>
      <c r="K46" s="124">
        <v>1</v>
      </c>
      <c r="L46" s="124">
        <v>1</v>
      </c>
      <c r="M46" s="124">
        <v>1</v>
      </c>
      <c r="N46" s="124">
        <v>1</v>
      </c>
      <c r="O46" s="124">
        <v>1</v>
      </c>
      <c r="P46" s="124">
        <v>1</v>
      </c>
      <c r="Q46" s="124">
        <v>1</v>
      </c>
      <c r="R46" s="124">
        <v>1</v>
      </c>
      <c r="S46" s="124">
        <v>1</v>
      </c>
      <c r="T46" s="83"/>
      <c r="U46" s="83"/>
      <c r="W46" s="3"/>
    </row>
    <row r="47" spans="3:23" x14ac:dyDescent="0.3">
      <c r="F47" t="s">
        <v>831</v>
      </c>
      <c r="G47" s="72" t="s">
        <v>190</v>
      </c>
      <c r="J47" s="120">
        <v>1</v>
      </c>
      <c r="K47" s="120">
        <v>1</v>
      </c>
      <c r="L47" s="120">
        <v>1</v>
      </c>
      <c r="M47" s="120">
        <v>1</v>
      </c>
      <c r="N47" s="120">
        <v>1</v>
      </c>
      <c r="O47" s="120">
        <v>1</v>
      </c>
      <c r="P47" s="120">
        <v>1</v>
      </c>
      <c r="Q47" s="120">
        <v>1</v>
      </c>
      <c r="R47" s="120">
        <v>1</v>
      </c>
      <c r="S47" s="120">
        <v>1</v>
      </c>
      <c r="T47" s="79"/>
      <c r="U47" s="79"/>
    </row>
    <row r="48" spans="3:23" x14ac:dyDescent="0.3">
      <c r="F48" t="s">
        <v>830</v>
      </c>
      <c r="G48" s="72" t="s">
        <v>190</v>
      </c>
      <c r="J48" s="120">
        <v>1</v>
      </c>
      <c r="K48" s="120">
        <v>1</v>
      </c>
      <c r="L48" s="120">
        <v>1</v>
      </c>
      <c r="M48" s="120">
        <v>1</v>
      </c>
      <c r="N48" s="120">
        <v>1</v>
      </c>
      <c r="O48" s="120">
        <v>1</v>
      </c>
      <c r="P48" s="120">
        <v>1</v>
      </c>
      <c r="Q48" s="120">
        <v>1</v>
      </c>
      <c r="R48" s="120">
        <v>1</v>
      </c>
      <c r="S48" s="120">
        <v>1</v>
      </c>
      <c r="T48" s="79"/>
      <c r="U48" s="79"/>
    </row>
    <row r="49" spans="5:21" x14ac:dyDescent="0.3">
      <c r="F49" t="s">
        <v>832</v>
      </c>
      <c r="G49" s="72" t="s">
        <v>190</v>
      </c>
      <c r="J49" s="120">
        <v>1</v>
      </c>
      <c r="K49" s="120">
        <v>1</v>
      </c>
      <c r="L49" s="120">
        <v>1</v>
      </c>
      <c r="M49" s="120">
        <v>1</v>
      </c>
      <c r="N49" s="120">
        <v>1</v>
      </c>
      <c r="O49" s="120">
        <v>1</v>
      </c>
      <c r="P49" s="120">
        <v>1</v>
      </c>
      <c r="Q49" s="120">
        <v>1</v>
      </c>
      <c r="R49" s="120">
        <v>1</v>
      </c>
      <c r="S49" s="120">
        <v>1</v>
      </c>
      <c r="T49" s="79"/>
      <c r="U49" s="79"/>
    </row>
    <row r="50" spans="5:21" x14ac:dyDescent="0.3">
      <c r="F50" t="s">
        <v>838</v>
      </c>
      <c r="G50" s="72" t="s">
        <v>190</v>
      </c>
      <c r="J50" s="120">
        <v>1</v>
      </c>
      <c r="K50" s="120">
        <v>1</v>
      </c>
      <c r="L50" s="120">
        <v>1</v>
      </c>
      <c r="M50" s="120">
        <v>1</v>
      </c>
      <c r="N50" s="120">
        <v>1</v>
      </c>
      <c r="O50" s="120">
        <v>1</v>
      </c>
      <c r="P50" s="120">
        <v>1</v>
      </c>
      <c r="Q50" s="120">
        <v>1</v>
      </c>
      <c r="R50" s="120">
        <v>1</v>
      </c>
      <c r="S50" s="120">
        <v>1</v>
      </c>
      <c r="T50" s="79"/>
      <c r="U50" s="79"/>
    </row>
    <row r="51" spans="5:21" x14ac:dyDescent="0.3">
      <c r="F51" t="s">
        <v>839</v>
      </c>
      <c r="G51" s="72" t="s">
        <v>190</v>
      </c>
      <c r="J51" s="120">
        <v>1</v>
      </c>
      <c r="K51" s="120">
        <v>1</v>
      </c>
      <c r="L51" s="120">
        <v>1</v>
      </c>
      <c r="M51" s="120">
        <v>1</v>
      </c>
      <c r="N51" s="120">
        <v>1</v>
      </c>
      <c r="O51" s="120">
        <v>1</v>
      </c>
      <c r="P51" s="120">
        <v>1</v>
      </c>
      <c r="Q51" s="120">
        <v>1</v>
      </c>
      <c r="R51" s="120">
        <v>1</v>
      </c>
      <c r="S51" s="120">
        <v>0</v>
      </c>
      <c r="T51" s="79"/>
      <c r="U51" s="79"/>
    </row>
    <row r="52" spans="5:21" x14ac:dyDescent="0.3">
      <c r="F52" t="s">
        <v>840</v>
      </c>
      <c r="G52" s="72" t="s">
        <v>190</v>
      </c>
      <c r="J52" s="120">
        <v>1</v>
      </c>
      <c r="K52" s="120">
        <v>1</v>
      </c>
      <c r="L52" s="120">
        <v>1</v>
      </c>
      <c r="M52" s="120">
        <v>1</v>
      </c>
      <c r="N52" s="120">
        <v>1</v>
      </c>
      <c r="O52" s="120">
        <v>1</v>
      </c>
      <c r="P52" s="120">
        <v>1</v>
      </c>
      <c r="Q52" s="120">
        <v>1</v>
      </c>
      <c r="R52" s="120">
        <v>0</v>
      </c>
      <c r="S52" s="120">
        <v>0</v>
      </c>
      <c r="T52" s="79"/>
      <c r="U52" s="79"/>
    </row>
    <row r="53" spans="5:21" x14ac:dyDescent="0.3">
      <c r="F53" t="s">
        <v>841</v>
      </c>
      <c r="G53" s="72" t="s">
        <v>190</v>
      </c>
      <c r="J53" s="120">
        <v>1</v>
      </c>
      <c r="K53" s="120">
        <v>1</v>
      </c>
      <c r="L53" s="120">
        <v>1</v>
      </c>
      <c r="M53" s="120">
        <v>1</v>
      </c>
      <c r="N53" s="120">
        <v>1</v>
      </c>
      <c r="O53" s="120">
        <v>1</v>
      </c>
      <c r="P53" s="120">
        <v>1</v>
      </c>
      <c r="Q53" s="120">
        <v>1</v>
      </c>
      <c r="R53" s="120">
        <v>1</v>
      </c>
      <c r="S53" s="120">
        <v>1</v>
      </c>
      <c r="T53" s="79"/>
      <c r="U53" s="79"/>
    </row>
    <row r="54" spans="5:21" x14ac:dyDescent="0.3">
      <c r="F54" t="s">
        <v>833</v>
      </c>
      <c r="G54" s="72" t="s">
        <v>190</v>
      </c>
      <c r="J54" s="120">
        <v>-1</v>
      </c>
      <c r="K54" s="120">
        <v>-1</v>
      </c>
      <c r="L54" s="120">
        <v>-1</v>
      </c>
      <c r="M54" s="120">
        <v>-1</v>
      </c>
      <c r="N54" s="120">
        <v>-1</v>
      </c>
      <c r="O54" s="120">
        <v>-1</v>
      </c>
      <c r="P54" s="120">
        <v>-1</v>
      </c>
      <c r="Q54" s="120">
        <v>-1</v>
      </c>
      <c r="R54" s="120">
        <v>-1</v>
      </c>
      <c r="S54" s="120">
        <v>-1</v>
      </c>
      <c r="T54" s="79"/>
      <c r="U54" s="79"/>
    </row>
    <row r="55" spans="5:21" x14ac:dyDescent="0.3">
      <c r="F55" t="s">
        <v>834</v>
      </c>
      <c r="G55" s="72" t="s">
        <v>190</v>
      </c>
      <c r="J55" s="120">
        <v>-1</v>
      </c>
      <c r="K55" s="120">
        <v>-1</v>
      </c>
      <c r="L55" s="120">
        <v>-1</v>
      </c>
      <c r="M55" s="120">
        <v>-1</v>
      </c>
      <c r="N55" s="120">
        <v>-1</v>
      </c>
      <c r="O55" s="120">
        <v>-1</v>
      </c>
      <c r="P55" s="120">
        <v>-1</v>
      </c>
      <c r="Q55" s="120">
        <v>-1</v>
      </c>
      <c r="R55" s="120">
        <v>-1</v>
      </c>
      <c r="S55" s="120">
        <v>0</v>
      </c>
      <c r="T55" s="79"/>
      <c r="U55" s="79"/>
    </row>
    <row r="56" spans="5:21" x14ac:dyDescent="0.3">
      <c r="F56" t="s">
        <v>835</v>
      </c>
      <c r="G56" s="72" t="s">
        <v>190</v>
      </c>
      <c r="J56" s="120">
        <v>-1</v>
      </c>
      <c r="K56" s="120">
        <v>-1</v>
      </c>
      <c r="L56" s="120">
        <v>-1</v>
      </c>
      <c r="M56" s="120">
        <v>-1</v>
      </c>
      <c r="N56" s="120">
        <v>-1</v>
      </c>
      <c r="O56" s="120">
        <v>-1</v>
      </c>
      <c r="P56" s="120">
        <v>-1</v>
      </c>
      <c r="Q56" s="120">
        <v>-1</v>
      </c>
      <c r="R56" s="120">
        <v>-1</v>
      </c>
      <c r="S56" s="120">
        <v>-1</v>
      </c>
      <c r="T56" s="79"/>
      <c r="U56" s="79"/>
    </row>
    <row r="57" spans="5:21" x14ac:dyDescent="0.3">
      <c r="F57" t="s">
        <v>844</v>
      </c>
      <c r="G57" s="72" t="s">
        <v>190</v>
      </c>
      <c r="J57" s="120">
        <v>-1</v>
      </c>
      <c r="K57" s="120">
        <v>-1</v>
      </c>
      <c r="L57" s="120">
        <v>-1</v>
      </c>
      <c r="M57" s="120">
        <v>-1</v>
      </c>
      <c r="N57" s="120">
        <v>-1</v>
      </c>
      <c r="O57" s="120">
        <v>-1</v>
      </c>
      <c r="P57" s="120">
        <v>-1</v>
      </c>
      <c r="Q57" s="120">
        <v>-1</v>
      </c>
      <c r="R57" s="120">
        <v>-1</v>
      </c>
      <c r="S57" s="120">
        <v>-1</v>
      </c>
      <c r="T57" s="79"/>
      <c r="U57" s="79"/>
    </row>
    <row r="58" spans="5:21" x14ac:dyDescent="0.3">
      <c r="F58" t="s">
        <v>836</v>
      </c>
      <c r="G58" s="72" t="s">
        <v>190</v>
      </c>
      <c r="J58" s="120">
        <v>-1</v>
      </c>
      <c r="K58" s="120">
        <v>-1</v>
      </c>
      <c r="L58" s="120">
        <v>-1</v>
      </c>
      <c r="M58" s="120">
        <v>-1</v>
      </c>
      <c r="N58" s="120">
        <v>-1</v>
      </c>
      <c r="O58" s="120">
        <v>-1</v>
      </c>
      <c r="P58" s="120">
        <v>-1</v>
      </c>
      <c r="Q58" s="120">
        <v>-1</v>
      </c>
      <c r="R58" s="120">
        <v>-1</v>
      </c>
      <c r="S58" s="120">
        <v>0</v>
      </c>
      <c r="T58" s="79"/>
      <c r="U58" s="79"/>
    </row>
    <row r="59" spans="5:21" x14ac:dyDescent="0.3">
      <c r="F59" t="s">
        <v>843</v>
      </c>
      <c r="G59" s="72" t="s">
        <v>190</v>
      </c>
      <c r="J59" s="120">
        <v>-1</v>
      </c>
      <c r="K59" s="120">
        <v>-1</v>
      </c>
      <c r="L59" s="120">
        <v>-1</v>
      </c>
      <c r="M59" s="120">
        <v>-1</v>
      </c>
      <c r="N59" s="120">
        <v>-1</v>
      </c>
      <c r="O59" s="120">
        <v>-1</v>
      </c>
      <c r="P59" s="120">
        <v>-1</v>
      </c>
      <c r="Q59" s="120">
        <v>-1</v>
      </c>
      <c r="R59" s="120">
        <v>-1</v>
      </c>
      <c r="S59" s="120">
        <v>0</v>
      </c>
      <c r="T59" s="79"/>
      <c r="U59" s="79"/>
    </row>
    <row r="60" spans="5:21" x14ac:dyDescent="0.3">
      <c r="F60" t="s">
        <v>837</v>
      </c>
      <c r="G60" s="72" t="s">
        <v>190</v>
      </c>
      <c r="J60" s="120">
        <v>-1</v>
      </c>
      <c r="K60" s="120">
        <v>-1</v>
      </c>
      <c r="L60" s="120">
        <v>-1</v>
      </c>
      <c r="M60" s="120">
        <v>-1</v>
      </c>
      <c r="N60" s="120">
        <v>-1</v>
      </c>
      <c r="O60" s="120">
        <v>-1</v>
      </c>
      <c r="P60" s="120">
        <v>-1</v>
      </c>
      <c r="Q60" s="120">
        <v>-1</v>
      </c>
      <c r="R60" s="120">
        <v>0</v>
      </c>
      <c r="S60" s="120">
        <v>0</v>
      </c>
      <c r="T60" s="79"/>
      <c r="U60" s="79"/>
    </row>
    <row r="61" spans="5:21" x14ac:dyDescent="0.3">
      <c r="F61" s="37" t="s">
        <v>842</v>
      </c>
      <c r="G61" s="80" t="s">
        <v>190</v>
      </c>
      <c r="H61" s="37"/>
      <c r="I61" s="37"/>
      <c r="J61" s="125">
        <v>-1</v>
      </c>
      <c r="K61" s="125">
        <v>-1</v>
      </c>
      <c r="L61" s="125">
        <v>-1</v>
      </c>
      <c r="M61" s="125">
        <v>-1</v>
      </c>
      <c r="N61" s="125">
        <v>-1</v>
      </c>
      <c r="O61" s="125">
        <v>-1</v>
      </c>
      <c r="P61" s="125">
        <v>-1</v>
      </c>
      <c r="Q61" s="125">
        <v>-1</v>
      </c>
      <c r="R61" s="125">
        <v>0</v>
      </c>
      <c r="S61" s="125">
        <v>0</v>
      </c>
      <c r="T61" s="81"/>
      <c r="U61" s="81"/>
    </row>
    <row r="62" spans="5:21" x14ac:dyDescent="0.3">
      <c r="G62" s="13"/>
      <c r="J62" s="89"/>
      <c r="K62" s="89"/>
      <c r="L62" s="89"/>
      <c r="M62" s="89"/>
      <c r="N62" s="89"/>
      <c r="O62" s="89"/>
      <c r="P62" s="89"/>
      <c r="Q62" s="89"/>
      <c r="R62" s="89"/>
      <c r="S62" s="89"/>
      <c r="T62" s="89"/>
      <c r="U62" s="89"/>
    </row>
    <row r="63" spans="5:21" x14ac:dyDescent="0.3">
      <c r="E63" s="32" t="s">
        <v>400</v>
      </c>
      <c r="G63" s="13"/>
      <c r="J63" s="89"/>
      <c r="K63" s="89"/>
      <c r="L63" s="89"/>
      <c r="M63" s="89"/>
      <c r="N63" s="89"/>
      <c r="O63" s="89"/>
      <c r="P63" s="89"/>
      <c r="Q63" s="89"/>
      <c r="R63" s="89"/>
      <c r="S63" s="89"/>
      <c r="T63" s="89"/>
      <c r="U63" s="89"/>
    </row>
    <row r="64" spans="5:21" x14ac:dyDescent="0.3">
      <c r="E64" s="29" t="s">
        <v>401</v>
      </c>
      <c r="G64" s="13"/>
      <c r="J64" s="89"/>
      <c r="K64" s="89"/>
      <c r="L64" s="89"/>
      <c r="M64" s="89"/>
      <c r="N64" s="89"/>
      <c r="O64" s="89"/>
      <c r="P64" s="89"/>
      <c r="Q64" s="89"/>
      <c r="R64" s="89"/>
      <c r="S64" s="89"/>
      <c r="T64" s="89"/>
      <c r="U64" s="89"/>
    </row>
    <row r="65" spans="6:23" x14ac:dyDescent="0.3">
      <c r="F65" s="23" t="s">
        <v>829</v>
      </c>
      <c r="G65" s="78" t="s">
        <v>190</v>
      </c>
      <c r="H65" s="23"/>
      <c r="I65" s="23"/>
      <c r="J65" s="126">
        <f t="shared" ref="J65:S65" si="5">IF(J$38 = "", J46, J46 * J$38)</f>
        <v>1</v>
      </c>
      <c r="K65" s="126">
        <f t="shared" si="5"/>
        <v>1</v>
      </c>
      <c r="L65" s="126">
        <f t="shared" si="5"/>
        <v>1</v>
      </c>
      <c r="M65" s="126">
        <f t="shared" si="5"/>
        <v>0.30743437083181213</v>
      </c>
      <c r="N65" s="126">
        <f t="shared" si="5"/>
        <v>0.30743437083181213</v>
      </c>
      <c r="O65" s="126">
        <f t="shared" si="5"/>
        <v>0.30743437083181213</v>
      </c>
      <c r="P65" s="126">
        <f t="shared" si="5"/>
        <v>0.69256562916818787</v>
      </c>
      <c r="Q65" s="126">
        <f t="shared" si="5"/>
        <v>1</v>
      </c>
      <c r="R65" s="126">
        <f t="shared" si="5"/>
        <v>1</v>
      </c>
      <c r="S65" s="126">
        <f t="shared" si="5"/>
        <v>1</v>
      </c>
      <c r="T65" s="83"/>
      <c r="U65" s="83"/>
      <c r="W65" s="3"/>
    </row>
    <row r="66" spans="6:23" x14ac:dyDescent="0.3">
      <c r="F66" t="s">
        <v>831</v>
      </c>
      <c r="G66" s="72" t="s">
        <v>190</v>
      </c>
      <c r="J66" s="98">
        <f t="shared" ref="J66:S66" si="6">IF(J$38 = "", J47, J47 * J$38)</f>
        <v>1</v>
      </c>
      <c r="K66" s="98">
        <f t="shared" si="6"/>
        <v>1</v>
      </c>
      <c r="L66" s="98">
        <f t="shared" si="6"/>
        <v>1</v>
      </c>
      <c r="M66" s="98">
        <f t="shared" si="6"/>
        <v>0.30743437083181213</v>
      </c>
      <c r="N66" s="98">
        <f t="shared" si="6"/>
        <v>0.30743437083181213</v>
      </c>
      <c r="O66" s="98">
        <f t="shared" si="6"/>
        <v>0.30743437083181213</v>
      </c>
      <c r="P66" s="98">
        <f t="shared" si="6"/>
        <v>0.69256562916818787</v>
      </c>
      <c r="Q66" s="98">
        <f t="shared" si="6"/>
        <v>1</v>
      </c>
      <c r="R66" s="98">
        <f t="shared" si="6"/>
        <v>1</v>
      </c>
      <c r="S66" s="98">
        <f t="shared" si="6"/>
        <v>1</v>
      </c>
      <c r="T66" s="79"/>
      <c r="U66" s="79"/>
    </row>
    <row r="67" spans="6:23" x14ac:dyDescent="0.3">
      <c r="F67" t="s">
        <v>830</v>
      </c>
      <c r="G67" s="72" t="s">
        <v>190</v>
      </c>
      <c r="J67" s="98">
        <f t="shared" ref="J67:S67" si="7">IF(J$38 = "", J48, J48 * J$38)</f>
        <v>1</v>
      </c>
      <c r="K67" s="98">
        <f t="shared" si="7"/>
        <v>1</v>
      </c>
      <c r="L67" s="98">
        <f t="shared" si="7"/>
        <v>1</v>
      </c>
      <c r="M67" s="98">
        <f t="shared" si="7"/>
        <v>0.30743437083181213</v>
      </c>
      <c r="N67" s="98">
        <f t="shared" si="7"/>
        <v>0.30743437083181213</v>
      </c>
      <c r="O67" s="98">
        <f t="shared" si="7"/>
        <v>0.30743437083181213</v>
      </c>
      <c r="P67" s="98">
        <f t="shared" si="7"/>
        <v>0.69256562916818787</v>
      </c>
      <c r="Q67" s="98">
        <f t="shared" si="7"/>
        <v>1</v>
      </c>
      <c r="R67" s="98">
        <f t="shared" si="7"/>
        <v>1</v>
      </c>
      <c r="S67" s="98">
        <f t="shared" si="7"/>
        <v>1</v>
      </c>
      <c r="T67" s="79"/>
      <c r="U67" s="79"/>
    </row>
    <row r="68" spans="6:23" x14ac:dyDescent="0.3">
      <c r="F68" t="s">
        <v>832</v>
      </c>
      <c r="G68" s="72" t="s">
        <v>190</v>
      </c>
      <c r="J68" s="98">
        <f t="shared" ref="J68:S68" si="8">IF(J$38 = "", J49, J49 * J$38)</f>
        <v>1</v>
      </c>
      <c r="K68" s="98">
        <f t="shared" si="8"/>
        <v>1</v>
      </c>
      <c r="L68" s="98">
        <f t="shared" si="8"/>
        <v>1</v>
      </c>
      <c r="M68" s="98">
        <f t="shared" si="8"/>
        <v>0.30743437083181213</v>
      </c>
      <c r="N68" s="98">
        <f t="shared" si="8"/>
        <v>0.30743437083181213</v>
      </c>
      <c r="O68" s="98">
        <f t="shared" si="8"/>
        <v>0.30743437083181213</v>
      </c>
      <c r="P68" s="98">
        <f t="shared" si="8"/>
        <v>0.69256562916818787</v>
      </c>
      <c r="Q68" s="98">
        <f t="shared" si="8"/>
        <v>1</v>
      </c>
      <c r="R68" s="98">
        <f t="shared" si="8"/>
        <v>1</v>
      </c>
      <c r="S68" s="98">
        <f t="shared" si="8"/>
        <v>1</v>
      </c>
      <c r="T68" s="79"/>
      <c r="U68" s="79"/>
    </row>
    <row r="69" spans="6:23" x14ac:dyDescent="0.3">
      <c r="F69" t="s">
        <v>838</v>
      </c>
      <c r="G69" s="72" t="s">
        <v>190</v>
      </c>
      <c r="J69" s="98">
        <f t="shared" ref="J69:S69" si="9">IF(J$38 = "", J50, J50 * J$38)</f>
        <v>1</v>
      </c>
      <c r="K69" s="98">
        <f t="shared" si="9"/>
        <v>1</v>
      </c>
      <c r="L69" s="98">
        <f t="shared" si="9"/>
        <v>1</v>
      </c>
      <c r="M69" s="98">
        <f t="shared" si="9"/>
        <v>0.30743437083181213</v>
      </c>
      <c r="N69" s="98">
        <f t="shared" si="9"/>
        <v>0.30743437083181213</v>
      </c>
      <c r="O69" s="98">
        <f t="shared" si="9"/>
        <v>0.30743437083181213</v>
      </c>
      <c r="P69" s="98">
        <f t="shared" si="9"/>
        <v>0.69256562916818787</v>
      </c>
      <c r="Q69" s="98">
        <f t="shared" si="9"/>
        <v>1</v>
      </c>
      <c r="R69" s="98">
        <f t="shared" si="9"/>
        <v>1</v>
      </c>
      <c r="S69" s="98">
        <f t="shared" si="9"/>
        <v>1</v>
      </c>
      <c r="T69" s="79"/>
      <c r="U69" s="79"/>
    </row>
    <row r="70" spans="6:23" x14ac:dyDescent="0.3">
      <c r="F70" t="s">
        <v>839</v>
      </c>
      <c r="G70" s="72" t="s">
        <v>190</v>
      </c>
      <c r="J70" s="98">
        <f t="shared" ref="J70:S70" si="10">IF(J$38 = "", J51, J51 * J$38)</f>
        <v>1</v>
      </c>
      <c r="K70" s="98">
        <f t="shared" si="10"/>
        <v>1</v>
      </c>
      <c r="L70" s="98">
        <f t="shared" si="10"/>
        <v>1</v>
      </c>
      <c r="M70" s="98">
        <f t="shared" si="10"/>
        <v>0.30743437083181213</v>
      </c>
      <c r="N70" s="98">
        <f t="shared" si="10"/>
        <v>0.30743437083181213</v>
      </c>
      <c r="O70" s="98">
        <f t="shared" si="10"/>
        <v>0.30743437083181213</v>
      </c>
      <c r="P70" s="98">
        <f t="shared" si="10"/>
        <v>0.69256562916818787</v>
      </c>
      <c r="Q70" s="98">
        <f t="shared" si="10"/>
        <v>1</v>
      </c>
      <c r="R70" s="98">
        <f t="shared" si="10"/>
        <v>1</v>
      </c>
      <c r="S70" s="98">
        <f t="shared" si="10"/>
        <v>0</v>
      </c>
      <c r="T70" s="79"/>
      <c r="U70" s="79"/>
    </row>
    <row r="71" spans="6:23" x14ac:dyDescent="0.3">
      <c r="F71" t="s">
        <v>840</v>
      </c>
      <c r="G71" s="72" t="s">
        <v>190</v>
      </c>
      <c r="J71" s="98">
        <f t="shared" ref="J71:S71" si="11">IF(J$38 = "", J52, J52 * J$38)</f>
        <v>1</v>
      </c>
      <c r="K71" s="98">
        <f t="shared" si="11"/>
        <v>1</v>
      </c>
      <c r="L71" s="98">
        <f t="shared" si="11"/>
        <v>1</v>
      </c>
      <c r="M71" s="98">
        <f t="shared" si="11"/>
        <v>0.30743437083181213</v>
      </c>
      <c r="N71" s="98">
        <f t="shared" si="11"/>
        <v>0.30743437083181213</v>
      </c>
      <c r="O71" s="98">
        <f t="shared" si="11"/>
        <v>0.30743437083181213</v>
      </c>
      <c r="P71" s="98">
        <f t="shared" si="11"/>
        <v>0.69256562916818787</v>
      </c>
      <c r="Q71" s="98">
        <f t="shared" si="11"/>
        <v>1</v>
      </c>
      <c r="R71" s="98">
        <f t="shared" si="11"/>
        <v>0</v>
      </c>
      <c r="S71" s="98">
        <f t="shared" si="11"/>
        <v>0</v>
      </c>
      <c r="T71" s="79"/>
      <c r="U71" s="79"/>
    </row>
    <row r="72" spans="6:23" x14ac:dyDescent="0.3">
      <c r="F72" t="s">
        <v>841</v>
      </c>
      <c r="G72" s="72" t="s">
        <v>190</v>
      </c>
      <c r="J72" s="98">
        <f t="shared" ref="J72:S72" si="12">IF(J$38 = "", J53, J53 * J$38)</f>
        <v>1</v>
      </c>
      <c r="K72" s="98">
        <f t="shared" si="12"/>
        <v>1</v>
      </c>
      <c r="L72" s="98">
        <f t="shared" si="12"/>
        <v>1</v>
      </c>
      <c r="M72" s="98">
        <f t="shared" si="12"/>
        <v>0.30743437083181213</v>
      </c>
      <c r="N72" s="98">
        <f t="shared" si="12"/>
        <v>0.30743437083181213</v>
      </c>
      <c r="O72" s="98">
        <f t="shared" si="12"/>
        <v>0.30743437083181213</v>
      </c>
      <c r="P72" s="98">
        <f t="shared" si="12"/>
        <v>0.69256562916818787</v>
      </c>
      <c r="Q72" s="98">
        <f t="shared" si="12"/>
        <v>1</v>
      </c>
      <c r="R72" s="98">
        <f t="shared" si="12"/>
        <v>1</v>
      </c>
      <c r="S72" s="98">
        <f t="shared" si="12"/>
        <v>1</v>
      </c>
      <c r="T72" s="79"/>
      <c r="U72" s="79"/>
    </row>
    <row r="73" spans="6:23" x14ac:dyDescent="0.3">
      <c r="F73" t="s">
        <v>833</v>
      </c>
      <c r="G73" s="72" t="s">
        <v>190</v>
      </c>
      <c r="J73" s="98">
        <f t="shared" ref="J73:S73" si="13">IF(J$38 = "", J54, J54 * J$38)</f>
        <v>-1</v>
      </c>
      <c r="K73" s="98">
        <f t="shared" si="13"/>
        <v>-1</v>
      </c>
      <c r="L73" s="98">
        <f t="shared" si="13"/>
        <v>-1</v>
      </c>
      <c r="M73" s="98">
        <f t="shared" si="13"/>
        <v>-0.30743437083181213</v>
      </c>
      <c r="N73" s="98">
        <f t="shared" si="13"/>
        <v>-0.30743437083181213</v>
      </c>
      <c r="O73" s="98">
        <f t="shared" si="13"/>
        <v>-0.30743437083181213</v>
      </c>
      <c r="P73" s="98">
        <f t="shared" si="13"/>
        <v>-0.69256562916818787</v>
      </c>
      <c r="Q73" s="98">
        <f t="shared" si="13"/>
        <v>-1</v>
      </c>
      <c r="R73" s="98">
        <f t="shared" si="13"/>
        <v>-1</v>
      </c>
      <c r="S73" s="98">
        <f t="shared" si="13"/>
        <v>-1</v>
      </c>
      <c r="T73" s="79"/>
      <c r="U73" s="79"/>
    </row>
    <row r="74" spans="6:23" x14ac:dyDescent="0.3">
      <c r="F74" t="s">
        <v>834</v>
      </c>
      <c r="G74" s="72" t="s">
        <v>190</v>
      </c>
      <c r="J74" s="98">
        <f t="shared" ref="J74:S74" si="14">IF(J$38 = "", J55, J55 * J$38)</f>
        <v>-1</v>
      </c>
      <c r="K74" s="98">
        <f t="shared" si="14"/>
        <v>-1</v>
      </c>
      <c r="L74" s="98">
        <f t="shared" si="14"/>
        <v>-1</v>
      </c>
      <c r="M74" s="98">
        <f t="shared" si="14"/>
        <v>-0.30743437083181213</v>
      </c>
      <c r="N74" s="98">
        <f t="shared" si="14"/>
        <v>-0.30743437083181213</v>
      </c>
      <c r="O74" s="98">
        <f t="shared" si="14"/>
        <v>-0.30743437083181213</v>
      </c>
      <c r="P74" s="98">
        <f t="shared" si="14"/>
        <v>-0.69256562916818787</v>
      </c>
      <c r="Q74" s="98">
        <f t="shared" si="14"/>
        <v>-1</v>
      </c>
      <c r="R74" s="98">
        <f t="shared" si="14"/>
        <v>-1</v>
      </c>
      <c r="S74" s="98">
        <f t="shared" si="14"/>
        <v>0</v>
      </c>
      <c r="T74" s="79"/>
      <c r="U74" s="79"/>
    </row>
    <row r="75" spans="6:23" x14ac:dyDescent="0.3">
      <c r="F75" t="s">
        <v>835</v>
      </c>
      <c r="G75" s="72" t="s">
        <v>190</v>
      </c>
      <c r="J75" s="98">
        <f t="shared" ref="J75:S75" si="15">IF(J$38 = "", J56, J56 * J$38)</f>
        <v>-1</v>
      </c>
      <c r="K75" s="98">
        <f t="shared" si="15"/>
        <v>-1</v>
      </c>
      <c r="L75" s="98">
        <f t="shared" si="15"/>
        <v>-1</v>
      </c>
      <c r="M75" s="98">
        <f t="shared" si="15"/>
        <v>-0.30743437083181213</v>
      </c>
      <c r="N75" s="98">
        <f t="shared" si="15"/>
        <v>-0.30743437083181213</v>
      </c>
      <c r="O75" s="98">
        <f t="shared" si="15"/>
        <v>-0.30743437083181213</v>
      </c>
      <c r="P75" s="98">
        <f t="shared" si="15"/>
        <v>-0.69256562916818787</v>
      </c>
      <c r="Q75" s="98">
        <f t="shared" si="15"/>
        <v>-1</v>
      </c>
      <c r="R75" s="98">
        <f t="shared" si="15"/>
        <v>-1</v>
      </c>
      <c r="S75" s="98">
        <f t="shared" si="15"/>
        <v>-1</v>
      </c>
      <c r="T75" s="79"/>
      <c r="U75" s="79"/>
    </row>
    <row r="76" spans="6:23" x14ac:dyDescent="0.3">
      <c r="F76" t="s">
        <v>844</v>
      </c>
      <c r="G76" s="72" t="s">
        <v>190</v>
      </c>
      <c r="J76" s="98">
        <f t="shared" ref="J76:S76" si="16">IF(J$38 = "", J57, J57 * J$38)</f>
        <v>-1</v>
      </c>
      <c r="K76" s="98">
        <f t="shared" si="16"/>
        <v>-1</v>
      </c>
      <c r="L76" s="98">
        <f t="shared" si="16"/>
        <v>-1</v>
      </c>
      <c r="M76" s="98">
        <f t="shared" si="16"/>
        <v>-0.30743437083181213</v>
      </c>
      <c r="N76" s="98">
        <f t="shared" si="16"/>
        <v>-0.30743437083181213</v>
      </c>
      <c r="O76" s="98">
        <f t="shared" si="16"/>
        <v>-0.30743437083181213</v>
      </c>
      <c r="P76" s="98">
        <f t="shared" si="16"/>
        <v>-0.69256562916818787</v>
      </c>
      <c r="Q76" s="98">
        <f t="shared" si="16"/>
        <v>-1</v>
      </c>
      <c r="R76" s="98">
        <f t="shared" si="16"/>
        <v>-1</v>
      </c>
      <c r="S76" s="98">
        <f t="shared" si="16"/>
        <v>-1</v>
      </c>
      <c r="T76" s="79"/>
      <c r="U76" s="79"/>
    </row>
    <row r="77" spans="6:23" x14ac:dyDescent="0.3">
      <c r="F77" t="s">
        <v>836</v>
      </c>
      <c r="G77" s="72" t="s">
        <v>190</v>
      </c>
      <c r="J77" s="98">
        <f t="shared" ref="J77:S77" si="17">IF(J$38 = "", J58, J58 * J$38)</f>
        <v>-1</v>
      </c>
      <c r="K77" s="98">
        <f t="shared" si="17"/>
        <v>-1</v>
      </c>
      <c r="L77" s="98">
        <f t="shared" si="17"/>
        <v>-1</v>
      </c>
      <c r="M77" s="98">
        <f t="shared" si="17"/>
        <v>-0.30743437083181213</v>
      </c>
      <c r="N77" s="98">
        <f t="shared" si="17"/>
        <v>-0.30743437083181213</v>
      </c>
      <c r="O77" s="98">
        <f t="shared" si="17"/>
        <v>-0.30743437083181213</v>
      </c>
      <c r="P77" s="98">
        <f t="shared" si="17"/>
        <v>-0.69256562916818787</v>
      </c>
      <c r="Q77" s="98">
        <f t="shared" si="17"/>
        <v>-1</v>
      </c>
      <c r="R77" s="98">
        <f t="shared" si="17"/>
        <v>-1</v>
      </c>
      <c r="S77" s="98">
        <f t="shared" si="17"/>
        <v>0</v>
      </c>
      <c r="T77" s="79"/>
      <c r="U77" s="79"/>
    </row>
    <row r="78" spans="6:23" x14ac:dyDescent="0.3">
      <c r="F78" t="s">
        <v>843</v>
      </c>
      <c r="G78" s="72" t="s">
        <v>190</v>
      </c>
      <c r="J78" s="98">
        <f t="shared" ref="J78:S78" si="18">IF(J$38 = "", J59, J59 * J$38)</f>
        <v>-1</v>
      </c>
      <c r="K78" s="98">
        <f t="shared" si="18"/>
        <v>-1</v>
      </c>
      <c r="L78" s="98">
        <f t="shared" si="18"/>
        <v>-1</v>
      </c>
      <c r="M78" s="98">
        <f t="shared" si="18"/>
        <v>-0.30743437083181213</v>
      </c>
      <c r="N78" s="98">
        <f t="shared" si="18"/>
        <v>-0.30743437083181213</v>
      </c>
      <c r="O78" s="98">
        <f t="shared" si="18"/>
        <v>-0.30743437083181213</v>
      </c>
      <c r="P78" s="98">
        <f t="shared" si="18"/>
        <v>-0.69256562916818787</v>
      </c>
      <c r="Q78" s="98">
        <f t="shared" si="18"/>
        <v>-1</v>
      </c>
      <c r="R78" s="98">
        <f t="shared" si="18"/>
        <v>-1</v>
      </c>
      <c r="S78" s="98">
        <f t="shared" si="18"/>
        <v>0</v>
      </c>
      <c r="T78" s="79"/>
      <c r="U78" s="79"/>
    </row>
    <row r="79" spans="6:23" x14ac:dyDescent="0.3">
      <c r="F79" t="s">
        <v>837</v>
      </c>
      <c r="G79" s="72" t="s">
        <v>190</v>
      </c>
      <c r="J79" s="98">
        <f t="shared" ref="J79:S79" si="19">IF(J$38 = "", J60, J60 * J$38)</f>
        <v>-1</v>
      </c>
      <c r="K79" s="98">
        <f t="shared" si="19"/>
        <v>-1</v>
      </c>
      <c r="L79" s="98">
        <f t="shared" si="19"/>
        <v>-1</v>
      </c>
      <c r="M79" s="98">
        <f t="shared" si="19"/>
        <v>-0.30743437083181213</v>
      </c>
      <c r="N79" s="98">
        <f t="shared" si="19"/>
        <v>-0.30743437083181213</v>
      </c>
      <c r="O79" s="98">
        <f t="shared" si="19"/>
        <v>-0.30743437083181213</v>
      </c>
      <c r="P79" s="98">
        <f t="shared" si="19"/>
        <v>-0.69256562916818787</v>
      </c>
      <c r="Q79" s="98">
        <f t="shared" si="19"/>
        <v>-1</v>
      </c>
      <c r="R79" s="98">
        <f t="shared" si="19"/>
        <v>0</v>
      </c>
      <c r="S79" s="98">
        <f t="shared" si="19"/>
        <v>0</v>
      </c>
      <c r="T79" s="79"/>
      <c r="U79" s="79"/>
    </row>
    <row r="80" spans="6:23" x14ac:dyDescent="0.3">
      <c r="F80" s="37" t="s">
        <v>842</v>
      </c>
      <c r="G80" s="80" t="s">
        <v>190</v>
      </c>
      <c r="H80" s="37"/>
      <c r="I80" s="37"/>
      <c r="J80" s="100">
        <f t="shared" ref="J80:S80" si="20">IF(J$38 = "", J61, J61 * J$38)</f>
        <v>-1</v>
      </c>
      <c r="K80" s="100">
        <f t="shared" si="20"/>
        <v>-1</v>
      </c>
      <c r="L80" s="100">
        <f t="shared" si="20"/>
        <v>-1</v>
      </c>
      <c r="M80" s="100">
        <f t="shared" si="20"/>
        <v>-0.30743437083181213</v>
      </c>
      <c r="N80" s="100">
        <f t="shared" si="20"/>
        <v>-0.30743437083181213</v>
      </c>
      <c r="O80" s="100">
        <f t="shared" si="20"/>
        <v>-0.30743437083181213</v>
      </c>
      <c r="P80" s="100">
        <f t="shared" si="20"/>
        <v>-0.69256562916818787</v>
      </c>
      <c r="Q80" s="100">
        <f t="shared" si="20"/>
        <v>-1</v>
      </c>
      <c r="R80" s="100">
        <f t="shared" si="20"/>
        <v>0</v>
      </c>
      <c r="S80" s="100">
        <f t="shared" si="20"/>
        <v>0</v>
      </c>
      <c r="T80" s="81"/>
      <c r="U80" s="81"/>
    </row>
    <row r="81" spans="5:23" x14ac:dyDescent="0.3">
      <c r="G81" s="13"/>
      <c r="J81" s="89"/>
      <c r="K81" s="89"/>
      <c r="L81" s="89"/>
      <c r="M81" s="89"/>
      <c r="N81" s="89"/>
      <c r="O81" s="89"/>
      <c r="P81" s="89"/>
      <c r="Q81" s="89"/>
      <c r="R81" s="89"/>
      <c r="S81" s="89"/>
      <c r="T81" s="89"/>
      <c r="U81" s="89"/>
    </row>
    <row r="82" spans="5:23" x14ac:dyDescent="0.3">
      <c r="E82" s="32" t="s">
        <v>200</v>
      </c>
      <c r="G82" s="13"/>
      <c r="I82" t="s">
        <v>154</v>
      </c>
      <c r="J82" s="89"/>
      <c r="K82" s="89"/>
      <c r="L82" s="89"/>
      <c r="M82" s="89"/>
      <c r="N82" s="89"/>
      <c r="O82" s="89"/>
      <c r="P82" s="89"/>
      <c r="Q82" s="89"/>
      <c r="R82" s="89"/>
      <c r="S82" s="89"/>
      <c r="T82" s="89"/>
      <c r="U82" s="89"/>
      <c r="W82" s="3" t="s">
        <v>402</v>
      </c>
    </row>
    <row r="83" spans="5:23" x14ac:dyDescent="0.3">
      <c r="E83" s="29" t="s">
        <v>202</v>
      </c>
      <c r="G83" s="13"/>
      <c r="J83" s="89"/>
      <c r="K83" s="89"/>
      <c r="L83" s="89"/>
      <c r="M83" s="89"/>
      <c r="N83" s="89"/>
      <c r="O83" s="89"/>
      <c r="P83" s="89"/>
      <c r="Q83" s="89"/>
      <c r="R83" s="89"/>
      <c r="S83" s="89"/>
      <c r="T83" s="89"/>
      <c r="U83" s="89"/>
    </row>
    <row r="84" spans="5:23" x14ac:dyDescent="0.3">
      <c r="F84" s="23" t="s">
        <v>829</v>
      </c>
      <c r="G84" s="78" t="s">
        <v>176</v>
      </c>
      <c r="H84" s="23"/>
      <c r="I84" s="23"/>
      <c r="J84" s="124">
        <f t="array" ref="J84:S99">TRANSPOSE('Fixed inputs'!J73:Y82)</f>
        <v>1</v>
      </c>
      <c r="K84" s="124">
        <v>1</v>
      </c>
      <c r="L84" s="124">
        <v>1</v>
      </c>
      <c r="M84" s="124">
        <v>1</v>
      </c>
      <c r="N84" s="124">
        <v>1</v>
      </c>
      <c r="O84" s="124">
        <v>1</v>
      </c>
      <c r="P84" s="124">
        <v>1</v>
      </c>
      <c r="Q84" s="124">
        <v>1</v>
      </c>
      <c r="R84" s="124">
        <v>1</v>
      </c>
      <c r="S84" s="124">
        <v>1</v>
      </c>
      <c r="T84" s="83"/>
      <c r="U84" s="83"/>
    </row>
    <row r="85" spans="5:23" x14ac:dyDescent="0.3">
      <c r="F85" t="s">
        <v>831</v>
      </c>
      <c r="G85" s="72" t="s">
        <v>176</v>
      </c>
      <c r="J85" s="120">
        <v>1</v>
      </c>
      <c r="K85" s="120">
        <v>1</v>
      </c>
      <c r="L85" s="120">
        <v>1</v>
      </c>
      <c r="M85" s="120">
        <v>1</v>
      </c>
      <c r="N85" s="120">
        <v>1</v>
      </c>
      <c r="O85" s="120">
        <v>1</v>
      </c>
      <c r="P85" s="120">
        <v>1</v>
      </c>
      <c r="Q85" s="120">
        <v>1</v>
      </c>
      <c r="R85" s="120">
        <v>1</v>
      </c>
      <c r="S85" s="120">
        <v>1</v>
      </c>
      <c r="T85" s="79"/>
      <c r="U85" s="79"/>
    </row>
    <row r="86" spans="5:23" x14ac:dyDescent="0.3">
      <c r="F86" t="s">
        <v>830</v>
      </c>
      <c r="G86" s="72" t="s">
        <v>176</v>
      </c>
      <c r="J86" s="120">
        <v>1</v>
      </c>
      <c r="K86" s="120">
        <v>1</v>
      </c>
      <c r="L86" s="120">
        <v>1</v>
      </c>
      <c r="M86" s="120">
        <v>1</v>
      </c>
      <c r="N86" s="120">
        <v>1</v>
      </c>
      <c r="O86" s="120">
        <v>1</v>
      </c>
      <c r="P86" s="120">
        <v>1</v>
      </c>
      <c r="Q86" s="120">
        <v>1</v>
      </c>
      <c r="R86" s="120">
        <v>1</v>
      </c>
      <c r="S86" s="120">
        <v>1</v>
      </c>
      <c r="T86" s="79"/>
      <c r="U86" s="79"/>
    </row>
    <row r="87" spans="5:23" x14ac:dyDescent="0.3">
      <c r="F87" t="s">
        <v>832</v>
      </c>
      <c r="G87" s="72" t="s">
        <v>176</v>
      </c>
      <c r="J87" s="120">
        <v>1</v>
      </c>
      <c r="K87" s="120">
        <v>1</v>
      </c>
      <c r="L87" s="120">
        <v>1</v>
      </c>
      <c r="M87" s="120">
        <v>1</v>
      </c>
      <c r="N87" s="120">
        <v>1</v>
      </c>
      <c r="O87" s="120">
        <v>1</v>
      </c>
      <c r="P87" s="120">
        <v>1</v>
      </c>
      <c r="Q87" s="120">
        <v>1</v>
      </c>
      <c r="R87" s="120">
        <v>1</v>
      </c>
      <c r="S87" s="120">
        <v>1</v>
      </c>
      <c r="T87" s="79"/>
      <c r="U87" s="79"/>
    </row>
    <row r="88" spans="5:23" x14ac:dyDescent="0.3">
      <c r="F88" t="s">
        <v>838</v>
      </c>
      <c r="G88" s="72" t="s">
        <v>176</v>
      </c>
      <c r="J88" s="120">
        <v>1</v>
      </c>
      <c r="K88" s="120">
        <v>1</v>
      </c>
      <c r="L88" s="120">
        <v>1</v>
      </c>
      <c r="M88" s="120">
        <v>1</v>
      </c>
      <c r="N88" s="120">
        <v>1</v>
      </c>
      <c r="O88" s="120">
        <v>1</v>
      </c>
      <c r="P88" s="120">
        <v>1</v>
      </c>
      <c r="Q88" s="120">
        <v>1</v>
      </c>
      <c r="R88" s="120">
        <v>1</v>
      </c>
      <c r="S88" s="120">
        <v>1</v>
      </c>
      <c r="T88" s="79"/>
      <c r="U88" s="79"/>
    </row>
    <row r="89" spans="5:23" x14ac:dyDescent="0.3">
      <c r="F89" t="s">
        <v>839</v>
      </c>
      <c r="G89" s="72" t="s">
        <v>176</v>
      </c>
      <c r="J89" s="120">
        <v>1</v>
      </c>
      <c r="K89" s="120">
        <v>1</v>
      </c>
      <c r="L89" s="120">
        <v>1</v>
      </c>
      <c r="M89" s="120">
        <v>1</v>
      </c>
      <c r="N89" s="120">
        <v>1</v>
      </c>
      <c r="O89" s="120">
        <v>1</v>
      </c>
      <c r="P89" s="120">
        <v>1</v>
      </c>
      <c r="Q89" s="120">
        <v>1</v>
      </c>
      <c r="R89" s="120">
        <v>1</v>
      </c>
      <c r="S89" s="120">
        <v>0</v>
      </c>
      <c r="T89" s="79"/>
      <c r="U89" s="79"/>
    </row>
    <row r="90" spans="5:23" x14ac:dyDescent="0.3">
      <c r="F90" t="s">
        <v>840</v>
      </c>
      <c r="G90" s="72" t="s">
        <v>176</v>
      </c>
      <c r="J90" s="120">
        <v>1</v>
      </c>
      <c r="K90" s="120">
        <v>1</v>
      </c>
      <c r="L90" s="120">
        <v>1</v>
      </c>
      <c r="M90" s="120">
        <v>1</v>
      </c>
      <c r="N90" s="120">
        <v>1</v>
      </c>
      <c r="O90" s="120">
        <v>1</v>
      </c>
      <c r="P90" s="120">
        <v>1</v>
      </c>
      <c r="Q90" s="120">
        <v>1</v>
      </c>
      <c r="R90" s="120">
        <v>0</v>
      </c>
      <c r="S90" s="120">
        <v>0</v>
      </c>
      <c r="T90" s="79"/>
      <c r="U90" s="79"/>
    </row>
    <row r="91" spans="5:23" x14ac:dyDescent="0.3">
      <c r="F91" t="s">
        <v>841</v>
      </c>
      <c r="G91" s="72" t="s">
        <v>176</v>
      </c>
      <c r="J91" s="120">
        <v>1</v>
      </c>
      <c r="K91" s="120">
        <v>1</v>
      </c>
      <c r="L91" s="120">
        <v>1</v>
      </c>
      <c r="M91" s="120">
        <v>1</v>
      </c>
      <c r="N91" s="120">
        <v>1</v>
      </c>
      <c r="O91" s="120">
        <v>1</v>
      </c>
      <c r="P91" s="120">
        <v>1</v>
      </c>
      <c r="Q91" s="120">
        <v>1</v>
      </c>
      <c r="R91" s="120">
        <v>1</v>
      </c>
      <c r="S91" s="120">
        <v>1</v>
      </c>
      <c r="T91" s="79"/>
      <c r="U91" s="79"/>
    </row>
    <row r="92" spans="5:23" x14ac:dyDescent="0.3">
      <c r="F92" t="s">
        <v>833</v>
      </c>
      <c r="G92" s="72" t="s">
        <v>176</v>
      </c>
      <c r="J92" s="120">
        <v>-1</v>
      </c>
      <c r="K92" s="120">
        <v>-1</v>
      </c>
      <c r="L92" s="120">
        <v>-1</v>
      </c>
      <c r="M92" s="120">
        <v>-1</v>
      </c>
      <c r="N92" s="120">
        <v>-1</v>
      </c>
      <c r="O92" s="120">
        <v>-1</v>
      </c>
      <c r="P92" s="120">
        <v>-1</v>
      </c>
      <c r="Q92" s="120">
        <v>-1</v>
      </c>
      <c r="R92" s="120">
        <v>-1</v>
      </c>
      <c r="S92" s="120">
        <v>0</v>
      </c>
      <c r="T92" s="79"/>
      <c r="U92" s="79"/>
    </row>
    <row r="93" spans="5:23" x14ac:dyDescent="0.3">
      <c r="F93" t="s">
        <v>834</v>
      </c>
      <c r="G93" s="72" t="s">
        <v>176</v>
      </c>
      <c r="J93" s="120">
        <v>-1</v>
      </c>
      <c r="K93" s="120">
        <v>-1</v>
      </c>
      <c r="L93" s="120">
        <v>-1</v>
      </c>
      <c r="M93" s="120">
        <v>-1</v>
      </c>
      <c r="N93" s="120">
        <v>-1</v>
      </c>
      <c r="O93" s="120">
        <v>-1</v>
      </c>
      <c r="P93" s="120">
        <v>-1</v>
      </c>
      <c r="Q93" s="120">
        <v>-1</v>
      </c>
      <c r="R93" s="120">
        <v>0</v>
      </c>
      <c r="S93" s="120">
        <v>0</v>
      </c>
      <c r="T93" s="79"/>
      <c r="U93" s="79"/>
    </row>
    <row r="94" spans="5:23" x14ac:dyDescent="0.3">
      <c r="F94" t="s">
        <v>835</v>
      </c>
      <c r="G94" s="72" t="s">
        <v>176</v>
      </c>
      <c r="J94" s="120">
        <v>-1</v>
      </c>
      <c r="K94" s="120">
        <v>-1</v>
      </c>
      <c r="L94" s="120">
        <v>-1</v>
      </c>
      <c r="M94" s="120">
        <v>-1</v>
      </c>
      <c r="N94" s="120">
        <v>-1</v>
      </c>
      <c r="O94" s="120">
        <v>-1</v>
      </c>
      <c r="P94" s="120">
        <v>-1</v>
      </c>
      <c r="Q94" s="120">
        <v>-1</v>
      </c>
      <c r="R94" s="120">
        <v>-1</v>
      </c>
      <c r="S94" s="120">
        <v>0</v>
      </c>
      <c r="T94" s="79"/>
      <c r="U94" s="79"/>
    </row>
    <row r="95" spans="5:23" x14ac:dyDescent="0.3">
      <c r="F95" t="s">
        <v>844</v>
      </c>
      <c r="G95" s="72" t="s">
        <v>176</v>
      </c>
      <c r="J95" s="120">
        <v>-1</v>
      </c>
      <c r="K95" s="120">
        <v>-1</v>
      </c>
      <c r="L95" s="120">
        <v>-1</v>
      </c>
      <c r="M95" s="120">
        <v>-1</v>
      </c>
      <c r="N95" s="120">
        <v>-1</v>
      </c>
      <c r="O95" s="120">
        <v>-1</v>
      </c>
      <c r="P95" s="120">
        <v>-1</v>
      </c>
      <c r="Q95" s="120">
        <v>-1</v>
      </c>
      <c r="R95" s="120">
        <v>-1</v>
      </c>
      <c r="S95" s="120">
        <v>0</v>
      </c>
      <c r="T95" s="79"/>
      <c r="U95" s="79"/>
    </row>
    <row r="96" spans="5:23" x14ac:dyDescent="0.3">
      <c r="F96" t="s">
        <v>836</v>
      </c>
      <c r="G96" s="72" t="s">
        <v>176</v>
      </c>
      <c r="J96" s="120">
        <v>-1</v>
      </c>
      <c r="K96" s="120">
        <v>-1</v>
      </c>
      <c r="L96" s="120">
        <v>-1</v>
      </c>
      <c r="M96" s="120">
        <v>-1</v>
      </c>
      <c r="N96" s="120">
        <v>-1</v>
      </c>
      <c r="O96" s="120">
        <v>-1</v>
      </c>
      <c r="P96" s="120">
        <v>-1</v>
      </c>
      <c r="Q96" s="120">
        <v>-1</v>
      </c>
      <c r="R96" s="120">
        <v>0</v>
      </c>
      <c r="S96" s="120">
        <v>0</v>
      </c>
      <c r="T96" s="79"/>
      <c r="U96" s="79"/>
    </row>
    <row r="97" spans="5:23" x14ac:dyDescent="0.3">
      <c r="F97" t="s">
        <v>843</v>
      </c>
      <c r="G97" s="72" t="s">
        <v>176</v>
      </c>
      <c r="J97" s="120">
        <v>-1</v>
      </c>
      <c r="K97" s="120">
        <v>-1</v>
      </c>
      <c r="L97" s="120">
        <v>-1</v>
      </c>
      <c r="M97" s="120">
        <v>-1</v>
      </c>
      <c r="N97" s="120">
        <v>-1</v>
      </c>
      <c r="O97" s="120">
        <v>-1</v>
      </c>
      <c r="P97" s="120">
        <v>-1</v>
      </c>
      <c r="Q97" s="120">
        <v>-1</v>
      </c>
      <c r="R97" s="120">
        <v>0</v>
      </c>
      <c r="S97" s="120">
        <v>0</v>
      </c>
      <c r="T97" s="79"/>
      <c r="U97" s="79"/>
    </row>
    <row r="98" spans="5:23" x14ac:dyDescent="0.3">
      <c r="F98" t="s">
        <v>837</v>
      </c>
      <c r="G98" s="72" t="s">
        <v>176</v>
      </c>
      <c r="J98" s="120">
        <v>-1</v>
      </c>
      <c r="K98" s="120">
        <v>-1</v>
      </c>
      <c r="L98" s="120">
        <v>-1</v>
      </c>
      <c r="M98" s="120">
        <v>-1</v>
      </c>
      <c r="N98" s="120">
        <v>-1</v>
      </c>
      <c r="O98" s="120">
        <v>-1</v>
      </c>
      <c r="P98" s="120">
        <v>-1</v>
      </c>
      <c r="Q98" s="120">
        <v>0</v>
      </c>
      <c r="R98" s="120">
        <v>0</v>
      </c>
      <c r="S98" s="120">
        <v>0</v>
      </c>
      <c r="T98" s="79"/>
      <c r="U98" s="79"/>
    </row>
    <row r="99" spans="5:23" x14ac:dyDescent="0.3">
      <c r="F99" s="37" t="s">
        <v>842</v>
      </c>
      <c r="G99" s="80" t="s">
        <v>176</v>
      </c>
      <c r="H99" s="37"/>
      <c r="I99" s="37"/>
      <c r="J99" s="125">
        <v>-1</v>
      </c>
      <c r="K99" s="125">
        <v>-1</v>
      </c>
      <c r="L99" s="125">
        <v>-1</v>
      </c>
      <c r="M99" s="125">
        <v>-1</v>
      </c>
      <c r="N99" s="125">
        <v>-1</v>
      </c>
      <c r="O99" s="125">
        <v>-1</v>
      </c>
      <c r="P99" s="125">
        <v>-1</v>
      </c>
      <c r="Q99" s="125">
        <v>0</v>
      </c>
      <c r="R99" s="125">
        <v>0</v>
      </c>
      <c r="S99" s="125">
        <v>0</v>
      </c>
      <c r="T99" s="81"/>
      <c r="U99" s="81"/>
    </row>
    <row r="100" spans="5:23" x14ac:dyDescent="0.3">
      <c r="G100" s="13"/>
      <c r="J100" s="89"/>
      <c r="K100" s="89"/>
      <c r="L100" s="89"/>
      <c r="M100" s="89"/>
      <c r="N100" s="89"/>
      <c r="O100" s="89"/>
      <c r="P100" s="89"/>
      <c r="Q100" s="89"/>
      <c r="R100" s="89"/>
      <c r="S100" s="89"/>
      <c r="T100" s="89"/>
      <c r="U100" s="89"/>
    </row>
    <row r="101" spans="5:23" x14ac:dyDescent="0.3">
      <c r="E101" s="32" t="s">
        <v>403</v>
      </c>
      <c r="G101" s="13"/>
      <c r="I101" t="s">
        <v>154</v>
      </c>
      <c r="J101" s="89"/>
      <c r="K101" s="89"/>
      <c r="L101" s="89"/>
      <c r="M101" s="89"/>
      <c r="N101" s="89"/>
      <c r="O101" s="89"/>
      <c r="P101" s="89"/>
      <c r="Q101" s="89"/>
      <c r="R101" s="89"/>
      <c r="S101" s="89"/>
      <c r="T101" s="89"/>
      <c r="U101" s="89"/>
      <c r="W101" s="3" t="s">
        <v>402</v>
      </c>
    </row>
    <row r="102" spans="5:23" x14ac:dyDescent="0.3">
      <c r="E102" s="29" t="s">
        <v>202</v>
      </c>
      <c r="G102" s="13"/>
      <c r="J102" s="89"/>
      <c r="K102" s="89"/>
      <c r="L102" s="89"/>
      <c r="M102" s="89"/>
      <c r="N102" s="89"/>
      <c r="O102" s="89"/>
      <c r="P102" s="89"/>
      <c r="Q102" s="89"/>
      <c r="R102" s="89"/>
      <c r="S102" s="89"/>
      <c r="T102" s="89"/>
      <c r="U102" s="89"/>
    </row>
    <row r="103" spans="5:23" x14ac:dyDescent="0.3">
      <c r="E103" s="29" t="s">
        <v>401</v>
      </c>
      <c r="G103" s="13"/>
      <c r="J103" s="89"/>
      <c r="K103" s="89"/>
      <c r="L103" s="89"/>
      <c r="M103" s="89"/>
      <c r="N103" s="89"/>
      <c r="O103" s="89"/>
      <c r="P103" s="89"/>
      <c r="Q103" s="89"/>
      <c r="R103" s="89"/>
      <c r="S103" s="89"/>
      <c r="T103" s="89"/>
      <c r="U103" s="89"/>
    </row>
    <row r="104" spans="5:23" x14ac:dyDescent="0.3">
      <c r="F104" s="23" t="s">
        <v>829</v>
      </c>
      <c r="G104" s="78" t="s">
        <v>176</v>
      </c>
      <c r="H104" s="23"/>
      <c r="I104" s="23"/>
      <c r="J104" s="126">
        <f t="shared" ref="J104:S104" si="21">IF(J$38 = "", J84, J84 * J$38)</f>
        <v>1</v>
      </c>
      <c r="K104" s="126">
        <f t="shared" si="21"/>
        <v>1</v>
      </c>
      <c r="L104" s="126">
        <f t="shared" si="21"/>
        <v>1</v>
      </c>
      <c r="M104" s="126">
        <f t="shared" si="21"/>
        <v>0.30743437083181213</v>
      </c>
      <c r="N104" s="126">
        <f t="shared" si="21"/>
        <v>0.30743437083181213</v>
      </c>
      <c r="O104" s="126">
        <f t="shared" si="21"/>
        <v>0.30743437083181213</v>
      </c>
      <c r="P104" s="126">
        <f t="shared" si="21"/>
        <v>0.69256562916818787</v>
      </c>
      <c r="Q104" s="126">
        <f t="shared" si="21"/>
        <v>1</v>
      </c>
      <c r="R104" s="126">
        <f t="shared" si="21"/>
        <v>1</v>
      </c>
      <c r="S104" s="126">
        <f t="shared" si="21"/>
        <v>1</v>
      </c>
      <c r="T104" s="83"/>
      <c r="U104" s="83"/>
    </row>
    <row r="105" spans="5:23" x14ac:dyDescent="0.3">
      <c r="F105" t="s">
        <v>831</v>
      </c>
      <c r="G105" s="72" t="s">
        <v>176</v>
      </c>
      <c r="J105" s="98">
        <f t="shared" ref="J105:S105" si="22">IF(J$38 = "", J85, J85 * J$38)</f>
        <v>1</v>
      </c>
      <c r="K105" s="98">
        <f t="shared" si="22"/>
        <v>1</v>
      </c>
      <c r="L105" s="98">
        <f t="shared" si="22"/>
        <v>1</v>
      </c>
      <c r="M105" s="98">
        <f t="shared" si="22"/>
        <v>0.30743437083181213</v>
      </c>
      <c r="N105" s="98">
        <f t="shared" si="22"/>
        <v>0.30743437083181213</v>
      </c>
      <c r="O105" s="98">
        <f t="shared" si="22"/>
        <v>0.30743437083181213</v>
      </c>
      <c r="P105" s="98">
        <f t="shared" si="22"/>
        <v>0.69256562916818787</v>
      </c>
      <c r="Q105" s="98">
        <f t="shared" si="22"/>
        <v>1</v>
      </c>
      <c r="R105" s="98">
        <f t="shared" si="22"/>
        <v>1</v>
      </c>
      <c r="S105" s="98">
        <f t="shared" si="22"/>
        <v>1</v>
      </c>
      <c r="T105" s="79"/>
      <c r="U105" s="79"/>
    </row>
    <row r="106" spans="5:23" x14ac:dyDescent="0.3">
      <c r="F106" t="s">
        <v>830</v>
      </c>
      <c r="G106" s="72" t="s">
        <v>176</v>
      </c>
      <c r="J106" s="98">
        <f t="shared" ref="J106:S106" si="23">IF(J$38 = "", J86, J86 * J$38)</f>
        <v>1</v>
      </c>
      <c r="K106" s="98">
        <f t="shared" si="23"/>
        <v>1</v>
      </c>
      <c r="L106" s="98">
        <f t="shared" si="23"/>
        <v>1</v>
      </c>
      <c r="M106" s="98">
        <f t="shared" si="23"/>
        <v>0.30743437083181213</v>
      </c>
      <c r="N106" s="98">
        <f t="shared" si="23"/>
        <v>0.30743437083181213</v>
      </c>
      <c r="O106" s="98">
        <f t="shared" si="23"/>
        <v>0.30743437083181213</v>
      </c>
      <c r="P106" s="98">
        <f t="shared" si="23"/>
        <v>0.69256562916818787</v>
      </c>
      <c r="Q106" s="98">
        <f t="shared" si="23"/>
        <v>1</v>
      </c>
      <c r="R106" s="98">
        <f t="shared" si="23"/>
        <v>1</v>
      </c>
      <c r="S106" s="98">
        <f t="shared" si="23"/>
        <v>1</v>
      </c>
      <c r="T106" s="79"/>
      <c r="U106" s="79"/>
    </row>
    <row r="107" spans="5:23" x14ac:dyDescent="0.3">
      <c r="F107" t="s">
        <v>832</v>
      </c>
      <c r="G107" s="72" t="s">
        <v>176</v>
      </c>
      <c r="J107" s="98">
        <f t="shared" ref="J107:S107" si="24">IF(J$38 = "", J87, J87 * J$38)</f>
        <v>1</v>
      </c>
      <c r="K107" s="98">
        <f t="shared" si="24"/>
        <v>1</v>
      </c>
      <c r="L107" s="98">
        <f t="shared" si="24"/>
        <v>1</v>
      </c>
      <c r="M107" s="98">
        <f t="shared" si="24"/>
        <v>0.30743437083181213</v>
      </c>
      <c r="N107" s="98">
        <f t="shared" si="24"/>
        <v>0.30743437083181213</v>
      </c>
      <c r="O107" s="98">
        <f t="shared" si="24"/>
        <v>0.30743437083181213</v>
      </c>
      <c r="P107" s="98">
        <f t="shared" si="24"/>
        <v>0.69256562916818787</v>
      </c>
      <c r="Q107" s="98">
        <f t="shared" si="24"/>
        <v>1</v>
      </c>
      <c r="R107" s="98">
        <f t="shared" si="24"/>
        <v>1</v>
      </c>
      <c r="S107" s="98">
        <f t="shared" si="24"/>
        <v>1</v>
      </c>
      <c r="T107" s="79"/>
      <c r="U107" s="79"/>
    </row>
    <row r="108" spans="5:23" x14ac:dyDescent="0.3">
      <c r="F108" t="s">
        <v>838</v>
      </c>
      <c r="G108" s="72" t="s">
        <v>176</v>
      </c>
      <c r="J108" s="98">
        <f t="shared" ref="J108:S108" si="25">IF(J$38 = "", J88, J88 * J$38)</f>
        <v>1</v>
      </c>
      <c r="K108" s="98">
        <f t="shared" si="25"/>
        <v>1</v>
      </c>
      <c r="L108" s="98">
        <f t="shared" si="25"/>
        <v>1</v>
      </c>
      <c r="M108" s="98">
        <f t="shared" si="25"/>
        <v>0.30743437083181213</v>
      </c>
      <c r="N108" s="98">
        <f t="shared" si="25"/>
        <v>0.30743437083181213</v>
      </c>
      <c r="O108" s="98">
        <f t="shared" si="25"/>
        <v>0.30743437083181213</v>
      </c>
      <c r="P108" s="98">
        <f t="shared" si="25"/>
        <v>0.69256562916818787</v>
      </c>
      <c r="Q108" s="98">
        <f t="shared" si="25"/>
        <v>1</v>
      </c>
      <c r="R108" s="98">
        <f t="shared" si="25"/>
        <v>1</v>
      </c>
      <c r="S108" s="98">
        <f t="shared" si="25"/>
        <v>1</v>
      </c>
      <c r="T108" s="79"/>
      <c r="U108" s="79"/>
    </row>
    <row r="109" spans="5:23" x14ac:dyDescent="0.3">
      <c r="F109" t="s">
        <v>839</v>
      </c>
      <c r="G109" s="72" t="s">
        <v>176</v>
      </c>
      <c r="J109" s="98">
        <f t="shared" ref="J109:S109" si="26">IF(J$38 = "", J89, J89 * J$38)</f>
        <v>1</v>
      </c>
      <c r="K109" s="98">
        <f t="shared" si="26"/>
        <v>1</v>
      </c>
      <c r="L109" s="98">
        <f t="shared" si="26"/>
        <v>1</v>
      </c>
      <c r="M109" s="98">
        <f t="shared" si="26"/>
        <v>0.30743437083181213</v>
      </c>
      <c r="N109" s="98">
        <f t="shared" si="26"/>
        <v>0.30743437083181213</v>
      </c>
      <c r="O109" s="98">
        <f t="shared" si="26"/>
        <v>0.30743437083181213</v>
      </c>
      <c r="P109" s="98">
        <f t="shared" si="26"/>
        <v>0.69256562916818787</v>
      </c>
      <c r="Q109" s="98">
        <f t="shared" si="26"/>
        <v>1</v>
      </c>
      <c r="R109" s="98">
        <f t="shared" si="26"/>
        <v>1</v>
      </c>
      <c r="S109" s="98">
        <f t="shared" si="26"/>
        <v>0</v>
      </c>
      <c r="T109" s="79"/>
      <c r="U109" s="79"/>
    </row>
    <row r="110" spans="5:23" x14ac:dyDescent="0.3">
      <c r="F110" t="s">
        <v>840</v>
      </c>
      <c r="G110" s="72" t="s">
        <v>176</v>
      </c>
      <c r="J110" s="98">
        <f t="shared" ref="J110:S110" si="27">IF(J$38 = "", J90, J90 * J$38)</f>
        <v>1</v>
      </c>
      <c r="K110" s="98">
        <f t="shared" si="27"/>
        <v>1</v>
      </c>
      <c r="L110" s="98">
        <f t="shared" si="27"/>
        <v>1</v>
      </c>
      <c r="M110" s="98">
        <f t="shared" si="27"/>
        <v>0.30743437083181213</v>
      </c>
      <c r="N110" s="98">
        <f t="shared" si="27"/>
        <v>0.30743437083181213</v>
      </c>
      <c r="O110" s="98">
        <f t="shared" si="27"/>
        <v>0.30743437083181213</v>
      </c>
      <c r="P110" s="98">
        <f t="shared" si="27"/>
        <v>0.69256562916818787</v>
      </c>
      <c r="Q110" s="98">
        <f t="shared" si="27"/>
        <v>1</v>
      </c>
      <c r="R110" s="98">
        <f t="shared" si="27"/>
        <v>0</v>
      </c>
      <c r="S110" s="98">
        <f t="shared" si="27"/>
        <v>0</v>
      </c>
      <c r="T110" s="79"/>
      <c r="U110" s="79"/>
    </row>
    <row r="111" spans="5:23" x14ac:dyDescent="0.3">
      <c r="F111" t="s">
        <v>841</v>
      </c>
      <c r="G111" s="72" t="s">
        <v>176</v>
      </c>
      <c r="J111" s="98">
        <f t="shared" ref="J111:S111" si="28">IF(J$38 = "", J91, J91 * J$38)</f>
        <v>1</v>
      </c>
      <c r="K111" s="98">
        <f t="shared" si="28"/>
        <v>1</v>
      </c>
      <c r="L111" s="98">
        <f t="shared" si="28"/>
        <v>1</v>
      </c>
      <c r="M111" s="98">
        <f t="shared" si="28"/>
        <v>0.30743437083181213</v>
      </c>
      <c r="N111" s="98">
        <f t="shared" si="28"/>
        <v>0.30743437083181213</v>
      </c>
      <c r="O111" s="98">
        <f t="shared" si="28"/>
        <v>0.30743437083181213</v>
      </c>
      <c r="P111" s="98">
        <f t="shared" si="28"/>
        <v>0.69256562916818787</v>
      </c>
      <c r="Q111" s="98">
        <f t="shared" si="28"/>
        <v>1</v>
      </c>
      <c r="R111" s="98">
        <f t="shared" si="28"/>
        <v>1</v>
      </c>
      <c r="S111" s="98">
        <f t="shared" si="28"/>
        <v>1</v>
      </c>
      <c r="T111" s="79"/>
      <c r="U111" s="79"/>
    </row>
    <row r="112" spans="5:23" x14ac:dyDescent="0.3">
      <c r="F112" t="s">
        <v>833</v>
      </c>
      <c r="G112" s="72" t="s">
        <v>176</v>
      </c>
      <c r="J112" s="98">
        <f t="shared" ref="J112:S112" si="29">IF(J$38 = "", J92, J92 * J$38)</f>
        <v>-1</v>
      </c>
      <c r="K112" s="98">
        <f t="shared" si="29"/>
        <v>-1</v>
      </c>
      <c r="L112" s="98">
        <f t="shared" si="29"/>
        <v>-1</v>
      </c>
      <c r="M112" s="98">
        <f t="shared" si="29"/>
        <v>-0.30743437083181213</v>
      </c>
      <c r="N112" s="98">
        <f t="shared" si="29"/>
        <v>-0.30743437083181213</v>
      </c>
      <c r="O112" s="98">
        <f t="shared" si="29"/>
        <v>-0.30743437083181213</v>
      </c>
      <c r="P112" s="98">
        <f t="shared" si="29"/>
        <v>-0.69256562916818787</v>
      </c>
      <c r="Q112" s="98">
        <f t="shared" si="29"/>
        <v>-1</v>
      </c>
      <c r="R112" s="98">
        <f t="shared" si="29"/>
        <v>-1</v>
      </c>
      <c r="S112" s="98">
        <f t="shared" si="29"/>
        <v>0</v>
      </c>
      <c r="T112" s="79"/>
      <c r="U112" s="79"/>
    </row>
    <row r="113" spans="3:23" x14ac:dyDescent="0.3">
      <c r="F113" t="s">
        <v>834</v>
      </c>
      <c r="G113" s="72" t="s">
        <v>176</v>
      </c>
      <c r="J113" s="98">
        <f t="shared" ref="J113:S113" si="30">IF(J$38 = "", J93, J93 * J$38)</f>
        <v>-1</v>
      </c>
      <c r="K113" s="98">
        <f t="shared" si="30"/>
        <v>-1</v>
      </c>
      <c r="L113" s="98">
        <f t="shared" si="30"/>
        <v>-1</v>
      </c>
      <c r="M113" s="98">
        <f t="shared" si="30"/>
        <v>-0.30743437083181213</v>
      </c>
      <c r="N113" s="98">
        <f t="shared" si="30"/>
        <v>-0.30743437083181213</v>
      </c>
      <c r="O113" s="98">
        <f t="shared" si="30"/>
        <v>-0.30743437083181213</v>
      </c>
      <c r="P113" s="98">
        <f t="shared" si="30"/>
        <v>-0.69256562916818787</v>
      </c>
      <c r="Q113" s="98">
        <f t="shared" si="30"/>
        <v>-1</v>
      </c>
      <c r="R113" s="98">
        <f t="shared" si="30"/>
        <v>0</v>
      </c>
      <c r="S113" s="98">
        <f t="shared" si="30"/>
        <v>0</v>
      </c>
      <c r="T113" s="79"/>
      <c r="U113" s="79"/>
    </row>
    <row r="114" spans="3:23" x14ac:dyDescent="0.3">
      <c r="F114" t="s">
        <v>835</v>
      </c>
      <c r="G114" s="72" t="s">
        <v>176</v>
      </c>
      <c r="J114" s="98">
        <f t="shared" ref="J114:S114" si="31">IF(J$38 = "", J94, J94 * J$38)</f>
        <v>-1</v>
      </c>
      <c r="K114" s="98">
        <f t="shared" si="31"/>
        <v>-1</v>
      </c>
      <c r="L114" s="98">
        <f t="shared" si="31"/>
        <v>-1</v>
      </c>
      <c r="M114" s="98">
        <f t="shared" si="31"/>
        <v>-0.30743437083181213</v>
      </c>
      <c r="N114" s="98">
        <f t="shared" si="31"/>
        <v>-0.30743437083181213</v>
      </c>
      <c r="O114" s="98">
        <f t="shared" si="31"/>
        <v>-0.30743437083181213</v>
      </c>
      <c r="P114" s="98">
        <f t="shared" si="31"/>
        <v>-0.69256562916818787</v>
      </c>
      <c r="Q114" s="98">
        <f t="shared" si="31"/>
        <v>-1</v>
      </c>
      <c r="R114" s="98">
        <f t="shared" si="31"/>
        <v>-1</v>
      </c>
      <c r="S114" s="98">
        <f t="shared" si="31"/>
        <v>0</v>
      </c>
      <c r="T114" s="79"/>
      <c r="U114" s="79"/>
    </row>
    <row r="115" spans="3:23" x14ac:dyDescent="0.3">
      <c r="F115" t="s">
        <v>844</v>
      </c>
      <c r="G115" s="72" t="s">
        <v>176</v>
      </c>
      <c r="J115" s="98">
        <f t="shared" ref="J115:S115" si="32">IF(J$38 = "", J95, J95 * J$38)</f>
        <v>-1</v>
      </c>
      <c r="K115" s="98">
        <f t="shared" si="32"/>
        <v>-1</v>
      </c>
      <c r="L115" s="98">
        <f t="shared" si="32"/>
        <v>-1</v>
      </c>
      <c r="M115" s="98">
        <f t="shared" si="32"/>
        <v>-0.30743437083181213</v>
      </c>
      <c r="N115" s="98">
        <f t="shared" si="32"/>
        <v>-0.30743437083181213</v>
      </c>
      <c r="O115" s="98">
        <f t="shared" si="32"/>
        <v>-0.30743437083181213</v>
      </c>
      <c r="P115" s="98">
        <f t="shared" si="32"/>
        <v>-0.69256562916818787</v>
      </c>
      <c r="Q115" s="98">
        <f t="shared" si="32"/>
        <v>-1</v>
      </c>
      <c r="R115" s="98">
        <f t="shared" si="32"/>
        <v>-1</v>
      </c>
      <c r="S115" s="98">
        <f t="shared" si="32"/>
        <v>0</v>
      </c>
      <c r="T115" s="79"/>
      <c r="U115" s="79"/>
    </row>
    <row r="116" spans="3:23" x14ac:dyDescent="0.3">
      <c r="F116" t="s">
        <v>836</v>
      </c>
      <c r="G116" s="72" t="s">
        <v>176</v>
      </c>
      <c r="J116" s="98">
        <f t="shared" ref="J116:S116" si="33">IF(J$38 = "", J96, J96 * J$38)</f>
        <v>-1</v>
      </c>
      <c r="K116" s="98">
        <f t="shared" si="33"/>
        <v>-1</v>
      </c>
      <c r="L116" s="98">
        <f t="shared" si="33"/>
        <v>-1</v>
      </c>
      <c r="M116" s="98">
        <f t="shared" si="33"/>
        <v>-0.30743437083181213</v>
      </c>
      <c r="N116" s="98">
        <f t="shared" si="33"/>
        <v>-0.30743437083181213</v>
      </c>
      <c r="O116" s="98">
        <f t="shared" si="33"/>
        <v>-0.30743437083181213</v>
      </c>
      <c r="P116" s="98">
        <f t="shared" si="33"/>
        <v>-0.69256562916818787</v>
      </c>
      <c r="Q116" s="98">
        <f t="shared" si="33"/>
        <v>-1</v>
      </c>
      <c r="R116" s="98">
        <f t="shared" si="33"/>
        <v>0</v>
      </c>
      <c r="S116" s="98">
        <f t="shared" si="33"/>
        <v>0</v>
      </c>
      <c r="T116" s="79"/>
      <c r="U116" s="79"/>
    </row>
    <row r="117" spans="3:23" x14ac:dyDescent="0.3">
      <c r="F117" t="s">
        <v>843</v>
      </c>
      <c r="G117" s="72" t="s">
        <v>176</v>
      </c>
      <c r="J117" s="98">
        <f t="shared" ref="J117:S117" si="34">IF(J$38 = "", J97, J97 * J$38)</f>
        <v>-1</v>
      </c>
      <c r="K117" s="98">
        <f t="shared" si="34"/>
        <v>-1</v>
      </c>
      <c r="L117" s="98">
        <f t="shared" si="34"/>
        <v>-1</v>
      </c>
      <c r="M117" s="98">
        <f t="shared" si="34"/>
        <v>-0.30743437083181213</v>
      </c>
      <c r="N117" s="98">
        <f t="shared" si="34"/>
        <v>-0.30743437083181213</v>
      </c>
      <c r="O117" s="98">
        <f t="shared" si="34"/>
        <v>-0.30743437083181213</v>
      </c>
      <c r="P117" s="98">
        <f t="shared" si="34"/>
        <v>-0.69256562916818787</v>
      </c>
      <c r="Q117" s="98">
        <f t="shared" si="34"/>
        <v>-1</v>
      </c>
      <c r="R117" s="98">
        <f t="shared" si="34"/>
        <v>0</v>
      </c>
      <c r="S117" s="98">
        <f t="shared" si="34"/>
        <v>0</v>
      </c>
      <c r="T117" s="79"/>
      <c r="U117" s="79"/>
    </row>
    <row r="118" spans="3:23" x14ac:dyDescent="0.3">
      <c r="F118" t="s">
        <v>837</v>
      </c>
      <c r="G118" s="72" t="s">
        <v>176</v>
      </c>
      <c r="J118" s="98">
        <f t="shared" ref="J118:S118" si="35">IF(J$38 = "", J98, J98 * J$38)</f>
        <v>-1</v>
      </c>
      <c r="K118" s="98">
        <f t="shared" si="35"/>
        <v>-1</v>
      </c>
      <c r="L118" s="98">
        <f t="shared" si="35"/>
        <v>-1</v>
      </c>
      <c r="M118" s="98">
        <f t="shared" si="35"/>
        <v>-0.30743437083181213</v>
      </c>
      <c r="N118" s="98">
        <f t="shared" si="35"/>
        <v>-0.30743437083181213</v>
      </c>
      <c r="O118" s="98">
        <f t="shared" si="35"/>
        <v>-0.30743437083181213</v>
      </c>
      <c r="P118" s="98">
        <f t="shared" si="35"/>
        <v>-0.69256562916818787</v>
      </c>
      <c r="Q118" s="98">
        <f t="shared" si="35"/>
        <v>0</v>
      </c>
      <c r="R118" s="98">
        <f t="shared" si="35"/>
        <v>0</v>
      </c>
      <c r="S118" s="98">
        <f t="shared" si="35"/>
        <v>0</v>
      </c>
      <c r="T118" s="79"/>
      <c r="U118" s="79"/>
    </row>
    <row r="119" spans="3:23" x14ac:dyDescent="0.3">
      <c r="F119" s="37" t="s">
        <v>842</v>
      </c>
      <c r="G119" s="80" t="s">
        <v>176</v>
      </c>
      <c r="H119" s="37"/>
      <c r="I119" s="37"/>
      <c r="J119" s="100">
        <f t="shared" ref="J119:S119" si="36">IF(J$38 = "", J99, J99 * J$38)</f>
        <v>-1</v>
      </c>
      <c r="K119" s="100">
        <f t="shared" si="36"/>
        <v>-1</v>
      </c>
      <c r="L119" s="100">
        <f t="shared" si="36"/>
        <v>-1</v>
      </c>
      <c r="M119" s="100">
        <f t="shared" si="36"/>
        <v>-0.30743437083181213</v>
      </c>
      <c r="N119" s="100">
        <f t="shared" si="36"/>
        <v>-0.30743437083181213</v>
      </c>
      <c r="O119" s="100">
        <f t="shared" si="36"/>
        <v>-0.30743437083181213</v>
      </c>
      <c r="P119" s="100">
        <f t="shared" si="36"/>
        <v>-0.69256562916818787</v>
      </c>
      <c r="Q119" s="100">
        <f t="shared" si="36"/>
        <v>0</v>
      </c>
      <c r="R119" s="100">
        <f t="shared" si="36"/>
        <v>0</v>
      </c>
      <c r="S119" s="100">
        <f t="shared" si="36"/>
        <v>0</v>
      </c>
      <c r="T119" s="81"/>
      <c r="U119" s="81"/>
    </row>
    <row r="120" spans="3:23" x14ac:dyDescent="0.3">
      <c r="G120" s="13"/>
      <c r="J120" s="89"/>
      <c r="K120" s="89"/>
      <c r="L120" s="89"/>
      <c r="M120" s="89"/>
      <c r="N120" s="89"/>
      <c r="O120" s="89"/>
      <c r="P120" s="89"/>
      <c r="Q120" s="89"/>
      <c r="R120" s="89"/>
      <c r="S120" s="89"/>
      <c r="T120" s="89"/>
      <c r="U120" s="89"/>
    </row>
    <row r="121" spans="3:23" x14ac:dyDescent="0.3">
      <c r="C121" s="31" t="str">
        <f ca="1">INDEX('Version control'!$H$34:$H$57,MATCH($A$1,'Version control'!$F$34:$F$57,0),1)&amp;"-E: User loss factors"</f>
        <v>Section 102-E: User loss factors</v>
      </c>
      <c r="D121" s="31"/>
      <c r="E121" s="31"/>
      <c r="F121" s="31"/>
      <c r="G121" s="31"/>
      <c r="H121" s="31"/>
      <c r="I121" s="31"/>
      <c r="J121" s="90"/>
      <c r="K121" s="90"/>
      <c r="L121" s="90"/>
      <c r="M121" s="90"/>
      <c r="N121" s="90"/>
      <c r="O121" s="90"/>
      <c r="P121" s="90"/>
      <c r="Q121" s="90"/>
      <c r="R121" s="90"/>
      <c r="S121" s="90"/>
      <c r="T121" s="90"/>
      <c r="U121" s="90"/>
      <c r="V121" s="31"/>
      <c r="W121" s="31"/>
    </row>
    <row r="122" spans="3:23" x14ac:dyDescent="0.3">
      <c r="H122" s="3"/>
      <c r="I122" s="3"/>
      <c r="J122" s="127"/>
      <c r="K122" s="127"/>
      <c r="L122" s="127"/>
      <c r="M122" s="127"/>
      <c r="N122" s="127"/>
      <c r="O122" s="127"/>
      <c r="P122" s="127"/>
      <c r="Q122" s="127"/>
      <c r="R122" s="127"/>
      <c r="S122" s="127"/>
      <c r="T122" s="127"/>
      <c r="U122" s="127"/>
      <c r="W122" s="3"/>
    </row>
    <row r="123" spans="3:23" x14ac:dyDescent="0.3">
      <c r="E123" s="32" t="s">
        <v>404</v>
      </c>
      <c r="G123" s="13"/>
      <c r="J123" s="89"/>
      <c r="K123" s="89"/>
      <c r="L123" s="89"/>
      <c r="M123" s="89"/>
      <c r="N123" s="89"/>
      <c r="O123" s="89"/>
      <c r="P123" s="89"/>
      <c r="Q123" s="89"/>
      <c r="R123" s="89"/>
      <c r="S123" s="89"/>
      <c r="T123" s="89"/>
      <c r="U123" s="89"/>
      <c r="W123" s="3"/>
    </row>
    <row r="124" spans="3:23" x14ac:dyDescent="0.3">
      <c r="E124" s="29" t="s">
        <v>405</v>
      </c>
      <c r="G124" s="13"/>
      <c r="J124" s="89"/>
      <c r="K124" s="89"/>
      <c r="L124" s="89"/>
      <c r="M124" s="89"/>
      <c r="N124" s="89"/>
      <c r="O124" s="89"/>
      <c r="P124" s="89"/>
      <c r="Q124" s="89"/>
      <c r="R124" s="89"/>
      <c r="S124" s="89"/>
      <c r="T124" s="89"/>
      <c r="U124" s="89"/>
    </row>
    <row r="125" spans="3:23" x14ac:dyDescent="0.3">
      <c r="E125" s="29" t="s">
        <v>406</v>
      </c>
      <c r="G125" s="13"/>
      <c r="H125" s="128" t="s">
        <v>407</v>
      </c>
      <c r="J125" s="89"/>
      <c r="K125" s="89"/>
      <c r="L125" s="89"/>
      <c r="M125" s="89"/>
      <c r="N125" s="89"/>
      <c r="O125" s="89"/>
      <c r="P125" s="89"/>
      <c r="Q125" s="89"/>
      <c r="R125" s="89"/>
      <c r="S125" s="89"/>
      <c r="T125" s="89"/>
      <c r="U125" s="89"/>
    </row>
    <row r="126" spans="3:23" x14ac:dyDescent="0.3">
      <c r="F126" s="23" t="s">
        <v>829</v>
      </c>
      <c r="G126" s="78" t="s">
        <v>283</v>
      </c>
      <c r="H126" s="126">
        <f t="shared" ref="H126:H141" si="37">MAX(J126:S126)</f>
        <v>1.0900000000000001</v>
      </c>
      <c r="I126" s="23"/>
      <c r="J126" s="126">
        <f>OR(SUM(J65:$S65) = 1, SUM(J65:$S65) = -1) * J$29</f>
        <v>0</v>
      </c>
      <c r="K126" s="126">
        <f>OR(SUM(K65:$S65) = 1, SUM(K65:$S65) = -1) * K$29</f>
        <v>0</v>
      </c>
      <c r="L126" s="126">
        <f>OR(SUM(L65:$S65) = 1, SUM(L65:$S65) = -1) * L$29</f>
        <v>0</v>
      </c>
      <c r="M126" s="126">
        <f>OR(SUM(M65:$S65) = 1, SUM(M65:$S65) = -1) * M$29</f>
        <v>0</v>
      </c>
      <c r="N126" s="126">
        <f>OR(SUM(N65:$S65) = 1, SUM(N65:$S65) = -1) * N$29</f>
        <v>0</v>
      </c>
      <c r="O126" s="126">
        <f>OR(SUM(O65:$S65) = 1, SUM(O65:$S65) = -1) * O$29</f>
        <v>0</v>
      </c>
      <c r="P126" s="126">
        <f>OR(SUM(P65:$S65) = 1, SUM(P65:$S65) = -1) * P$29</f>
        <v>0</v>
      </c>
      <c r="Q126" s="126">
        <f>OR(SUM(Q65:$S65) = 1, SUM(Q65:$S65) = -1) * Q$29</f>
        <v>0</v>
      </c>
      <c r="R126" s="126">
        <f>OR(SUM(R65:$S65) = 1, SUM(R65:$S65) = -1) * R$29</f>
        <v>0</v>
      </c>
      <c r="S126" s="126">
        <f>OR(SUM(S65:$S65) = 1, SUM(S65:$S65) = -1) * S$29</f>
        <v>1.0900000000000001</v>
      </c>
      <c r="T126" s="83"/>
      <c r="U126" s="83"/>
      <c r="W126" s="3"/>
    </row>
    <row r="127" spans="3:23" x14ac:dyDescent="0.3">
      <c r="F127" t="s">
        <v>831</v>
      </c>
      <c r="G127" s="72" t="s">
        <v>283</v>
      </c>
      <c r="H127" s="98">
        <f t="shared" si="37"/>
        <v>1.0900000000000001</v>
      </c>
      <c r="J127" s="98">
        <f>OR(SUM(J66:$S66) = 1, SUM(J66:$S66) = -1) * J$29</f>
        <v>0</v>
      </c>
      <c r="K127" s="98">
        <f>OR(SUM(K66:$S66) = 1, SUM(K66:$S66) = -1) * K$29</f>
        <v>0</v>
      </c>
      <c r="L127" s="98">
        <f>OR(SUM(L66:$S66) = 1, SUM(L66:$S66) = -1) * L$29</f>
        <v>0</v>
      </c>
      <c r="M127" s="98">
        <f>OR(SUM(M66:$S66) = 1, SUM(M66:$S66) = -1) * M$29</f>
        <v>0</v>
      </c>
      <c r="N127" s="98">
        <f>OR(SUM(N66:$S66) = 1, SUM(N66:$S66) = -1) * N$29</f>
        <v>0</v>
      </c>
      <c r="O127" s="98">
        <f>OR(SUM(O66:$S66) = 1, SUM(O66:$S66) = -1) * O$29</f>
        <v>0</v>
      </c>
      <c r="P127" s="98">
        <f>OR(SUM(P66:$S66) = 1, SUM(P66:$S66) = -1) * P$29</f>
        <v>0</v>
      </c>
      <c r="Q127" s="98">
        <f>OR(SUM(Q66:$S66) = 1, SUM(Q66:$S66) = -1) * Q$29</f>
        <v>0</v>
      </c>
      <c r="R127" s="98">
        <f>OR(SUM(R66:$S66) = 1, SUM(R66:$S66) = -1) * R$29</f>
        <v>0</v>
      </c>
      <c r="S127" s="98">
        <f>OR(SUM(S66:$S66) = 1, SUM(S66:$S66) = -1) * S$29</f>
        <v>1.0900000000000001</v>
      </c>
      <c r="T127" s="79"/>
      <c r="U127" s="79"/>
      <c r="W127" s="3"/>
    </row>
    <row r="128" spans="3:23" x14ac:dyDescent="0.3">
      <c r="F128" t="s">
        <v>830</v>
      </c>
      <c r="G128" s="72" t="s">
        <v>283</v>
      </c>
      <c r="H128" s="98">
        <f t="shared" si="37"/>
        <v>1.0900000000000001</v>
      </c>
      <c r="J128" s="98">
        <f>OR(SUM(J67:$S67) = 1, SUM(J67:$S67) = -1) * J$29</f>
        <v>0</v>
      </c>
      <c r="K128" s="98">
        <f>OR(SUM(K67:$S67) = 1, SUM(K67:$S67) = -1) * K$29</f>
        <v>0</v>
      </c>
      <c r="L128" s="98">
        <f>OR(SUM(L67:$S67) = 1, SUM(L67:$S67) = -1) * L$29</f>
        <v>0</v>
      </c>
      <c r="M128" s="98">
        <f>OR(SUM(M67:$S67) = 1, SUM(M67:$S67) = -1) * M$29</f>
        <v>0</v>
      </c>
      <c r="N128" s="98">
        <f>OR(SUM(N67:$S67) = 1, SUM(N67:$S67) = -1) * N$29</f>
        <v>0</v>
      </c>
      <c r="O128" s="98">
        <f>OR(SUM(O67:$S67) = 1, SUM(O67:$S67) = -1) * O$29</f>
        <v>0</v>
      </c>
      <c r="P128" s="98">
        <f>OR(SUM(P67:$S67) = 1, SUM(P67:$S67) = -1) * P$29</f>
        <v>0</v>
      </c>
      <c r="Q128" s="98">
        <f>OR(SUM(Q67:$S67) = 1, SUM(Q67:$S67) = -1) * Q$29</f>
        <v>0</v>
      </c>
      <c r="R128" s="98">
        <f>OR(SUM(R67:$S67) = 1, SUM(R67:$S67) = -1) * R$29</f>
        <v>0</v>
      </c>
      <c r="S128" s="98">
        <f>OR(SUM(S67:$S67) = 1, SUM(S67:$S67) = -1) * S$29</f>
        <v>1.0900000000000001</v>
      </c>
      <c r="T128" s="79"/>
      <c r="U128" s="79"/>
      <c r="W128" s="3"/>
    </row>
    <row r="129" spans="5:23" x14ac:dyDescent="0.3">
      <c r="F129" t="s">
        <v>832</v>
      </c>
      <c r="G129" s="72" t="s">
        <v>283</v>
      </c>
      <c r="H129" s="98">
        <f t="shared" si="37"/>
        <v>1.0900000000000001</v>
      </c>
      <c r="J129" s="98">
        <f>OR(SUM(J68:$S68) = 1, SUM(J68:$S68) = -1) * J$29</f>
        <v>0</v>
      </c>
      <c r="K129" s="98">
        <f>OR(SUM(K68:$S68) = 1, SUM(K68:$S68) = -1) * K$29</f>
        <v>0</v>
      </c>
      <c r="L129" s="98">
        <f>OR(SUM(L68:$S68) = 1, SUM(L68:$S68) = -1) * L$29</f>
        <v>0</v>
      </c>
      <c r="M129" s="98">
        <f>OR(SUM(M68:$S68) = 1, SUM(M68:$S68) = -1) * M$29</f>
        <v>0</v>
      </c>
      <c r="N129" s="98">
        <f>OR(SUM(N68:$S68) = 1, SUM(N68:$S68) = -1) * N$29</f>
        <v>0</v>
      </c>
      <c r="O129" s="98">
        <f>OR(SUM(O68:$S68) = 1, SUM(O68:$S68) = -1) * O$29</f>
        <v>0</v>
      </c>
      <c r="P129" s="98">
        <f>OR(SUM(P68:$S68) = 1, SUM(P68:$S68) = -1) * P$29</f>
        <v>0</v>
      </c>
      <c r="Q129" s="98">
        <f>OR(SUM(Q68:$S68) = 1, SUM(Q68:$S68) = -1) * Q$29</f>
        <v>0</v>
      </c>
      <c r="R129" s="98">
        <f>OR(SUM(R68:$S68) = 1, SUM(R68:$S68) = -1) * R$29</f>
        <v>0</v>
      </c>
      <c r="S129" s="98">
        <f>OR(SUM(S68:$S68) = 1, SUM(S68:$S68) = -1) * S$29</f>
        <v>1.0900000000000001</v>
      </c>
      <c r="T129" s="79"/>
      <c r="U129" s="79"/>
    </row>
    <row r="130" spans="5:23" x14ac:dyDescent="0.3">
      <c r="F130" t="s">
        <v>838</v>
      </c>
      <c r="G130" s="72" t="s">
        <v>283</v>
      </c>
      <c r="H130" s="98">
        <f t="shared" si="37"/>
        <v>1.0900000000000001</v>
      </c>
      <c r="J130" s="98">
        <f>OR(SUM(J69:$S69) = 1, SUM(J69:$S69) = -1) * J$29</f>
        <v>0</v>
      </c>
      <c r="K130" s="98">
        <f>OR(SUM(K69:$S69) = 1, SUM(K69:$S69) = -1) * K$29</f>
        <v>0</v>
      </c>
      <c r="L130" s="98">
        <f>OR(SUM(L69:$S69) = 1, SUM(L69:$S69) = -1) * L$29</f>
        <v>0</v>
      </c>
      <c r="M130" s="98">
        <f>OR(SUM(M69:$S69) = 1, SUM(M69:$S69) = -1) * M$29</f>
        <v>0</v>
      </c>
      <c r="N130" s="98">
        <f>OR(SUM(N69:$S69) = 1, SUM(N69:$S69) = -1) * N$29</f>
        <v>0</v>
      </c>
      <c r="O130" s="98">
        <f>OR(SUM(O69:$S69) = 1, SUM(O69:$S69) = -1) * O$29</f>
        <v>0</v>
      </c>
      <c r="P130" s="98">
        <f>OR(SUM(P69:$S69) = 1, SUM(P69:$S69) = -1) * P$29</f>
        <v>0</v>
      </c>
      <c r="Q130" s="98">
        <f>OR(SUM(Q69:$S69) = 1, SUM(Q69:$S69) = -1) * Q$29</f>
        <v>0</v>
      </c>
      <c r="R130" s="98">
        <f>OR(SUM(R69:$S69) = 1, SUM(R69:$S69) = -1) * R$29</f>
        <v>0</v>
      </c>
      <c r="S130" s="98">
        <f>OR(SUM(S69:$S69) = 1, SUM(S69:$S69) = -1) * S$29</f>
        <v>1.0900000000000001</v>
      </c>
      <c r="T130" s="79"/>
      <c r="U130" s="79"/>
    </row>
    <row r="131" spans="5:23" x14ac:dyDescent="0.3">
      <c r="F131" t="s">
        <v>839</v>
      </c>
      <c r="G131" s="72" t="s">
        <v>283</v>
      </c>
      <c r="H131" s="98">
        <f t="shared" si="37"/>
        <v>1.0669999999999999</v>
      </c>
      <c r="J131" s="98">
        <f>OR(SUM(J70:$S70) = 1, SUM(J70:$S70) = -1) * J$29</f>
        <v>0</v>
      </c>
      <c r="K131" s="98">
        <f>OR(SUM(K70:$S70) = 1, SUM(K70:$S70) = -1) * K$29</f>
        <v>0</v>
      </c>
      <c r="L131" s="98">
        <f>OR(SUM(L70:$S70) = 1, SUM(L70:$S70) = -1) * L$29</f>
        <v>0</v>
      </c>
      <c r="M131" s="98">
        <f>OR(SUM(M70:$S70) = 1, SUM(M70:$S70) = -1) * M$29</f>
        <v>0</v>
      </c>
      <c r="N131" s="98">
        <f>OR(SUM(N70:$S70) = 1, SUM(N70:$S70) = -1) * N$29</f>
        <v>0</v>
      </c>
      <c r="O131" s="98">
        <f>OR(SUM(O70:$S70) = 1, SUM(O70:$S70) = -1) * O$29</f>
        <v>0</v>
      </c>
      <c r="P131" s="98">
        <f>OR(SUM(P70:$S70) = 1, SUM(P70:$S70) = -1) * P$29</f>
        <v>0</v>
      </c>
      <c r="Q131" s="98">
        <f>OR(SUM(Q70:$S70) = 1, SUM(Q70:$S70) = -1) * Q$29</f>
        <v>0</v>
      </c>
      <c r="R131" s="98">
        <f>OR(SUM(R70:$S70) = 1, SUM(R70:$S70) = -1) * R$29</f>
        <v>1.0669999999999999</v>
      </c>
      <c r="S131" s="98">
        <f>OR(SUM(S70:$S70) = 1, SUM(S70:$S70) = -1) * S$29</f>
        <v>0</v>
      </c>
      <c r="T131" s="79"/>
      <c r="U131" s="79"/>
    </row>
    <row r="132" spans="5:23" x14ac:dyDescent="0.3">
      <c r="F132" t="s">
        <v>840</v>
      </c>
      <c r="G132" s="72" t="s">
        <v>283</v>
      </c>
      <c r="H132" s="98">
        <f t="shared" si="37"/>
        <v>1.0509999999999999</v>
      </c>
      <c r="J132" s="98">
        <f>OR(SUM(J71:$S71) = 1, SUM(J71:$S71) = -1) * J$29</f>
        <v>0</v>
      </c>
      <c r="K132" s="98">
        <f>OR(SUM(K71:$S71) = 1, SUM(K71:$S71) = -1) * K$29</f>
        <v>0</v>
      </c>
      <c r="L132" s="98">
        <f>OR(SUM(L71:$S71) = 1, SUM(L71:$S71) = -1) * L$29</f>
        <v>0</v>
      </c>
      <c r="M132" s="98">
        <f>OR(SUM(M71:$S71) = 1, SUM(M71:$S71) = -1) * M$29</f>
        <v>0</v>
      </c>
      <c r="N132" s="98">
        <f>OR(SUM(N71:$S71) = 1, SUM(N71:$S71) = -1) * N$29</f>
        <v>0</v>
      </c>
      <c r="O132" s="98">
        <f>OR(SUM(O71:$S71) = 1, SUM(O71:$S71) = -1) * O$29</f>
        <v>0</v>
      </c>
      <c r="P132" s="98">
        <f>OR(SUM(P71:$S71) = 1, SUM(P71:$S71) = -1) * P$29</f>
        <v>0</v>
      </c>
      <c r="Q132" s="98">
        <f>OR(SUM(Q71:$S71) = 1, SUM(Q71:$S71) = -1) * Q$29</f>
        <v>1.0509999999999999</v>
      </c>
      <c r="R132" s="98">
        <f>OR(SUM(R71:$S71) = 1, SUM(R71:$S71) = -1) * R$29</f>
        <v>0</v>
      </c>
      <c r="S132" s="98">
        <f>OR(SUM(S71:$S71) = 1, SUM(S71:$S71) = -1) * S$29</f>
        <v>0</v>
      </c>
      <c r="T132" s="79"/>
      <c r="U132" s="79"/>
    </row>
    <row r="133" spans="5:23" x14ac:dyDescent="0.3">
      <c r="F133" t="s">
        <v>841</v>
      </c>
      <c r="G133" s="72" t="s">
        <v>283</v>
      </c>
      <c r="H133" s="98">
        <f t="shared" si="37"/>
        <v>1.0900000000000001</v>
      </c>
      <c r="J133" s="98">
        <f>OR(SUM(J72:$S72) = 1, SUM(J72:$S72) = -1) * J$29</f>
        <v>0</v>
      </c>
      <c r="K133" s="98">
        <f>OR(SUM(K72:$S72) = 1, SUM(K72:$S72) = -1) * K$29</f>
        <v>0</v>
      </c>
      <c r="L133" s="98">
        <f>OR(SUM(L72:$S72) = 1, SUM(L72:$S72) = -1) * L$29</f>
        <v>0</v>
      </c>
      <c r="M133" s="98">
        <f>OR(SUM(M72:$S72) = 1, SUM(M72:$S72) = -1) * M$29</f>
        <v>0</v>
      </c>
      <c r="N133" s="98">
        <f>OR(SUM(N72:$S72) = 1, SUM(N72:$S72) = -1) * N$29</f>
        <v>0</v>
      </c>
      <c r="O133" s="98">
        <f>OR(SUM(O72:$S72) = 1, SUM(O72:$S72) = -1) * O$29</f>
        <v>0</v>
      </c>
      <c r="P133" s="98">
        <f>OR(SUM(P72:$S72) = 1, SUM(P72:$S72) = -1) * P$29</f>
        <v>0</v>
      </c>
      <c r="Q133" s="98">
        <f>OR(SUM(Q72:$S72) = 1, SUM(Q72:$S72) = -1) * Q$29</f>
        <v>0</v>
      </c>
      <c r="R133" s="98">
        <f>OR(SUM(R72:$S72) = 1, SUM(R72:$S72) = -1) * R$29</f>
        <v>0</v>
      </c>
      <c r="S133" s="98">
        <f>OR(SUM(S72:$S72) = 1, SUM(S72:$S72) = -1) * S$29</f>
        <v>1.0900000000000001</v>
      </c>
      <c r="T133" s="79"/>
      <c r="U133" s="79"/>
    </row>
    <row r="134" spans="5:23" x14ac:dyDescent="0.3">
      <c r="F134" t="s">
        <v>833</v>
      </c>
      <c r="G134" s="72" t="s">
        <v>283</v>
      </c>
      <c r="H134" s="98">
        <f t="shared" si="37"/>
        <v>1.0900000000000001</v>
      </c>
      <c r="J134" s="98">
        <f>OR(SUM(J73:$S73) = 1, SUM(J73:$S73) = -1) * J$29</f>
        <v>0</v>
      </c>
      <c r="K134" s="98">
        <f>OR(SUM(K73:$S73) = 1, SUM(K73:$S73) = -1) * K$29</f>
        <v>0</v>
      </c>
      <c r="L134" s="98">
        <f>OR(SUM(L73:$S73) = 1, SUM(L73:$S73) = -1) * L$29</f>
        <v>0</v>
      </c>
      <c r="M134" s="98">
        <f>OR(SUM(M73:$S73) = 1, SUM(M73:$S73) = -1) * M$29</f>
        <v>0</v>
      </c>
      <c r="N134" s="98">
        <f>OR(SUM(N73:$S73) = 1, SUM(N73:$S73) = -1) * N$29</f>
        <v>0</v>
      </c>
      <c r="O134" s="98">
        <f>OR(SUM(O73:$S73) = 1, SUM(O73:$S73) = -1) * O$29</f>
        <v>0</v>
      </c>
      <c r="P134" s="98">
        <f>OR(SUM(P73:$S73) = 1, SUM(P73:$S73) = -1) * P$29</f>
        <v>0</v>
      </c>
      <c r="Q134" s="98">
        <f>OR(SUM(Q73:$S73) = 1, SUM(Q73:$S73) = -1) * Q$29</f>
        <v>0</v>
      </c>
      <c r="R134" s="98">
        <f>OR(SUM(R73:$S73) = 1, SUM(R73:$S73) = -1) * R$29</f>
        <v>0</v>
      </c>
      <c r="S134" s="98">
        <f>OR(SUM(S73:$S73) = 1, SUM(S73:$S73) = -1) * S$29</f>
        <v>1.0900000000000001</v>
      </c>
      <c r="T134" s="79"/>
      <c r="U134" s="79"/>
    </row>
    <row r="135" spans="5:23" x14ac:dyDescent="0.3">
      <c r="F135" t="s">
        <v>834</v>
      </c>
      <c r="G135" s="72" t="s">
        <v>283</v>
      </c>
      <c r="H135" s="98">
        <f t="shared" si="37"/>
        <v>1.0669999999999999</v>
      </c>
      <c r="J135" s="98">
        <f>OR(SUM(J74:$S74) = 1, SUM(J74:$S74) = -1) * J$29</f>
        <v>0</v>
      </c>
      <c r="K135" s="98">
        <f>OR(SUM(K74:$S74) = 1, SUM(K74:$S74) = -1) * K$29</f>
        <v>0</v>
      </c>
      <c r="L135" s="98">
        <f>OR(SUM(L74:$S74) = 1, SUM(L74:$S74) = -1) * L$29</f>
        <v>0</v>
      </c>
      <c r="M135" s="98">
        <f>OR(SUM(M74:$S74) = 1, SUM(M74:$S74) = -1) * M$29</f>
        <v>0</v>
      </c>
      <c r="N135" s="98">
        <f>OR(SUM(N74:$S74) = 1, SUM(N74:$S74) = -1) * N$29</f>
        <v>0</v>
      </c>
      <c r="O135" s="98">
        <f>OR(SUM(O74:$S74) = 1, SUM(O74:$S74) = -1) * O$29</f>
        <v>0</v>
      </c>
      <c r="P135" s="98">
        <f>OR(SUM(P74:$S74) = 1, SUM(P74:$S74) = -1) * P$29</f>
        <v>0</v>
      </c>
      <c r="Q135" s="98">
        <f>OR(SUM(Q74:$S74) = 1, SUM(Q74:$S74) = -1) * Q$29</f>
        <v>0</v>
      </c>
      <c r="R135" s="98">
        <f>OR(SUM(R74:$S74) = 1, SUM(R74:$S74) = -1) * R$29</f>
        <v>1.0669999999999999</v>
      </c>
      <c r="S135" s="98">
        <f>OR(SUM(S74:$S74) = 1, SUM(S74:$S74) = -1) * S$29</f>
        <v>0</v>
      </c>
      <c r="T135" s="79"/>
      <c r="U135" s="79"/>
    </row>
    <row r="136" spans="5:23" x14ac:dyDescent="0.3">
      <c r="F136" t="s">
        <v>835</v>
      </c>
      <c r="G136" s="72" t="s">
        <v>283</v>
      </c>
      <c r="H136" s="98">
        <f t="shared" si="37"/>
        <v>1.0900000000000001</v>
      </c>
      <c r="J136" s="98">
        <f>OR(SUM(J75:$S75) = 1, SUM(J75:$S75) = -1) * J$29</f>
        <v>0</v>
      </c>
      <c r="K136" s="98">
        <f>OR(SUM(K75:$S75) = 1, SUM(K75:$S75) = -1) * K$29</f>
        <v>0</v>
      </c>
      <c r="L136" s="98">
        <f>OR(SUM(L75:$S75) = 1, SUM(L75:$S75) = -1) * L$29</f>
        <v>0</v>
      </c>
      <c r="M136" s="98">
        <f>OR(SUM(M75:$S75) = 1, SUM(M75:$S75) = -1) * M$29</f>
        <v>0</v>
      </c>
      <c r="N136" s="98">
        <f>OR(SUM(N75:$S75) = 1, SUM(N75:$S75) = -1) * N$29</f>
        <v>0</v>
      </c>
      <c r="O136" s="98">
        <f>OR(SUM(O75:$S75) = 1, SUM(O75:$S75) = -1) * O$29</f>
        <v>0</v>
      </c>
      <c r="P136" s="98">
        <f>OR(SUM(P75:$S75) = 1, SUM(P75:$S75) = -1) * P$29</f>
        <v>0</v>
      </c>
      <c r="Q136" s="98">
        <f>OR(SUM(Q75:$S75) = 1, SUM(Q75:$S75) = -1) * Q$29</f>
        <v>0</v>
      </c>
      <c r="R136" s="98">
        <f>OR(SUM(R75:$S75) = 1, SUM(R75:$S75) = -1) * R$29</f>
        <v>0</v>
      </c>
      <c r="S136" s="98">
        <f>OR(SUM(S75:$S75) = 1, SUM(S75:$S75) = -1) * S$29</f>
        <v>1.0900000000000001</v>
      </c>
      <c r="T136" s="79"/>
      <c r="U136" s="79"/>
    </row>
    <row r="137" spans="5:23" x14ac:dyDescent="0.3">
      <c r="F137" t="s">
        <v>844</v>
      </c>
      <c r="G137" s="72" t="s">
        <v>283</v>
      </c>
      <c r="H137" s="98">
        <f t="shared" si="37"/>
        <v>1.0900000000000001</v>
      </c>
      <c r="J137" s="98">
        <f>OR(SUM(J76:$S76) = 1, SUM(J76:$S76) = -1) * J$29</f>
        <v>0</v>
      </c>
      <c r="K137" s="98">
        <f>OR(SUM(K76:$S76) = 1, SUM(K76:$S76) = -1) * K$29</f>
        <v>0</v>
      </c>
      <c r="L137" s="98">
        <f>OR(SUM(L76:$S76) = 1, SUM(L76:$S76) = -1) * L$29</f>
        <v>0</v>
      </c>
      <c r="M137" s="98">
        <f>OR(SUM(M76:$S76) = 1, SUM(M76:$S76) = -1) * M$29</f>
        <v>0</v>
      </c>
      <c r="N137" s="98">
        <f>OR(SUM(N76:$S76) = 1, SUM(N76:$S76) = -1) * N$29</f>
        <v>0</v>
      </c>
      <c r="O137" s="98">
        <f>OR(SUM(O76:$S76) = 1, SUM(O76:$S76) = -1) * O$29</f>
        <v>0</v>
      </c>
      <c r="P137" s="98">
        <f>OR(SUM(P76:$S76) = 1, SUM(P76:$S76) = -1) * P$29</f>
        <v>0</v>
      </c>
      <c r="Q137" s="98">
        <f>OR(SUM(Q76:$S76) = 1, SUM(Q76:$S76) = -1) * Q$29</f>
        <v>0</v>
      </c>
      <c r="R137" s="98">
        <f>OR(SUM(R76:$S76) = 1, SUM(R76:$S76) = -1) * R$29</f>
        <v>0</v>
      </c>
      <c r="S137" s="98">
        <f>OR(SUM(S76:$S76) = 1, SUM(S76:$S76) = -1) * S$29</f>
        <v>1.0900000000000001</v>
      </c>
      <c r="T137" s="79"/>
      <c r="U137" s="79"/>
    </row>
    <row r="138" spans="5:23" x14ac:dyDescent="0.3">
      <c r="F138" t="s">
        <v>836</v>
      </c>
      <c r="G138" s="72" t="s">
        <v>283</v>
      </c>
      <c r="H138" s="98">
        <f t="shared" si="37"/>
        <v>1.0669999999999999</v>
      </c>
      <c r="J138" s="98">
        <f>OR(SUM(J77:$S77) = 1, SUM(J77:$S77) = -1) * J$29</f>
        <v>0</v>
      </c>
      <c r="K138" s="98">
        <f>OR(SUM(K77:$S77) = 1, SUM(K77:$S77) = -1) * K$29</f>
        <v>0</v>
      </c>
      <c r="L138" s="98">
        <f>OR(SUM(L77:$S77) = 1, SUM(L77:$S77) = -1) * L$29</f>
        <v>0</v>
      </c>
      <c r="M138" s="98">
        <f>OR(SUM(M77:$S77) = 1, SUM(M77:$S77) = -1) * M$29</f>
        <v>0</v>
      </c>
      <c r="N138" s="98">
        <f>OR(SUM(N77:$S77) = 1, SUM(N77:$S77) = -1) * N$29</f>
        <v>0</v>
      </c>
      <c r="O138" s="98">
        <f>OR(SUM(O77:$S77) = 1, SUM(O77:$S77) = -1) * O$29</f>
        <v>0</v>
      </c>
      <c r="P138" s="98">
        <f>OR(SUM(P77:$S77) = 1, SUM(P77:$S77) = -1) * P$29</f>
        <v>0</v>
      </c>
      <c r="Q138" s="98">
        <f>OR(SUM(Q77:$S77) = 1, SUM(Q77:$S77) = -1) * Q$29</f>
        <v>0</v>
      </c>
      <c r="R138" s="98">
        <f>OR(SUM(R77:$S77) = 1, SUM(R77:$S77) = -1) * R$29</f>
        <v>1.0669999999999999</v>
      </c>
      <c r="S138" s="98">
        <f>OR(SUM(S77:$S77) = 1, SUM(S77:$S77) = -1) * S$29</f>
        <v>0</v>
      </c>
      <c r="T138" s="79"/>
      <c r="U138" s="79"/>
    </row>
    <row r="139" spans="5:23" x14ac:dyDescent="0.3">
      <c r="F139" t="s">
        <v>843</v>
      </c>
      <c r="G139" s="72" t="s">
        <v>283</v>
      </c>
      <c r="H139" s="98">
        <f t="shared" si="37"/>
        <v>1.0669999999999999</v>
      </c>
      <c r="J139" s="98">
        <f>OR(SUM(J78:$S78) = 1, SUM(J78:$S78) = -1) * J$29</f>
        <v>0</v>
      </c>
      <c r="K139" s="98">
        <f>OR(SUM(K78:$S78) = 1, SUM(K78:$S78) = -1) * K$29</f>
        <v>0</v>
      </c>
      <c r="L139" s="98">
        <f>OR(SUM(L78:$S78) = 1, SUM(L78:$S78) = -1) * L$29</f>
        <v>0</v>
      </c>
      <c r="M139" s="98">
        <f>OR(SUM(M78:$S78) = 1, SUM(M78:$S78) = -1) * M$29</f>
        <v>0</v>
      </c>
      <c r="N139" s="98">
        <f>OR(SUM(N78:$S78) = 1, SUM(N78:$S78) = -1) * N$29</f>
        <v>0</v>
      </c>
      <c r="O139" s="98">
        <f>OR(SUM(O78:$S78) = 1, SUM(O78:$S78) = -1) * O$29</f>
        <v>0</v>
      </c>
      <c r="P139" s="98">
        <f>OR(SUM(P78:$S78) = 1, SUM(P78:$S78) = -1) * P$29</f>
        <v>0</v>
      </c>
      <c r="Q139" s="98">
        <f>OR(SUM(Q78:$S78) = 1, SUM(Q78:$S78) = -1) * Q$29</f>
        <v>0</v>
      </c>
      <c r="R139" s="98">
        <f>OR(SUM(R78:$S78) = 1, SUM(R78:$S78) = -1) * R$29</f>
        <v>1.0669999999999999</v>
      </c>
      <c r="S139" s="98">
        <f>OR(SUM(S78:$S78) = 1, SUM(S78:$S78) = -1) * S$29</f>
        <v>0</v>
      </c>
      <c r="T139" s="79"/>
      <c r="U139" s="79"/>
    </row>
    <row r="140" spans="5:23" x14ac:dyDescent="0.3">
      <c r="F140" t="s">
        <v>837</v>
      </c>
      <c r="G140" s="72" t="s">
        <v>283</v>
      </c>
      <c r="H140" s="98">
        <f t="shared" si="37"/>
        <v>1.0509999999999999</v>
      </c>
      <c r="J140" s="98">
        <f>OR(SUM(J79:$S79) = 1, SUM(J79:$S79) = -1) * J$29</f>
        <v>0</v>
      </c>
      <c r="K140" s="98">
        <f>OR(SUM(K79:$S79) = 1, SUM(K79:$S79) = -1) * K$29</f>
        <v>0</v>
      </c>
      <c r="L140" s="98">
        <f>OR(SUM(L79:$S79) = 1, SUM(L79:$S79) = -1) * L$29</f>
        <v>0</v>
      </c>
      <c r="M140" s="98">
        <f>OR(SUM(M79:$S79) = 1, SUM(M79:$S79) = -1) * M$29</f>
        <v>0</v>
      </c>
      <c r="N140" s="98">
        <f>OR(SUM(N79:$S79) = 1, SUM(N79:$S79) = -1) * N$29</f>
        <v>0</v>
      </c>
      <c r="O140" s="98">
        <f>OR(SUM(O79:$S79) = 1, SUM(O79:$S79) = -1) * O$29</f>
        <v>0</v>
      </c>
      <c r="P140" s="98">
        <f>OR(SUM(P79:$S79) = 1, SUM(P79:$S79) = -1) * P$29</f>
        <v>0</v>
      </c>
      <c r="Q140" s="98">
        <f>OR(SUM(Q79:$S79) = 1, SUM(Q79:$S79) = -1) * Q$29</f>
        <v>1.0509999999999999</v>
      </c>
      <c r="R140" s="98">
        <f>OR(SUM(R79:$S79) = 1, SUM(R79:$S79) = -1) * R$29</f>
        <v>0</v>
      </c>
      <c r="S140" s="98">
        <f>OR(SUM(S79:$S79) = 1, SUM(S79:$S79) = -1) * S$29</f>
        <v>0</v>
      </c>
      <c r="T140" s="79"/>
      <c r="U140" s="79"/>
    </row>
    <row r="141" spans="5:23" x14ac:dyDescent="0.3">
      <c r="F141" s="37" t="s">
        <v>842</v>
      </c>
      <c r="G141" s="80" t="s">
        <v>283</v>
      </c>
      <c r="H141" s="100">
        <f t="shared" si="37"/>
        <v>1.0509999999999999</v>
      </c>
      <c r="I141" s="37"/>
      <c r="J141" s="100">
        <f>OR(SUM(J80:$S80) = 1, SUM(J80:$S80) = -1) * J$29</f>
        <v>0</v>
      </c>
      <c r="K141" s="100">
        <f>OR(SUM(K80:$S80) = 1, SUM(K80:$S80) = -1) * K$29</f>
        <v>0</v>
      </c>
      <c r="L141" s="100">
        <f>OR(SUM(L80:$S80) = 1, SUM(L80:$S80) = -1) * L$29</f>
        <v>0</v>
      </c>
      <c r="M141" s="100">
        <f>OR(SUM(M80:$S80) = 1, SUM(M80:$S80) = -1) * M$29</f>
        <v>0</v>
      </c>
      <c r="N141" s="100">
        <f>OR(SUM(N80:$S80) = 1, SUM(N80:$S80) = -1) * N$29</f>
        <v>0</v>
      </c>
      <c r="O141" s="100">
        <f>OR(SUM(O80:$S80) = 1, SUM(O80:$S80) = -1) * O$29</f>
        <v>0</v>
      </c>
      <c r="P141" s="100">
        <f>OR(SUM(P80:$S80) = 1, SUM(P80:$S80) = -1) * P$29</f>
        <v>0</v>
      </c>
      <c r="Q141" s="100">
        <f>OR(SUM(Q80:$S80) = 1, SUM(Q80:$S80) = -1) * Q$29</f>
        <v>1.0509999999999999</v>
      </c>
      <c r="R141" s="100">
        <f>OR(SUM(R80:$S80) = 1, SUM(R80:$S80) = -1) * R$29</f>
        <v>0</v>
      </c>
      <c r="S141" s="100">
        <f>OR(SUM(S80:$S80) = 1, SUM(S80:$S80) = -1) * S$29</f>
        <v>0</v>
      </c>
      <c r="T141" s="81"/>
      <c r="U141" s="81"/>
    </row>
    <row r="142" spans="5:23" x14ac:dyDescent="0.3">
      <c r="G142" s="13"/>
    </row>
    <row r="143" spans="5:23" x14ac:dyDescent="0.3">
      <c r="E143" s="32" t="s">
        <v>408</v>
      </c>
      <c r="G143" s="13"/>
      <c r="I143" t="s">
        <v>154</v>
      </c>
      <c r="W143" s="3" t="s">
        <v>409</v>
      </c>
    </row>
    <row r="144" spans="5:23" x14ac:dyDescent="0.3">
      <c r="E144" s="29" t="s">
        <v>401</v>
      </c>
      <c r="G144" s="13"/>
    </row>
    <row r="145" spans="6:23" x14ac:dyDescent="0.3">
      <c r="F145" s="23" t="s">
        <v>829</v>
      </c>
      <c r="G145" s="78" t="s">
        <v>283</v>
      </c>
      <c r="H145" s="129"/>
      <c r="I145" s="23"/>
      <c r="J145" s="101">
        <f t="shared" ref="J145:S145" si="38">$H126 * J104</f>
        <v>1.0900000000000001</v>
      </c>
      <c r="K145" s="101">
        <f t="shared" si="38"/>
        <v>1.0900000000000001</v>
      </c>
      <c r="L145" s="101">
        <f t="shared" si="38"/>
        <v>1.0900000000000001</v>
      </c>
      <c r="M145" s="101">
        <f t="shared" si="38"/>
        <v>0.33510346420667525</v>
      </c>
      <c r="N145" s="101">
        <f t="shared" si="38"/>
        <v>0.33510346420667525</v>
      </c>
      <c r="O145" s="101">
        <f t="shared" si="38"/>
        <v>0.33510346420667525</v>
      </c>
      <c r="P145" s="101">
        <f t="shared" si="38"/>
        <v>0.75489653579332483</v>
      </c>
      <c r="Q145" s="101">
        <f t="shared" si="38"/>
        <v>1.0900000000000001</v>
      </c>
      <c r="R145" s="101">
        <f t="shared" si="38"/>
        <v>1.0900000000000001</v>
      </c>
      <c r="S145" s="101">
        <f t="shared" si="38"/>
        <v>1.0900000000000001</v>
      </c>
      <c r="T145" s="83"/>
      <c r="U145" s="83"/>
    </row>
    <row r="146" spans="6:23" x14ac:dyDescent="0.3">
      <c r="F146" t="s">
        <v>831</v>
      </c>
      <c r="G146" s="72" t="s">
        <v>283</v>
      </c>
      <c r="H146" s="63"/>
      <c r="J146" s="121">
        <f t="shared" ref="J146:S146" si="39">$H127 * J105</f>
        <v>1.0900000000000001</v>
      </c>
      <c r="K146" s="121">
        <f t="shared" si="39"/>
        <v>1.0900000000000001</v>
      </c>
      <c r="L146" s="121">
        <f t="shared" si="39"/>
        <v>1.0900000000000001</v>
      </c>
      <c r="M146" s="121">
        <f t="shared" si="39"/>
        <v>0.33510346420667525</v>
      </c>
      <c r="N146" s="121">
        <f t="shared" si="39"/>
        <v>0.33510346420667525</v>
      </c>
      <c r="O146" s="121">
        <f t="shared" si="39"/>
        <v>0.33510346420667525</v>
      </c>
      <c r="P146" s="121">
        <f t="shared" si="39"/>
        <v>0.75489653579332483</v>
      </c>
      <c r="Q146" s="121">
        <f t="shared" si="39"/>
        <v>1.0900000000000001</v>
      </c>
      <c r="R146" s="121">
        <f t="shared" si="39"/>
        <v>1.0900000000000001</v>
      </c>
      <c r="S146" s="121">
        <f t="shared" si="39"/>
        <v>1.0900000000000001</v>
      </c>
      <c r="T146" s="79"/>
      <c r="U146" s="79"/>
      <c r="W146" s="3"/>
    </row>
    <row r="147" spans="6:23" x14ac:dyDescent="0.3">
      <c r="F147" t="s">
        <v>830</v>
      </c>
      <c r="G147" s="72" t="s">
        <v>283</v>
      </c>
      <c r="H147" s="63"/>
      <c r="J147" s="121">
        <f t="shared" ref="J147:S147" si="40">$H128 * J106</f>
        <v>1.0900000000000001</v>
      </c>
      <c r="K147" s="121">
        <f t="shared" si="40"/>
        <v>1.0900000000000001</v>
      </c>
      <c r="L147" s="121">
        <f t="shared" si="40"/>
        <v>1.0900000000000001</v>
      </c>
      <c r="M147" s="121">
        <f t="shared" si="40"/>
        <v>0.33510346420667525</v>
      </c>
      <c r="N147" s="121">
        <f t="shared" si="40"/>
        <v>0.33510346420667525</v>
      </c>
      <c r="O147" s="121">
        <f t="shared" si="40"/>
        <v>0.33510346420667525</v>
      </c>
      <c r="P147" s="121">
        <f t="shared" si="40"/>
        <v>0.75489653579332483</v>
      </c>
      <c r="Q147" s="121">
        <f t="shared" si="40"/>
        <v>1.0900000000000001</v>
      </c>
      <c r="R147" s="121">
        <f t="shared" si="40"/>
        <v>1.0900000000000001</v>
      </c>
      <c r="S147" s="121">
        <f t="shared" si="40"/>
        <v>1.0900000000000001</v>
      </c>
      <c r="T147" s="79"/>
      <c r="U147" s="79"/>
      <c r="W147" s="3"/>
    </row>
    <row r="148" spans="6:23" x14ac:dyDescent="0.3">
      <c r="F148" t="s">
        <v>832</v>
      </c>
      <c r="G148" s="72" t="s">
        <v>283</v>
      </c>
      <c r="H148" s="63"/>
      <c r="J148" s="121">
        <f t="shared" ref="J148:S148" si="41">$H129 * J107</f>
        <v>1.0900000000000001</v>
      </c>
      <c r="K148" s="121">
        <f t="shared" si="41"/>
        <v>1.0900000000000001</v>
      </c>
      <c r="L148" s="121">
        <f t="shared" si="41"/>
        <v>1.0900000000000001</v>
      </c>
      <c r="M148" s="121">
        <f t="shared" si="41"/>
        <v>0.33510346420667525</v>
      </c>
      <c r="N148" s="121">
        <f t="shared" si="41"/>
        <v>0.33510346420667525</v>
      </c>
      <c r="O148" s="121">
        <f t="shared" si="41"/>
        <v>0.33510346420667525</v>
      </c>
      <c r="P148" s="121">
        <f t="shared" si="41"/>
        <v>0.75489653579332483</v>
      </c>
      <c r="Q148" s="121">
        <f t="shared" si="41"/>
        <v>1.0900000000000001</v>
      </c>
      <c r="R148" s="121">
        <f t="shared" si="41"/>
        <v>1.0900000000000001</v>
      </c>
      <c r="S148" s="121">
        <f t="shared" si="41"/>
        <v>1.0900000000000001</v>
      </c>
      <c r="T148" s="79"/>
      <c r="U148" s="79"/>
    </row>
    <row r="149" spans="6:23" x14ac:dyDescent="0.3">
      <c r="F149" t="s">
        <v>838</v>
      </c>
      <c r="G149" s="72" t="s">
        <v>283</v>
      </c>
      <c r="H149" s="63"/>
      <c r="J149" s="121">
        <f t="shared" ref="J149:S149" si="42">$H130 * J108</f>
        <v>1.0900000000000001</v>
      </c>
      <c r="K149" s="121">
        <f t="shared" si="42"/>
        <v>1.0900000000000001</v>
      </c>
      <c r="L149" s="121">
        <f t="shared" si="42"/>
        <v>1.0900000000000001</v>
      </c>
      <c r="M149" s="121">
        <f t="shared" si="42"/>
        <v>0.33510346420667525</v>
      </c>
      <c r="N149" s="121">
        <f t="shared" si="42"/>
        <v>0.33510346420667525</v>
      </c>
      <c r="O149" s="121">
        <f t="shared" si="42"/>
        <v>0.33510346420667525</v>
      </c>
      <c r="P149" s="121">
        <f t="shared" si="42"/>
        <v>0.75489653579332483</v>
      </c>
      <c r="Q149" s="121">
        <f t="shared" si="42"/>
        <v>1.0900000000000001</v>
      </c>
      <c r="R149" s="121">
        <f t="shared" si="42"/>
        <v>1.0900000000000001</v>
      </c>
      <c r="S149" s="121">
        <f t="shared" si="42"/>
        <v>1.0900000000000001</v>
      </c>
      <c r="T149" s="79"/>
      <c r="U149" s="79"/>
    </row>
    <row r="150" spans="6:23" x14ac:dyDescent="0.3">
      <c r="F150" t="s">
        <v>839</v>
      </c>
      <c r="G150" s="72" t="s">
        <v>283</v>
      </c>
      <c r="H150" s="63"/>
      <c r="J150" s="121">
        <f t="shared" ref="J150:S150" si="43">$H131 * J109</f>
        <v>1.0669999999999999</v>
      </c>
      <c r="K150" s="121">
        <f t="shared" si="43"/>
        <v>1.0669999999999999</v>
      </c>
      <c r="L150" s="121">
        <f t="shared" si="43"/>
        <v>1.0669999999999999</v>
      </c>
      <c r="M150" s="121">
        <f t="shared" si="43"/>
        <v>0.32803247367754351</v>
      </c>
      <c r="N150" s="121">
        <f t="shared" si="43"/>
        <v>0.32803247367754351</v>
      </c>
      <c r="O150" s="121">
        <f t="shared" si="43"/>
        <v>0.32803247367754351</v>
      </c>
      <c r="P150" s="121">
        <f t="shared" si="43"/>
        <v>0.73896752632245644</v>
      </c>
      <c r="Q150" s="121">
        <f t="shared" si="43"/>
        <v>1.0669999999999999</v>
      </c>
      <c r="R150" s="121">
        <f t="shared" si="43"/>
        <v>1.0669999999999999</v>
      </c>
      <c r="S150" s="121">
        <f t="shared" si="43"/>
        <v>0</v>
      </c>
      <c r="T150" s="79"/>
      <c r="U150" s="79"/>
    </row>
    <row r="151" spans="6:23" x14ac:dyDescent="0.3">
      <c r="F151" t="s">
        <v>840</v>
      </c>
      <c r="G151" s="72" t="s">
        <v>283</v>
      </c>
      <c r="H151" s="63"/>
      <c r="J151" s="121">
        <f t="shared" ref="J151:S151" si="44">$H132 * J110</f>
        <v>1.0509999999999999</v>
      </c>
      <c r="K151" s="121">
        <f t="shared" si="44"/>
        <v>1.0509999999999999</v>
      </c>
      <c r="L151" s="121">
        <f t="shared" si="44"/>
        <v>1.0509999999999999</v>
      </c>
      <c r="M151" s="121">
        <f t="shared" si="44"/>
        <v>0.32311352374423452</v>
      </c>
      <c r="N151" s="121">
        <f t="shared" si="44"/>
        <v>0.32311352374423452</v>
      </c>
      <c r="O151" s="121">
        <f t="shared" si="44"/>
        <v>0.32311352374423452</v>
      </c>
      <c r="P151" s="121">
        <f t="shared" si="44"/>
        <v>0.72788647625576541</v>
      </c>
      <c r="Q151" s="121">
        <f t="shared" si="44"/>
        <v>1.0509999999999999</v>
      </c>
      <c r="R151" s="121">
        <f t="shared" si="44"/>
        <v>0</v>
      </c>
      <c r="S151" s="121">
        <f t="shared" si="44"/>
        <v>0</v>
      </c>
      <c r="T151" s="79"/>
      <c r="U151" s="79"/>
    </row>
    <row r="152" spans="6:23" x14ac:dyDescent="0.3">
      <c r="F152" t="s">
        <v>841</v>
      </c>
      <c r="G152" s="72" t="s">
        <v>283</v>
      </c>
      <c r="H152" s="63"/>
      <c r="J152" s="121">
        <f t="shared" ref="J152:S152" si="45">$H133 * J111</f>
        <v>1.0900000000000001</v>
      </c>
      <c r="K152" s="121">
        <f t="shared" si="45"/>
        <v>1.0900000000000001</v>
      </c>
      <c r="L152" s="121">
        <f t="shared" si="45"/>
        <v>1.0900000000000001</v>
      </c>
      <c r="M152" s="121">
        <f t="shared" si="45"/>
        <v>0.33510346420667525</v>
      </c>
      <c r="N152" s="121">
        <f t="shared" si="45"/>
        <v>0.33510346420667525</v>
      </c>
      <c r="O152" s="121">
        <f t="shared" si="45"/>
        <v>0.33510346420667525</v>
      </c>
      <c r="P152" s="121">
        <f t="shared" si="45"/>
        <v>0.75489653579332483</v>
      </c>
      <c r="Q152" s="121">
        <f t="shared" si="45"/>
        <v>1.0900000000000001</v>
      </c>
      <c r="R152" s="121">
        <f t="shared" si="45"/>
        <v>1.0900000000000001</v>
      </c>
      <c r="S152" s="121">
        <f t="shared" si="45"/>
        <v>1.0900000000000001</v>
      </c>
      <c r="T152" s="79"/>
      <c r="U152" s="79"/>
    </row>
    <row r="153" spans="6:23" x14ac:dyDescent="0.3">
      <c r="F153" t="s">
        <v>833</v>
      </c>
      <c r="G153" s="72" t="s">
        <v>283</v>
      </c>
      <c r="H153" s="63"/>
      <c r="J153" s="121">
        <f t="shared" ref="J153:S153" si="46">$H134 * J112</f>
        <v>-1.0900000000000001</v>
      </c>
      <c r="K153" s="121">
        <f t="shared" si="46"/>
        <v>-1.0900000000000001</v>
      </c>
      <c r="L153" s="121">
        <f t="shared" si="46"/>
        <v>-1.0900000000000001</v>
      </c>
      <c r="M153" s="121">
        <f t="shared" si="46"/>
        <v>-0.33510346420667525</v>
      </c>
      <c r="N153" s="121">
        <f t="shared" si="46"/>
        <v>-0.33510346420667525</v>
      </c>
      <c r="O153" s="121">
        <f t="shared" si="46"/>
        <v>-0.33510346420667525</v>
      </c>
      <c r="P153" s="121">
        <f t="shared" si="46"/>
        <v>-0.75489653579332483</v>
      </c>
      <c r="Q153" s="121">
        <f t="shared" si="46"/>
        <v>-1.0900000000000001</v>
      </c>
      <c r="R153" s="121">
        <f t="shared" si="46"/>
        <v>-1.0900000000000001</v>
      </c>
      <c r="S153" s="121">
        <f t="shared" si="46"/>
        <v>0</v>
      </c>
      <c r="T153" s="79"/>
      <c r="U153" s="79"/>
    </row>
    <row r="154" spans="6:23" x14ac:dyDescent="0.3">
      <c r="F154" t="s">
        <v>834</v>
      </c>
      <c r="G154" s="72" t="s">
        <v>283</v>
      </c>
      <c r="H154" s="63"/>
      <c r="J154" s="121">
        <f t="shared" ref="J154:S154" si="47">$H135 * J113</f>
        <v>-1.0669999999999999</v>
      </c>
      <c r="K154" s="121">
        <f t="shared" si="47"/>
        <v>-1.0669999999999999</v>
      </c>
      <c r="L154" s="121">
        <f t="shared" si="47"/>
        <v>-1.0669999999999999</v>
      </c>
      <c r="M154" s="121">
        <f t="shared" si="47"/>
        <v>-0.32803247367754351</v>
      </c>
      <c r="N154" s="121">
        <f t="shared" si="47"/>
        <v>-0.32803247367754351</v>
      </c>
      <c r="O154" s="121">
        <f t="shared" si="47"/>
        <v>-0.32803247367754351</v>
      </c>
      <c r="P154" s="121">
        <f t="shared" si="47"/>
        <v>-0.73896752632245644</v>
      </c>
      <c r="Q154" s="121">
        <f t="shared" si="47"/>
        <v>-1.0669999999999999</v>
      </c>
      <c r="R154" s="121">
        <f t="shared" si="47"/>
        <v>0</v>
      </c>
      <c r="S154" s="121">
        <f t="shared" si="47"/>
        <v>0</v>
      </c>
      <c r="T154" s="79"/>
      <c r="U154" s="79"/>
    </row>
    <row r="155" spans="6:23" x14ac:dyDescent="0.3">
      <c r="F155" t="s">
        <v>835</v>
      </c>
      <c r="G155" s="72" t="s">
        <v>283</v>
      </c>
      <c r="H155" s="63"/>
      <c r="J155" s="121">
        <f t="shared" ref="J155:S155" si="48">$H136 * J114</f>
        <v>-1.0900000000000001</v>
      </c>
      <c r="K155" s="121">
        <f t="shared" si="48"/>
        <v>-1.0900000000000001</v>
      </c>
      <c r="L155" s="121">
        <f t="shared" si="48"/>
        <v>-1.0900000000000001</v>
      </c>
      <c r="M155" s="121">
        <f t="shared" si="48"/>
        <v>-0.33510346420667525</v>
      </c>
      <c r="N155" s="121">
        <f t="shared" si="48"/>
        <v>-0.33510346420667525</v>
      </c>
      <c r="O155" s="121">
        <f t="shared" si="48"/>
        <v>-0.33510346420667525</v>
      </c>
      <c r="P155" s="121">
        <f t="shared" si="48"/>
        <v>-0.75489653579332483</v>
      </c>
      <c r="Q155" s="121">
        <f t="shared" si="48"/>
        <v>-1.0900000000000001</v>
      </c>
      <c r="R155" s="121">
        <f t="shared" si="48"/>
        <v>-1.0900000000000001</v>
      </c>
      <c r="S155" s="121">
        <f t="shared" si="48"/>
        <v>0</v>
      </c>
      <c r="T155" s="79"/>
      <c r="U155" s="79"/>
    </row>
    <row r="156" spans="6:23" x14ac:dyDescent="0.3">
      <c r="F156" t="s">
        <v>844</v>
      </c>
      <c r="G156" s="72" t="s">
        <v>283</v>
      </c>
      <c r="H156" s="63"/>
      <c r="J156" s="121">
        <f t="shared" ref="J156:S156" si="49">$H137 * J115</f>
        <v>-1.0900000000000001</v>
      </c>
      <c r="K156" s="121">
        <f t="shared" si="49"/>
        <v>-1.0900000000000001</v>
      </c>
      <c r="L156" s="121">
        <f t="shared" si="49"/>
        <v>-1.0900000000000001</v>
      </c>
      <c r="M156" s="121">
        <f t="shared" si="49"/>
        <v>-0.33510346420667525</v>
      </c>
      <c r="N156" s="121">
        <f t="shared" si="49"/>
        <v>-0.33510346420667525</v>
      </c>
      <c r="O156" s="121">
        <f t="shared" si="49"/>
        <v>-0.33510346420667525</v>
      </c>
      <c r="P156" s="121">
        <f t="shared" si="49"/>
        <v>-0.75489653579332483</v>
      </c>
      <c r="Q156" s="121">
        <f t="shared" si="49"/>
        <v>-1.0900000000000001</v>
      </c>
      <c r="R156" s="121">
        <f t="shared" si="49"/>
        <v>-1.0900000000000001</v>
      </c>
      <c r="S156" s="121">
        <f t="shared" si="49"/>
        <v>0</v>
      </c>
      <c r="T156" s="79"/>
      <c r="U156" s="79"/>
    </row>
    <row r="157" spans="6:23" x14ac:dyDescent="0.3">
      <c r="F157" t="s">
        <v>836</v>
      </c>
      <c r="G157" s="72" t="s">
        <v>283</v>
      </c>
      <c r="H157" s="63"/>
      <c r="J157" s="121">
        <f t="shared" ref="J157:S157" si="50">$H138 * J116</f>
        <v>-1.0669999999999999</v>
      </c>
      <c r="K157" s="121">
        <f t="shared" si="50"/>
        <v>-1.0669999999999999</v>
      </c>
      <c r="L157" s="121">
        <f t="shared" si="50"/>
        <v>-1.0669999999999999</v>
      </c>
      <c r="M157" s="121">
        <f t="shared" si="50"/>
        <v>-0.32803247367754351</v>
      </c>
      <c r="N157" s="121">
        <f t="shared" si="50"/>
        <v>-0.32803247367754351</v>
      </c>
      <c r="O157" s="121">
        <f t="shared" si="50"/>
        <v>-0.32803247367754351</v>
      </c>
      <c r="P157" s="121">
        <f t="shared" si="50"/>
        <v>-0.73896752632245644</v>
      </c>
      <c r="Q157" s="121">
        <f t="shared" si="50"/>
        <v>-1.0669999999999999</v>
      </c>
      <c r="R157" s="121">
        <f t="shared" si="50"/>
        <v>0</v>
      </c>
      <c r="S157" s="121">
        <f t="shared" si="50"/>
        <v>0</v>
      </c>
      <c r="T157" s="79"/>
      <c r="U157" s="79"/>
    </row>
    <row r="158" spans="6:23" x14ac:dyDescent="0.3">
      <c r="F158" t="s">
        <v>843</v>
      </c>
      <c r="G158" s="72" t="s">
        <v>283</v>
      </c>
      <c r="H158" s="63"/>
      <c r="J158" s="121">
        <f t="shared" ref="J158:S158" si="51">$H139 * J117</f>
        <v>-1.0669999999999999</v>
      </c>
      <c r="K158" s="121">
        <f t="shared" si="51"/>
        <v>-1.0669999999999999</v>
      </c>
      <c r="L158" s="121">
        <f t="shared" si="51"/>
        <v>-1.0669999999999999</v>
      </c>
      <c r="M158" s="121">
        <f t="shared" si="51"/>
        <v>-0.32803247367754351</v>
      </c>
      <c r="N158" s="121">
        <f t="shared" si="51"/>
        <v>-0.32803247367754351</v>
      </c>
      <c r="O158" s="121">
        <f t="shared" si="51"/>
        <v>-0.32803247367754351</v>
      </c>
      <c r="P158" s="121">
        <f t="shared" si="51"/>
        <v>-0.73896752632245644</v>
      </c>
      <c r="Q158" s="121">
        <f t="shared" si="51"/>
        <v>-1.0669999999999999</v>
      </c>
      <c r="R158" s="121">
        <f t="shared" si="51"/>
        <v>0</v>
      </c>
      <c r="S158" s="121">
        <f t="shared" si="51"/>
        <v>0</v>
      </c>
      <c r="T158" s="79"/>
      <c r="U158" s="79"/>
    </row>
    <row r="159" spans="6:23" x14ac:dyDescent="0.3">
      <c r="F159" t="s">
        <v>837</v>
      </c>
      <c r="G159" s="72" t="s">
        <v>283</v>
      </c>
      <c r="H159" s="63"/>
      <c r="J159" s="121">
        <f t="shared" ref="J159:S159" si="52">$H140 * J118</f>
        <v>-1.0509999999999999</v>
      </c>
      <c r="K159" s="121">
        <f t="shared" si="52"/>
        <v>-1.0509999999999999</v>
      </c>
      <c r="L159" s="121">
        <f t="shared" si="52"/>
        <v>-1.0509999999999999</v>
      </c>
      <c r="M159" s="121">
        <f t="shared" si="52"/>
        <v>-0.32311352374423452</v>
      </c>
      <c r="N159" s="121">
        <f t="shared" si="52"/>
        <v>-0.32311352374423452</v>
      </c>
      <c r="O159" s="121">
        <f t="shared" si="52"/>
        <v>-0.32311352374423452</v>
      </c>
      <c r="P159" s="121">
        <f t="shared" si="52"/>
        <v>-0.72788647625576541</v>
      </c>
      <c r="Q159" s="121">
        <f t="shared" si="52"/>
        <v>0</v>
      </c>
      <c r="R159" s="121">
        <f t="shared" si="52"/>
        <v>0</v>
      </c>
      <c r="S159" s="121">
        <f t="shared" si="52"/>
        <v>0</v>
      </c>
      <c r="T159" s="79"/>
      <c r="U159" s="79"/>
    </row>
    <row r="160" spans="6:23" x14ac:dyDescent="0.3">
      <c r="F160" s="37" t="s">
        <v>842</v>
      </c>
      <c r="G160" s="80" t="s">
        <v>283</v>
      </c>
      <c r="H160" s="130"/>
      <c r="I160" s="37"/>
      <c r="J160" s="131">
        <f t="shared" ref="J160:S160" si="53">$H141 * J119</f>
        <v>-1.0509999999999999</v>
      </c>
      <c r="K160" s="131">
        <f t="shared" si="53"/>
        <v>-1.0509999999999999</v>
      </c>
      <c r="L160" s="131">
        <f t="shared" si="53"/>
        <v>-1.0509999999999999</v>
      </c>
      <c r="M160" s="131">
        <f t="shared" si="53"/>
        <v>-0.32311352374423452</v>
      </c>
      <c r="N160" s="131">
        <f t="shared" si="53"/>
        <v>-0.32311352374423452</v>
      </c>
      <c r="O160" s="131">
        <f t="shared" si="53"/>
        <v>-0.32311352374423452</v>
      </c>
      <c r="P160" s="131">
        <f t="shared" si="53"/>
        <v>-0.72788647625576541</v>
      </c>
      <c r="Q160" s="131">
        <f t="shared" si="53"/>
        <v>0</v>
      </c>
      <c r="R160" s="131">
        <f t="shared" si="53"/>
        <v>0</v>
      </c>
      <c r="S160" s="131">
        <f t="shared" si="53"/>
        <v>0</v>
      </c>
      <c r="T160" s="81"/>
      <c r="U160" s="81"/>
    </row>
    <row r="161" spans="5:23" x14ac:dyDescent="0.3">
      <c r="G161" s="13"/>
      <c r="J161" s="89"/>
      <c r="K161" s="89"/>
      <c r="L161" s="89"/>
      <c r="M161" s="89"/>
      <c r="N161" s="89"/>
      <c r="O161" s="89"/>
      <c r="P161" s="89"/>
      <c r="Q161" s="89"/>
      <c r="R161" s="89"/>
      <c r="S161" s="89"/>
      <c r="T161" s="89"/>
      <c r="U161" s="89"/>
    </row>
    <row r="162" spans="5:23" x14ac:dyDescent="0.3">
      <c r="E162" s="32" t="s">
        <v>404</v>
      </c>
      <c r="G162" s="13"/>
      <c r="I162" t="s">
        <v>154</v>
      </c>
      <c r="J162" s="89"/>
      <c r="K162" s="89"/>
      <c r="L162" s="89"/>
      <c r="M162" s="89"/>
      <c r="N162" s="89"/>
      <c r="O162" s="89"/>
      <c r="P162" s="89"/>
      <c r="Q162" s="89"/>
      <c r="R162" s="89"/>
      <c r="S162" s="89"/>
      <c r="T162" s="89"/>
      <c r="U162" s="89"/>
      <c r="W162" s="3" t="s">
        <v>409</v>
      </c>
    </row>
    <row r="163" spans="5:23" x14ac:dyDescent="0.3">
      <c r="E163" s="29" t="s">
        <v>401</v>
      </c>
      <c r="G163" s="13"/>
      <c r="J163" s="89"/>
      <c r="K163" s="89"/>
      <c r="L163" s="89"/>
      <c r="M163" s="89"/>
      <c r="N163" s="89"/>
      <c r="O163" s="89"/>
      <c r="P163" s="89"/>
      <c r="Q163" s="89"/>
      <c r="R163" s="89"/>
      <c r="S163" s="89"/>
      <c r="T163" s="89"/>
      <c r="U163" s="89"/>
    </row>
    <row r="164" spans="5:23" x14ac:dyDescent="0.3">
      <c r="F164" s="23" t="s">
        <v>829</v>
      </c>
      <c r="G164" s="78" t="s">
        <v>283</v>
      </c>
      <c r="H164" s="129"/>
      <c r="I164" s="23"/>
      <c r="J164" s="83"/>
      <c r="K164" s="83"/>
      <c r="L164" s="83"/>
      <c r="M164" s="83"/>
      <c r="N164" s="83"/>
      <c r="O164" s="83"/>
      <c r="P164" s="83"/>
      <c r="Q164" s="83"/>
      <c r="R164" s="83"/>
      <c r="S164" s="83"/>
      <c r="T164" s="83"/>
      <c r="U164" s="83"/>
    </row>
    <row r="165" spans="5:23" x14ac:dyDescent="0.3">
      <c r="F165" t="s">
        <v>831</v>
      </c>
      <c r="G165" s="72" t="s">
        <v>283</v>
      </c>
      <c r="H165" s="63"/>
      <c r="J165" s="79"/>
      <c r="K165" s="79"/>
      <c r="L165" s="79"/>
      <c r="M165" s="79"/>
      <c r="N165" s="79"/>
      <c r="O165" s="79"/>
      <c r="P165" s="79"/>
      <c r="Q165" s="79"/>
      <c r="R165" s="79"/>
      <c r="S165" s="79"/>
      <c r="T165" s="79"/>
      <c r="U165" s="79"/>
      <c r="W165" s="3"/>
    </row>
    <row r="166" spans="5:23" x14ac:dyDescent="0.3">
      <c r="F166" t="s">
        <v>830</v>
      </c>
      <c r="G166" s="72" t="s">
        <v>283</v>
      </c>
      <c r="H166" s="63"/>
      <c r="J166" s="79"/>
      <c r="K166" s="79"/>
      <c r="L166" s="79"/>
      <c r="M166" s="79"/>
      <c r="N166" s="79"/>
      <c r="O166" s="79"/>
      <c r="P166" s="79"/>
      <c r="Q166" s="79"/>
      <c r="R166" s="79"/>
      <c r="S166" s="79"/>
      <c r="T166" s="79"/>
      <c r="U166" s="79"/>
      <c r="W166" s="3"/>
    </row>
    <row r="167" spans="5:23" x14ac:dyDescent="0.3">
      <c r="F167" t="s">
        <v>832</v>
      </c>
      <c r="G167" s="72" t="s">
        <v>283</v>
      </c>
      <c r="H167" s="63"/>
      <c r="J167" s="79"/>
      <c r="K167" s="79"/>
      <c r="L167" s="79"/>
      <c r="M167" s="79"/>
      <c r="N167" s="79"/>
      <c r="O167" s="79"/>
      <c r="P167" s="79"/>
      <c r="Q167" s="79"/>
      <c r="R167" s="79"/>
      <c r="S167" s="79"/>
      <c r="T167" s="79"/>
      <c r="U167" s="79"/>
    </row>
    <row r="168" spans="5:23" x14ac:dyDescent="0.3">
      <c r="F168" t="s">
        <v>838</v>
      </c>
      <c r="G168" s="72" t="s">
        <v>283</v>
      </c>
      <c r="H168" s="63"/>
      <c r="J168" s="79"/>
      <c r="K168" s="79"/>
      <c r="L168" s="79"/>
      <c r="M168" s="79"/>
      <c r="N168" s="79"/>
      <c r="O168" s="79"/>
      <c r="P168" s="79"/>
      <c r="Q168" s="79"/>
      <c r="R168" s="79"/>
      <c r="S168" s="79"/>
      <c r="T168" s="79"/>
      <c r="U168" s="79"/>
    </row>
    <row r="169" spans="5:23" x14ac:dyDescent="0.3">
      <c r="F169" t="s">
        <v>839</v>
      </c>
      <c r="G169" s="72" t="s">
        <v>283</v>
      </c>
      <c r="H169" s="63"/>
      <c r="J169" s="79"/>
      <c r="K169" s="79"/>
      <c r="L169" s="79"/>
      <c r="M169" s="79"/>
      <c r="N169" s="79"/>
      <c r="O169" s="79"/>
      <c r="P169" s="79"/>
      <c r="Q169" s="79"/>
      <c r="R169" s="79"/>
      <c r="S169" s="79"/>
      <c r="T169" s="79"/>
      <c r="U169" s="79"/>
    </row>
    <row r="170" spans="5:23" x14ac:dyDescent="0.3">
      <c r="F170" t="s">
        <v>840</v>
      </c>
      <c r="G170" s="72" t="s">
        <v>283</v>
      </c>
      <c r="H170" s="63"/>
      <c r="J170" s="79"/>
      <c r="K170" s="79"/>
      <c r="L170" s="79"/>
      <c r="M170" s="79"/>
      <c r="N170" s="79"/>
      <c r="O170" s="79"/>
      <c r="P170" s="79"/>
      <c r="Q170" s="79"/>
      <c r="R170" s="79"/>
      <c r="S170" s="79"/>
      <c r="T170" s="79"/>
      <c r="U170" s="79"/>
    </row>
    <row r="171" spans="5:23" x14ac:dyDescent="0.3">
      <c r="F171" t="s">
        <v>841</v>
      </c>
      <c r="G171" s="72" t="s">
        <v>283</v>
      </c>
      <c r="H171" s="63"/>
      <c r="J171" s="79"/>
      <c r="K171" s="79"/>
      <c r="L171" s="79"/>
      <c r="M171" s="79"/>
      <c r="N171" s="79"/>
      <c r="O171" s="79"/>
      <c r="P171" s="79"/>
      <c r="Q171" s="79"/>
      <c r="R171" s="79"/>
      <c r="S171" s="79"/>
      <c r="T171" s="79"/>
      <c r="U171" s="79"/>
    </row>
    <row r="172" spans="5:23" x14ac:dyDescent="0.3">
      <c r="F172" t="s">
        <v>833</v>
      </c>
      <c r="G172" s="72" t="s">
        <v>283</v>
      </c>
      <c r="H172" s="63"/>
      <c r="J172" s="121">
        <f t="shared" ref="J172:S172" si="54">$H134 * J73</f>
        <v>-1.0900000000000001</v>
      </c>
      <c r="K172" s="121">
        <f t="shared" si="54"/>
        <v>-1.0900000000000001</v>
      </c>
      <c r="L172" s="121">
        <f t="shared" si="54"/>
        <v>-1.0900000000000001</v>
      </c>
      <c r="M172" s="121">
        <f t="shared" si="54"/>
        <v>-0.33510346420667525</v>
      </c>
      <c r="N172" s="121">
        <f t="shared" si="54"/>
        <v>-0.33510346420667525</v>
      </c>
      <c r="O172" s="121">
        <f t="shared" si="54"/>
        <v>-0.33510346420667525</v>
      </c>
      <c r="P172" s="121">
        <f t="shared" si="54"/>
        <v>-0.75489653579332483</v>
      </c>
      <c r="Q172" s="121">
        <f t="shared" si="54"/>
        <v>-1.0900000000000001</v>
      </c>
      <c r="R172" s="121">
        <f t="shared" si="54"/>
        <v>-1.0900000000000001</v>
      </c>
      <c r="S172" s="121">
        <f t="shared" si="54"/>
        <v>-1.0900000000000001</v>
      </c>
      <c r="T172" s="79"/>
      <c r="U172" s="79"/>
    </row>
    <row r="173" spans="5:23" x14ac:dyDescent="0.3">
      <c r="F173" t="s">
        <v>834</v>
      </c>
      <c r="G173" s="72" t="s">
        <v>283</v>
      </c>
      <c r="H173" s="63"/>
      <c r="J173" s="121">
        <f t="shared" ref="J173:S173" si="55">$H135 * J74</f>
        <v>-1.0669999999999999</v>
      </c>
      <c r="K173" s="121">
        <f t="shared" si="55"/>
        <v>-1.0669999999999999</v>
      </c>
      <c r="L173" s="121">
        <f t="shared" si="55"/>
        <v>-1.0669999999999999</v>
      </c>
      <c r="M173" s="121">
        <f t="shared" si="55"/>
        <v>-0.32803247367754351</v>
      </c>
      <c r="N173" s="121">
        <f t="shared" si="55"/>
        <v>-0.32803247367754351</v>
      </c>
      <c r="O173" s="121">
        <f t="shared" si="55"/>
        <v>-0.32803247367754351</v>
      </c>
      <c r="P173" s="121">
        <f t="shared" si="55"/>
        <v>-0.73896752632245644</v>
      </c>
      <c r="Q173" s="121">
        <f t="shared" si="55"/>
        <v>-1.0669999999999999</v>
      </c>
      <c r="R173" s="121">
        <f t="shared" si="55"/>
        <v>-1.0669999999999999</v>
      </c>
      <c r="S173" s="121">
        <f t="shared" si="55"/>
        <v>0</v>
      </c>
      <c r="T173" s="79"/>
      <c r="U173" s="79"/>
    </row>
    <row r="174" spans="5:23" x14ac:dyDescent="0.3">
      <c r="F174" t="s">
        <v>835</v>
      </c>
      <c r="G174" s="72" t="s">
        <v>283</v>
      </c>
      <c r="H174" s="63"/>
      <c r="J174" s="121">
        <f t="shared" ref="J174:S174" si="56">$H136 * J75</f>
        <v>-1.0900000000000001</v>
      </c>
      <c r="K174" s="121">
        <f t="shared" si="56"/>
        <v>-1.0900000000000001</v>
      </c>
      <c r="L174" s="121">
        <f t="shared" si="56"/>
        <v>-1.0900000000000001</v>
      </c>
      <c r="M174" s="121">
        <f t="shared" si="56"/>
        <v>-0.33510346420667525</v>
      </c>
      <c r="N174" s="121">
        <f t="shared" si="56"/>
        <v>-0.33510346420667525</v>
      </c>
      <c r="O174" s="121">
        <f t="shared" si="56"/>
        <v>-0.33510346420667525</v>
      </c>
      <c r="P174" s="121">
        <f t="shared" si="56"/>
        <v>-0.75489653579332483</v>
      </c>
      <c r="Q174" s="121">
        <f t="shared" si="56"/>
        <v>-1.0900000000000001</v>
      </c>
      <c r="R174" s="121">
        <f t="shared" si="56"/>
        <v>-1.0900000000000001</v>
      </c>
      <c r="S174" s="121">
        <f t="shared" si="56"/>
        <v>-1.0900000000000001</v>
      </c>
      <c r="T174" s="79"/>
      <c r="U174" s="79"/>
    </row>
    <row r="175" spans="5:23" x14ac:dyDescent="0.3">
      <c r="F175" t="s">
        <v>844</v>
      </c>
      <c r="G175" s="72" t="s">
        <v>283</v>
      </c>
      <c r="H175" s="63"/>
      <c r="J175" s="121">
        <f t="shared" ref="J175:S175" si="57">$H137 * J76</f>
        <v>-1.0900000000000001</v>
      </c>
      <c r="K175" s="121">
        <f t="shared" si="57"/>
        <v>-1.0900000000000001</v>
      </c>
      <c r="L175" s="121">
        <f t="shared" si="57"/>
        <v>-1.0900000000000001</v>
      </c>
      <c r="M175" s="121">
        <f t="shared" si="57"/>
        <v>-0.33510346420667525</v>
      </c>
      <c r="N175" s="121">
        <f t="shared" si="57"/>
        <v>-0.33510346420667525</v>
      </c>
      <c r="O175" s="121">
        <f t="shared" si="57"/>
        <v>-0.33510346420667525</v>
      </c>
      <c r="P175" s="121">
        <f t="shared" si="57"/>
        <v>-0.75489653579332483</v>
      </c>
      <c r="Q175" s="121">
        <f t="shared" si="57"/>
        <v>-1.0900000000000001</v>
      </c>
      <c r="R175" s="121">
        <f t="shared" si="57"/>
        <v>-1.0900000000000001</v>
      </c>
      <c r="S175" s="121">
        <f t="shared" si="57"/>
        <v>-1.0900000000000001</v>
      </c>
      <c r="T175" s="79"/>
      <c r="U175" s="79"/>
    </row>
    <row r="176" spans="5:23" x14ac:dyDescent="0.3">
      <c r="F176" t="s">
        <v>836</v>
      </c>
      <c r="G176" s="72" t="s">
        <v>283</v>
      </c>
      <c r="H176" s="63"/>
      <c r="J176" s="121">
        <f t="shared" ref="J176:S176" si="58">$H138 * J77</f>
        <v>-1.0669999999999999</v>
      </c>
      <c r="K176" s="121">
        <f t="shared" si="58"/>
        <v>-1.0669999999999999</v>
      </c>
      <c r="L176" s="121">
        <f t="shared" si="58"/>
        <v>-1.0669999999999999</v>
      </c>
      <c r="M176" s="121">
        <f t="shared" si="58"/>
        <v>-0.32803247367754351</v>
      </c>
      <c r="N176" s="121">
        <f t="shared" si="58"/>
        <v>-0.32803247367754351</v>
      </c>
      <c r="O176" s="121">
        <f t="shared" si="58"/>
        <v>-0.32803247367754351</v>
      </c>
      <c r="P176" s="121">
        <f t="shared" si="58"/>
        <v>-0.73896752632245644</v>
      </c>
      <c r="Q176" s="121">
        <f t="shared" si="58"/>
        <v>-1.0669999999999999</v>
      </c>
      <c r="R176" s="121">
        <f t="shared" si="58"/>
        <v>-1.0669999999999999</v>
      </c>
      <c r="S176" s="121">
        <f t="shared" si="58"/>
        <v>0</v>
      </c>
      <c r="T176" s="79"/>
      <c r="U176" s="79"/>
    </row>
    <row r="177" spans="2:23" x14ac:dyDescent="0.3">
      <c r="F177" t="s">
        <v>843</v>
      </c>
      <c r="G177" s="72" t="s">
        <v>283</v>
      </c>
      <c r="H177" s="63"/>
      <c r="J177" s="121">
        <f t="shared" ref="J177:S177" si="59">$H139 * J78</f>
        <v>-1.0669999999999999</v>
      </c>
      <c r="K177" s="121">
        <f t="shared" si="59"/>
        <v>-1.0669999999999999</v>
      </c>
      <c r="L177" s="121">
        <f t="shared" si="59"/>
        <v>-1.0669999999999999</v>
      </c>
      <c r="M177" s="121">
        <f t="shared" si="59"/>
        <v>-0.32803247367754351</v>
      </c>
      <c r="N177" s="121">
        <f t="shared" si="59"/>
        <v>-0.32803247367754351</v>
      </c>
      <c r="O177" s="121">
        <f t="shared" si="59"/>
        <v>-0.32803247367754351</v>
      </c>
      <c r="P177" s="121">
        <f t="shared" si="59"/>
        <v>-0.73896752632245644</v>
      </c>
      <c r="Q177" s="121">
        <f t="shared" si="59"/>
        <v>-1.0669999999999999</v>
      </c>
      <c r="R177" s="121">
        <f t="shared" si="59"/>
        <v>-1.0669999999999999</v>
      </c>
      <c r="S177" s="121">
        <f t="shared" si="59"/>
        <v>0</v>
      </c>
      <c r="T177" s="79"/>
      <c r="U177" s="79"/>
    </row>
    <row r="178" spans="2:23" x14ac:dyDescent="0.3">
      <c r="F178" t="s">
        <v>837</v>
      </c>
      <c r="G178" s="72" t="s">
        <v>283</v>
      </c>
      <c r="H178" s="63"/>
      <c r="J178" s="121">
        <f t="shared" ref="J178:S178" si="60">$H140 * J79</f>
        <v>-1.0509999999999999</v>
      </c>
      <c r="K178" s="121">
        <f t="shared" si="60"/>
        <v>-1.0509999999999999</v>
      </c>
      <c r="L178" s="121">
        <f t="shared" si="60"/>
        <v>-1.0509999999999999</v>
      </c>
      <c r="M178" s="121">
        <f t="shared" si="60"/>
        <v>-0.32311352374423452</v>
      </c>
      <c r="N178" s="121">
        <f t="shared" si="60"/>
        <v>-0.32311352374423452</v>
      </c>
      <c r="O178" s="121">
        <f t="shared" si="60"/>
        <v>-0.32311352374423452</v>
      </c>
      <c r="P178" s="121">
        <f t="shared" si="60"/>
        <v>-0.72788647625576541</v>
      </c>
      <c r="Q178" s="121">
        <f t="shared" si="60"/>
        <v>-1.0509999999999999</v>
      </c>
      <c r="R178" s="121">
        <f t="shared" si="60"/>
        <v>0</v>
      </c>
      <c r="S178" s="121">
        <f t="shared" si="60"/>
        <v>0</v>
      </c>
      <c r="T178" s="79"/>
      <c r="U178" s="79"/>
    </row>
    <row r="179" spans="2:23" x14ac:dyDescent="0.3">
      <c r="F179" s="37" t="s">
        <v>842</v>
      </c>
      <c r="G179" s="80" t="s">
        <v>283</v>
      </c>
      <c r="H179" s="130"/>
      <c r="I179" s="37"/>
      <c r="J179" s="131">
        <f t="shared" ref="J179:S179" si="61">$H141 * J80</f>
        <v>-1.0509999999999999</v>
      </c>
      <c r="K179" s="131">
        <f t="shared" si="61"/>
        <v>-1.0509999999999999</v>
      </c>
      <c r="L179" s="131">
        <f t="shared" si="61"/>
        <v>-1.0509999999999999</v>
      </c>
      <c r="M179" s="131">
        <f t="shared" si="61"/>
        <v>-0.32311352374423452</v>
      </c>
      <c r="N179" s="131">
        <f t="shared" si="61"/>
        <v>-0.32311352374423452</v>
      </c>
      <c r="O179" s="131">
        <f t="shared" si="61"/>
        <v>-0.32311352374423452</v>
      </c>
      <c r="P179" s="131">
        <f t="shared" si="61"/>
        <v>-0.72788647625576541</v>
      </c>
      <c r="Q179" s="131">
        <f t="shared" si="61"/>
        <v>-1.0509999999999999</v>
      </c>
      <c r="R179" s="131">
        <f t="shared" si="61"/>
        <v>0</v>
      </c>
      <c r="S179" s="131">
        <f t="shared" si="61"/>
        <v>0</v>
      </c>
      <c r="T179" s="81"/>
      <c r="U179" s="81"/>
    </row>
    <row r="180" spans="2:23" x14ac:dyDescent="0.3">
      <c r="G180" s="13"/>
    </row>
    <row r="181" spans="2:23" x14ac:dyDescent="0.3">
      <c r="B181" s="30" t="s">
        <v>231</v>
      </c>
      <c r="C181" s="30"/>
      <c r="D181" s="105"/>
      <c r="E181" s="105"/>
      <c r="F181" s="105"/>
      <c r="G181" s="132"/>
      <c r="H181" s="105"/>
      <c r="I181" s="105"/>
      <c r="J181" s="105"/>
      <c r="K181" s="105"/>
      <c r="L181" s="105"/>
      <c r="M181" s="105"/>
      <c r="N181" s="105"/>
      <c r="O181" s="105"/>
      <c r="P181" s="105"/>
      <c r="Q181" s="105"/>
      <c r="R181" s="105"/>
      <c r="S181" s="105"/>
      <c r="T181" s="105"/>
      <c r="U181" s="105"/>
      <c r="V181" s="105"/>
      <c r="W181" s="105"/>
    </row>
    <row r="182" spans="2:23" x14ac:dyDescent="0.3">
      <c r="G182" s="13"/>
    </row>
    <row r="183" spans="2:23" x14ac:dyDescent="0.3">
      <c r="E183" t="s">
        <v>232</v>
      </c>
      <c r="G183" s="6" t="s">
        <v>55</v>
      </c>
      <c r="H183" s="103">
        <f t="array" ref="H183">SUM(IF(ISERROR(H19:W181), 1))</f>
        <v>0</v>
      </c>
    </row>
    <row r="185" spans="2:23" x14ac:dyDescent="0.3">
      <c r="B185" s="30" t="s">
        <v>106</v>
      </c>
      <c r="C185" s="30"/>
      <c r="D185" s="30"/>
      <c r="E185" s="30"/>
      <c r="F185" s="30"/>
      <c r="G185" s="30"/>
      <c r="H185" s="30"/>
      <c r="I185" s="30"/>
      <c r="J185" s="30"/>
      <c r="K185" s="133"/>
      <c r="L185" s="133"/>
      <c r="M185" s="133"/>
      <c r="N185" s="133"/>
      <c r="O185" s="133"/>
      <c r="P185" s="133"/>
      <c r="Q185" s="133"/>
      <c r="R185" s="133"/>
      <c r="S185" s="133"/>
      <c r="T185" s="133"/>
      <c r="U185" s="30"/>
      <c r="V185" s="30"/>
      <c r="W185" s="30"/>
    </row>
  </sheetData>
  <sheetProtection sheet="1" objects="1" formatCells="0" formatColumns="0" formatRows="0" sort="0" autoFilter="0"/>
  <conditionalFormatting sqref="A4:XFD4">
    <cfRule type="expression" dxfId="170" priority="2">
      <formula>LEFT($A$4,1) &lt;&gt; "0"</formula>
    </cfRule>
  </conditionalFormatting>
  <conditionalFormatting sqref="H183">
    <cfRule type="cellIs" dxfId="16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1" width="17" customWidth="1"/>
    <col min="22" max="22" width="2.44140625" customWidth="1"/>
    <col min="23" max="23" width="50.5546875" customWidth="1"/>
    <col min="24" max="24" width="2.44140625" customWidth="1"/>
    <col min="25" max="42" width="17" hidden="1" customWidth="1"/>
    <col min="43" max="43" width="2.44140625" hidden="1" customWidth="1"/>
    <col min="44" max="44" width="18.44140625" hidden="1" customWidth="1"/>
    <col min="45" max="45" width="4.44140625" hidden="1" customWidth="1"/>
    <col min="46" max="293" width="24.5546875" hidden="1" customWidth="1"/>
    <col min="294" max="16384" width="8.77734375" hidden="1"/>
  </cols>
  <sheetData>
    <row r="1" spans="1:23" s="1" customFormat="1" x14ac:dyDescent="0.3">
      <c r="A1" s="1" t="str">
        <f ca="1">MID(CELL("filename",A1),FIND("]",CELL("filename",A1))+1,255)</f>
        <v>Customer contributions</v>
      </c>
    </row>
    <row r="2" spans="1:23" s="1" customFormat="1" x14ac:dyDescent="0.3">
      <c r="A2" s="1" t="str">
        <f>Cover!D21&amp;" - "&amp;Cover!D23</f>
        <v>WPD Mid West - April 22 Pricing</v>
      </c>
    </row>
    <row r="3" spans="1:23" s="5" customFormat="1" x14ac:dyDescent="0.3">
      <c r="A3" s="5" t="str">
        <f>Cover!D2&amp;" - "&amp;Cover!D8&amp;" v"&amp;Cover!D10&amp;" - "&amp;Cover!D19</f>
        <v>CDCM charging model - Release for charge setting v7 - 2022/23</v>
      </c>
    </row>
    <row r="4" spans="1:23" x14ac:dyDescent="0.3">
      <c r="A4" s="12" t="str">
        <f>H70 &amp; IF(H70 = 1, " issue", " issues") &amp;" identified in checks on this sheet"</f>
        <v>0 issues identified in checks on this sheet</v>
      </c>
      <c r="B4" s="13"/>
      <c r="C4" s="13"/>
      <c r="D4" s="13"/>
      <c r="E4" s="13"/>
      <c r="F4" s="13"/>
      <c r="G4" s="13"/>
      <c r="H4" s="14"/>
      <c r="I4" s="14"/>
      <c r="J4" s="13"/>
    </row>
    <row r="5" spans="1:23" x14ac:dyDescent="0.3">
      <c r="B5" s="59" t="s">
        <v>142</v>
      </c>
      <c r="C5" s="60"/>
      <c r="D5" s="60"/>
      <c r="E5" s="60"/>
      <c r="F5" s="60"/>
      <c r="G5" s="61" t="s">
        <v>143</v>
      </c>
      <c r="H5" s="62" t="s">
        <v>144</v>
      </c>
      <c r="W5" s="61" t="s">
        <v>145</v>
      </c>
    </row>
    <row r="7" spans="1:23" x14ac:dyDescent="0.3">
      <c r="B7" s="30" t="s">
        <v>10</v>
      </c>
      <c r="C7" s="30"/>
      <c r="D7" s="30"/>
      <c r="E7" s="30"/>
      <c r="F7" s="30"/>
      <c r="G7" s="30"/>
      <c r="H7" s="30"/>
      <c r="I7" s="30"/>
      <c r="J7" s="30"/>
      <c r="K7" s="30"/>
      <c r="L7" s="30"/>
      <c r="M7" s="30"/>
      <c r="N7" s="30"/>
      <c r="O7" s="30"/>
      <c r="P7" s="30"/>
      <c r="Q7" s="30"/>
      <c r="R7" s="30"/>
      <c r="S7" s="30"/>
      <c r="T7" s="30"/>
      <c r="U7" s="30"/>
      <c r="V7" s="30"/>
      <c r="W7" s="30"/>
    </row>
    <row r="9" spans="1:23" x14ac:dyDescent="0.3">
      <c r="C9" s="29" t="s">
        <v>410</v>
      </c>
    </row>
    <row r="10" spans="1:23" x14ac:dyDescent="0.3">
      <c r="C10" s="29" t="s">
        <v>411</v>
      </c>
    </row>
    <row r="12" spans="1:23" x14ac:dyDescent="0.3">
      <c r="B12" s="30" t="s">
        <v>66</v>
      </c>
      <c r="C12" s="30"/>
      <c r="D12" s="30"/>
      <c r="E12" s="30"/>
      <c r="F12" s="30"/>
      <c r="G12" s="30"/>
      <c r="H12" s="30"/>
      <c r="I12" s="30"/>
      <c r="J12" s="30"/>
      <c r="K12" s="30"/>
      <c r="L12" s="30"/>
      <c r="M12" s="30"/>
      <c r="N12" s="30"/>
      <c r="O12" s="30"/>
      <c r="P12" s="30"/>
      <c r="Q12" s="30"/>
      <c r="R12" s="30"/>
      <c r="S12" s="30"/>
      <c r="T12" s="30"/>
      <c r="U12" s="30"/>
      <c r="V12" s="30"/>
      <c r="W12" s="30"/>
    </row>
    <row r="14" spans="1:23" x14ac:dyDescent="0.3">
      <c r="C14" s="29" t="s">
        <v>412</v>
      </c>
    </row>
    <row r="16" spans="1:23" x14ac:dyDescent="0.3">
      <c r="C16" s="31" t="str">
        <f ca="1">INDEX('Version control'!$H$34:$H$57,MATCH($A$1,'Version control'!$F$34:$F$57,0),1)&amp;"-A: Network use factors"</f>
        <v>Section 103-A: Network use factors</v>
      </c>
      <c r="D16" s="31"/>
      <c r="E16" s="31"/>
      <c r="F16" s="31"/>
      <c r="G16" s="31"/>
      <c r="H16" s="31"/>
      <c r="I16" s="31"/>
      <c r="J16" s="31"/>
      <c r="K16" s="31"/>
      <c r="L16" s="31"/>
      <c r="M16" s="31"/>
      <c r="N16" s="31"/>
      <c r="O16" s="31"/>
      <c r="P16" s="31"/>
      <c r="Q16" s="31"/>
      <c r="R16" s="31"/>
      <c r="S16" s="31"/>
      <c r="T16" s="31"/>
      <c r="U16" s="31"/>
      <c r="V16" s="31"/>
      <c r="W16" s="31"/>
    </row>
    <row r="18" spans="5:23" x14ac:dyDescent="0.3">
      <c r="E18" s="32" t="s">
        <v>180</v>
      </c>
      <c r="H18" s="3"/>
      <c r="I18" s="3" t="s">
        <v>154</v>
      </c>
      <c r="J18" s="3"/>
      <c r="K18" s="3"/>
      <c r="L18" s="3"/>
      <c r="M18" s="3"/>
      <c r="N18" s="3"/>
      <c r="O18" s="3"/>
      <c r="P18" s="3"/>
      <c r="Q18" s="3"/>
      <c r="R18" s="3"/>
      <c r="S18" s="3"/>
      <c r="T18" s="3"/>
      <c r="U18" s="3"/>
      <c r="W18" s="3" t="s">
        <v>181</v>
      </c>
    </row>
    <row r="19" spans="5:23" x14ac:dyDescent="0.3">
      <c r="E19" s="29" t="s">
        <v>182</v>
      </c>
      <c r="H19" s="3"/>
      <c r="I19" s="3"/>
      <c r="J19" s="3"/>
      <c r="K19" s="3"/>
      <c r="L19" s="3"/>
      <c r="M19" s="3"/>
      <c r="N19" s="3"/>
      <c r="O19" s="3"/>
      <c r="P19" s="3"/>
      <c r="Q19" s="3"/>
      <c r="R19" s="3"/>
      <c r="S19" s="3"/>
      <c r="T19" s="3"/>
      <c r="U19" s="3"/>
      <c r="W19" s="3"/>
    </row>
    <row r="20" spans="5:23" x14ac:dyDescent="0.3">
      <c r="F20" s="134"/>
      <c r="G20" s="134"/>
      <c r="H20" s="135"/>
      <c r="I20" s="135"/>
      <c r="J20" s="136" t="s">
        <v>183</v>
      </c>
      <c r="K20" s="136" t="s">
        <v>184</v>
      </c>
      <c r="L20" s="136" t="s">
        <v>185</v>
      </c>
      <c r="M20" s="136" t="s">
        <v>186</v>
      </c>
      <c r="O20" s="3"/>
      <c r="P20" s="3"/>
      <c r="Q20" s="3"/>
      <c r="R20" s="3"/>
      <c r="S20" s="3"/>
      <c r="T20" s="3"/>
      <c r="U20" s="3"/>
    </row>
    <row r="21" spans="5:23" x14ac:dyDescent="0.3">
      <c r="F21" s="28" t="s">
        <v>829</v>
      </c>
      <c r="G21" s="13" t="s">
        <v>176</v>
      </c>
      <c r="H21" s="3"/>
      <c r="I21" s="3"/>
      <c r="J21" s="137">
        <f t="array" ref="J21:M36">TRANSPOSE('Fixed inputs'!J53:Y56)</f>
        <v>0</v>
      </c>
      <c r="K21" s="137">
        <v>0</v>
      </c>
      <c r="L21" s="137">
        <v>0</v>
      </c>
      <c r="M21" s="137">
        <v>1</v>
      </c>
      <c r="S21" s="3"/>
      <c r="T21" s="3"/>
      <c r="U21" s="3"/>
      <c r="W21" s="3"/>
    </row>
    <row r="22" spans="5:23" x14ac:dyDescent="0.3">
      <c r="F22" s="28" t="s">
        <v>831</v>
      </c>
      <c r="G22" s="13" t="s">
        <v>176</v>
      </c>
      <c r="H22" s="3"/>
      <c r="I22" s="3"/>
      <c r="J22" s="137">
        <v>0</v>
      </c>
      <c r="K22" s="137">
        <v>0</v>
      </c>
      <c r="L22" s="137">
        <v>0</v>
      </c>
      <c r="M22" s="137">
        <v>1</v>
      </c>
      <c r="S22" s="3"/>
      <c r="T22" s="3"/>
      <c r="U22" s="3"/>
      <c r="W22" s="3"/>
    </row>
    <row r="23" spans="5:23" x14ac:dyDescent="0.3">
      <c r="F23" s="28" t="s">
        <v>830</v>
      </c>
      <c r="G23" s="13" t="s">
        <v>176</v>
      </c>
      <c r="H23" s="3"/>
      <c r="I23" s="3"/>
      <c r="J23" s="137">
        <v>0</v>
      </c>
      <c r="K23" s="137">
        <v>0</v>
      </c>
      <c r="L23" s="137">
        <v>0</v>
      </c>
      <c r="M23" s="137">
        <v>1</v>
      </c>
      <c r="S23" s="3"/>
      <c r="T23" s="3"/>
      <c r="U23" s="3"/>
      <c r="W23" s="3"/>
    </row>
    <row r="24" spans="5:23" x14ac:dyDescent="0.3">
      <c r="F24" s="28" t="s">
        <v>832</v>
      </c>
      <c r="G24" s="13" t="s">
        <v>176</v>
      </c>
      <c r="H24" s="3"/>
      <c r="I24" s="3"/>
      <c r="J24" s="137">
        <v>0</v>
      </c>
      <c r="K24" s="137">
        <v>0</v>
      </c>
      <c r="L24" s="137">
        <v>0</v>
      </c>
      <c r="M24" s="137">
        <v>1</v>
      </c>
      <c r="S24" s="3"/>
      <c r="T24" s="3"/>
      <c r="U24" s="3"/>
      <c r="W24" s="3"/>
    </row>
    <row r="25" spans="5:23" x14ac:dyDescent="0.3">
      <c r="F25" s="28" t="s">
        <v>838</v>
      </c>
      <c r="G25" s="13" t="s">
        <v>176</v>
      </c>
      <c r="H25" s="3"/>
      <c r="I25" s="3"/>
      <c r="J25" s="137">
        <v>0</v>
      </c>
      <c r="K25" s="137">
        <v>0</v>
      </c>
      <c r="L25" s="137">
        <v>0</v>
      </c>
      <c r="M25" s="137">
        <v>1</v>
      </c>
      <c r="S25" s="3"/>
      <c r="T25" s="3"/>
      <c r="U25" s="3"/>
      <c r="W25" s="3"/>
    </row>
    <row r="26" spans="5:23" x14ac:dyDescent="0.3">
      <c r="F26" s="28" t="s">
        <v>839</v>
      </c>
      <c r="G26" s="13" t="s">
        <v>176</v>
      </c>
      <c r="H26" s="3"/>
      <c r="I26" s="3"/>
      <c r="J26" s="137">
        <v>0</v>
      </c>
      <c r="K26" s="137">
        <v>0</v>
      </c>
      <c r="L26" s="137">
        <v>1</v>
      </c>
      <c r="M26" s="137">
        <v>0</v>
      </c>
      <c r="S26" s="3"/>
      <c r="T26" s="3"/>
      <c r="U26" s="3"/>
      <c r="W26" s="3"/>
    </row>
    <row r="27" spans="5:23" x14ac:dyDescent="0.3">
      <c r="F27" s="28" t="s">
        <v>840</v>
      </c>
      <c r="G27" s="13" t="s">
        <v>176</v>
      </c>
      <c r="H27" s="3"/>
      <c r="I27" s="3"/>
      <c r="J27" s="137">
        <v>0</v>
      </c>
      <c r="K27" s="137">
        <v>1</v>
      </c>
      <c r="L27" s="137">
        <v>0</v>
      </c>
      <c r="M27" s="137">
        <v>0</v>
      </c>
      <c r="S27" s="3"/>
      <c r="T27" s="3"/>
      <c r="U27" s="3"/>
      <c r="W27" s="3"/>
    </row>
    <row r="28" spans="5:23" x14ac:dyDescent="0.3">
      <c r="F28" s="28" t="s">
        <v>841</v>
      </c>
      <c r="G28" s="13" t="s">
        <v>176</v>
      </c>
      <c r="H28" s="3"/>
      <c r="I28" s="3"/>
      <c r="J28" s="137">
        <v>0</v>
      </c>
      <c r="K28" s="137">
        <v>0</v>
      </c>
      <c r="L28" s="137">
        <v>0</v>
      </c>
      <c r="M28" s="137">
        <v>1</v>
      </c>
      <c r="S28" s="3"/>
      <c r="T28" s="3"/>
      <c r="U28" s="3"/>
      <c r="W28" s="3"/>
    </row>
    <row r="29" spans="5:23" x14ac:dyDescent="0.3">
      <c r="F29" s="28" t="s">
        <v>833</v>
      </c>
      <c r="G29" s="13" t="s">
        <v>176</v>
      </c>
      <c r="H29" s="3"/>
      <c r="I29" s="3"/>
      <c r="J29" s="137">
        <v>0</v>
      </c>
      <c r="K29" s="137">
        <v>0</v>
      </c>
      <c r="L29" s="137">
        <v>0</v>
      </c>
      <c r="M29" s="137">
        <v>1</v>
      </c>
      <c r="S29" s="3"/>
      <c r="T29" s="3"/>
      <c r="U29" s="3"/>
      <c r="W29" s="3"/>
    </row>
    <row r="30" spans="5:23" x14ac:dyDescent="0.3">
      <c r="F30" s="28" t="s">
        <v>834</v>
      </c>
      <c r="G30" s="13" t="s">
        <v>176</v>
      </c>
      <c r="H30" s="3"/>
      <c r="I30" s="3"/>
      <c r="J30" s="137">
        <v>0</v>
      </c>
      <c r="K30" s="137">
        <v>0</v>
      </c>
      <c r="L30" s="137">
        <v>1</v>
      </c>
      <c r="M30" s="137">
        <v>0</v>
      </c>
      <c r="S30" s="3"/>
      <c r="T30" s="3"/>
      <c r="U30" s="3"/>
      <c r="W30" s="3"/>
    </row>
    <row r="31" spans="5:23" x14ac:dyDescent="0.3">
      <c r="F31" s="28" t="s">
        <v>835</v>
      </c>
      <c r="G31" s="13" t="s">
        <v>176</v>
      </c>
      <c r="H31" s="3"/>
      <c r="I31" s="3"/>
      <c r="J31" s="137">
        <v>0</v>
      </c>
      <c r="K31" s="137">
        <v>0</v>
      </c>
      <c r="L31" s="137">
        <v>0</v>
      </c>
      <c r="M31" s="137">
        <v>1</v>
      </c>
      <c r="S31" s="3"/>
      <c r="T31" s="3"/>
      <c r="U31" s="3"/>
      <c r="W31" s="3"/>
    </row>
    <row r="32" spans="5:23" x14ac:dyDescent="0.3">
      <c r="F32" s="28" t="s">
        <v>844</v>
      </c>
      <c r="G32" s="13" t="s">
        <v>176</v>
      </c>
      <c r="H32" s="3"/>
      <c r="I32" s="3"/>
      <c r="J32" s="137">
        <v>0</v>
      </c>
      <c r="K32" s="137">
        <v>0</v>
      </c>
      <c r="L32" s="137">
        <v>0</v>
      </c>
      <c r="M32" s="137">
        <v>1</v>
      </c>
      <c r="S32" s="3"/>
      <c r="T32" s="3"/>
      <c r="U32" s="3"/>
      <c r="W32" s="3"/>
    </row>
    <row r="33" spans="3:23" x14ac:dyDescent="0.3">
      <c r="F33" s="28" t="s">
        <v>836</v>
      </c>
      <c r="G33" s="13" t="s">
        <v>176</v>
      </c>
      <c r="H33" s="3"/>
      <c r="I33" s="3"/>
      <c r="J33" s="137">
        <v>0</v>
      </c>
      <c r="K33" s="137">
        <v>0</v>
      </c>
      <c r="L33" s="137">
        <v>1</v>
      </c>
      <c r="M33" s="137">
        <v>0</v>
      </c>
      <c r="S33" s="3"/>
      <c r="T33" s="3"/>
      <c r="U33" s="3"/>
      <c r="W33" s="3"/>
    </row>
    <row r="34" spans="3:23" x14ac:dyDescent="0.3">
      <c r="F34" s="28" t="s">
        <v>843</v>
      </c>
      <c r="G34" s="13" t="s">
        <v>176</v>
      </c>
      <c r="H34" s="3"/>
      <c r="I34" s="3"/>
      <c r="J34" s="137">
        <v>0</v>
      </c>
      <c r="K34" s="137">
        <v>0</v>
      </c>
      <c r="L34" s="137">
        <v>1</v>
      </c>
      <c r="M34" s="137">
        <v>0</v>
      </c>
      <c r="S34" s="3"/>
      <c r="T34" s="3"/>
      <c r="U34" s="3"/>
      <c r="W34" s="3"/>
    </row>
    <row r="35" spans="3:23" x14ac:dyDescent="0.3">
      <c r="F35" s="28" t="s">
        <v>837</v>
      </c>
      <c r="G35" s="13" t="s">
        <v>176</v>
      </c>
      <c r="H35" s="3"/>
      <c r="I35" s="3"/>
      <c r="J35" s="137">
        <v>0</v>
      </c>
      <c r="K35" s="137">
        <v>1</v>
      </c>
      <c r="L35" s="137">
        <v>0</v>
      </c>
      <c r="M35" s="137">
        <v>0</v>
      </c>
      <c r="S35" s="3"/>
      <c r="T35" s="3"/>
      <c r="U35" s="3"/>
      <c r="W35" s="3"/>
    </row>
    <row r="36" spans="3:23" x14ac:dyDescent="0.3">
      <c r="F36" s="67" t="s">
        <v>842</v>
      </c>
      <c r="G36" s="86" t="s">
        <v>176</v>
      </c>
      <c r="H36" s="76"/>
      <c r="I36" s="76"/>
      <c r="J36" s="138">
        <v>0</v>
      </c>
      <c r="K36" s="138">
        <v>1</v>
      </c>
      <c r="L36" s="138">
        <v>0</v>
      </c>
      <c r="M36" s="138">
        <v>0</v>
      </c>
      <c r="S36" s="3"/>
      <c r="T36" s="3"/>
      <c r="U36" s="3"/>
      <c r="W36" s="3"/>
    </row>
    <row r="37" spans="3:23" x14ac:dyDescent="0.3">
      <c r="H37" s="3"/>
      <c r="I37" s="3"/>
      <c r="J37" s="3"/>
      <c r="K37" s="3"/>
      <c r="L37" s="3"/>
      <c r="M37" s="3"/>
      <c r="N37" s="3"/>
      <c r="O37" s="3"/>
      <c r="P37" s="3"/>
      <c r="Q37" s="3"/>
      <c r="R37" s="3"/>
      <c r="S37" s="3"/>
      <c r="T37" s="3"/>
      <c r="U37" s="3"/>
      <c r="W37" s="3"/>
    </row>
    <row r="38" spans="3:23" x14ac:dyDescent="0.3">
      <c r="C38" s="31" t="str">
        <f ca="1">INDEX('Version control'!$H$34:$H$57,MATCH($A$1,'Version control'!$F$34:$F$57,0),1)&amp;"-B: Customer contributions"</f>
        <v>Section 103-B: Customer contributions</v>
      </c>
      <c r="D38" s="31"/>
      <c r="E38" s="31"/>
      <c r="F38" s="31"/>
      <c r="G38" s="31"/>
      <c r="H38" s="31"/>
      <c r="I38" s="31"/>
      <c r="J38" s="31"/>
      <c r="K38" s="31"/>
      <c r="L38" s="31"/>
      <c r="M38" s="31"/>
      <c r="N38" s="31"/>
      <c r="O38" s="31"/>
      <c r="P38" s="31"/>
      <c r="Q38" s="31"/>
      <c r="R38" s="31"/>
      <c r="S38" s="31"/>
      <c r="T38" s="31"/>
      <c r="U38" s="31"/>
      <c r="V38" s="31"/>
      <c r="W38" s="31"/>
    </row>
    <row r="40" spans="3:23" x14ac:dyDescent="0.3">
      <c r="E40" s="32" t="s">
        <v>413</v>
      </c>
      <c r="H40" s="3"/>
      <c r="I40" s="3" t="s">
        <v>154</v>
      </c>
      <c r="J40" s="3"/>
      <c r="K40" s="3"/>
      <c r="L40" s="3"/>
      <c r="M40" s="3"/>
      <c r="N40" s="3"/>
      <c r="O40" s="3"/>
      <c r="P40" s="3"/>
      <c r="Q40" s="3"/>
      <c r="R40" s="3"/>
      <c r="S40" s="3"/>
      <c r="T40" s="3"/>
      <c r="U40" s="3"/>
      <c r="W40" s="3" t="s">
        <v>414</v>
      </c>
    </row>
    <row r="41" spans="3:23" x14ac:dyDescent="0.3">
      <c r="E41" s="29" t="s">
        <v>415</v>
      </c>
      <c r="H41" s="3"/>
      <c r="I41" s="3"/>
      <c r="J41" s="3"/>
      <c r="K41" s="3"/>
      <c r="L41" s="3"/>
      <c r="M41" s="3"/>
      <c r="N41" s="3"/>
      <c r="O41" s="3"/>
      <c r="P41" s="3"/>
      <c r="Q41" s="3"/>
      <c r="R41" s="3"/>
      <c r="S41" s="3"/>
      <c r="T41" s="3"/>
      <c r="U41" s="3"/>
      <c r="W41" s="3"/>
    </row>
    <row r="42" spans="3:23" x14ac:dyDescent="0.3">
      <c r="E42" s="32"/>
      <c r="F42" s="139"/>
      <c r="G42" s="139"/>
      <c r="H42" s="139"/>
      <c r="I42" s="139"/>
      <c r="J42" s="139" t="s">
        <v>189</v>
      </c>
      <c r="K42" s="140" t="s">
        <v>191</v>
      </c>
      <c r="L42" s="140" t="s">
        <v>192</v>
      </c>
      <c r="M42" s="140" t="s">
        <v>193</v>
      </c>
      <c r="N42" s="140" t="s">
        <v>194</v>
      </c>
      <c r="O42" s="140" t="s">
        <v>195</v>
      </c>
      <c r="P42" s="140" t="s">
        <v>196</v>
      </c>
      <c r="Q42" s="140" t="s">
        <v>197</v>
      </c>
      <c r="R42" s="140" t="s">
        <v>198</v>
      </c>
      <c r="S42" s="140" t="s">
        <v>199</v>
      </c>
      <c r="T42" s="140" t="s">
        <v>376</v>
      </c>
      <c r="U42" s="140" t="s">
        <v>377</v>
      </c>
    </row>
    <row r="43" spans="3:23" x14ac:dyDescent="0.3">
      <c r="F43" s="28" t="s">
        <v>186</v>
      </c>
      <c r="G43" s="72" t="s">
        <v>167</v>
      </c>
      <c r="H43" s="3"/>
      <c r="I43" s="3"/>
      <c r="J43" s="66"/>
      <c r="K43" s="66"/>
      <c r="L43" s="25">
        <f>'Inputs by network level'!L26</f>
        <v>0</v>
      </c>
      <c r="M43" s="25">
        <f>'Inputs by network level'!M26</f>
        <v>0</v>
      </c>
      <c r="N43" s="25">
        <f>'Inputs by network level'!N26</f>
        <v>0</v>
      </c>
      <c r="O43" s="25">
        <f>'Inputs by network level'!O26</f>
        <v>0</v>
      </c>
      <c r="P43" s="25">
        <f>'Inputs by network level'!P26</f>
        <v>0</v>
      </c>
      <c r="Q43" s="25">
        <f>'Inputs by network level'!Q26</f>
        <v>0.38684969697494365</v>
      </c>
      <c r="R43" s="25">
        <f>'Inputs by network level'!R26</f>
        <v>0.64124825573068889</v>
      </c>
      <c r="S43" s="25">
        <f>'Inputs by network level'!S26</f>
        <v>0.89564681448643413</v>
      </c>
      <c r="T43" s="66"/>
      <c r="U43" s="66"/>
      <c r="W43" s="3"/>
    </row>
    <row r="44" spans="3:23" x14ac:dyDescent="0.3">
      <c r="F44" s="28" t="s">
        <v>185</v>
      </c>
      <c r="G44" s="72" t="s">
        <v>167</v>
      </c>
      <c r="H44" s="3"/>
      <c r="I44" s="3"/>
      <c r="J44" s="66"/>
      <c r="K44" s="66"/>
      <c r="L44" s="25">
        <f>'Inputs by network level'!L27</f>
        <v>0</v>
      </c>
      <c r="M44" s="25">
        <f>'Inputs by network level'!M27</f>
        <v>0</v>
      </c>
      <c r="N44" s="25">
        <f>'Inputs by network level'!N27</f>
        <v>0</v>
      </c>
      <c r="O44" s="25">
        <f>'Inputs by network level'!O27</f>
        <v>0</v>
      </c>
      <c r="P44" s="25">
        <f>'Inputs by network level'!P27</f>
        <v>0</v>
      </c>
      <c r="Q44" s="25">
        <f>'Inputs by network level'!Q27</f>
        <v>0.38684969697494365</v>
      </c>
      <c r="R44" s="25">
        <f>'Inputs by network level'!R27</f>
        <v>0.64124825573068889</v>
      </c>
      <c r="S44" s="25">
        <f>'Inputs by network level'!S27</f>
        <v>0</v>
      </c>
      <c r="T44" s="66"/>
      <c r="U44" s="66"/>
      <c r="W44" s="3"/>
    </row>
    <row r="45" spans="3:23" x14ac:dyDescent="0.3">
      <c r="F45" s="28" t="s">
        <v>184</v>
      </c>
      <c r="G45" s="72" t="s">
        <v>167</v>
      </c>
      <c r="H45" s="3"/>
      <c r="I45" s="3"/>
      <c r="J45" s="66"/>
      <c r="K45" s="66"/>
      <c r="L45" s="25">
        <f>'Inputs by network level'!L28</f>
        <v>0</v>
      </c>
      <c r="M45" s="25">
        <f>'Inputs by network level'!M28</f>
        <v>0</v>
      </c>
      <c r="N45" s="25">
        <f>'Inputs by network level'!N28</f>
        <v>0</v>
      </c>
      <c r="O45" s="25">
        <f>'Inputs by network level'!O28</f>
        <v>0.25764106948138837</v>
      </c>
      <c r="P45" s="25">
        <f>'Inputs by network level'!P28</f>
        <v>0.25764106948138837</v>
      </c>
      <c r="Q45" s="25">
        <f>'Inputs by network level'!Q28</f>
        <v>0.51528213896277675</v>
      </c>
      <c r="R45" s="25">
        <f>'Inputs by network level'!R28</f>
        <v>0</v>
      </c>
      <c r="S45" s="25">
        <f>'Inputs by network level'!S28</f>
        <v>0</v>
      </c>
      <c r="T45" s="66"/>
      <c r="U45" s="66"/>
      <c r="W45" s="3"/>
    </row>
    <row r="46" spans="3:23" x14ac:dyDescent="0.3">
      <c r="F46" s="67" t="s">
        <v>183</v>
      </c>
      <c r="G46" s="80" t="s">
        <v>167</v>
      </c>
      <c r="H46" s="76"/>
      <c r="I46" s="76"/>
      <c r="J46" s="68"/>
      <c r="K46" s="68"/>
      <c r="L46" s="141">
        <f>'Inputs by network level'!L29</f>
        <v>0</v>
      </c>
      <c r="M46" s="141">
        <f>'Inputs by network level'!M29</f>
        <v>0</v>
      </c>
      <c r="N46" s="141">
        <f>'Inputs by network level'!N29</f>
        <v>0</v>
      </c>
      <c r="O46" s="141">
        <f>'Inputs by network level'!O29</f>
        <v>0.25764106948138837</v>
      </c>
      <c r="P46" s="141">
        <f>'Inputs by network level'!P29</f>
        <v>0</v>
      </c>
      <c r="Q46" s="141">
        <f>'Inputs by network level'!Q29</f>
        <v>0</v>
      </c>
      <c r="R46" s="141">
        <f>'Inputs by network level'!R29</f>
        <v>0</v>
      </c>
      <c r="S46" s="141">
        <f>'Inputs by network level'!S29</f>
        <v>0</v>
      </c>
      <c r="T46" s="68"/>
      <c r="U46" s="68"/>
      <c r="W46" s="3"/>
    </row>
    <row r="47" spans="3:23" x14ac:dyDescent="0.3">
      <c r="G47" s="13"/>
      <c r="H47" s="3"/>
      <c r="I47" s="3"/>
      <c r="J47" s="3"/>
      <c r="K47" s="3"/>
      <c r="L47" s="3"/>
      <c r="M47" s="3"/>
      <c r="N47" s="3"/>
      <c r="O47" s="3"/>
      <c r="P47" s="3"/>
      <c r="Q47" s="3"/>
      <c r="R47" s="3"/>
      <c r="S47" s="3"/>
      <c r="T47" s="3"/>
      <c r="U47" s="3"/>
      <c r="W47" s="3"/>
    </row>
    <row r="48" spans="3:23" x14ac:dyDescent="0.3">
      <c r="E48" s="32" t="s">
        <v>416</v>
      </c>
      <c r="H48" s="13"/>
      <c r="I48" s="3"/>
      <c r="J48" s="3"/>
      <c r="K48" s="3"/>
      <c r="L48" s="3"/>
      <c r="M48" s="3"/>
      <c r="N48" s="3"/>
      <c r="O48" s="3"/>
      <c r="P48" s="3"/>
      <c r="Q48" s="3"/>
      <c r="R48" s="3"/>
      <c r="S48" s="3"/>
      <c r="T48" s="3"/>
      <c r="U48" s="3"/>
      <c r="W48" s="3"/>
    </row>
    <row r="49" spans="5:23" x14ac:dyDescent="0.3">
      <c r="E49" s="29" t="s">
        <v>417</v>
      </c>
      <c r="H49" s="13"/>
      <c r="I49" s="3"/>
      <c r="J49" s="3"/>
      <c r="K49" s="3"/>
      <c r="L49" s="3"/>
      <c r="M49" s="3"/>
      <c r="N49" s="3"/>
      <c r="O49" s="3"/>
      <c r="P49" s="3"/>
      <c r="Q49" s="3"/>
      <c r="R49" s="3"/>
      <c r="S49" s="3"/>
      <c r="T49" s="3"/>
      <c r="U49" s="3"/>
      <c r="W49" s="3"/>
    </row>
    <row r="50" spans="5:23" x14ac:dyDescent="0.3">
      <c r="F50" s="139"/>
      <c r="G50" s="139"/>
      <c r="H50" s="142"/>
      <c r="I50" s="139"/>
      <c r="J50" s="139" t="s">
        <v>189</v>
      </c>
      <c r="K50" s="140" t="s">
        <v>191</v>
      </c>
      <c r="L50" s="140" t="s">
        <v>192</v>
      </c>
      <c r="M50" s="140" t="s">
        <v>193</v>
      </c>
      <c r="N50" s="140" t="s">
        <v>194</v>
      </c>
      <c r="O50" s="140" t="s">
        <v>195</v>
      </c>
      <c r="P50" s="140" t="s">
        <v>196</v>
      </c>
      <c r="Q50" s="140" t="s">
        <v>197</v>
      </c>
      <c r="R50" s="140" t="s">
        <v>198</v>
      </c>
      <c r="S50" s="140" t="s">
        <v>199</v>
      </c>
      <c r="T50" s="140" t="s">
        <v>376</v>
      </c>
      <c r="U50" s="140" t="s">
        <v>377</v>
      </c>
      <c r="W50" s="3"/>
    </row>
    <row r="51" spans="5:23" x14ac:dyDescent="0.3">
      <c r="F51" s="28" t="s">
        <v>829</v>
      </c>
      <c r="G51" s="28"/>
      <c r="H51" s="72" t="s">
        <v>167</v>
      </c>
      <c r="J51" s="70"/>
      <c r="K51" s="70"/>
      <c r="L51" s="111">
        <f t="shared" ref="L51:S60" si="0">$M21 * L$43 + $L21 * L$44 + $K21 * L$45 + $J21 * L$46</f>
        <v>0</v>
      </c>
      <c r="M51" s="111">
        <f t="shared" si="0"/>
        <v>0</v>
      </c>
      <c r="N51" s="111">
        <f t="shared" si="0"/>
        <v>0</v>
      </c>
      <c r="O51" s="111">
        <f t="shared" si="0"/>
        <v>0</v>
      </c>
      <c r="P51" s="111">
        <f t="shared" si="0"/>
        <v>0</v>
      </c>
      <c r="Q51" s="111">
        <f t="shared" si="0"/>
        <v>0.38684969697494365</v>
      </c>
      <c r="R51" s="111">
        <f t="shared" si="0"/>
        <v>0.64124825573068889</v>
      </c>
      <c r="S51" s="111">
        <f t="shared" si="0"/>
        <v>0.89564681448643413</v>
      </c>
      <c r="T51" s="70"/>
      <c r="U51" s="70"/>
    </row>
    <row r="52" spans="5:23" x14ac:dyDescent="0.3">
      <c r="F52" s="28" t="s">
        <v>831</v>
      </c>
      <c r="G52" s="28"/>
      <c r="H52" s="72" t="s">
        <v>167</v>
      </c>
      <c r="J52" s="70"/>
      <c r="K52" s="70"/>
      <c r="L52" s="111">
        <f t="shared" si="0"/>
        <v>0</v>
      </c>
      <c r="M52" s="111">
        <f t="shared" si="0"/>
        <v>0</v>
      </c>
      <c r="N52" s="111">
        <f t="shared" si="0"/>
        <v>0</v>
      </c>
      <c r="O52" s="111">
        <f t="shared" si="0"/>
        <v>0</v>
      </c>
      <c r="P52" s="111">
        <f t="shared" si="0"/>
        <v>0</v>
      </c>
      <c r="Q52" s="111">
        <f t="shared" si="0"/>
        <v>0.38684969697494365</v>
      </c>
      <c r="R52" s="111">
        <f t="shared" si="0"/>
        <v>0.64124825573068889</v>
      </c>
      <c r="S52" s="111">
        <f t="shared" si="0"/>
        <v>0.89564681448643413</v>
      </c>
      <c r="T52" s="70"/>
      <c r="U52" s="70"/>
    </row>
    <row r="53" spans="5:23" x14ac:dyDescent="0.3">
      <c r="F53" s="28" t="s">
        <v>830</v>
      </c>
      <c r="G53" s="28"/>
      <c r="H53" s="72" t="s">
        <v>167</v>
      </c>
      <c r="J53" s="70"/>
      <c r="K53" s="70"/>
      <c r="L53" s="111">
        <f t="shared" si="0"/>
        <v>0</v>
      </c>
      <c r="M53" s="111">
        <f t="shared" si="0"/>
        <v>0</v>
      </c>
      <c r="N53" s="111">
        <f t="shared" si="0"/>
        <v>0</v>
      </c>
      <c r="O53" s="111">
        <f t="shared" si="0"/>
        <v>0</v>
      </c>
      <c r="P53" s="111">
        <f t="shared" si="0"/>
        <v>0</v>
      </c>
      <c r="Q53" s="111">
        <f t="shared" si="0"/>
        <v>0.38684969697494365</v>
      </c>
      <c r="R53" s="111">
        <f t="shared" si="0"/>
        <v>0.64124825573068889</v>
      </c>
      <c r="S53" s="111">
        <f t="shared" si="0"/>
        <v>0.89564681448643413</v>
      </c>
      <c r="T53" s="70"/>
      <c r="U53" s="70"/>
    </row>
    <row r="54" spans="5:23" x14ac:dyDescent="0.3">
      <c r="F54" s="28" t="s">
        <v>832</v>
      </c>
      <c r="G54" s="28"/>
      <c r="H54" s="72" t="s">
        <v>167</v>
      </c>
      <c r="J54" s="70"/>
      <c r="K54" s="70"/>
      <c r="L54" s="111">
        <f t="shared" si="0"/>
        <v>0</v>
      </c>
      <c r="M54" s="111">
        <f t="shared" si="0"/>
        <v>0</v>
      </c>
      <c r="N54" s="111">
        <f t="shared" si="0"/>
        <v>0</v>
      </c>
      <c r="O54" s="111">
        <f t="shared" si="0"/>
        <v>0</v>
      </c>
      <c r="P54" s="111">
        <f t="shared" si="0"/>
        <v>0</v>
      </c>
      <c r="Q54" s="111">
        <f t="shared" si="0"/>
        <v>0.38684969697494365</v>
      </c>
      <c r="R54" s="111">
        <f t="shared" si="0"/>
        <v>0.64124825573068889</v>
      </c>
      <c r="S54" s="111">
        <f t="shared" si="0"/>
        <v>0.89564681448643413</v>
      </c>
      <c r="T54" s="70"/>
      <c r="U54" s="70"/>
    </row>
    <row r="55" spans="5:23" x14ac:dyDescent="0.3">
      <c r="F55" s="28" t="s">
        <v>838</v>
      </c>
      <c r="G55" s="28"/>
      <c r="H55" s="72" t="s">
        <v>167</v>
      </c>
      <c r="J55" s="70"/>
      <c r="K55" s="70"/>
      <c r="L55" s="111">
        <f t="shared" si="0"/>
        <v>0</v>
      </c>
      <c r="M55" s="111">
        <f t="shared" si="0"/>
        <v>0</v>
      </c>
      <c r="N55" s="111">
        <f t="shared" si="0"/>
        <v>0</v>
      </c>
      <c r="O55" s="111">
        <f t="shared" si="0"/>
        <v>0</v>
      </c>
      <c r="P55" s="111">
        <f t="shared" si="0"/>
        <v>0</v>
      </c>
      <c r="Q55" s="111">
        <f t="shared" si="0"/>
        <v>0.38684969697494365</v>
      </c>
      <c r="R55" s="111">
        <f t="shared" si="0"/>
        <v>0.64124825573068889</v>
      </c>
      <c r="S55" s="111">
        <f t="shared" si="0"/>
        <v>0.89564681448643413</v>
      </c>
      <c r="T55" s="70"/>
      <c r="U55" s="70"/>
    </row>
    <row r="56" spans="5:23" x14ac:dyDescent="0.3">
      <c r="F56" s="28" t="s">
        <v>839</v>
      </c>
      <c r="G56" s="28"/>
      <c r="H56" s="72" t="s">
        <v>167</v>
      </c>
      <c r="J56" s="70"/>
      <c r="K56" s="70"/>
      <c r="L56" s="111">
        <f t="shared" si="0"/>
        <v>0</v>
      </c>
      <c r="M56" s="111">
        <f t="shared" si="0"/>
        <v>0</v>
      </c>
      <c r="N56" s="111">
        <f t="shared" si="0"/>
        <v>0</v>
      </c>
      <c r="O56" s="111">
        <f t="shared" si="0"/>
        <v>0</v>
      </c>
      <c r="P56" s="111">
        <f t="shared" si="0"/>
        <v>0</v>
      </c>
      <c r="Q56" s="111">
        <f t="shared" si="0"/>
        <v>0.38684969697494365</v>
      </c>
      <c r="R56" s="111">
        <f t="shared" si="0"/>
        <v>0.64124825573068889</v>
      </c>
      <c r="S56" s="111">
        <f t="shared" si="0"/>
        <v>0</v>
      </c>
      <c r="T56" s="70"/>
      <c r="U56" s="70"/>
    </row>
    <row r="57" spans="5:23" x14ac:dyDescent="0.3">
      <c r="F57" s="28" t="s">
        <v>840</v>
      </c>
      <c r="G57" s="28"/>
      <c r="H57" s="72" t="s">
        <v>167</v>
      </c>
      <c r="J57" s="70"/>
      <c r="K57" s="70"/>
      <c r="L57" s="111">
        <f t="shared" si="0"/>
        <v>0</v>
      </c>
      <c r="M57" s="111">
        <f t="shared" si="0"/>
        <v>0</v>
      </c>
      <c r="N57" s="111">
        <f t="shared" si="0"/>
        <v>0</v>
      </c>
      <c r="O57" s="111">
        <f t="shared" si="0"/>
        <v>0.25764106948138837</v>
      </c>
      <c r="P57" s="111">
        <f t="shared" si="0"/>
        <v>0.25764106948138837</v>
      </c>
      <c r="Q57" s="111">
        <f t="shared" si="0"/>
        <v>0.51528213896277675</v>
      </c>
      <c r="R57" s="111">
        <f t="shared" si="0"/>
        <v>0</v>
      </c>
      <c r="S57" s="111">
        <f t="shared" si="0"/>
        <v>0</v>
      </c>
      <c r="T57" s="70"/>
      <c r="U57" s="70"/>
    </row>
    <row r="58" spans="5:23" x14ac:dyDescent="0.3">
      <c r="F58" s="28" t="s">
        <v>841</v>
      </c>
      <c r="G58" s="28"/>
      <c r="H58" s="72" t="s">
        <v>167</v>
      </c>
      <c r="J58" s="70"/>
      <c r="K58" s="70"/>
      <c r="L58" s="111">
        <f t="shared" si="0"/>
        <v>0</v>
      </c>
      <c r="M58" s="111">
        <f t="shared" si="0"/>
        <v>0</v>
      </c>
      <c r="N58" s="111">
        <f t="shared" si="0"/>
        <v>0</v>
      </c>
      <c r="O58" s="111">
        <f t="shared" si="0"/>
        <v>0</v>
      </c>
      <c r="P58" s="111">
        <f t="shared" si="0"/>
        <v>0</v>
      </c>
      <c r="Q58" s="111">
        <f t="shared" si="0"/>
        <v>0.38684969697494365</v>
      </c>
      <c r="R58" s="111">
        <f t="shared" si="0"/>
        <v>0.64124825573068889</v>
      </c>
      <c r="S58" s="111">
        <f t="shared" si="0"/>
        <v>0.89564681448643413</v>
      </c>
      <c r="T58" s="70"/>
      <c r="U58" s="70"/>
    </row>
    <row r="59" spans="5:23" x14ac:dyDescent="0.3">
      <c r="F59" s="28" t="s">
        <v>833</v>
      </c>
      <c r="G59" s="28"/>
      <c r="H59" s="72" t="s">
        <v>167</v>
      </c>
      <c r="J59" s="70"/>
      <c r="K59" s="70"/>
      <c r="L59" s="111">
        <f t="shared" si="0"/>
        <v>0</v>
      </c>
      <c r="M59" s="111">
        <f t="shared" si="0"/>
        <v>0</v>
      </c>
      <c r="N59" s="111">
        <f t="shared" si="0"/>
        <v>0</v>
      </c>
      <c r="O59" s="111">
        <f t="shared" si="0"/>
        <v>0</v>
      </c>
      <c r="P59" s="111">
        <f t="shared" si="0"/>
        <v>0</v>
      </c>
      <c r="Q59" s="111">
        <f t="shared" si="0"/>
        <v>0.38684969697494365</v>
      </c>
      <c r="R59" s="111">
        <f t="shared" si="0"/>
        <v>0.64124825573068889</v>
      </c>
      <c r="S59" s="111">
        <f t="shared" si="0"/>
        <v>0.89564681448643413</v>
      </c>
      <c r="T59" s="70"/>
      <c r="U59" s="70"/>
    </row>
    <row r="60" spans="5:23" x14ac:dyDescent="0.3">
      <c r="F60" s="28" t="s">
        <v>834</v>
      </c>
      <c r="G60" s="28"/>
      <c r="H60" s="72" t="s">
        <v>167</v>
      </c>
      <c r="J60" s="70"/>
      <c r="K60" s="70"/>
      <c r="L60" s="111">
        <f t="shared" si="0"/>
        <v>0</v>
      </c>
      <c r="M60" s="111">
        <f t="shared" si="0"/>
        <v>0</v>
      </c>
      <c r="N60" s="111">
        <f t="shared" si="0"/>
        <v>0</v>
      </c>
      <c r="O60" s="111">
        <f t="shared" si="0"/>
        <v>0</v>
      </c>
      <c r="P60" s="111">
        <f t="shared" si="0"/>
        <v>0</v>
      </c>
      <c r="Q60" s="111">
        <f t="shared" si="0"/>
        <v>0.38684969697494365</v>
      </c>
      <c r="R60" s="111">
        <f t="shared" si="0"/>
        <v>0.64124825573068889</v>
      </c>
      <c r="S60" s="111">
        <f t="shared" si="0"/>
        <v>0</v>
      </c>
      <c r="T60" s="70"/>
      <c r="U60" s="70"/>
    </row>
    <row r="61" spans="5:23" x14ac:dyDescent="0.3">
      <c r="F61" s="28" t="s">
        <v>835</v>
      </c>
      <c r="G61" s="28"/>
      <c r="H61" s="72" t="s">
        <v>167</v>
      </c>
      <c r="J61" s="70"/>
      <c r="K61" s="70"/>
      <c r="L61" s="111">
        <f t="shared" ref="L61:S66" si="1">$M31 * L$43 + $L31 * L$44 + $K31 * L$45 + $J31 * L$46</f>
        <v>0</v>
      </c>
      <c r="M61" s="111">
        <f t="shared" si="1"/>
        <v>0</v>
      </c>
      <c r="N61" s="111">
        <f t="shared" si="1"/>
        <v>0</v>
      </c>
      <c r="O61" s="111">
        <f t="shared" si="1"/>
        <v>0</v>
      </c>
      <c r="P61" s="111">
        <f t="shared" si="1"/>
        <v>0</v>
      </c>
      <c r="Q61" s="111">
        <f t="shared" si="1"/>
        <v>0.38684969697494365</v>
      </c>
      <c r="R61" s="111">
        <f t="shared" si="1"/>
        <v>0.64124825573068889</v>
      </c>
      <c r="S61" s="111">
        <f t="shared" si="1"/>
        <v>0.89564681448643413</v>
      </c>
      <c r="T61" s="70"/>
      <c r="U61" s="70"/>
    </row>
    <row r="62" spans="5:23" x14ac:dyDescent="0.3">
      <c r="F62" s="28" t="s">
        <v>844</v>
      </c>
      <c r="G62" s="28"/>
      <c r="H62" s="72" t="s">
        <v>167</v>
      </c>
      <c r="J62" s="70"/>
      <c r="K62" s="70"/>
      <c r="L62" s="111">
        <f t="shared" si="1"/>
        <v>0</v>
      </c>
      <c r="M62" s="111">
        <f t="shared" si="1"/>
        <v>0</v>
      </c>
      <c r="N62" s="111">
        <f t="shared" si="1"/>
        <v>0</v>
      </c>
      <c r="O62" s="111">
        <f t="shared" si="1"/>
        <v>0</v>
      </c>
      <c r="P62" s="111">
        <f t="shared" si="1"/>
        <v>0</v>
      </c>
      <c r="Q62" s="111">
        <f t="shared" si="1"/>
        <v>0.38684969697494365</v>
      </c>
      <c r="R62" s="111">
        <f t="shared" si="1"/>
        <v>0.64124825573068889</v>
      </c>
      <c r="S62" s="111">
        <f t="shared" si="1"/>
        <v>0.89564681448643413</v>
      </c>
      <c r="T62" s="70"/>
      <c r="U62" s="70"/>
    </row>
    <row r="63" spans="5:23" x14ac:dyDescent="0.3">
      <c r="F63" s="28" t="s">
        <v>836</v>
      </c>
      <c r="G63" s="28"/>
      <c r="H63" s="72" t="s">
        <v>167</v>
      </c>
      <c r="J63" s="70"/>
      <c r="K63" s="70"/>
      <c r="L63" s="111">
        <f t="shared" si="1"/>
        <v>0</v>
      </c>
      <c r="M63" s="111">
        <f t="shared" si="1"/>
        <v>0</v>
      </c>
      <c r="N63" s="111">
        <f t="shared" si="1"/>
        <v>0</v>
      </c>
      <c r="O63" s="111">
        <f t="shared" si="1"/>
        <v>0</v>
      </c>
      <c r="P63" s="111">
        <f t="shared" si="1"/>
        <v>0</v>
      </c>
      <c r="Q63" s="111">
        <f t="shared" si="1"/>
        <v>0.38684969697494365</v>
      </c>
      <c r="R63" s="111">
        <f t="shared" si="1"/>
        <v>0.64124825573068889</v>
      </c>
      <c r="S63" s="111">
        <f t="shared" si="1"/>
        <v>0</v>
      </c>
      <c r="T63" s="70"/>
      <c r="U63" s="70"/>
    </row>
    <row r="64" spans="5:23" x14ac:dyDescent="0.3">
      <c r="F64" s="28" t="s">
        <v>843</v>
      </c>
      <c r="G64" s="28"/>
      <c r="H64" s="72" t="s">
        <v>167</v>
      </c>
      <c r="J64" s="70"/>
      <c r="K64" s="70"/>
      <c r="L64" s="111">
        <f t="shared" si="1"/>
        <v>0</v>
      </c>
      <c r="M64" s="111">
        <f t="shared" si="1"/>
        <v>0</v>
      </c>
      <c r="N64" s="111">
        <f t="shared" si="1"/>
        <v>0</v>
      </c>
      <c r="O64" s="111">
        <f t="shared" si="1"/>
        <v>0</v>
      </c>
      <c r="P64" s="111">
        <f t="shared" si="1"/>
        <v>0</v>
      </c>
      <c r="Q64" s="111">
        <f t="shared" si="1"/>
        <v>0.38684969697494365</v>
      </c>
      <c r="R64" s="111">
        <f t="shared" si="1"/>
        <v>0.64124825573068889</v>
      </c>
      <c r="S64" s="111">
        <f t="shared" si="1"/>
        <v>0</v>
      </c>
      <c r="T64" s="70"/>
      <c r="U64" s="70"/>
    </row>
    <row r="65" spans="2:23" x14ac:dyDescent="0.3">
      <c r="F65" s="28" t="s">
        <v>837</v>
      </c>
      <c r="G65" s="28"/>
      <c r="H65" s="72" t="s">
        <v>167</v>
      </c>
      <c r="J65" s="70"/>
      <c r="K65" s="70"/>
      <c r="L65" s="111">
        <f t="shared" si="1"/>
        <v>0</v>
      </c>
      <c r="M65" s="111">
        <f t="shared" si="1"/>
        <v>0</v>
      </c>
      <c r="N65" s="111">
        <f t="shared" si="1"/>
        <v>0</v>
      </c>
      <c r="O65" s="111">
        <f t="shared" si="1"/>
        <v>0.25764106948138837</v>
      </c>
      <c r="P65" s="111">
        <f t="shared" si="1"/>
        <v>0.25764106948138837</v>
      </c>
      <c r="Q65" s="111">
        <f t="shared" si="1"/>
        <v>0.51528213896277675</v>
      </c>
      <c r="R65" s="111">
        <f t="shared" si="1"/>
        <v>0</v>
      </c>
      <c r="S65" s="111">
        <f t="shared" si="1"/>
        <v>0</v>
      </c>
      <c r="T65" s="70"/>
      <c r="U65" s="70"/>
    </row>
    <row r="66" spans="2:23" x14ac:dyDescent="0.3">
      <c r="F66" s="67" t="s">
        <v>842</v>
      </c>
      <c r="G66" s="67"/>
      <c r="H66" s="80" t="s">
        <v>167</v>
      </c>
      <c r="I66" s="37"/>
      <c r="J66" s="71"/>
      <c r="K66" s="71"/>
      <c r="L66" s="143">
        <f t="shared" si="1"/>
        <v>0</v>
      </c>
      <c r="M66" s="143">
        <f t="shared" si="1"/>
        <v>0</v>
      </c>
      <c r="N66" s="143">
        <f t="shared" si="1"/>
        <v>0</v>
      </c>
      <c r="O66" s="143">
        <f t="shared" si="1"/>
        <v>0.25764106948138837</v>
      </c>
      <c r="P66" s="143">
        <f t="shared" si="1"/>
        <v>0.25764106948138837</v>
      </c>
      <c r="Q66" s="143">
        <f t="shared" si="1"/>
        <v>0.51528213896277675</v>
      </c>
      <c r="R66" s="143">
        <f t="shared" si="1"/>
        <v>0</v>
      </c>
      <c r="S66" s="143">
        <f t="shared" si="1"/>
        <v>0</v>
      </c>
      <c r="T66" s="71"/>
      <c r="U66" s="71"/>
    </row>
    <row r="68" spans="2:23" x14ac:dyDescent="0.3">
      <c r="B68" s="30" t="s">
        <v>231</v>
      </c>
      <c r="C68" s="105"/>
      <c r="D68" s="104"/>
      <c r="E68" s="104"/>
      <c r="F68" s="105"/>
      <c r="G68" s="105"/>
      <c r="H68" s="105"/>
      <c r="I68" s="105"/>
      <c r="J68" s="105"/>
      <c r="K68" s="105"/>
      <c r="L68" s="105"/>
      <c r="M68" s="105"/>
      <c r="N68" s="105"/>
      <c r="O68" s="105"/>
      <c r="P68" s="105"/>
      <c r="Q68" s="105"/>
      <c r="R68" s="105"/>
      <c r="S68" s="105"/>
      <c r="T68" s="105"/>
      <c r="U68" s="105"/>
      <c r="V68" s="105"/>
      <c r="W68" s="105"/>
    </row>
    <row r="70" spans="2:23" x14ac:dyDescent="0.3">
      <c r="E70" t="s">
        <v>232</v>
      </c>
      <c r="G70" s="6" t="s">
        <v>55</v>
      </c>
      <c r="H70" s="103">
        <f t="array" ref="H70">SUM(IF(ISERROR(H21:U66), 1))</f>
        <v>0</v>
      </c>
    </row>
    <row r="72" spans="2:23" x14ac:dyDescent="0.3">
      <c r="B72" s="30" t="s">
        <v>106</v>
      </c>
      <c r="C72" s="105"/>
      <c r="D72" s="104"/>
      <c r="E72" s="104"/>
      <c r="F72" s="105"/>
      <c r="G72" s="105"/>
      <c r="H72" s="105"/>
      <c r="I72" s="105"/>
      <c r="J72" s="105"/>
      <c r="K72" s="105"/>
      <c r="L72" s="105"/>
      <c r="M72" s="105"/>
      <c r="N72" s="105"/>
      <c r="O72" s="105"/>
      <c r="P72" s="105"/>
      <c r="Q72" s="105"/>
      <c r="R72" s="105"/>
      <c r="S72" s="105"/>
      <c r="T72" s="105"/>
      <c r="U72" s="105"/>
      <c r="V72" s="105"/>
      <c r="W72" s="105"/>
    </row>
  </sheetData>
  <sheetProtection sheet="1" objects="1" formatCells="0" formatColumns="0" formatRows="0" sort="0" autoFilter="0"/>
  <conditionalFormatting sqref="A4:XFD4">
    <cfRule type="expression" dxfId="168" priority="3">
      <formula>LEFT($A$4,1) &lt;&gt; "0"</formula>
    </cfRule>
  </conditionalFormatting>
  <conditionalFormatting sqref="J5:U5">
    <cfRule type="expression" dxfId="167" priority="2">
      <formula>LEFT($A$4,1) &lt;&gt; "0"</formula>
    </cfRule>
  </conditionalFormatting>
  <conditionalFormatting sqref="H70">
    <cfRule type="cellIs" dxfId="16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41" width="17" hidden="1" customWidth="1"/>
    <col min="42" max="42" width="3.5546875" hidden="1" customWidth="1"/>
    <col min="43" max="43" width="18.44140625" hidden="1" customWidth="1"/>
    <col min="44" max="44" width="4.44140625" hidden="1" customWidth="1"/>
    <col min="45" max="45" width="24.5546875" hidden="1" customWidth="1"/>
    <col min="46" max="46" width="3.5546875" hidden="1" customWidth="1"/>
    <col min="47" max="47" width="15.44140625" hidden="1" customWidth="1"/>
    <col min="48" max="323" width="24.5546875" hidden="1" customWidth="1"/>
    <col min="324" max="16384" width="8.77734375" hidden="1"/>
  </cols>
  <sheetData>
    <row r="1" spans="1:43" s="1" customFormat="1" x14ac:dyDescent="0.3">
      <c r="A1" s="1" t="str">
        <f ca="1">MID(CELL("filename",A1),FIND("]",CELL("filename",A1))+1,255)</f>
        <v>Volume adjustments</v>
      </c>
    </row>
    <row r="2" spans="1:43" s="1" customFormat="1" x14ac:dyDescent="0.3">
      <c r="A2" s="1" t="str">
        <f>Cover!D21&amp;" - "&amp;Cover!D23</f>
        <v>WPD Mid West - April 22 Pricing</v>
      </c>
    </row>
    <row r="3" spans="1:43" s="5" customFormat="1" x14ac:dyDescent="0.3">
      <c r="A3" s="5" t="str">
        <f>Cover!D2&amp;" - "&amp;Cover!D8&amp;" v"&amp;Cover!D10&amp;" - "&amp;Cover!D19</f>
        <v>CDCM charging model - Release for charge setting v7 - 2022/23</v>
      </c>
    </row>
    <row r="4" spans="1:43" x14ac:dyDescent="0.3">
      <c r="A4" s="12" t="str">
        <f>H693 &amp; IF(H693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3">
      <c r="C9" s="29" t="s">
        <v>418</v>
      </c>
    </row>
    <row r="10" spans="1:43" x14ac:dyDescent="0.3">
      <c r="C10" s="29" t="s">
        <v>419</v>
      </c>
    </row>
    <row r="11" spans="1:43" x14ac:dyDescent="0.3">
      <c r="C11" s="29" t="s">
        <v>420</v>
      </c>
    </row>
    <row r="13" spans="1:43" x14ac:dyDescent="0.3">
      <c r="B13" s="30" t="s">
        <v>421</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C13" s="30"/>
      <c r="AD13" s="30"/>
      <c r="AE13" s="30"/>
      <c r="AF13" s="30"/>
      <c r="AG13" s="30"/>
      <c r="AH13" s="30"/>
      <c r="AI13" s="30"/>
      <c r="AJ13" s="30"/>
      <c r="AK13" s="30"/>
      <c r="AL13" s="30"/>
      <c r="AM13" s="30"/>
      <c r="AN13" s="30"/>
      <c r="AO13" s="30"/>
      <c r="AQ13" s="30"/>
    </row>
    <row r="14" spans="1:43" x14ac:dyDescent="0.3">
      <c r="C14" s="29"/>
    </row>
    <row r="15" spans="1:43" x14ac:dyDescent="0.3">
      <c r="C15" s="31" t="str">
        <f ca="1">INDEX('Version control'!$H$34:$H$57,MATCH($A$1,'Version control'!$F$34:$F$57,0),1)&amp;"-A: LDNO discounts"</f>
        <v>Section 104-A: LDNO discounts</v>
      </c>
      <c r="D15" s="31"/>
      <c r="E15" s="31"/>
      <c r="F15" s="31"/>
      <c r="G15" s="31"/>
      <c r="H15" s="31"/>
      <c r="I15" s="31"/>
      <c r="J15" s="31"/>
      <c r="K15" s="31"/>
      <c r="L15" s="31"/>
      <c r="M15" s="31"/>
      <c r="N15" s="31"/>
      <c r="O15" s="31"/>
      <c r="P15" s="31"/>
      <c r="Q15" s="31"/>
      <c r="R15" s="31"/>
      <c r="S15" s="31"/>
      <c r="T15" s="31"/>
      <c r="U15" s="31"/>
      <c r="V15" s="31"/>
      <c r="W15" s="31"/>
      <c r="X15" s="31"/>
      <c r="Y15" s="31"/>
      <c r="Z15" s="31"/>
      <c r="AA15" s="31"/>
      <c r="AC15" s="30"/>
      <c r="AD15" s="30"/>
      <c r="AE15" s="30"/>
      <c r="AF15" s="30"/>
      <c r="AG15" s="30"/>
      <c r="AH15" s="30"/>
      <c r="AI15" s="30"/>
      <c r="AJ15" s="30"/>
      <c r="AK15" s="30"/>
      <c r="AL15" s="30"/>
      <c r="AM15" s="30"/>
      <c r="AN15" s="30"/>
      <c r="AO15" s="30"/>
      <c r="AQ15" s="30"/>
    </row>
    <row r="16" spans="1:43" x14ac:dyDescent="0.3">
      <c r="C16" s="29"/>
    </row>
    <row r="17" spans="4:43" x14ac:dyDescent="0.3">
      <c r="D17" s="29" t="s">
        <v>422</v>
      </c>
    </row>
    <row r="18" spans="4:43" x14ac:dyDescent="0.3">
      <c r="D18" s="29" t="s">
        <v>423</v>
      </c>
    </row>
    <row r="19" spans="4:43" x14ac:dyDescent="0.3">
      <c r="D19" s="29"/>
    </row>
    <row r="20" spans="4:43" x14ac:dyDescent="0.3">
      <c r="E20" s="88" t="s">
        <v>424</v>
      </c>
      <c r="I20" t="s">
        <v>154</v>
      </c>
      <c r="J20" s="63"/>
      <c r="K20" s="63"/>
      <c r="L20" s="63"/>
      <c r="M20" s="63"/>
      <c r="N20" s="63"/>
      <c r="O20" s="63"/>
      <c r="P20" s="63"/>
      <c r="Q20" s="63"/>
      <c r="R20" s="63"/>
      <c r="S20" s="63"/>
      <c r="T20" s="63"/>
      <c r="U20" s="63"/>
      <c r="V20" s="63"/>
      <c r="W20" s="63"/>
      <c r="X20" s="63"/>
      <c r="Y20" s="63"/>
    </row>
    <row r="21" spans="4:43" x14ac:dyDescent="0.3">
      <c r="E21" s="29" t="s">
        <v>425</v>
      </c>
      <c r="AA21" t="s">
        <v>426</v>
      </c>
    </row>
    <row r="22" spans="4:43" x14ac:dyDescent="0.3">
      <c r="F22" s="23" t="s">
        <v>175</v>
      </c>
      <c r="G22" s="23" t="s">
        <v>167</v>
      </c>
      <c r="H22" s="107">
        <f>'General inputs'!H30</f>
        <v>0.33736714141938473</v>
      </c>
      <c r="AQ22" s="3"/>
    </row>
    <row r="23" spans="4:43" x14ac:dyDescent="0.3">
      <c r="F23" t="s">
        <v>177</v>
      </c>
      <c r="G23" t="s">
        <v>167</v>
      </c>
      <c r="H23" s="25">
        <f>'General inputs'!H31</f>
        <v>0.48222066856070578</v>
      </c>
      <c r="AQ23" s="3"/>
    </row>
    <row r="24" spans="4:43" x14ac:dyDescent="0.3">
      <c r="F24" t="s">
        <v>178</v>
      </c>
      <c r="G24" t="s">
        <v>167</v>
      </c>
      <c r="H24" s="25">
        <f>'General inputs'!H32</f>
        <v>0.19751655620522704</v>
      </c>
      <c r="AQ24" s="3"/>
    </row>
    <row r="25" spans="4:43" x14ac:dyDescent="0.3">
      <c r="F25" s="37" t="s">
        <v>179</v>
      </c>
      <c r="G25" s="37" t="s">
        <v>167</v>
      </c>
      <c r="H25" s="141">
        <f>'General inputs'!H33</f>
        <v>7.8679419876750339E-2</v>
      </c>
      <c r="AQ25" s="3"/>
    </row>
    <row r="27" spans="4:43" x14ac:dyDescent="0.3">
      <c r="E27" s="32" t="s">
        <v>427</v>
      </c>
      <c r="I27" t="s">
        <v>154</v>
      </c>
      <c r="AA27" t="s">
        <v>428</v>
      </c>
      <c r="AQ27" s="3"/>
    </row>
    <row r="28" spans="4:43" x14ac:dyDescent="0.3">
      <c r="E28" s="29" t="s">
        <v>429</v>
      </c>
    </row>
    <row r="29" spans="4:43" x14ac:dyDescent="0.3">
      <c r="E29" s="29" t="s">
        <v>430</v>
      </c>
    </row>
    <row r="30" spans="4:43" x14ac:dyDescent="0.3">
      <c r="F30" s="23" t="s">
        <v>175</v>
      </c>
      <c r="G30" s="23" t="s">
        <v>176</v>
      </c>
      <c r="H30" s="23"/>
      <c r="I30" s="23"/>
      <c r="J30" s="144">
        <f>'Fixed inputs'!J46</f>
        <v>1</v>
      </c>
      <c r="K30" s="144">
        <f>'Fixed inputs'!K46</f>
        <v>1</v>
      </c>
      <c r="L30" s="144">
        <f>'Fixed inputs'!L46</f>
        <v>1</v>
      </c>
      <c r="M30" s="144">
        <f>'Fixed inputs'!M46</f>
        <v>1</v>
      </c>
      <c r="N30" s="144">
        <f>'Fixed inputs'!N46</f>
        <v>1</v>
      </c>
      <c r="O30" s="144">
        <f>'Fixed inputs'!O46</f>
        <v>0</v>
      </c>
      <c r="P30" s="144">
        <f>'Fixed inputs'!P46</f>
        <v>0</v>
      </c>
      <c r="Q30" s="144">
        <f>'Fixed inputs'!Q46</f>
        <v>1</v>
      </c>
      <c r="R30" s="144">
        <f>'Fixed inputs'!R46</f>
        <v>0</v>
      </c>
      <c r="S30" s="144">
        <f>'Fixed inputs'!S46</f>
        <v>0</v>
      </c>
      <c r="T30" s="144">
        <f>'Fixed inputs'!T46</f>
        <v>0</v>
      </c>
      <c r="U30" s="144">
        <f>'Fixed inputs'!U46</f>
        <v>0</v>
      </c>
      <c r="V30" s="144">
        <f>'Fixed inputs'!V46</f>
        <v>0</v>
      </c>
      <c r="W30" s="144">
        <f>'Fixed inputs'!W46</f>
        <v>0</v>
      </c>
      <c r="X30" s="144">
        <f>'Fixed inputs'!X46</f>
        <v>0</v>
      </c>
      <c r="Y30" s="144">
        <f>'Fixed inputs'!Y46</f>
        <v>0</v>
      </c>
      <c r="AQ30" s="3"/>
    </row>
    <row r="31" spans="4:43" x14ac:dyDescent="0.3">
      <c r="F31" t="s">
        <v>177</v>
      </c>
      <c r="G31" t="s">
        <v>176</v>
      </c>
      <c r="J31" s="137">
        <f>'Fixed inputs'!J47</f>
        <v>1</v>
      </c>
      <c r="K31" s="137">
        <f>'Fixed inputs'!K47</f>
        <v>1</v>
      </c>
      <c r="L31" s="137">
        <f>'Fixed inputs'!L47</f>
        <v>1</v>
      </c>
      <c r="M31" s="137">
        <f>'Fixed inputs'!M47</f>
        <v>1</v>
      </c>
      <c r="N31" s="137">
        <f>'Fixed inputs'!N47</f>
        <v>1</v>
      </c>
      <c r="O31" s="137">
        <f>'Fixed inputs'!O47</f>
        <v>0</v>
      </c>
      <c r="P31" s="137">
        <f>'Fixed inputs'!P47</f>
        <v>0</v>
      </c>
      <c r="Q31" s="137">
        <f>'Fixed inputs'!Q47</f>
        <v>1</v>
      </c>
      <c r="R31" s="137">
        <f>'Fixed inputs'!R47</f>
        <v>0</v>
      </c>
      <c r="S31" s="137">
        <f>'Fixed inputs'!S47</f>
        <v>0</v>
      </c>
      <c r="T31" s="137">
        <f>'Fixed inputs'!T47</f>
        <v>0</v>
      </c>
      <c r="U31" s="137">
        <f>'Fixed inputs'!U47</f>
        <v>0</v>
      </c>
      <c r="V31" s="137">
        <f>'Fixed inputs'!V47</f>
        <v>0</v>
      </c>
      <c r="W31" s="137">
        <f>'Fixed inputs'!W47</f>
        <v>0</v>
      </c>
      <c r="X31" s="137">
        <f>'Fixed inputs'!X47</f>
        <v>0</v>
      </c>
      <c r="Y31" s="137">
        <f>'Fixed inputs'!Y47</f>
        <v>0</v>
      </c>
      <c r="AQ31" s="3"/>
    </row>
    <row r="32" spans="4:43" x14ac:dyDescent="0.3">
      <c r="F32" t="s">
        <v>178</v>
      </c>
      <c r="G32" t="s">
        <v>176</v>
      </c>
      <c r="J32" s="137">
        <f>'Fixed inputs'!J48</f>
        <v>0</v>
      </c>
      <c r="K32" s="137">
        <f>'Fixed inputs'!K48</f>
        <v>0</v>
      </c>
      <c r="L32" s="137">
        <f>'Fixed inputs'!L48</f>
        <v>0</v>
      </c>
      <c r="M32" s="137">
        <f>'Fixed inputs'!M48</f>
        <v>0</v>
      </c>
      <c r="N32" s="137">
        <f>'Fixed inputs'!N48</f>
        <v>0</v>
      </c>
      <c r="O32" s="137">
        <f>'Fixed inputs'!O48</f>
        <v>1</v>
      </c>
      <c r="P32" s="137">
        <f>'Fixed inputs'!P48</f>
        <v>0</v>
      </c>
      <c r="Q32" s="137">
        <f>'Fixed inputs'!Q48</f>
        <v>0</v>
      </c>
      <c r="R32" s="137">
        <f>'Fixed inputs'!R48</f>
        <v>0</v>
      </c>
      <c r="S32" s="137">
        <f>'Fixed inputs'!S48</f>
        <v>0</v>
      </c>
      <c r="T32" s="137">
        <f>'Fixed inputs'!T48</f>
        <v>0</v>
      </c>
      <c r="U32" s="137">
        <f>'Fixed inputs'!U48</f>
        <v>0</v>
      </c>
      <c r="V32" s="137">
        <f>'Fixed inputs'!V48</f>
        <v>0</v>
      </c>
      <c r="W32" s="137">
        <f>'Fixed inputs'!W48</f>
        <v>0</v>
      </c>
      <c r="X32" s="137">
        <f>'Fixed inputs'!X48</f>
        <v>0</v>
      </c>
      <c r="Y32" s="137">
        <f>'Fixed inputs'!Y48</f>
        <v>0</v>
      </c>
      <c r="AQ32" s="3"/>
    </row>
    <row r="33" spans="4:43" x14ac:dyDescent="0.3">
      <c r="F33" s="37" t="s">
        <v>179</v>
      </c>
      <c r="G33" s="37" t="s">
        <v>176</v>
      </c>
      <c r="H33" s="37"/>
      <c r="I33" s="37"/>
      <c r="J33" s="138">
        <f>'Fixed inputs'!J49</f>
        <v>0</v>
      </c>
      <c r="K33" s="138">
        <f>'Fixed inputs'!K49</f>
        <v>0</v>
      </c>
      <c r="L33" s="138">
        <f>'Fixed inputs'!L49</f>
        <v>0</v>
      </c>
      <c r="M33" s="138">
        <f>'Fixed inputs'!M49</f>
        <v>0</v>
      </c>
      <c r="N33" s="138">
        <f>'Fixed inputs'!N49</f>
        <v>0</v>
      </c>
      <c r="O33" s="138">
        <f>'Fixed inputs'!O49</f>
        <v>0</v>
      </c>
      <c r="P33" s="138">
        <f>'Fixed inputs'!P49</f>
        <v>1</v>
      </c>
      <c r="Q33" s="138">
        <f>'Fixed inputs'!Q49</f>
        <v>0</v>
      </c>
      <c r="R33" s="138">
        <f>'Fixed inputs'!R49</f>
        <v>0</v>
      </c>
      <c r="S33" s="138">
        <f>'Fixed inputs'!S49</f>
        <v>0</v>
      </c>
      <c r="T33" s="138">
        <f>'Fixed inputs'!T49</f>
        <v>0</v>
      </c>
      <c r="U33" s="138">
        <f>'Fixed inputs'!U49</f>
        <v>0</v>
      </c>
      <c r="V33" s="138">
        <f>'Fixed inputs'!V49</f>
        <v>0</v>
      </c>
      <c r="W33" s="138">
        <f>'Fixed inputs'!W49</f>
        <v>0</v>
      </c>
      <c r="X33" s="138">
        <f>'Fixed inputs'!X49</f>
        <v>0</v>
      </c>
      <c r="Y33" s="138">
        <f>'Fixed inputs'!Y49</f>
        <v>0</v>
      </c>
      <c r="AQ33" s="3"/>
    </row>
    <row r="34" spans="4:43" x14ac:dyDescent="0.3">
      <c r="F34" s="28" t="s">
        <v>431</v>
      </c>
      <c r="G34" s="28" t="s">
        <v>167</v>
      </c>
      <c r="J34" s="145">
        <f t="shared" ref="J34:Y34" si="0">J30 * $H$22</f>
        <v>0.33736714141938473</v>
      </c>
      <c r="K34" s="145">
        <f t="shared" si="0"/>
        <v>0.33736714141938473</v>
      </c>
      <c r="L34" s="145">
        <f t="shared" si="0"/>
        <v>0.33736714141938473</v>
      </c>
      <c r="M34" s="145">
        <f t="shared" si="0"/>
        <v>0.33736714141938473</v>
      </c>
      <c r="N34" s="145">
        <f t="shared" si="0"/>
        <v>0.33736714141938473</v>
      </c>
      <c r="O34" s="145">
        <f t="shared" si="0"/>
        <v>0</v>
      </c>
      <c r="P34" s="145">
        <f t="shared" si="0"/>
        <v>0</v>
      </c>
      <c r="Q34" s="145">
        <f t="shared" si="0"/>
        <v>0.33736714141938473</v>
      </c>
      <c r="R34" s="145">
        <f t="shared" si="0"/>
        <v>0</v>
      </c>
      <c r="S34" s="145">
        <f t="shared" si="0"/>
        <v>0</v>
      </c>
      <c r="T34" s="145">
        <f t="shared" si="0"/>
        <v>0</v>
      </c>
      <c r="U34" s="145">
        <f t="shared" si="0"/>
        <v>0</v>
      </c>
      <c r="V34" s="145">
        <f t="shared" si="0"/>
        <v>0</v>
      </c>
      <c r="W34" s="145">
        <f t="shared" si="0"/>
        <v>0</v>
      </c>
      <c r="X34" s="145">
        <f t="shared" si="0"/>
        <v>0</v>
      </c>
      <c r="Y34" s="145">
        <f t="shared" si="0"/>
        <v>0</v>
      </c>
      <c r="AQ34" s="3"/>
    </row>
    <row r="35" spans="4:43" x14ac:dyDescent="0.3">
      <c r="F35" s="28" t="s">
        <v>432</v>
      </c>
      <c r="G35" s="28" t="s">
        <v>167</v>
      </c>
      <c r="J35" s="145">
        <f t="shared" ref="J35:Y35" si="1">SUMPRODUCT(J31:J33,$H$23:$H$25)</f>
        <v>0.48222066856070578</v>
      </c>
      <c r="K35" s="145">
        <f t="shared" si="1"/>
        <v>0.48222066856070578</v>
      </c>
      <c r="L35" s="145">
        <f t="shared" si="1"/>
        <v>0.48222066856070578</v>
      </c>
      <c r="M35" s="145">
        <f t="shared" si="1"/>
        <v>0.48222066856070578</v>
      </c>
      <c r="N35" s="145">
        <f t="shared" si="1"/>
        <v>0.48222066856070578</v>
      </c>
      <c r="O35" s="145">
        <f t="shared" si="1"/>
        <v>0.19751655620522704</v>
      </c>
      <c r="P35" s="145">
        <f t="shared" si="1"/>
        <v>7.8679419876750339E-2</v>
      </c>
      <c r="Q35" s="145">
        <f t="shared" si="1"/>
        <v>0.48222066856070578</v>
      </c>
      <c r="R35" s="145">
        <f t="shared" si="1"/>
        <v>0</v>
      </c>
      <c r="S35" s="145">
        <f t="shared" si="1"/>
        <v>0</v>
      </c>
      <c r="T35" s="145">
        <f t="shared" si="1"/>
        <v>0</v>
      </c>
      <c r="U35" s="145">
        <f t="shared" si="1"/>
        <v>0</v>
      </c>
      <c r="V35" s="145">
        <f t="shared" si="1"/>
        <v>0</v>
      </c>
      <c r="W35" s="145">
        <f t="shared" si="1"/>
        <v>0</v>
      </c>
      <c r="X35" s="145">
        <f t="shared" si="1"/>
        <v>0</v>
      </c>
      <c r="Y35" s="145">
        <f t="shared" si="1"/>
        <v>0</v>
      </c>
      <c r="AQ35" s="3"/>
    </row>
    <row r="36" spans="4:43" x14ac:dyDescent="0.3">
      <c r="D36" s="32"/>
      <c r="AQ36" s="3"/>
    </row>
    <row r="37" spans="4:43" x14ac:dyDescent="0.3">
      <c r="E37" s="32" t="s">
        <v>433</v>
      </c>
      <c r="I37" t="s">
        <v>154</v>
      </c>
      <c r="AA37" t="s">
        <v>428</v>
      </c>
      <c r="AQ37" s="3"/>
    </row>
    <row r="38" spans="4:43" x14ac:dyDescent="0.3">
      <c r="E38" s="29" t="s">
        <v>434</v>
      </c>
    </row>
    <row r="39" spans="4:43" x14ac:dyDescent="0.3">
      <c r="F39" s="28" t="s">
        <v>435</v>
      </c>
      <c r="G39" s="28" t="s">
        <v>209</v>
      </c>
      <c r="J39" s="146" t="b">
        <f>'Fixed inputs'!J105</f>
        <v>0</v>
      </c>
      <c r="K39" s="146" t="b">
        <f>'Fixed inputs'!K105</f>
        <v>0</v>
      </c>
      <c r="L39" s="146" t="b">
        <f>'Fixed inputs'!L105</f>
        <v>0</v>
      </c>
      <c r="M39" s="146" t="b">
        <f>'Fixed inputs'!M105</f>
        <v>0</v>
      </c>
      <c r="N39" s="146" t="b">
        <f>'Fixed inputs'!N105</f>
        <v>0</v>
      </c>
      <c r="O39" s="146" t="b">
        <f>'Fixed inputs'!O105</f>
        <v>0</v>
      </c>
      <c r="P39" s="146" t="b">
        <f>'Fixed inputs'!P105</f>
        <v>0</v>
      </c>
      <c r="Q39" s="146" t="b">
        <f>'Fixed inputs'!Q105</f>
        <v>0</v>
      </c>
      <c r="R39" s="146" t="b">
        <f>'Fixed inputs'!R105</f>
        <v>1</v>
      </c>
      <c r="S39" s="146" t="b">
        <f>'Fixed inputs'!S105</f>
        <v>1</v>
      </c>
      <c r="T39" s="146" t="b">
        <f>'Fixed inputs'!T105</f>
        <v>1</v>
      </c>
      <c r="U39" s="146" t="b">
        <f>'Fixed inputs'!U105</f>
        <v>1</v>
      </c>
      <c r="V39" s="146" t="b">
        <f>'Fixed inputs'!V105</f>
        <v>1</v>
      </c>
      <c r="W39" s="146" t="b">
        <f>'Fixed inputs'!W105</f>
        <v>1</v>
      </c>
      <c r="X39" s="146" t="b">
        <f>'Fixed inputs'!X105</f>
        <v>1</v>
      </c>
      <c r="Y39" s="146" t="b">
        <f>'Fixed inputs'!Y105</f>
        <v>1</v>
      </c>
      <c r="AQ39" s="3"/>
    </row>
    <row r="40" spans="4:43" x14ac:dyDescent="0.3">
      <c r="F40" s="28" t="s">
        <v>436</v>
      </c>
      <c r="G40" s="28" t="s">
        <v>209</v>
      </c>
      <c r="J40" s="146" t="b">
        <f>'Fixed inputs'!J109</f>
        <v>0</v>
      </c>
      <c r="K40" s="146" t="b">
        <f>'Fixed inputs'!K109</f>
        <v>0</v>
      </c>
      <c r="L40" s="146" t="b">
        <f>'Fixed inputs'!L109</f>
        <v>0</v>
      </c>
      <c r="M40" s="146" t="b">
        <f>'Fixed inputs'!M109</f>
        <v>0</v>
      </c>
      <c r="N40" s="146" t="b">
        <f>'Fixed inputs'!N109</f>
        <v>0</v>
      </c>
      <c r="O40" s="146" t="b">
        <f>'Fixed inputs'!O109</f>
        <v>0</v>
      </c>
      <c r="P40" s="146" t="b">
        <f>'Fixed inputs'!P109</f>
        <v>0</v>
      </c>
      <c r="Q40" s="146" t="b">
        <f>'Fixed inputs'!Q109</f>
        <v>0</v>
      </c>
      <c r="R40" s="146" t="b">
        <f>'Fixed inputs'!R109</f>
        <v>1</v>
      </c>
      <c r="S40" s="146" t="b">
        <f>'Fixed inputs'!S109</f>
        <v>1</v>
      </c>
      <c r="T40" s="146" t="b">
        <f>'Fixed inputs'!T109</f>
        <v>1</v>
      </c>
      <c r="U40" s="146" t="b">
        <f>'Fixed inputs'!U109</f>
        <v>1</v>
      </c>
      <c r="V40" s="146" t="b">
        <f>'Fixed inputs'!V109</f>
        <v>1</v>
      </c>
      <c r="W40" s="146" t="b">
        <f>'Fixed inputs'!W109</f>
        <v>1</v>
      </c>
      <c r="X40" s="146" t="b">
        <f>'Fixed inputs'!X109</f>
        <v>1</v>
      </c>
      <c r="Y40" s="146" t="b">
        <f>'Fixed inputs'!Y109</f>
        <v>1</v>
      </c>
      <c r="AQ40" s="3"/>
    </row>
    <row r="41" spans="4:43" x14ac:dyDescent="0.3">
      <c r="F41" s="28" t="s">
        <v>437</v>
      </c>
      <c r="G41" s="28" t="s">
        <v>209</v>
      </c>
      <c r="J41" s="146" t="b">
        <f>'Fixed inputs'!J113</f>
        <v>0</v>
      </c>
      <c r="K41" s="146" t="b">
        <f>'Fixed inputs'!K113</f>
        <v>0</v>
      </c>
      <c r="L41" s="146" t="b">
        <f>'Fixed inputs'!L113</f>
        <v>0</v>
      </c>
      <c r="M41" s="146" t="b">
        <f>'Fixed inputs'!M113</f>
        <v>0</v>
      </c>
      <c r="N41" s="146" t="b">
        <f>'Fixed inputs'!N113</f>
        <v>0</v>
      </c>
      <c r="O41" s="146" t="b">
        <f>'Fixed inputs'!O113</f>
        <v>0</v>
      </c>
      <c r="P41" s="146" t="b">
        <f>'Fixed inputs'!P113</f>
        <v>0</v>
      </c>
      <c r="Q41" s="146" t="b">
        <f>'Fixed inputs'!Q113</f>
        <v>0</v>
      </c>
      <c r="R41" s="146" t="b">
        <f>'Fixed inputs'!R113</f>
        <v>1</v>
      </c>
      <c r="S41" s="146" t="b">
        <f>'Fixed inputs'!S113</f>
        <v>1</v>
      </c>
      <c r="T41" s="146" t="b">
        <f>'Fixed inputs'!T113</f>
        <v>1</v>
      </c>
      <c r="U41" s="146" t="b">
        <f>'Fixed inputs'!U113</f>
        <v>1</v>
      </c>
      <c r="V41" s="146" t="b">
        <f>'Fixed inputs'!V113</f>
        <v>1</v>
      </c>
      <c r="W41" s="146" t="b">
        <f>'Fixed inputs'!W113</f>
        <v>1</v>
      </c>
      <c r="X41" s="146" t="b">
        <f>'Fixed inputs'!X113</f>
        <v>1</v>
      </c>
      <c r="Y41" s="146" t="b">
        <f>'Fixed inputs'!Y113</f>
        <v>1</v>
      </c>
      <c r="AQ41" s="3"/>
    </row>
    <row r="42" spans="4:43" x14ac:dyDescent="0.3">
      <c r="F42" s="28" t="s">
        <v>438</v>
      </c>
      <c r="G42" s="28" t="s">
        <v>209</v>
      </c>
      <c r="J42" s="146" t="b">
        <f>'Fixed inputs'!J117</f>
        <v>0</v>
      </c>
      <c r="K42" s="146" t="b">
        <f>'Fixed inputs'!K117</f>
        <v>0</v>
      </c>
      <c r="L42" s="146" t="b">
        <f>'Fixed inputs'!L117</f>
        <v>0</v>
      </c>
      <c r="M42" s="146" t="b">
        <f>'Fixed inputs'!M117</f>
        <v>0</v>
      </c>
      <c r="N42" s="146" t="b">
        <f>'Fixed inputs'!N117</f>
        <v>0</v>
      </c>
      <c r="O42" s="146" t="b">
        <f>'Fixed inputs'!O117</f>
        <v>0</v>
      </c>
      <c r="P42" s="146" t="b">
        <f>'Fixed inputs'!P117</f>
        <v>0</v>
      </c>
      <c r="Q42" s="146" t="b">
        <f>'Fixed inputs'!Q117</f>
        <v>0</v>
      </c>
      <c r="R42" s="146" t="b">
        <f>'Fixed inputs'!R117</f>
        <v>1</v>
      </c>
      <c r="S42" s="146" t="b">
        <f>'Fixed inputs'!S117</f>
        <v>1</v>
      </c>
      <c r="T42" s="146" t="b">
        <f>'Fixed inputs'!T117</f>
        <v>1</v>
      </c>
      <c r="U42" s="146" t="b">
        <f>'Fixed inputs'!U117</f>
        <v>1</v>
      </c>
      <c r="V42" s="146" t="b">
        <f>'Fixed inputs'!V117</f>
        <v>1</v>
      </c>
      <c r="W42" s="146" t="b">
        <f>'Fixed inputs'!W117</f>
        <v>1</v>
      </c>
      <c r="X42" s="146" t="b">
        <f>'Fixed inputs'!X117</f>
        <v>1</v>
      </c>
      <c r="Y42" s="146" t="b">
        <f>'Fixed inputs'!Y117</f>
        <v>1</v>
      </c>
      <c r="AQ42" s="3"/>
    </row>
    <row r="43" spans="4:43" x14ac:dyDescent="0.3">
      <c r="F43" s="28" t="s">
        <v>439</v>
      </c>
      <c r="G43" s="28" t="s">
        <v>209</v>
      </c>
      <c r="J43" s="146" t="b">
        <f>'Fixed inputs'!J121</f>
        <v>0</v>
      </c>
      <c r="K43" s="146" t="b">
        <f>'Fixed inputs'!K121</f>
        <v>0</v>
      </c>
      <c r="L43" s="146" t="b">
        <f>'Fixed inputs'!L121</f>
        <v>0</v>
      </c>
      <c r="M43" s="146" t="b">
        <f>'Fixed inputs'!M121</f>
        <v>0</v>
      </c>
      <c r="N43" s="146" t="b">
        <f>'Fixed inputs'!N121</f>
        <v>0</v>
      </c>
      <c r="O43" s="146" t="b">
        <f>'Fixed inputs'!O121</f>
        <v>0</v>
      </c>
      <c r="P43" s="146" t="b">
        <f>'Fixed inputs'!P121</f>
        <v>0</v>
      </c>
      <c r="Q43" s="146" t="b">
        <f>'Fixed inputs'!Q121</f>
        <v>0</v>
      </c>
      <c r="R43" s="146" t="b">
        <f>'Fixed inputs'!R121</f>
        <v>1</v>
      </c>
      <c r="S43" s="146" t="b">
        <f>'Fixed inputs'!S121</f>
        <v>1</v>
      </c>
      <c r="T43" s="146" t="b">
        <f>'Fixed inputs'!T121</f>
        <v>1</v>
      </c>
      <c r="U43" s="146" t="b">
        <f>'Fixed inputs'!U121</f>
        <v>1</v>
      </c>
      <c r="V43" s="146" t="b">
        <f>'Fixed inputs'!V121</f>
        <v>1</v>
      </c>
      <c r="W43" s="146" t="b">
        <f>'Fixed inputs'!W121</f>
        <v>1</v>
      </c>
      <c r="X43" s="146" t="b">
        <f>'Fixed inputs'!X121</f>
        <v>1</v>
      </c>
      <c r="Y43" s="146" t="b">
        <f>'Fixed inputs'!Y121</f>
        <v>1</v>
      </c>
      <c r="AQ43" s="3"/>
    </row>
    <row r="44" spans="4:43" x14ac:dyDescent="0.3">
      <c r="D44" s="32"/>
      <c r="AQ44" s="3"/>
    </row>
    <row r="45" spans="4:43" x14ac:dyDescent="0.3">
      <c r="F45" s="28" t="s">
        <v>440</v>
      </c>
      <c r="G45" s="28" t="s">
        <v>167</v>
      </c>
      <c r="J45" s="25">
        <f>'Fixed inputs'!J106</f>
        <v>0</v>
      </c>
      <c r="K45" s="25">
        <f>'Fixed inputs'!K106</f>
        <v>0</v>
      </c>
      <c r="L45" s="25">
        <f>'Fixed inputs'!L106</f>
        <v>0</v>
      </c>
      <c r="M45" s="25">
        <f>'Fixed inputs'!M106</f>
        <v>0</v>
      </c>
      <c r="N45" s="25">
        <f>'Fixed inputs'!N106</f>
        <v>0</v>
      </c>
      <c r="O45" s="25">
        <f>'Fixed inputs'!O106</f>
        <v>0</v>
      </c>
      <c r="P45" s="25">
        <f>'Fixed inputs'!P106</f>
        <v>0</v>
      </c>
      <c r="Q45" s="25">
        <f>'Fixed inputs'!Q106</f>
        <v>0</v>
      </c>
      <c r="R45" s="25">
        <f>'Fixed inputs'!R106</f>
        <v>0</v>
      </c>
      <c r="S45" s="25">
        <f>'Fixed inputs'!S106</f>
        <v>0</v>
      </c>
      <c r="T45" s="25">
        <f>'Fixed inputs'!T106</f>
        <v>0</v>
      </c>
      <c r="U45" s="25">
        <f>'Fixed inputs'!U106</f>
        <v>0</v>
      </c>
      <c r="V45" s="25">
        <f>'Fixed inputs'!V106</f>
        <v>0</v>
      </c>
      <c r="W45" s="25">
        <f>'Fixed inputs'!W106</f>
        <v>0</v>
      </c>
      <c r="X45" s="25">
        <f>'Fixed inputs'!X106</f>
        <v>0</v>
      </c>
      <c r="Y45" s="25">
        <f>'Fixed inputs'!Y106</f>
        <v>0</v>
      </c>
      <c r="AQ45" s="3"/>
    </row>
    <row r="46" spans="4:43" x14ac:dyDescent="0.3">
      <c r="F46" s="28" t="s">
        <v>441</v>
      </c>
      <c r="G46" s="28" t="s">
        <v>167</v>
      </c>
      <c r="J46" s="25">
        <f>'Fixed inputs'!J110</f>
        <v>0</v>
      </c>
      <c r="K46" s="25">
        <f>'Fixed inputs'!K110</f>
        <v>0</v>
      </c>
      <c r="L46" s="25">
        <f>'Fixed inputs'!L110</f>
        <v>0</v>
      </c>
      <c r="M46" s="25">
        <f>'Fixed inputs'!M110</f>
        <v>0</v>
      </c>
      <c r="N46" s="25">
        <f>'Fixed inputs'!N110</f>
        <v>0</v>
      </c>
      <c r="O46" s="25">
        <f>'Fixed inputs'!O110</f>
        <v>0</v>
      </c>
      <c r="P46" s="25">
        <f>'Fixed inputs'!P110</f>
        <v>0</v>
      </c>
      <c r="Q46" s="25">
        <f>'Fixed inputs'!Q110</f>
        <v>0</v>
      </c>
      <c r="R46" s="25">
        <f>'Fixed inputs'!R110</f>
        <v>1</v>
      </c>
      <c r="S46" s="25">
        <f>'Fixed inputs'!S110</f>
        <v>1</v>
      </c>
      <c r="T46" s="25">
        <f>'Fixed inputs'!T110</f>
        <v>1</v>
      </c>
      <c r="U46" s="25">
        <f>'Fixed inputs'!U110</f>
        <v>1</v>
      </c>
      <c r="V46" s="25">
        <f>'Fixed inputs'!V110</f>
        <v>1</v>
      </c>
      <c r="W46" s="25">
        <f>'Fixed inputs'!W110</f>
        <v>1</v>
      </c>
      <c r="X46" s="25">
        <f>'Fixed inputs'!X110</f>
        <v>1</v>
      </c>
      <c r="Y46" s="25">
        <f>'Fixed inputs'!Y110</f>
        <v>1</v>
      </c>
      <c r="AQ46" s="3"/>
    </row>
    <row r="47" spans="4:43" x14ac:dyDescent="0.3">
      <c r="F47" s="28" t="s">
        <v>442</v>
      </c>
      <c r="G47" s="28" t="s">
        <v>167</v>
      </c>
      <c r="J47" s="25">
        <f>'Fixed inputs'!J114</f>
        <v>0</v>
      </c>
      <c r="K47" s="25">
        <f>'Fixed inputs'!K114</f>
        <v>0</v>
      </c>
      <c r="L47" s="25">
        <f>'Fixed inputs'!L114</f>
        <v>0</v>
      </c>
      <c r="M47" s="25">
        <f>'Fixed inputs'!M114</f>
        <v>0</v>
      </c>
      <c r="N47" s="25">
        <f>'Fixed inputs'!N114</f>
        <v>0</v>
      </c>
      <c r="O47" s="25">
        <f>'Fixed inputs'!O114</f>
        <v>0</v>
      </c>
      <c r="P47" s="25">
        <f>'Fixed inputs'!P114</f>
        <v>0</v>
      </c>
      <c r="Q47" s="25">
        <f>'Fixed inputs'!Q114</f>
        <v>0</v>
      </c>
      <c r="R47" s="25">
        <f>'Fixed inputs'!R114</f>
        <v>0</v>
      </c>
      <c r="S47" s="25">
        <f>'Fixed inputs'!S114</f>
        <v>0</v>
      </c>
      <c r="T47" s="25">
        <f>'Fixed inputs'!T114</f>
        <v>0</v>
      </c>
      <c r="U47" s="25">
        <f>'Fixed inputs'!U114</f>
        <v>0</v>
      </c>
      <c r="V47" s="25">
        <f>'Fixed inputs'!V114</f>
        <v>0</v>
      </c>
      <c r="W47" s="25">
        <f>'Fixed inputs'!W114</f>
        <v>0</v>
      </c>
      <c r="X47" s="25">
        <f>'Fixed inputs'!X114</f>
        <v>0</v>
      </c>
      <c r="Y47" s="25">
        <f>'Fixed inputs'!Y114</f>
        <v>0</v>
      </c>
      <c r="AQ47" s="3"/>
    </row>
    <row r="48" spans="4:43" x14ac:dyDescent="0.3">
      <c r="F48" s="28" t="s">
        <v>443</v>
      </c>
      <c r="G48" s="28" t="s">
        <v>167</v>
      </c>
      <c r="J48" s="25">
        <f>'Fixed inputs'!J118</f>
        <v>0</v>
      </c>
      <c r="K48" s="25">
        <f>'Fixed inputs'!K118</f>
        <v>0</v>
      </c>
      <c r="L48" s="25">
        <f>'Fixed inputs'!L118</f>
        <v>0</v>
      </c>
      <c r="M48" s="25">
        <f>'Fixed inputs'!M118</f>
        <v>0</v>
      </c>
      <c r="N48" s="25">
        <f>'Fixed inputs'!N118</f>
        <v>0</v>
      </c>
      <c r="O48" s="25">
        <f>'Fixed inputs'!O118</f>
        <v>0</v>
      </c>
      <c r="P48" s="25">
        <f>'Fixed inputs'!P118</f>
        <v>0</v>
      </c>
      <c r="Q48" s="25">
        <f>'Fixed inputs'!Q118</f>
        <v>0</v>
      </c>
      <c r="R48" s="25">
        <f>'Fixed inputs'!R118</f>
        <v>0</v>
      </c>
      <c r="S48" s="25">
        <f>'Fixed inputs'!S118</f>
        <v>0</v>
      </c>
      <c r="T48" s="25">
        <f>'Fixed inputs'!T118</f>
        <v>0</v>
      </c>
      <c r="U48" s="25">
        <f>'Fixed inputs'!U118</f>
        <v>0</v>
      </c>
      <c r="V48" s="25">
        <f>'Fixed inputs'!V118</f>
        <v>0</v>
      </c>
      <c r="W48" s="25">
        <f>'Fixed inputs'!W118</f>
        <v>0</v>
      </c>
      <c r="X48" s="25">
        <f>'Fixed inputs'!X118</f>
        <v>0</v>
      </c>
      <c r="Y48" s="25">
        <f>'Fixed inputs'!Y118</f>
        <v>0</v>
      </c>
      <c r="AQ48" s="3"/>
    </row>
    <row r="49" spans="2:43" x14ac:dyDescent="0.3">
      <c r="F49" s="28" t="s">
        <v>444</v>
      </c>
      <c r="G49" s="28" t="s">
        <v>167</v>
      </c>
      <c r="J49" s="25">
        <f>'Fixed inputs'!J122</f>
        <v>0</v>
      </c>
      <c r="K49" s="25">
        <f>'Fixed inputs'!K122</f>
        <v>0</v>
      </c>
      <c r="L49" s="25">
        <f>'Fixed inputs'!L122</f>
        <v>0</v>
      </c>
      <c r="M49" s="25">
        <f>'Fixed inputs'!M122</f>
        <v>0</v>
      </c>
      <c r="N49" s="25">
        <f>'Fixed inputs'!N122</f>
        <v>0</v>
      </c>
      <c r="O49" s="25">
        <f>'Fixed inputs'!O122</f>
        <v>0</v>
      </c>
      <c r="P49" s="25">
        <f>'Fixed inputs'!P122</f>
        <v>0</v>
      </c>
      <c r="Q49" s="25">
        <f>'Fixed inputs'!Q122</f>
        <v>0</v>
      </c>
      <c r="R49" s="25">
        <f>'Fixed inputs'!R122</f>
        <v>0</v>
      </c>
      <c r="S49" s="25">
        <f>'Fixed inputs'!S122</f>
        <v>0</v>
      </c>
      <c r="T49" s="25">
        <f>'Fixed inputs'!T122</f>
        <v>0</v>
      </c>
      <c r="U49" s="25">
        <f>'Fixed inputs'!U122</f>
        <v>0</v>
      </c>
      <c r="V49" s="25">
        <f>'Fixed inputs'!V122</f>
        <v>0</v>
      </c>
      <c r="W49" s="25">
        <f>'Fixed inputs'!W122</f>
        <v>0</v>
      </c>
      <c r="X49" s="25">
        <f>'Fixed inputs'!X122</f>
        <v>0</v>
      </c>
      <c r="Y49" s="25">
        <f>'Fixed inputs'!Y122</f>
        <v>0</v>
      </c>
      <c r="AQ49" s="3"/>
    </row>
    <row r="50" spans="2:43" x14ac:dyDescent="0.3">
      <c r="C50" s="32"/>
      <c r="AQ50" s="3"/>
    </row>
    <row r="51" spans="2:43" x14ac:dyDescent="0.3">
      <c r="B51" s="30" t="s">
        <v>445</v>
      </c>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C51" s="30"/>
      <c r="AD51" s="30"/>
      <c r="AE51" s="30"/>
      <c r="AF51" s="30"/>
      <c r="AG51" s="30"/>
      <c r="AH51" s="30"/>
      <c r="AI51" s="30"/>
      <c r="AJ51" s="30"/>
      <c r="AK51" s="30"/>
      <c r="AL51" s="30"/>
      <c r="AM51" s="30"/>
      <c r="AN51" s="30"/>
      <c r="AO51" s="30"/>
      <c r="AQ51" s="30"/>
    </row>
    <row r="52" spans="2:43" x14ac:dyDescent="0.3">
      <c r="C52" s="32"/>
      <c r="AQ52" s="3"/>
    </row>
    <row r="53" spans="2:43" x14ac:dyDescent="0.3">
      <c r="C53" s="31" t="str">
        <f ca="1">INDEX('Version control'!$H$34:$H$57,MATCH($A$1,'Version control'!$F$34:$F$57,0),1)&amp;"-B: Aggregation of volumes"</f>
        <v>Section 104-B: Aggregation of volumes</v>
      </c>
      <c r="D53" s="31"/>
      <c r="E53" s="31"/>
      <c r="F53" s="31"/>
      <c r="G53" s="31"/>
      <c r="H53" s="31"/>
      <c r="I53" s="31"/>
      <c r="J53" s="31"/>
      <c r="K53" s="31"/>
      <c r="L53" s="31"/>
      <c r="M53" s="31"/>
      <c r="N53" s="31"/>
      <c r="O53" s="31"/>
      <c r="P53" s="31"/>
      <c r="Q53" s="31"/>
      <c r="R53" s="31"/>
      <c r="S53" s="31"/>
      <c r="T53" s="31"/>
      <c r="U53" s="31"/>
      <c r="V53" s="31"/>
      <c r="W53" s="31"/>
      <c r="X53" s="31"/>
      <c r="Y53" s="31"/>
      <c r="Z53" s="31"/>
      <c r="AA53" s="31"/>
      <c r="AQ53" s="3"/>
    </row>
    <row r="54" spans="2:43" x14ac:dyDescent="0.3">
      <c r="C54" s="29"/>
      <c r="AQ54" s="3"/>
    </row>
    <row r="55" spans="2:43" x14ac:dyDescent="0.3">
      <c r="C55" s="29"/>
      <c r="D55" s="29" t="s">
        <v>964</v>
      </c>
      <c r="AQ55" s="3"/>
    </row>
    <row r="56" spans="2:43" x14ac:dyDescent="0.3">
      <c r="C56" s="29"/>
      <c r="AQ56" s="3"/>
    </row>
    <row r="57" spans="2:43" x14ac:dyDescent="0.3">
      <c r="C57" s="29"/>
      <c r="E57" s="32" t="s">
        <v>909</v>
      </c>
      <c r="G57" s="13"/>
      <c r="I57" t="s">
        <v>154</v>
      </c>
      <c r="AQ57" s="3"/>
    </row>
    <row r="58" spans="2:43" x14ac:dyDescent="0.3">
      <c r="C58" s="29"/>
      <c r="E58" s="32"/>
      <c r="F58" s="78" t="s">
        <v>247</v>
      </c>
      <c r="G58" s="78" t="s">
        <v>207</v>
      </c>
      <c r="H58" s="23"/>
      <c r="I58" s="23"/>
      <c r="J58" s="83"/>
      <c r="K58" s="124">
        <f>'Inputs by customer type'!K23</f>
        <v>79.092618502232185</v>
      </c>
      <c r="L58" s="124">
        <f>'Inputs by customer type'!L23</f>
        <v>0</v>
      </c>
      <c r="M58" s="124">
        <f>'Inputs by customer type'!M23</f>
        <v>127.63198085068298</v>
      </c>
      <c r="N58" s="124">
        <f>'Inputs by customer type'!N23</f>
        <v>0</v>
      </c>
      <c r="O58" s="124">
        <f>'Inputs by customer type'!O23</f>
        <v>0</v>
      </c>
      <c r="P58" s="124">
        <f>'Inputs by customer type'!P23</f>
        <v>0</v>
      </c>
      <c r="Q58" s="83"/>
      <c r="R58" s="124">
        <f>'Inputs by customer type'!R23</f>
        <v>124.04293104575001</v>
      </c>
      <c r="S58" s="124">
        <f>'Inputs by customer type'!S23</f>
        <v>0</v>
      </c>
      <c r="T58" s="124">
        <f>'Inputs by customer type'!T23</f>
        <v>4277.9371551869754</v>
      </c>
      <c r="U58" s="124">
        <f>'Inputs by customer type'!U23</f>
        <v>0</v>
      </c>
      <c r="V58" s="124">
        <f>'Inputs by customer type'!V23</f>
        <v>907.20921076491038</v>
      </c>
      <c r="W58" s="124">
        <f>'Inputs by customer type'!W23</f>
        <v>0</v>
      </c>
      <c r="X58" s="124">
        <f>'Inputs by customer type'!X23</f>
        <v>81186.840431867386</v>
      </c>
      <c r="Y58" s="124">
        <f>'Inputs by customer type'!Y23</f>
        <v>0</v>
      </c>
      <c r="AQ58" s="3"/>
    </row>
    <row r="59" spans="2:43" x14ac:dyDescent="0.3">
      <c r="E59" s="32"/>
      <c r="F59" s="72" t="s">
        <v>248</v>
      </c>
      <c r="G59" s="72" t="s">
        <v>207</v>
      </c>
      <c r="J59" s="331"/>
      <c r="K59" s="333">
        <f>'Inputs by customer type'!K24</f>
        <v>3392.6048671577928</v>
      </c>
      <c r="L59" s="333">
        <f>'Inputs by customer type'!L24</f>
        <v>0</v>
      </c>
      <c r="M59" s="333">
        <f>'Inputs by customer type'!M24</f>
        <v>959.76246317801258</v>
      </c>
      <c r="N59" s="333">
        <f>'Inputs by customer type'!N24</f>
        <v>0</v>
      </c>
      <c r="O59" s="333">
        <f>'Inputs by customer type'!O24</f>
        <v>0</v>
      </c>
      <c r="P59" s="333">
        <f>'Inputs by customer type'!P24</f>
        <v>0</v>
      </c>
      <c r="Q59" s="331"/>
      <c r="R59" s="333">
        <f>'Inputs by customer type'!R24</f>
        <v>667.41170453977281</v>
      </c>
      <c r="S59" s="333">
        <f>'Inputs by customer type'!S24</f>
        <v>0</v>
      </c>
      <c r="T59" s="333">
        <f>'Inputs by customer type'!T24</f>
        <v>21422.814813085839</v>
      </c>
      <c r="U59" s="333">
        <f>'Inputs by customer type'!U24</f>
        <v>0</v>
      </c>
      <c r="V59" s="333">
        <f>'Inputs by customer type'!V24</f>
        <v>3604.4281560365216</v>
      </c>
      <c r="W59" s="333">
        <f>'Inputs by customer type'!W24</f>
        <v>0</v>
      </c>
      <c r="X59" s="333">
        <f>'Inputs by customer type'!X24</f>
        <v>281566.89250858821</v>
      </c>
      <c r="Y59" s="333">
        <f>'Inputs by customer type'!Y24</f>
        <v>0</v>
      </c>
      <c r="AQ59" s="3"/>
    </row>
    <row r="60" spans="2:43" x14ac:dyDescent="0.3">
      <c r="E60" s="32"/>
      <c r="F60" s="72" t="s">
        <v>249</v>
      </c>
      <c r="G60" s="72" t="s">
        <v>207</v>
      </c>
      <c r="J60" s="331"/>
      <c r="K60" s="333">
        <f>'Inputs by customer type'!K25</f>
        <v>13095.75106613846</v>
      </c>
      <c r="L60" s="333">
        <f>'Inputs by customer type'!L25</f>
        <v>0</v>
      </c>
      <c r="M60" s="333">
        <f>'Inputs by customer type'!M25</f>
        <v>2930.5689204763953</v>
      </c>
      <c r="N60" s="333">
        <f>'Inputs by customer type'!N25</f>
        <v>0</v>
      </c>
      <c r="O60" s="333">
        <f>'Inputs by customer type'!O25</f>
        <v>0</v>
      </c>
      <c r="P60" s="333">
        <f>'Inputs by customer type'!P25</f>
        <v>0</v>
      </c>
      <c r="Q60" s="331"/>
      <c r="R60" s="333">
        <f>'Inputs by customer type'!R25</f>
        <v>329.05439631479078</v>
      </c>
      <c r="S60" s="333">
        <f>'Inputs by customer type'!S25</f>
        <v>0</v>
      </c>
      <c r="T60" s="333">
        <f>'Inputs by customer type'!T25</f>
        <v>21453.635266692032</v>
      </c>
      <c r="U60" s="333">
        <f>'Inputs by customer type'!U25</f>
        <v>0</v>
      </c>
      <c r="V60" s="333">
        <f>'Inputs by customer type'!V25</f>
        <v>5426.3333985064392</v>
      </c>
      <c r="W60" s="333">
        <f>'Inputs by customer type'!W25</f>
        <v>0</v>
      </c>
      <c r="X60" s="333">
        <f>'Inputs by customer type'!X25</f>
        <v>341773.46231736481</v>
      </c>
      <c r="Y60" s="333">
        <f>'Inputs by customer type'!Y25</f>
        <v>0</v>
      </c>
      <c r="AQ60" s="3"/>
    </row>
    <row r="61" spans="2:43" x14ac:dyDescent="0.3">
      <c r="E61" s="32"/>
      <c r="F61" s="72" t="s">
        <v>212</v>
      </c>
      <c r="G61" s="72" t="s">
        <v>212</v>
      </c>
      <c r="J61" s="331"/>
      <c r="K61" s="333">
        <f>'Inputs by customer type'!K26</f>
        <v>0</v>
      </c>
      <c r="L61" s="333">
        <f>'Inputs by customer type'!L26</f>
        <v>0</v>
      </c>
      <c r="M61" s="333">
        <f>'Inputs by customer type'!M26</f>
        <v>0</v>
      </c>
      <c r="N61" s="333">
        <f>'Inputs by customer type'!N26</f>
        <v>0</v>
      </c>
      <c r="O61" s="333">
        <f>'Inputs by customer type'!O26</f>
        <v>0</v>
      </c>
      <c r="P61" s="333">
        <f>'Inputs by customer type'!P26</f>
        <v>0</v>
      </c>
      <c r="Q61" s="331"/>
      <c r="R61" s="333">
        <f>'Inputs by customer type'!R26</f>
        <v>0</v>
      </c>
      <c r="S61" s="333">
        <f>'Inputs by customer type'!S26</f>
        <v>0</v>
      </c>
      <c r="T61" s="333">
        <f>'Inputs by customer type'!T26</f>
        <v>654.93140614185506</v>
      </c>
      <c r="U61" s="333">
        <f>'Inputs by customer type'!U26</f>
        <v>0</v>
      </c>
      <c r="V61" s="333">
        <f>'Inputs by customer type'!V26</f>
        <v>27.058064434890188</v>
      </c>
      <c r="W61" s="333">
        <f>'Inputs by customer type'!W26</f>
        <v>0</v>
      </c>
      <c r="X61" s="333">
        <f>'Inputs by customer type'!X26</f>
        <v>316.31557457887271</v>
      </c>
      <c r="Y61" s="333">
        <f>'Inputs by customer type'!Y26</f>
        <v>0</v>
      </c>
      <c r="AQ61" s="3"/>
    </row>
    <row r="62" spans="2:43" x14ac:dyDescent="0.3">
      <c r="E62" s="32"/>
      <c r="F62" s="72" t="s">
        <v>250</v>
      </c>
      <c r="G62" s="72" t="s">
        <v>251</v>
      </c>
      <c r="J62" s="331"/>
      <c r="K62" s="333">
        <f>'Inputs by customer type'!K27</f>
        <v>0</v>
      </c>
      <c r="L62" s="333">
        <f>'Inputs by customer type'!L27</f>
        <v>0</v>
      </c>
      <c r="M62" s="333">
        <f>'Inputs by customer type'!M27</f>
        <v>0</v>
      </c>
      <c r="N62" s="333">
        <f>'Inputs by customer type'!N27</f>
        <v>0</v>
      </c>
      <c r="O62" s="333">
        <f>'Inputs by customer type'!O27</f>
        <v>0</v>
      </c>
      <c r="P62" s="333">
        <f>'Inputs by customer type'!P27</f>
        <v>0</v>
      </c>
      <c r="Q62" s="331"/>
      <c r="R62" s="333">
        <f>'Inputs by customer type'!R27</f>
        <v>0</v>
      </c>
      <c r="S62" s="333">
        <f>'Inputs by customer type'!S27</f>
        <v>0</v>
      </c>
      <c r="T62" s="333">
        <f>'Inputs by customer type'!T27</f>
        <v>0</v>
      </c>
      <c r="U62" s="333">
        <f>'Inputs by customer type'!U27</f>
        <v>0</v>
      </c>
      <c r="V62" s="333">
        <f>'Inputs by customer type'!V27</f>
        <v>0</v>
      </c>
      <c r="W62" s="333">
        <f>'Inputs by customer type'!W27</f>
        <v>0</v>
      </c>
      <c r="X62" s="333">
        <f>'Inputs by customer type'!X27</f>
        <v>0</v>
      </c>
      <c r="Y62" s="333">
        <f>'Inputs by customer type'!Y27</f>
        <v>0</v>
      </c>
      <c r="AQ62" s="3"/>
    </row>
    <row r="63" spans="2:43" x14ac:dyDescent="0.3">
      <c r="E63" s="32"/>
      <c r="F63" s="72" t="s">
        <v>252</v>
      </c>
      <c r="G63" s="72" t="s">
        <v>251</v>
      </c>
      <c r="J63" s="331"/>
      <c r="K63" s="333">
        <f>'Inputs by customer type'!K28</f>
        <v>0</v>
      </c>
      <c r="L63" s="333">
        <f>'Inputs by customer type'!L28</f>
        <v>0</v>
      </c>
      <c r="M63" s="333">
        <f>'Inputs by customer type'!M28</f>
        <v>0</v>
      </c>
      <c r="N63" s="333">
        <f>'Inputs by customer type'!N28</f>
        <v>0</v>
      </c>
      <c r="O63" s="333">
        <f>'Inputs by customer type'!O28</f>
        <v>0</v>
      </c>
      <c r="P63" s="333">
        <f>'Inputs by customer type'!P28</f>
        <v>0</v>
      </c>
      <c r="Q63" s="331"/>
      <c r="R63" s="333">
        <f>'Inputs by customer type'!R28</f>
        <v>0</v>
      </c>
      <c r="S63" s="333">
        <f>'Inputs by customer type'!S28</f>
        <v>0</v>
      </c>
      <c r="T63" s="333">
        <f>'Inputs by customer type'!T28</f>
        <v>0</v>
      </c>
      <c r="U63" s="333">
        <f>'Inputs by customer type'!U28</f>
        <v>0</v>
      </c>
      <c r="V63" s="333">
        <f>'Inputs by customer type'!V28</f>
        <v>0</v>
      </c>
      <c r="W63" s="333">
        <f>'Inputs by customer type'!W28</f>
        <v>0</v>
      </c>
      <c r="X63" s="333">
        <f>'Inputs by customer type'!X28</f>
        <v>0</v>
      </c>
      <c r="Y63" s="333">
        <f>'Inputs by customer type'!Y28</f>
        <v>0</v>
      </c>
      <c r="AQ63" s="3"/>
    </row>
    <row r="64" spans="2:43" x14ac:dyDescent="0.3">
      <c r="E64" s="32"/>
      <c r="F64" s="80" t="s">
        <v>253</v>
      </c>
      <c r="G64" s="80" t="s">
        <v>254</v>
      </c>
      <c r="H64" s="37"/>
      <c r="I64" s="37"/>
      <c r="J64" s="81"/>
      <c r="K64" s="125">
        <f>'Inputs by customer type'!K29</f>
        <v>0</v>
      </c>
      <c r="L64" s="125">
        <f>'Inputs by customer type'!L29</f>
        <v>0</v>
      </c>
      <c r="M64" s="125">
        <f>'Inputs by customer type'!M29</f>
        <v>0</v>
      </c>
      <c r="N64" s="125">
        <f>'Inputs by customer type'!N29</f>
        <v>0</v>
      </c>
      <c r="O64" s="125">
        <f>'Inputs by customer type'!O29</f>
        <v>0</v>
      </c>
      <c r="P64" s="125">
        <f>'Inputs by customer type'!P29</f>
        <v>0</v>
      </c>
      <c r="Q64" s="81"/>
      <c r="R64" s="125">
        <f>'Inputs by customer type'!R29</f>
        <v>0</v>
      </c>
      <c r="S64" s="125">
        <f>'Inputs by customer type'!S29</f>
        <v>0</v>
      </c>
      <c r="T64" s="125">
        <f>'Inputs by customer type'!T29</f>
        <v>3604.9287740861882</v>
      </c>
      <c r="U64" s="125">
        <f>'Inputs by customer type'!U29</f>
        <v>0</v>
      </c>
      <c r="V64" s="125">
        <f>'Inputs by customer type'!V29</f>
        <v>199.32917063675237</v>
      </c>
      <c r="W64" s="125">
        <f>'Inputs by customer type'!W29</f>
        <v>0</v>
      </c>
      <c r="X64" s="125">
        <f>'Inputs by customer type'!X29</f>
        <v>26105.589426777409</v>
      </c>
      <c r="Y64" s="125">
        <f>'Inputs by customer type'!Y29</f>
        <v>0</v>
      </c>
      <c r="AQ64" s="3"/>
    </row>
    <row r="65" spans="3:43" x14ac:dyDescent="0.3">
      <c r="C65" s="29"/>
      <c r="AQ65" s="3"/>
    </row>
    <row r="66" spans="3:43" x14ac:dyDescent="0.3">
      <c r="C66" s="29"/>
      <c r="E66" s="32" t="s">
        <v>949</v>
      </c>
      <c r="G66" s="13"/>
      <c r="I66" t="s">
        <v>154</v>
      </c>
      <c r="AQ66" s="3"/>
    </row>
    <row r="67" spans="3:43" x14ac:dyDescent="0.3">
      <c r="C67" s="29"/>
      <c r="E67" s="32"/>
      <c r="F67" s="78" t="s">
        <v>247</v>
      </c>
      <c r="G67" s="78" t="s">
        <v>207</v>
      </c>
      <c r="H67" s="23"/>
      <c r="I67" s="23"/>
      <c r="J67" s="124">
        <f>'Inputs by customer type'!J32</f>
        <v>908173.56228729698</v>
      </c>
      <c r="K67" s="83"/>
      <c r="L67" s="124">
        <f>'Inputs by customer type'!L32</f>
        <v>10542.196730826568</v>
      </c>
      <c r="M67" s="83"/>
      <c r="N67" s="124">
        <f>'Inputs by customer type'!N32</f>
        <v>62012.489288938974</v>
      </c>
      <c r="O67" s="124">
        <f>'Inputs by customer type'!O32</f>
        <v>165.27685456335206</v>
      </c>
      <c r="P67" s="124">
        <f>'Inputs by customer type'!P32</f>
        <v>95716.204981290939</v>
      </c>
      <c r="Q67" s="124">
        <f>'Inputs by customer type'!Q32</f>
        <v>9658.0802606626021</v>
      </c>
      <c r="R67" s="83"/>
      <c r="S67" s="83"/>
      <c r="T67" s="83"/>
      <c r="U67" s="83"/>
      <c r="V67" s="83"/>
      <c r="W67" s="83"/>
      <c r="X67" s="83"/>
      <c r="Y67" s="83"/>
      <c r="AQ67" s="3"/>
    </row>
    <row r="68" spans="3:43" x14ac:dyDescent="0.3">
      <c r="E68" s="32"/>
      <c r="F68" s="72" t="s">
        <v>248</v>
      </c>
      <c r="G68" s="72" t="s">
        <v>207</v>
      </c>
      <c r="J68" s="333">
        <f>'Inputs by customer type'!J33</f>
        <v>2700660.7423146009</v>
      </c>
      <c r="K68" s="331"/>
      <c r="L68" s="333">
        <f>'Inputs by customer type'!L33</f>
        <v>43276.151386902842</v>
      </c>
      <c r="M68" s="331"/>
      <c r="N68" s="333">
        <f>'Inputs by customer type'!N33</f>
        <v>237940.27466714167</v>
      </c>
      <c r="O68" s="333">
        <f>'Inputs by customer type'!O33</f>
        <v>436.69171436386927</v>
      </c>
      <c r="P68" s="333">
        <f>'Inputs by customer type'!P33</f>
        <v>370887.43495112588</v>
      </c>
      <c r="Q68" s="333">
        <f>'Inputs by customer type'!Q33</f>
        <v>48862.829823812179</v>
      </c>
      <c r="R68" s="331"/>
      <c r="S68" s="331"/>
      <c r="T68" s="331"/>
      <c r="U68" s="331"/>
      <c r="V68" s="331"/>
      <c r="W68" s="331"/>
      <c r="X68" s="331"/>
      <c r="Y68" s="331"/>
      <c r="AQ68" s="3"/>
    </row>
    <row r="69" spans="3:43" x14ac:dyDescent="0.3">
      <c r="E69" s="32"/>
      <c r="F69" s="72" t="s">
        <v>249</v>
      </c>
      <c r="G69" s="72" t="s">
        <v>207</v>
      </c>
      <c r="J69" s="333">
        <f>'Inputs by customer type'!J34</f>
        <v>4472740.9997048797</v>
      </c>
      <c r="K69" s="331"/>
      <c r="L69" s="333">
        <f>'Inputs by customer type'!L34</f>
        <v>44337.155401507771</v>
      </c>
      <c r="M69" s="331"/>
      <c r="N69" s="333">
        <f>'Inputs by customer type'!N34</f>
        <v>253902.53763430205</v>
      </c>
      <c r="O69" s="333">
        <f>'Inputs by customer type'!O34</f>
        <v>450.15459635774067</v>
      </c>
      <c r="P69" s="333">
        <f>'Inputs by customer type'!P34</f>
        <v>489370.31514945655</v>
      </c>
      <c r="Q69" s="333">
        <f>'Inputs by customer type'!Q34</f>
        <v>187359.28019489619</v>
      </c>
      <c r="R69" s="331"/>
      <c r="S69" s="331"/>
      <c r="T69" s="331"/>
      <c r="U69" s="331"/>
      <c r="V69" s="331"/>
      <c r="W69" s="331"/>
      <c r="X69" s="331"/>
      <c r="Y69" s="331"/>
      <c r="AQ69" s="3"/>
    </row>
    <row r="70" spans="3:43" x14ac:dyDescent="0.3">
      <c r="E70" s="32"/>
      <c r="F70" s="72" t="s">
        <v>212</v>
      </c>
      <c r="G70" s="72" t="s">
        <v>212</v>
      </c>
      <c r="J70" s="333">
        <f>'Inputs by customer type'!J35</f>
        <v>2316983.3909131573</v>
      </c>
      <c r="K70" s="331"/>
      <c r="L70" s="333">
        <f>'Inputs by customer type'!L35</f>
        <v>73254.274695125219</v>
      </c>
      <c r="M70" s="331"/>
      <c r="N70" s="333">
        <f>'Inputs by customer type'!N35</f>
        <v>6461.3791307301226</v>
      </c>
      <c r="O70" s="333">
        <f>'Inputs by customer type'!O35</f>
        <v>14.227203377601226</v>
      </c>
      <c r="P70" s="333">
        <f>'Inputs by customer type'!P35</f>
        <v>2261.2124841732189</v>
      </c>
      <c r="Q70" s="333">
        <f>'Inputs by customer type'!Q35</f>
        <v>29.475632524712577</v>
      </c>
      <c r="R70" s="331"/>
      <c r="S70" s="331"/>
      <c r="T70" s="331"/>
      <c r="U70" s="331"/>
      <c r="V70" s="331"/>
      <c r="W70" s="331"/>
      <c r="X70" s="331"/>
      <c r="Y70" s="331"/>
      <c r="AQ70" s="3"/>
    </row>
    <row r="71" spans="3:43" x14ac:dyDescent="0.3">
      <c r="E71" s="32"/>
      <c r="F71" s="72" t="s">
        <v>250</v>
      </c>
      <c r="G71" s="72" t="s">
        <v>251</v>
      </c>
      <c r="J71" s="333">
        <f>'Inputs by customer type'!J36</f>
        <v>0</v>
      </c>
      <c r="K71" s="331"/>
      <c r="L71" s="333">
        <f>'Inputs by customer type'!L36</f>
        <v>0</v>
      </c>
      <c r="M71" s="331"/>
      <c r="N71" s="333">
        <f>'Inputs by customer type'!N36</f>
        <v>280097.44685078936</v>
      </c>
      <c r="O71" s="333">
        <f>'Inputs by customer type'!O36</f>
        <v>437.55551930884275</v>
      </c>
      <c r="P71" s="333">
        <f>'Inputs by customer type'!P36</f>
        <v>472871.2108175414</v>
      </c>
      <c r="Q71" s="333">
        <f>'Inputs by customer type'!Q36</f>
        <v>0</v>
      </c>
      <c r="R71" s="331"/>
      <c r="S71" s="331"/>
      <c r="T71" s="331"/>
      <c r="U71" s="331"/>
      <c r="V71" s="331"/>
      <c r="W71" s="331"/>
      <c r="X71" s="331"/>
      <c r="Y71" s="331"/>
      <c r="AQ71" s="3"/>
    </row>
    <row r="72" spans="3:43" x14ac:dyDescent="0.3">
      <c r="E72" s="32"/>
      <c r="F72" s="72" t="s">
        <v>252</v>
      </c>
      <c r="G72" s="72" t="s">
        <v>251</v>
      </c>
      <c r="J72" s="333">
        <f>'Inputs by customer type'!J37</f>
        <v>0</v>
      </c>
      <c r="K72" s="331"/>
      <c r="L72" s="333">
        <f>'Inputs by customer type'!L37</f>
        <v>0</v>
      </c>
      <c r="M72" s="331"/>
      <c r="N72" s="333">
        <f>'Inputs by customer type'!N37</f>
        <v>5805.3349058088652</v>
      </c>
      <c r="O72" s="333">
        <f>'Inputs by customer type'!O37</f>
        <v>0.84134381716200657</v>
      </c>
      <c r="P72" s="333">
        <f>'Inputs by customer type'!P37</f>
        <v>6132.593033999502</v>
      </c>
      <c r="Q72" s="333">
        <f>'Inputs by customer type'!Q37</f>
        <v>0</v>
      </c>
      <c r="R72" s="331"/>
      <c r="S72" s="331"/>
      <c r="T72" s="331"/>
      <c r="U72" s="331"/>
      <c r="V72" s="331"/>
      <c r="W72" s="331"/>
      <c r="X72" s="331"/>
      <c r="Y72" s="331"/>
      <c r="AQ72" s="3"/>
    </row>
    <row r="73" spans="3:43" x14ac:dyDescent="0.3">
      <c r="E73" s="32"/>
      <c r="F73" s="80" t="s">
        <v>253</v>
      </c>
      <c r="G73" s="80" t="s">
        <v>254</v>
      </c>
      <c r="H73" s="37"/>
      <c r="I73" s="37"/>
      <c r="J73" s="125">
        <f>'Inputs by customer type'!J38</f>
        <v>0</v>
      </c>
      <c r="K73" s="81"/>
      <c r="L73" s="125">
        <f>'Inputs by customer type'!L38</f>
        <v>0</v>
      </c>
      <c r="M73" s="81"/>
      <c r="N73" s="125">
        <f>'Inputs by customer type'!N38</f>
        <v>70388.252001957808</v>
      </c>
      <c r="O73" s="125">
        <f>'Inputs by customer type'!O38</f>
        <v>120.35421296383187</v>
      </c>
      <c r="P73" s="125">
        <f>'Inputs by customer type'!P38</f>
        <v>106158.57836800472</v>
      </c>
      <c r="Q73" s="125">
        <f>'Inputs by customer type'!Q38</f>
        <v>0</v>
      </c>
      <c r="R73" s="81"/>
      <c r="S73" s="81"/>
      <c r="T73" s="81"/>
      <c r="U73" s="81"/>
      <c r="V73" s="81"/>
      <c r="W73" s="81"/>
      <c r="X73" s="81"/>
      <c r="Y73" s="81"/>
      <c r="AQ73" s="3"/>
    </row>
    <row r="74" spans="3:43" x14ac:dyDescent="0.3">
      <c r="AQ74" s="3"/>
    </row>
    <row r="75" spans="3:43" x14ac:dyDescent="0.3">
      <c r="C75" s="29"/>
      <c r="E75" s="32" t="s">
        <v>950</v>
      </c>
      <c r="G75" s="13"/>
      <c r="I75" t="s">
        <v>154</v>
      </c>
      <c r="AQ75" s="3"/>
    </row>
    <row r="76" spans="3:43" x14ac:dyDescent="0.3">
      <c r="C76" s="29"/>
      <c r="E76" s="32"/>
      <c r="F76" s="78" t="s">
        <v>247</v>
      </c>
      <c r="G76" s="78" t="s">
        <v>207</v>
      </c>
      <c r="H76" s="23"/>
      <c r="I76" s="23"/>
      <c r="J76" s="83"/>
      <c r="K76" s="83"/>
      <c r="L76" s="124">
        <f>'Inputs by customer type'!L41</f>
        <v>44248.438611225938</v>
      </c>
      <c r="M76" s="83"/>
      <c r="N76" s="124">
        <f>'Inputs by customer type'!N41</f>
        <v>92669.987736650684</v>
      </c>
      <c r="O76" s="124">
        <f>'Inputs by customer type'!O41</f>
        <v>848.43683032169793</v>
      </c>
      <c r="P76" s="124">
        <f>'Inputs by customer type'!P41</f>
        <v>170744.01178947199</v>
      </c>
      <c r="Q76" s="83"/>
      <c r="R76" s="83"/>
      <c r="S76" s="83"/>
      <c r="T76" s="83"/>
      <c r="U76" s="83"/>
      <c r="V76" s="83"/>
      <c r="W76" s="83"/>
      <c r="X76" s="83"/>
      <c r="Y76" s="83"/>
      <c r="AQ76" s="3"/>
    </row>
    <row r="77" spans="3:43" x14ac:dyDescent="0.3">
      <c r="E77" s="32"/>
      <c r="F77" s="72" t="s">
        <v>248</v>
      </c>
      <c r="G77" s="72" t="s">
        <v>207</v>
      </c>
      <c r="J77" s="331"/>
      <c r="K77" s="331"/>
      <c r="L77" s="333">
        <f>'Inputs by customer type'!L42</f>
        <v>181641.6613032938</v>
      </c>
      <c r="M77" s="331"/>
      <c r="N77" s="333">
        <f>'Inputs by customer type'!N42</f>
        <v>355572.28210466803</v>
      </c>
      <c r="O77" s="333">
        <f>'Inputs by customer type'!O42</f>
        <v>2241.7254668929554</v>
      </c>
      <c r="P77" s="333">
        <f>'Inputs by customer type'!P42</f>
        <v>661610.10644164355</v>
      </c>
      <c r="Q77" s="331"/>
      <c r="R77" s="331"/>
      <c r="S77" s="331"/>
      <c r="T77" s="331"/>
      <c r="U77" s="331"/>
      <c r="V77" s="331"/>
      <c r="W77" s="331"/>
      <c r="X77" s="331"/>
      <c r="Y77" s="331"/>
      <c r="AQ77" s="3"/>
    </row>
    <row r="78" spans="3:43" x14ac:dyDescent="0.3">
      <c r="E78" s="32"/>
      <c r="F78" s="72" t="s">
        <v>249</v>
      </c>
      <c r="G78" s="72" t="s">
        <v>207</v>
      </c>
      <c r="J78" s="331"/>
      <c r="K78" s="331"/>
      <c r="L78" s="333">
        <f>'Inputs by customer type'!L43</f>
        <v>186094.98087275602</v>
      </c>
      <c r="M78" s="331"/>
      <c r="N78" s="333">
        <f>'Inputs by customer type'!N43</f>
        <v>379425.90788839856</v>
      </c>
      <c r="O78" s="333">
        <f>'Inputs by customer type'!O43</f>
        <v>2310.8362020654781</v>
      </c>
      <c r="P78" s="333">
        <f>'Inputs by customer type'!P43</f>
        <v>872966.60869106569</v>
      </c>
      <c r="Q78" s="331"/>
      <c r="R78" s="331"/>
      <c r="S78" s="331"/>
      <c r="T78" s="331"/>
      <c r="U78" s="331"/>
      <c r="V78" s="331"/>
      <c r="W78" s="331"/>
      <c r="X78" s="331"/>
      <c r="Y78" s="331"/>
      <c r="AQ78" s="3"/>
    </row>
    <row r="79" spans="3:43" x14ac:dyDescent="0.3">
      <c r="E79" s="32"/>
      <c r="F79" s="72" t="s">
        <v>212</v>
      </c>
      <c r="G79" s="72" t="s">
        <v>212</v>
      </c>
      <c r="J79" s="331"/>
      <c r="K79" s="331"/>
      <c r="L79" s="333">
        <f>'Inputs by customer type'!L44</f>
        <v>55284.145014072637</v>
      </c>
      <c r="M79" s="331"/>
      <c r="N79" s="333">
        <f>'Inputs by customer type'!N44</f>
        <v>5226.3128944582313</v>
      </c>
      <c r="O79" s="333">
        <f>'Inputs by customer type'!O44</f>
        <v>34.145288106242944</v>
      </c>
      <c r="P79" s="333">
        <f>'Inputs by customer type'!P44</f>
        <v>1220.6903562725615</v>
      </c>
      <c r="Q79" s="331"/>
      <c r="R79" s="331"/>
      <c r="S79" s="331"/>
      <c r="T79" s="331"/>
      <c r="U79" s="331"/>
      <c r="V79" s="331"/>
      <c r="W79" s="331"/>
      <c r="X79" s="331"/>
      <c r="Y79" s="331"/>
      <c r="AQ79" s="3"/>
    </row>
    <row r="80" spans="3:43" x14ac:dyDescent="0.3">
      <c r="E80" s="32"/>
      <c r="F80" s="72" t="s">
        <v>250</v>
      </c>
      <c r="G80" s="72" t="s">
        <v>251</v>
      </c>
      <c r="J80" s="331"/>
      <c r="K80" s="331"/>
      <c r="L80" s="333">
        <f>'Inputs by customer type'!L45</f>
        <v>0</v>
      </c>
      <c r="M80" s="331"/>
      <c r="N80" s="333">
        <f>'Inputs by customer type'!N45</f>
        <v>590737.67677829985</v>
      </c>
      <c r="O80" s="333">
        <f>'Inputs by customer type'!O45</f>
        <v>4357.8646747951016</v>
      </c>
      <c r="P80" s="333">
        <f>'Inputs by customer type'!P45</f>
        <v>782731.24384929566</v>
      </c>
      <c r="Q80" s="331"/>
      <c r="R80" s="331"/>
      <c r="S80" s="331"/>
      <c r="T80" s="331"/>
      <c r="U80" s="331"/>
      <c r="V80" s="331"/>
      <c r="W80" s="331"/>
      <c r="X80" s="331"/>
      <c r="Y80" s="331"/>
      <c r="AQ80" s="3"/>
    </row>
    <row r="81" spans="3:43" x14ac:dyDescent="0.3">
      <c r="E81" s="32"/>
      <c r="F81" s="72" t="s">
        <v>252</v>
      </c>
      <c r="G81" s="72" t="s">
        <v>251</v>
      </c>
      <c r="J81" s="331"/>
      <c r="K81" s="331"/>
      <c r="L81" s="333">
        <f>'Inputs by customer type'!L46</f>
        <v>0</v>
      </c>
      <c r="M81" s="331"/>
      <c r="N81" s="333">
        <f>'Inputs by customer type'!N46</f>
        <v>12243.703374434506</v>
      </c>
      <c r="O81" s="333">
        <f>'Inputs by customer type'!O46</f>
        <v>8.3794223552683675</v>
      </c>
      <c r="P81" s="333">
        <f>'Inputs by customer type'!P46</f>
        <v>10151.119509316282</v>
      </c>
      <c r="Q81" s="331"/>
      <c r="R81" s="331"/>
      <c r="S81" s="331"/>
      <c r="T81" s="331"/>
      <c r="U81" s="331"/>
      <c r="V81" s="331"/>
      <c r="W81" s="331"/>
      <c r="X81" s="331"/>
      <c r="Y81" s="331"/>
      <c r="AQ81" s="3"/>
    </row>
    <row r="82" spans="3:43" x14ac:dyDescent="0.3">
      <c r="E82" s="32"/>
      <c r="F82" s="80" t="s">
        <v>253</v>
      </c>
      <c r="G82" s="80" t="s">
        <v>254</v>
      </c>
      <c r="H82" s="37"/>
      <c r="I82" s="37"/>
      <c r="J82" s="81"/>
      <c r="K82" s="81"/>
      <c r="L82" s="125">
        <f>'Inputs by customer type'!L47</f>
        <v>0</v>
      </c>
      <c r="M82" s="81"/>
      <c r="N82" s="125">
        <f>'Inputs by customer type'!N47</f>
        <v>105186.52814327805</v>
      </c>
      <c r="O82" s="125">
        <f>'Inputs by customer type'!O47</f>
        <v>617.82968481987496</v>
      </c>
      <c r="P82" s="125">
        <f>'Inputs by customer type'!P47</f>
        <v>189371.71150865365</v>
      </c>
      <c r="Q82" s="81"/>
      <c r="R82" s="81"/>
      <c r="S82" s="81"/>
      <c r="T82" s="81"/>
      <c r="U82" s="81"/>
      <c r="V82" s="81"/>
      <c r="W82" s="81"/>
      <c r="X82" s="81"/>
      <c r="Y82" s="81"/>
      <c r="AQ82" s="3"/>
    </row>
    <row r="83" spans="3:43" x14ac:dyDescent="0.3">
      <c r="AQ83" s="3"/>
    </row>
    <row r="84" spans="3:43" x14ac:dyDescent="0.3">
      <c r="C84" s="29"/>
      <c r="E84" s="32" t="s">
        <v>951</v>
      </c>
      <c r="G84" s="13"/>
      <c r="I84" t="s">
        <v>154</v>
      </c>
      <c r="AQ84" s="3"/>
    </row>
    <row r="85" spans="3:43" x14ac:dyDescent="0.3">
      <c r="C85" s="29"/>
      <c r="E85" s="32"/>
      <c r="F85" s="78" t="s">
        <v>247</v>
      </c>
      <c r="G85" s="78" t="s">
        <v>207</v>
      </c>
      <c r="H85" s="23"/>
      <c r="I85" s="23"/>
      <c r="J85" s="83"/>
      <c r="K85" s="83"/>
      <c r="L85" s="124">
        <f>'Inputs by customer type'!L50</f>
        <v>56137.558818578182</v>
      </c>
      <c r="M85" s="83"/>
      <c r="N85" s="124">
        <f>'Inputs by customer type'!N50</f>
        <v>50034.646144910752</v>
      </c>
      <c r="O85" s="124">
        <f>'Inputs by customer type'!O50</f>
        <v>1529.592604563642</v>
      </c>
      <c r="P85" s="124">
        <f>'Inputs by customer type'!P50</f>
        <v>93417.07755487453</v>
      </c>
      <c r="Q85" s="83"/>
      <c r="R85" s="83"/>
      <c r="S85" s="83"/>
      <c r="T85" s="83"/>
      <c r="U85" s="83"/>
      <c r="V85" s="83"/>
      <c r="W85" s="83"/>
      <c r="X85" s="83"/>
      <c r="Y85" s="83"/>
      <c r="AQ85" s="3"/>
    </row>
    <row r="86" spans="3:43" x14ac:dyDescent="0.3">
      <c r="E86" s="32"/>
      <c r="F86" s="72" t="s">
        <v>248</v>
      </c>
      <c r="G86" s="72" t="s">
        <v>207</v>
      </c>
      <c r="J86" s="331"/>
      <c r="K86" s="331"/>
      <c r="L86" s="333">
        <f>'Inputs by customer type'!L51</f>
        <v>230446.9889866561</v>
      </c>
      <c r="M86" s="331"/>
      <c r="N86" s="333">
        <f>'Inputs by customer type'!N51</f>
        <v>191981.60859375176</v>
      </c>
      <c r="O86" s="333">
        <f>'Inputs by customer type'!O51</f>
        <v>4041.4637520171209</v>
      </c>
      <c r="P86" s="333">
        <f>'Inputs by customer type'!P51</f>
        <v>361978.6250586313</v>
      </c>
      <c r="Q86" s="331"/>
      <c r="R86" s="331"/>
      <c r="S86" s="331"/>
      <c r="T86" s="331"/>
      <c r="U86" s="331"/>
      <c r="V86" s="331"/>
      <c r="W86" s="331"/>
      <c r="X86" s="331"/>
      <c r="Y86" s="331"/>
      <c r="AQ86" s="3"/>
    </row>
    <row r="87" spans="3:43" x14ac:dyDescent="0.3">
      <c r="E87" s="32"/>
      <c r="F87" s="72" t="s">
        <v>249</v>
      </c>
      <c r="G87" s="72" t="s">
        <v>207</v>
      </c>
      <c r="J87" s="331"/>
      <c r="K87" s="331"/>
      <c r="L87" s="333">
        <f>'Inputs by customer type'!L52</f>
        <v>236096.87171958454</v>
      </c>
      <c r="M87" s="331"/>
      <c r="N87" s="333">
        <f>'Inputs by customer type'!N52</f>
        <v>204860.72679061376</v>
      </c>
      <c r="O87" s="333">
        <f>'Inputs by customer type'!O52</f>
        <v>4166.0590850317949</v>
      </c>
      <c r="P87" s="333">
        <f>'Inputs by customer type'!P52</f>
        <v>477615.51653981599</v>
      </c>
      <c r="Q87" s="331"/>
      <c r="R87" s="331"/>
      <c r="S87" s="331"/>
      <c r="T87" s="331"/>
      <c r="U87" s="331"/>
      <c r="V87" s="331"/>
      <c r="W87" s="331"/>
      <c r="X87" s="331"/>
      <c r="Y87" s="331"/>
      <c r="AQ87" s="3"/>
    </row>
    <row r="88" spans="3:43" x14ac:dyDescent="0.3">
      <c r="E88" s="32"/>
      <c r="F88" s="72" t="s">
        <v>212</v>
      </c>
      <c r="G88" s="72" t="s">
        <v>212</v>
      </c>
      <c r="J88" s="331"/>
      <c r="K88" s="331"/>
      <c r="L88" s="333">
        <f>'Inputs by customer type'!L53</f>
        <v>28602.568054592724</v>
      </c>
      <c r="M88" s="331"/>
      <c r="N88" s="333">
        <f>'Inputs by customer type'!N53</f>
        <v>1821.6194320933253</v>
      </c>
      <c r="O88" s="333">
        <f>'Inputs by customer type'!O53</f>
        <v>38.413449119523314</v>
      </c>
      <c r="P88" s="333">
        <f>'Inputs by customer type'!P53</f>
        <v>299.60559324766018</v>
      </c>
      <c r="Q88" s="331"/>
      <c r="R88" s="331"/>
      <c r="S88" s="331"/>
      <c r="T88" s="331"/>
      <c r="U88" s="331"/>
      <c r="V88" s="331"/>
      <c r="W88" s="331"/>
      <c r="X88" s="331"/>
      <c r="Y88" s="331"/>
      <c r="AQ88" s="3"/>
    </row>
    <row r="89" spans="3:43" x14ac:dyDescent="0.3">
      <c r="E89" s="32"/>
      <c r="F89" s="72" t="s">
        <v>250</v>
      </c>
      <c r="G89" s="72" t="s">
        <v>251</v>
      </c>
      <c r="J89" s="331"/>
      <c r="K89" s="331"/>
      <c r="L89" s="333">
        <f>'Inputs by customer type'!L54</f>
        <v>0</v>
      </c>
      <c r="M89" s="331"/>
      <c r="N89" s="333">
        <f>'Inputs by customer type'!N54</f>
        <v>328231.20060753607</v>
      </c>
      <c r="O89" s="333">
        <f>'Inputs by customer type'!O54</f>
        <v>7959.9748765133081</v>
      </c>
      <c r="P89" s="333">
        <f>'Inputs by customer type'!P54</f>
        <v>409021.37951980095</v>
      </c>
      <c r="Q89" s="331"/>
      <c r="R89" s="331"/>
      <c r="S89" s="331"/>
      <c r="T89" s="331"/>
      <c r="U89" s="331"/>
      <c r="V89" s="331"/>
      <c r="W89" s="331"/>
      <c r="X89" s="331"/>
      <c r="Y89" s="331"/>
      <c r="AQ89" s="3"/>
    </row>
    <row r="90" spans="3:43" x14ac:dyDescent="0.3">
      <c r="E90" s="32"/>
      <c r="F90" s="72" t="s">
        <v>252</v>
      </c>
      <c r="G90" s="72" t="s">
        <v>251</v>
      </c>
      <c r="J90" s="331"/>
      <c r="K90" s="331"/>
      <c r="L90" s="333">
        <f>'Inputs by customer type'!L55</f>
        <v>0</v>
      </c>
      <c r="M90" s="331"/>
      <c r="N90" s="333">
        <f>'Inputs by customer type'!N55</f>
        <v>6802.9611390122927</v>
      </c>
      <c r="O90" s="333">
        <f>'Inputs by customer type'!O55</f>
        <v>15.305659171430394</v>
      </c>
      <c r="P90" s="333">
        <f>'Inputs by customer type'!P55</f>
        <v>5304.5345231808924</v>
      </c>
      <c r="Q90" s="331"/>
      <c r="R90" s="331"/>
      <c r="S90" s="331"/>
      <c r="T90" s="331"/>
      <c r="U90" s="331"/>
      <c r="V90" s="331"/>
      <c r="W90" s="331"/>
      <c r="X90" s="331"/>
      <c r="Y90" s="331"/>
      <c r="AQ90" s="3"/>
    </row>
    <row r="91" spans="3:43" x14ac:dyDescent="0.3">
      <c r="E91" s="32"/>
      <c r="F91" s="80" t="s">
        <v>253</v>
      </c>
      <c r="G91" s="80" t="s">
        <v>254</v>
      </c>
      <c r="H91" s="37"/>
      <c r="I91" s="37"/>
      <c r="J91" s="81"/>
      <c r="K91" s="81"/>
      <c r="L91" s="125">
        <f>'Inputs by customer type'!L56</f>
        <v>0</v>
      </c>
      <c r="M91" s="81"/>
      <c r="N91" s="125">
        <f>'Inputs by customer type'!N56</f>
        <v>56792.612618196406</v>
      </c>
      <c r="O91" s="125">
        <f>'Inputs by customer type'!O56</f>
        <v>1113.8457018916126</v>
      </c>
      <c r="P91" s="125">
        <f>'Inputs by customer type'!P56</f>
        <v>103608.62249456655</v>
      </c>
      <c r="Q91" s="81"/>
      <c r="R91" s="81"/>
      <c r="S91" s="81"/>
      <c r="T91" s="81"/>
      <c r="U91" s="81"/>
      <c r="V91" s="81"/>
      <c r="W91" s="81"/>
      <c r="X91" s="81"/>
      <c r="Y91" s="81"/>
      <c r="AQ91" s="3"/>
    </row>
    <row r="92" spans="3:43" x14ac:dyDescent="0.3">
      <c r="AQ92" s="3"/>
    </row>
    <row r="93" spans="3:43" x14ac:dyDescent="0.3">
      <c r="C93" s="29"/>
      <c r="E93" s="32" t="s">
        <v>952</v>
      </c>
      <c r="G93" s="13"/>
      <c r="I93" t="s">
        <v>154</v>
      </c>
      <c r="AQ93" s="3"/>
    </row>
    <row r="94" spans="3:43" x14ac:dyDescent="0.3">
      <c r="C94" s="29"/>
      <c r="E94" s="32"/>
      <c r="F94" s="78" t="s">
        <v>247</v>
      </c>
      <c r="G94" s="78" t="s">
        <v>207</v>
      </c>
      <c r="H94" s="23"/>
      <c r="I94" s="23"/>
      <c r="J94" s="83"/>
      <c r="K94" s="83"/>
      <c r="L94" s="124">
        <f>'Inputs by customer type'!L59</f>
        <v>180970.16538484537</v>
      </c>
      <c r="M94" s="83"/>
      <c r="N94" s="124">
        <f>'Inputs by customer type'!N59</f>
        <v>49213.927350924445</v>
      </c>
      <c r="O94" s="124">
        <f>'Inputs by customer type'!O59</f>
        <v>17596.149942377655</v>
      </c>
      <c r="P94" s="124">
        <f>'Inputs by customer type'!P59</f>
        <v>296932.42327001889</v>
      </c>
      <c r="Q94" s="83"/>
      <c r="R94" s="83"/>
      <c r="S94" s="83"/>
      <c r="T94" s="83"/>
      <c r="U94" s="83"/>
      <c r="V94" s="83"/>
      <c r="W94" s="83"/>
      <c r="X94" s="83"/>
      <c r="Y94" s="83"/>
      <c r="AQ94" s="3"/>
    </row>
    <row r="95" spans="3:43" x14ac:dyDescent="0.3">
      <c r="E95" s="32"/>
      <c r="F95" s="72" t="s">
        <v>248</v>
      </c>
      <c r="G95" s="72" t="s">
        <v>207</v>
      </c>
      <c r="J95" s="331"/>
      <c r="K95" s="331"/>
      <c r="L95" s="333">
        <f>'Inputs by customer type'!L60</f>
        <v>742889.9757492349</v>
      </c>
      <c r="M95" s="331"/>
      <c r="N95" s="333">
        <f>'Inputs by customer type'!N60</f>
        <v>188832.53237531945</v>
      </c>
      <c r="O95" s="333">
        <f>'Inputs by customer type'!O60</f>
        <v>46492.250259973443</v>
      </c>
      <c r="P95" s="333">
        <f>'Inputs by customer type'!P60</f>
        <v>1150573.2476748892</v>
      </c>
      <c r="Q95" s="331"/>
      <c r="R95" s="331"/>
      <c r="S95" s="331"/>
      <c r="T95" s="331"/>
      <c r="U95" s="331"/>
      <c r="V95" s="331"/>
      <c r="W95" s="331"/>
      <c r="X95" s="331"/>
      <c r="Y95" s="331"/>
      <c r="AQ95" s="3"/>
    </row>
    <row r="96" spans="3:43" x14ac:dyDescent="0.3">
      <c r="E96" s="32"/>
      <c r="F96" s="72" t="s">
        <v>249</v>
      </c>
      <c r="G96" s="72" t="s">
        <v>207</v>
      </c>
      <c r="J96" s="331"/>
      <c r="K96" s="331"/>
      <c r="L96" s="333">
        <f>'Inputs by customer type'!L61</f>
        <v>761103.45410669909</v>
      </c>
      <c r="M96" s="331"/>
      <c r="N96" s="333">
        <f>'Inputs by customer type'!N61</f>
        <v>201500.39426942827</v>
      </c>
      <c r="O96" s="333">
        <f>'Inputs by customer type'!O61</f>
        <v>47925.571887775201</v>
      </c>
      <c r="P96" s="333">
        <f>'Inputs by customer type'!P61</f>
        <v>1518132.8342692214</v>
      </c>
      <c r="Q96" s="331"/>
      <c r="R96" s="331"/>
      <c r="S96" s="331"/>
      <c r="T96" s="331"/>
      <c r="U96" s="331"/>
      <c r="V96" s="331"/>
      <c r="W96" s="331"/>
      <c r="X96" s="331"/>
      <c r="Y96" s="331"/>
      <c r="AQ96" s="3"/>
    </row>
    <row r="97" spans="3:43" x14ac:dyDescent="0.3">
      <c r="E97" s="32"/>
      <c r="F97" s="72" t="s">
        <v>212</v>
      </c>
      <c r="G97" s="72" t="s">
        <v>212</v>
      </c>
      <c r="J97" s="331"/>
      <c r="K97" s="331"/>
      <c r="L97" s="333">
        <f>'Inputs by customer type'!L62</f>
        <v>28594.323457617986</v>
      </c>
      <c r="M97" s="331"/>
      <c r="N97" s="333">
        <f>'Inputs by customer type'!N62</f>
        <v>1148.3224537912572</v>
      </c>
      <c r="O97" s="333">
        <f>'Inputs by customer type'!O62</f>
        <v>294.50310991634535</v>
      </c>
      <c r="P97" s="333">
        <f>'Inputs by customer type'!P62</f>
        <v>308.71522277208226</v>
      </c>
      <c r="Q97" s="331"/>
      <c r="R97" s="331"/>
      <c r="S97" s="331"/>
      <c r="T97" s="331"/>
      <c r="U97" s="331"/>
      <c r="V97" s="331"/>
      <c r="W97" s="331"/>
      <c r="X97" s="331"/>
      <c r="Y97" s="331"/>
      <c r="AQ97" s="3"/>
    </row>
    <row r="98" spans="3:43" x14ac:dyDescent="0.3">
      <c r="E98" s="32"/>
      <c r="F98" s="72" t="s">
        <v>250</v>
      </c>
      <c r="G98" s="72" t="s">
        <v>251</v>
      </c>
      <c r="J98" s="331"/>
      <c r="K98" s="331"/>
      <c r="L98" s="333">
        <f>'Inputs by customer type'!L63</f>
        <v>0</v>
      </c>
      <c r="M98" s="331"/>
      <c r="N98" s="333">
        <f>'Inputs by customer type'!N63</f>
        <v>336818.43192775827</v>
      </c>
      <c r="O98" s="333">
        <f>'Inputs by customer type'!O63</f>
        <v>151572.09873412279</v>
      </c>
      <c r="P98" s="333">
        <f>'Inputs by customer type'!P63</f>
        <v>1246221.8227586662</v>
      </c>
      <c r="Q98" s="331"/>
      <c r="R98" s="331"/>
      <c r="S98" s="331"/>
      <c r="T98" s="331"/>
      <c r="U98" s="331"/>
      <c r="V98" s="331"/>
      <c r="W98" s="331"/>
      <c r="X98" s="331"/>
      <c r="Y98" s="331"/>
      <c r="AQ98" s="3"/>
    </row>
    <row r="99" spans="3:43" x14ac:dyDescent="0.3">
      <c r="E99" s="32"/>
      <c r="F99" s="72" t="s">
        <v>252</v>
      </c>
      <c r="G99" s="72" t="s">
        <v>251</v>
      </c>
      <c r="J99" s="331"/>
      <c r="K99" s="331"/>
      <c r="L99" s="333">
        <f>'Inputs by customer type'!L64</f>
        <v>0</v>
      </c>
      <c r="M99" s="331"/>
      <c r="N99" s="333">
        <f>'Inputs by customer type'!N64</f>
        <v>6980.9411752034039</v>
      </c>
      <c r="O99" s="333">
        <f>'Inputs by customer type'!O64</f>
        <v>291.44701071456973</v>
      </c>
      <c r="P99" s="333">
        <f>'Inputs by customer type'!P64</f>
        <v>16162.056590112155</v>
      </c>
      <c r="Q99" s="331"/>
      <c r="R99" s="331"/>
      <c r="S99" s="331"/>
      <c r="T99" s="331"/>
      <c r="U99" s="331"/>
      <c r="V99" s="331"/>
      <c r="W99" s="331"/>
      <c r="X99" s="331"/>
      <c r="Y99" s="331"/>
      <c r="AQ99" s="3"/>
    </row>
    <row r="100" spans="3:43" x14ac:dyDescent="0.3">
      <c r="E100" s="32"/>
      <c r="F100" s="80" t="s">
        <v>253</v>
      </c>
      <c r="G100" s="80" t="s">
        <v>254</v>
      </c>
      <c r="H100" s="37"/>
      <c r="I100" s="37"/>
      <c r="J100" s="81"/>
      <c r="K100" s="81"/>
      <c r="L100" s="125">
        <f>'Inputs by customer type'!L65</f>
        <v>0</v>
      </c>
      <c r="M100" s="81"/>
      <c r="N100" s="125">
        <f>'Inputs by customer type'!N65</f>
        <v>55861.042833524734</v>
      </c>
      <c r="O100" s="125">
        <f>'Inputs by customer type'!O65</f>
        <v>12813.474597537663</v>
      </c>
      <c r="P100" s="125">
        <f>'Inputs by customer type'!P65</f>
        <v>329326.9298743431</v>
      </c>
      <c r="Q100" s="81"/>
      <c r="R100" s="81"/>
      <c r="S100" s="81"/>
      <c r="T100" s="81"/>
      <c r="U100" s="81"/>
      <c r="V100" s="81"/>
      <c r="W100" s="81"/>
      <c r="X100" s="81"/>
      <c r="Y100" s="81"/>
      <c r="AQ100" s="3"/>
    </row>
    <row r="101" spans="3:43" x14ac:dyDescent="0.3">
      <c r="AQ101" s="3"/>
    </row>
    <row r="102" spans="3:43" x14ac:dyDescent="0.3">
      <c r="C102" s="29"/>
      <c r="D102" s="29" t="s">
        <v>965</v>
      </c>
      <c r="AQ102" s="3"/>
    </row>
    <row r="103" spans="3:43" x14ac:dyDescent="0.3">
      <c r="AQ103" s="3"/>
    </row>
    <row r="104" spans="3:43" x14ac:dyDescent="0.3">
      <c r="E104" s="32" t="s">
        <v>910</v>
      </c>
      <c r="G104" s="13"/>
      <c r="I104" t="s">
        <v>154</v>
      </c>
      <c r="AQ104" s="3"/>
    </row>
    <row r="105" spans="3:43" x14ac:dyDescent="0.3">
      <c r="E105" s="32"/>
      <c r="F105" s="78" t="s">
        <v>247</v>
      </c>
      <c r="G105" s="78" t="s">
        <v>207</v>
      </c>
      <c r="H105" s="23"/>
      <c r="I105" s="23"/>
      <c r="J105" s="83"/>
      <c r="K105" s="124">
        <f>'Inputs by customer type'!K70</f>
        <v>0</v>
      </c>
      <c r="L105" s="124">
        <f>'Inputs by customer type'!L70</f>
        <v>0</v>
      </c>
      <c r="M105" s="124">
        <f>'Inputs by customer type'!M70</f>
        <v>0</v>
      </c>
      <c r="N105" s="124">
        <f>'Inputs by customer type'!N70</f>
        <v>0</v>
      </c>
      <c r="O105" s="124">
        <f>'Inputs by customer type'!O70</f>
        <v>0</v>
      </c>
      <c r="P105" s="124">
        <f>'Inputs by customer type'!P70</f>
        <v>0</v>
      </c>
      <c r="Q105" s="83"/>
      <c r="R105" s="124">
        <f>'Inputs by customer type'!R70</f>
        <v>1.4162400381651923</v>
      </c>
      <c r="S105" s="83"/>
      <c r="T105" s="124">
        <f>'Inputs by customer type'!T70</f>
        <v>0</v>
      </c>
      <c r="U105" s="124">
        <f>'Inputs by customer type'!U70</f>
        <v>0</v>
      </c>
      <c r="V105" s="83"/>
      <c r="W105" s="83"/>
      <c r="X105" s="83"/>
      <c r="Y105" s="83"/>
      <c r="AQ105" s="3"/>
    </row>
    <row r="106" spans="3:43" x14ac:dyDescent="0.3">
      <c r="E106" s="32"/>
      <c r="F106" s="72" t="s">
        <v>248</v>
      </c>
      <c r="G106" s="72" t="s">
        <v>207</v>
      </c>
      <c r="J106" s="331"/>
      <c r="K106" s="333">
        <f>'Inputs by customer type'!K71</f>
        <v>0</v>
      </c>
      <c r="L106" s="333">
        <f>'Inputs by customer type'!L71</f>
        <v>0</v>
      </c>
      <c r="M106" s="333">
        <f>'Inputs by customer type'!M71</f>
        <v>0</v>
      </c>
      <c r="N106" s="333">
        <f>'Inputs by customer type'!N71</f>
        <v>0</v>
      </c>
      <c r="O106" s="333">
        <f>'Inputs by customer type'!O71</f>
        <v>0</v>
      </c>
      <c r="P106" s="333">
        <f>'Inputs by customer type'!P71</f>
        <v>0</v>
      </c>
      <c r="Q106" s="331"/>
      <c r="R106" s="333">
        <f>'Inputs by customer type'!R71</f>
        <v>7.6951102681025541</v>
      </c>
      <c r="S106" s="331"/>
      <c r="T106" s="333">
        <f>'Inputs by customer type'!T71</f>
        <v>0</v>
      </c>
      <c r="U106" s="333">
        <f>'Inputs by customer type'!U71</f>
        <v>0</v>
      </c>
      <c r="V106" s="331"/>
      <c r="W106" s="331"/>
      <c r="X106" s="331"/>
      <c r="Y106" s="331"/>
      <c r="AQ106" s="3"/>
    </row>
    <row r="107" spans="3:43" x14ac:dyDescent="0.3">
      <c r="E107" s="32"/>
      <c r="F107" s="72" t="s">
        <v>249</v>
      </c>
      <c r="G107" s="72" t="s">
        <v>207</v>
      </c>
      <c r="J107" s="331"/>
      <c r="K107" s="333">
        <f>'Inputs by customer type'!K72</f>
        <v>0</v>
      </c>
      <c r="L107" s="333">
        <f>'Inputs by customer type'!L72</f>
        <v>0</v>
      </c>
      <c r="M107" s="333">
        <f>'Inputs by customer type'!M72</f>
        <v>0</v>
      </c>
      <c r="N107" s="333">
        <f>'Inputs by customer type'!N72</f>
        <v>0</v>
      </c>
      <c r="O107" s="333">
        <f>'Inputs by customer type'!O72</f>
        <v>0</v>
      </c>
      <c r="P107" s="333">
        <f>'Inputs by customer type'!P72</f>
        <v>0</v>
      </c>
      <c r="Q107" s="331"/>
      <c r="R107" s="333">
        <f>'Inputs by customer type'!R72</f>
        <v>3.9412575596031192</v>
      </c>
      <c r="S107" s="331"/>
      <c r="T107" s="333">
        <f>'Inputs by customer type'!T72</f>
        <v>0</v>
      </c>
      <c r="U107" s="333">
        <f>'Inputs by customer type'!U72</f>
        <v>0</v>
      </c>
      <c r="V107" s="331"/>
      <c r="W107" s="331"/>
      <c r="X107" s="331"/>
      <c r="Y107" s="331"/>
      <c r="AQ107" s="3"/>
    </row>
    <row r="108" spans="3:43" x14ac:dyDescent="0.3">
      <c r="E108" s="32"/>
      <c r="F108" s="72" t="s">
        <v>212</v>
      </c>
      <c r="G108" s="72" t="s">
        <v>212</v>
      </c>
      <c r="J108" s="331"/>
      <c r="K108" s="333">
        <f>'Inputs by customer type'!K73</f>
        <v>0</v>
      </c>
      <c r="L108" s="333">
        <f>'Inputs by customer type'!L73</f>
        <v>0</v>
      </c>
      <c r="M108" s="333">
        <f>'Inputs by customer type'!M73</f>
        <v>0</v>
      </c>
      <c r="N108" s="333">
        <f>'Inputs by customer type'!N73</f>
        <v>0</v>
      </c>
      <c r="O108" s="333">
        <f>'Inputs by customer type'!O73</f>
        <v>0</v>
      </c>
      <c r="P108" s="333">
        <f>'Inputs by customer type'!P73</f>
        <v>0</v>
      </c>
      <c r="Q108" s="331"/>
      <c r="R108" s="333">
        <f>'Inputs by customer type'!R73</f>
        <v>0</v>
      </c>
      <c r="S108" s="331"/>
      <c r="T108" s="333">
        <f>'Inputs by customer type'!T73</f>
        <v>0</v>
      </c>
      <c r="U108" s="333">
        <f>'Inputs by customer type'!U73</f>
        <v>0</v>
      </c>
      <c r="V108" s="331"/>
      <c r="W108" s="331"/>
      <c r="X108" s="331"/>
      <c r="Y108" s="331"/>
      <c r="AQ108" s="3"/>
    </row>
    <row r="109" spans="3:43" x14ac:dyDescent="0.3">
      <c r="E109" s="32"/>
      <c r="F109" s="72" t="s">
        <v>250</v>
      </c>
      <c r="G109" s="72" t="s">
        <v>251</v>
      </c>
      <c r="J109" s="331"/>
      <c r="K109" s="333">
        <f>'Inputs by customer type'!K74</f>
        <v>0</v>
      </c>
      <c r="L109" s="333">
        <f>'Inputs by customer type'!L74</f>
        <v>0</v>
      </c>
      <c r="M109" s="333">
        <f>'Inputs by customer type'!M74</f>
        <v>0</v>
      </c>
      <c r="N109" s="333">
        <f>'Inputs by customer type'!N74</f>
        <v>0</v>
      </c>
      <c r="O109" s="333">
        <f>'Inputs by customer type'!O74</f>
        <v>0</v>
      </c>
      <c r="P109" s="333">
        <f>'Inputs by customer type'!P74</f>
        <v>0</v>
      </c>
      <c r="Q109" s="331"/>
      <c r="R109" s="333">
        <f>'Inputs by customer type'!R74</f>
        <v>0</v>
      </c>
      <c r="S109" s="331"/>
      <c r="T109" s="333">
        <f>'Inputs by customer type'!T74</f>
        <v>0</v>
      </c>
      <c r="U109" s="333">
        <f>'Inputs by customer type'!U74</f>
        <v>0</v>
      </c>
      <c r="V109" s="331"/>
      <c r="W109" s="331"/>
      <c r="X109" s="331"/>
      <c r="Y109" s="331"/>
      <c r="AQ109" s="3"/>
    </row>
    <row r="110" spans="3:43" x14ac:dyDescent="0.3">
      <c r="E110" s="32"/>
      <c r="F110" s="72" t="s">
        <v>252</v>
      </c>
      <c r="G110" s="72" t="s">
        <v>251</v>
      </c>
      <c r="J110" s="331"/>
      <c r="K110" s="333">
        <f>'Inputs by customer type'!K75</f>
        <v>0</v>
      </c>
      <c r="L110" s="333">
        <f>'Inputs by customer type'!L75</f>
        <v>0</v>
      </c>
      <c r="M110" s="333">
        <f>'Inputs by customer type'!M75</f>
        <v>0</v>
      </c>
      <c r="N110" s="333">
        <f>'Inputs by customer type'!N75</f>
        <v>0</v>
      </c>
      <c r="O110" s="333">
        <f>'Inputs by customer type'!O75</f>
        <v>0</v>
      </c>
      <c r="P110" s="333">
        <f>'Inputs by customer type'!P75</f>
        <v>0</v>
      </c>
      <c r="Q110" s="331"/>
      <c r="R110" s="333">
        <f>'Inputs by customer type'!R75</f>
        <v>0</v>
      </c>
      <c r="S110" s="331"/>
      <c r="T110" s="333">
        <f>'Inputs by customer type'!T75</f>
        <v>0</v>
      </c>
      <c r="U110" s="333">
        <f>'Inputs by customer type'!U75</f>
        <v>0</v>
      </c>
      <c r="V110" s="331"/>
      <c r="W110" s="331"/>
      <c r="X110" s="331"/>
      <c r="Y110" s="331"/>
      <c r="AQ110" s="3"/>
    </row>
    <row r="111" spans="3:43" x14ac:dyDescent="0.3">
      <c r="E111" s="32"/>
      <c r="F111" s="80" t="s">
        <v>253</v>
      </c>
      <c r="G111" s="80" t="s">
        <v>254</v>
      </c>
      <c r="H111" s="37"/>
      <c r="I111" s="37"/>
      <c r="J111" s="81"/>
      <c r="K111" s="125">
        <f>'Inputs by customer type'!K76</f>
        <v>0</v>
      </c>
      <c r="L111" s="125">
        <f>'Inputs by customer type'!L76</f>
        <v>0</v>
      </c>
      <c r="M111" s="125">
        <f>'Inputs by customer type'!M76</f>
        <v>0</v>
      </c>
      <c r="N111" s="125">
        <f>'Inputs by customer type'!N76</f>
        <v>0</v>
      </c>
      <c r="O111" s="125">
        <f>'Inputs by customer type'!O76</f>
        <v>0</v>
      </c>
      <c r="P111" s="125">
        <f>'Inputs by customer type'!P76</f>
        <v>0</v>
      </c>
      <c r="Q111" s="81"/>
      <c r="R111" s="125">
        <f>'Inputs by customer type'!R76</f>
        <v>0</v>
      </c>
      <c r="S111" s="81"/>
      <c r="T111" s="125">
        <f>'Inputs by customer type'!T76</f>
        <v>0</v>
      </c>
      <c r="U111" s="125">
        <f>'Inputs by customer type'!U76</f>
        <v>0</v>
      </c>
      <c r="V111" s="81"/>
      <c r="W111" s="81"/>
      <c r="X111" s="81"/>
      <c r="Y111" s="81"/>
      <c r="AQ111" s="3"/>
    </row>
    <row r="112" spans="3:43" x14ac:dyDescent="0.3">
      <c r="C112" s="29"/>
      <c r="AQ112" s="3"/>
    </row>
    <row r="113" spans="5:43" x14ac:dyDescent="0.3">
      <c r="E113" s="32" t="s">
        <v>953</v>
      </c>
      <c r="G113" s="13"/>
      <c r="I113" t="s">
        <v>154</v>
      </c>
      <c r="AQ113" s="3"/>
    </row>
    <row r="114" spans="5:43" x14ac:dyDescent="0.3">
      <c r="E114" s="32"/>
      <c r="F114" s="78" t="s">
        <v>247</v>
      </c>
      <c r="G114" s="78" t="s">
        <v>207</v>
      </c>
      <c r="H114" s="23"/>
      <c r="I114" s="23"/>
      <c r="J114" s="124">
        <f>'Inputs by customer type'!J79</f>
        <v>11244.916691828073</v>
      </c>
      <c r="K114" s="83"/>
      <c r="L114" s="124">
        <f>'Inputs by customer type'!L79</f>
        <v>25.345746314499099</v>
      </c>
      <c r="M114" s="83"/>
      <c r="N114" s="124">
        <f>'Inputs by customer type'!N79</f>
        <v>554.5724790936348</v>
      </c>
      <c r="O114" s="124">
        <f>'Inputs by customer type'!O79</f>
        <v>0</v>
      </c>
      <c r="P114" s="124">
        <f>'Inputs by customer type'!P79</f>
        <v>0</v>
      </c>
      <c r="Q114" s="124">
        <f>'Inputs by customer type'!Q79</f>
        <v>4.4788941885141398</v>
      </c>
      <c r="R114" s="83"/>
      <c r="S114" s="83"/>
      <c r="T114" s="83"/>
      <c r="U114" s="83"/>
      <c r="V114" s="83"/>
      <c r="W114" s="83"/>
      <c r="X114" s="83"/>
      <c r="Y114" s="83"/>
      <c r="AQ114" s="3"/>
    </row>
    <row r="115" spans="5:43" x14ac:dyDescent="0.3">
      <c r="E115" s="32"/>
      <c r="F115" s="72" t="s">
        <v>248</v>
      </c>
      <c r="G115" s="72" t="s">
        <v>207</v>
      </c>
      <c r="J115" s="333">
        <f>'Inputs by customer type'!J80</f>
        <v>31905.391196577795</v>
      </c>
      <c r="K115" s="331"/>
      <c r="L115" s="333">
        <f>'Inputs by customer type'!L80</f>
        <v>108.92045730750806</v>
      </c>
      <c r="M115" s="331"/>
      <c r="N115" s="333">
        <f>'Inputs by customer type'!N80</f>
        <v>2064.9906269954017</v>
      </c>
      <c r="O115" s="333">
        <f>'Inputs by customer type'!O80</f>
        <v>0</v>
      </c>
      <c r="P115" s="333">
        <f>'Inputs by customer type'!P80</f>
        <v>0</v>
      </c>
      <c r="Q115" s="333">
        <f>'Inputs by customer type'!Q80</f>
        <v>207.65367753570459</v>
      </c>
      <c r="R115" s="331"/>
      <c r="S115" s="331"/>
      <c r="T115" s="331"/>
      <c r="U115" s="331"/>
      <c r="V115" s="331"/>
      <c r="W115" s="331"/>
      <c r="X115" s="331"/>
      <c r="Y115" s="331"/>
      <c r="AQ115" s="3"/>
    </row>
    <row r="116" spans="5:43" x14ac:dyDescent="0.3">
      <c r="E116" s="32"/>
      <c r="F116" s="72" t="s">
        <v>249</v>
      </c>
      <c r="G116" s="72" t="s">
        <v>207</v>
      </c>
      <c r="J116" s="333">
        <f>'Inputs by customer type'!J81</f>
        <v>49515.527633638289</v>
      </c>
      <c r="K116" s="331"/>
      <c r="L116" s="333">
        <f>'Inputs by customer type'!L81</f>
        <v>107.1605759851722</v>
      </c>
      <c r="M116" s="331"/>
      <c r="N116" s="333">
        <f>'Inputs by customer type'!N81</f>
        <v>2862.7335648077615</v>
      </c>
      <c r="O116" s="333">
        <f>'Inputs by customer type'!O81</f>
        <v>0</v>
      </c>
      <c r="P116" s="333">
        <f>'Inputs by customer type'!P81</f>
        <v>0</v>
      </c>
      <c r="Q116" s="333">
        <f>'Inputs by customer type'!Q81</f>
        <v>324.70153315126709</v>
      </c>
      <c r="R116" s="331"/>
      <c r="S116" s="331"/>
      <c r="T116" s="331"/>
      <c r="U116" s="331"/>
      <c r="V116" s="331"/>
      <c r="W116" s="331"/>
      <c r="X116" s="331"/>
      <c r="Y116" s="331"/>
      <c r="AQ116" s="3"/>
    </row>
    <row r="117" spans="5:43" x14ac:dyDescent="0.3">
      <c r="E117" s="32"/>
      <c r="F117" s="72" t="s">
        <v>212</v>
      </c>
      <c r="G117" s="72" t="s">
        <v>212</v>
      </c>
      <c r="J117" s="333">
        <f>'Inputs by customer type'!J82</f>
        <v>30904.405938754266</v>
      </c>
      <c r="K117" s="331"/>
      <c r="L117" s="333">
        <f>'Inputs by customer type'!L82</f>
        <v>204.13858265677618</v>
      </c>
      <c r="M117" s="331"/>
      <c r="N117" s="333">
        <f>'Inputs by customer type'!N82</f>
        <v>39.077594674274273</v>
      </c>
      <c r="O117" s="333">
        <f>'Inputs by customer type'!O82</f>
        <v>0</v>
      </c>
      <c r="P117" s="333">
        <f>'Inputs by customer type'!P82</f>
        <v>0</v>
      </c>
      <c r="Q117" s="333">
        <f>'Inputs by customer type'!Q82</f>
        <v>0</v>
      </c>
      <c r="R117" s="331"/>
      <c r="S117" s="331"/>
      <c r="T117" s="331"/>
      <c r="U117" s="331"/>
      <c r="V117" s="331"/>
      <c r="W117" s="331"/>
      <c r="X117" s="331"/>
      <c r="Y117" s="331"/>
      <c r="AQ117" s="3"/>
    </row>
    <row r="118" spans="5:43" x14ac:dyDescent="0.3">
      <c r="E118" s="32"/>
      <c r="F118" s="72" t="s">
        <v>250</v>
      </c>
      <c r="G118" s="72" t="s">
        <v>251</v>
      </c>
      <c r="J118" s="333">
        <f>'Inputs by customer type'!J83</f>
        <v>0</v>
      </c>
      <c r="K118" s="331"/>
      <c r="L118" s="333">
        <f>'Inputs by customer type'!L83</f>
        <v>0</v>
      </c>
      <c r="M118" s="331"/>
      <c r="N118" s="333">
        <f>'Inputs by customer type'!N83</f>
        <v>3191.8406087588619</v>
      </c>
      <c r="O118" s="333">
        <f>'Inputs by customer type'!O83</f>
        <v>0</v>
      </c>
      <c r="P118" s="333">
        <f>'Inputs by customer type'!P83</f>
        <v>0</v>
      </c>
      <c r="Q118" s="333">
        <f>'Inputs by customer type'!Q83</f>
        <v>0</v>
      </c>
      <c r="R118" s="331"/>
      <c r="S118" s="331"/>
      <c r="T118" s="331"/>
      <c r="U118" s="331"/>
      <c r="V118" s="331"/>
      <c r="W118" s="331"/>
      <c r="X118" s="331"/>
      <c r="Y118" s="331"/>
      <c r="AQ118" s="3"/>
    </row>
    <row r="119" spans="5:43" x14ac:dyDescent="0.3">
      <c r="E119" s="32"/>
      <c r="F119" s="72" t="s">
        <v>252</v>
      </c>
      <c r="G119" s="72" t="s">
        <v>251</v>
      </c>
      <c r="J119" s="333">
        <f>'Inputs by customer type'!J84</f>
        <v>0</v>
      </c>
      <c r="K119" s="331"/>
      <c r="L119" s="333">
        <f>'Inputs by customer type'!L84</f>
        <v>0</v>
      </c>
      <c r="M119" s="331"/>
      <c r="N119" s="333">
        <f>'Inputs by customer type'!N84</f>
        <v>8.6021462198396907</v>
      </c>
      <c r="O119" s="333">
        <f>'Inputs by customer type'!O84</f>
        <v>0</v>
      </c>
      <c r="P119" s="333">
        <f>'Inputs by customer type'!P84</f>
        <v>0</v>
      </c>
      <c r="Q119" s="333">
        <f>'Inputs by customer type'!Q84</f>
        <v>0</v>
      </c>
      <c r="R119" s="331"/>
      <c r="S119" s="331"/>
      <c r="T119" s="331"/>
      <c r="U119" s="331"/>
      <c r="V119" s="331"/>
      <c r="W119" s="331"/>
      <c r="X119" s="331"/>
      <c r="Y119" s="331"/>
      <c r="AQ119" s="3"/>
    </row>
    <row r="120" spans="5:43" x14ac:dyDescent="0.3">
      <c r="E120" s="32"/>
      <c r="F120" s="80" t="s">
        <v>253</v>
      </c>
      <c r="G120" s="80" t="s">
        <v>254</v>
      </c>
      <c r="H120" s="37"/>
      <c r="I120" s="37"/>
      <c r="J120" s="125">
        <f>'Inputs by customer type'!J85</f>
        <v>0</v>
      </c>
      <c r="K120" s="81"/>
      <c r="L120" s="125">
        <f>'Inputs by customer type'!L85</f>
        <v>0</v>
      </c>
      <c r="M120" s="81"/>
      <c r="N120" s="125">
        <f>'Inputs by customer type'!N85</f>
        <v>741.93247749313116</v>
      </c>
      <c r="O120" s="125">
        <f>'Inputs by customer type'!O85</f>
        <v>0</v>
      </c>
      <c r="P120" s="125">
        <f>'Inputs by customer type'!P85</f>
        <v>0</v>
      </c>
      <c r="Q120" s="125">
        <f>'Inputs by customer type'!Q85</f>
        <v>0</v>
      </c>
      <c r="R120" s="81"/>
      <c r="S120" s="81"/>
      <c r="T120" s="81"/>
      <c r="U120" s="81"/>
      <c r="V120" s="81"/>
      <c r="W120" s="81"/>
      <c r="X120" s="81"/>
      <c r="Y120" s="81"/>
      <c r="AQ120" s="3"/>
    </row>
    <row r="121" spans="5:43" x14ac:dyDescent="0.3">
      <c r="AQ121" s="3"/>
    </row>
    <row r="122" spans="5:43" x14ac:dyDescent="0.3">
      <c r="E122" s="32" t="s">
        <v>954</v>
      </c>
      <c r="G122" s="13"/>
      <c r="I122" t="s">
        <v>154</v>
      </c>
      <c r="AQ122" s="3"/>
    </row>
    <row r="123" spans="5:43" x14ac:dyDescent="0.3">
      <c r="E123" s="32"/>
      <c r="F123" s="78" t="s">
        <v>247</v>
      </c>
      <c r="G123" s="78" t="s">
        <v>207</v>
      </c>
      <c r="H123" s="23"/>
      <c r="I123" s="23"/>
      <c r="J123" s="83"/>
      <c r="K123" s="83"/>
      <c r="L123" s="124">
        <f>'Inputs by customer type'!L88</f>
        <v>106.38292269517217</v>
      </c>
      <c r="M123" s="83"/>
      <c r="N123" s="124">
        <f>'Inputs by customer type'!N88</f>
        <v>828.73991071759519</v>
      </c>
      <c r="O123" s="124">
        <f>'Inputs by customer type'!O88</f>
        <v>0</v>
      </c>
      <c r="P123" s="124">
        <f>'Inputs by customer type'!P88</f>
        <v>0</v>
      </c>
      <c r="Q123" s="83"/>
      <c r="R123" s="83"/>
      <c r="S123" s="83"/>
      <c r="T123" s="83"/>
      <c r="U123" s="83"/>
      <c r="V123" s="83"/>
      <c r="W123" s="83"/>
      <c r="X123" s="83"/>
      <c r="Y123" s="83"/>
      <c r="AQ123" s="3"/>
    </row>
    <row r="124" spans="5:43" x14ac:dyDescent="0.3">
      <c r="E124" s="32"/>
      <c r="F124" s="72" t="s">
        <v>248</v>
      </c>
      <c r="G124" s="72" t="s">
        <v>207</v>
      </c>
      <c r="J124" s="331"/>
      <c r="K124" s="331"/>
      <c r="L124" s="333">
        <f>'Inputs by customer type'!L89</f>
        <v>457.16849075534611</v>
      </c>
      <c r="M124" s="331"/>
      <c r="N124" s="333">
        <f>'Inputs by customer type'!N89</f>
        <v>3085.8728342339809</v>
      </c>
      <c r="O124" s="333">
        <f>'Inputs by customer type'!O89</f>
        <v>0</v>
      </c>
      <c r="P124" s="333">
        <f>'Inputs by customer type'!P89</f>
        <v>0</v>
      </c>
      <c r="Q124" s="331"/>
      <c r="R124" s="331"/>
      <c r="S124" s="331"/>
      <c r="T124" s="331"/>
      <c r="U124" s="331"/>
      <c r="V124" s="331"/>
      <c r="W124" s="331"/>
      <c r="X124" s="331"/>
      <c r="Y124" s="331"/>
      <c r="AQ124" s="3"/>
    </row>
    <row r="125" spans="5:43" x14ac:dyDescent="0.3">
      <c r="E125" s="32"/>
      <c r="F125" s="72" t="s">
        <v>249</v>
      </c>
      <c r="G125" s="72" t="s">
        <v>207</v>
      </c>
      <c r="J125" s="331"/>
      <c r="K125" s="331"/>
      <c r="L125" s="333">
        <f>'Inputs by customer type'!L90</f>
        <v>449.78179492308999</v>
      </c>
      <c r="M125" s="331"/>
      <c r="N125" s="333">
        <f>'Inputs by customer type'!N90</f>
        <v>4278.0008895942292</v>
      </c>
      <c r="O125" s="333">
        <f>'Inputs by customer type'!O90</f>
        <v>0</v>
      </c>
      <c r="P125" s="333">
        <f>'Inputs by customer type'!P90</f>
        <v>0</v>
      </c>
      <c r="Q125" s="331"/>
      <c r="R125" s="331"/>
      <c r="S125" s="331"/>
      <c r="T125" s="331"/>
      <c r="U125" s="331"/>
      <c r="V125" s="331"/>
      <c r="W125" s="331"/>
      <c r="X125" s="331"/>
      <c r="Y125" s="331"/>
      <c r="AQ125" s="3"/>
    </row>
    <row r="126" spans="5:43" x14ac:dyDescent="0.3">
      <c r="E126" s="32"/>
      <c r="F126" s="72" t="s">
        <v>212</v>
      </c>
      <c r="G126" s="72" t="s">
        <v>212</v>
      </c>
      <c r="J126" s="331"/>
      <c r="K126" s="331"/>
      <c r="L126" s="333">
        <f>'Inputs by customer type'!L91</f>
        <v>154.06100263136565</v>
      </c>
      <c r="M126" s="331"/>
      <c r="N126" s="333">
        <f>'Inputs by customer type'!N91</f>
        <v>31.608072022774834</v>
      </c>
      <c r="O126" s="333">
        <f>'Inputs by customer type'!O91</f>
        <v>0</v>
      </c>
      <c r="P126" s="333">
        <f>'Inputs by customer type'!P91</f>
        <v>0</v>
      </c>
      <c r="Q126" s="331"/>
      <c r="R126" s="331"/>
      <c r="S126" s="331"/>
      <c r="T126" s="331"/>
      <c r="U126" s="331"/>
      <c r="V126" s="331"/>
      <c r="W126" s="331"/>
      <c r="X126" s="331"/>
      <c r="Y126" s="331"/>
      <c r="AQ126" s="3"/>
    </row>
    <row r="127" spans="5:43" x14ac:dyDescent="0.3">
      <c r="E127" s="32"/>
      <c r="F127" s="72" t="s">
        <v>250</v>
      </c>
      <c r="G127" s="72" t="s">
        <v>251</v>
      </c>
      <c r="J127" s="331"/>
      <c r="K127" s="331"/>
      <c r="L127" s="333">
        <f>'Inputs by customer type'!L92</f>
        <v>0</v>
      </c>
      <c r="M127" s="331"/>
      <c r="N127" s="333">
        <f>'Inputs by customer type'!N92</f>
        <v>6731.7304283365711</v>
      </c>
      <c r="O127" s="333">
        <f>'Inputs by customer type'!O92</f>
        <v>0</v>
      </c>
      <c r="P127" s="333">
        <f>'Inputs by customer type'!P92</f>
        <v>0</v>
      </c>
      <c r="Q127" s="331"/>
      <c r="R127" s="331"/>
      <c r="S127" s="331"/>
      <c r="T127" s="331"/>
      <c r="U127" s="331"/>
      <c r="V127" s="331"/>
      <c r="W127" s="331"/>
      <c r="X127" s="331"/>
      <c r="Y127" s="331"/>
      <c r="AQ127" s="3"/>
    </row>
    <row r="128" spans="5:43" x14ac:dyDescent="0.3">
      <c r="E128" s="32"/>
      <c r="F128" s="72" t="s">
        <v>252</v>
      </c>
      <c r="G128" s="72" t="s">
        <v>251</v>
      </c>
      <c r="J128" s="331"/>
      <c r="K128" s="331"/>
      <c r="L128" s="333">
        <f>'Inputs by customer type'!L93</f>
        <v>0</v>
      </c>
      <c r="M128" s="331"/>
      <c r="N128" s="333">
        <f>'Inputs by customer type'!N93</f>
        <v>18.142299868668054</v>
      </c>
      <c r="O128" s="333">
        <f>'Inputs by customer type'!O93</f>
        <v>0</v>
      </c>
      <c r="P128" s="333">
        <f>'Inputs by customer type'!P93</f>
        <v>0</v>
      </c>
      <c r="Q128" s="331"/>
      <c r="R128" s="331"/>
      <c r="S128" s="331"/>
      <c r="T128" s="331"/>
      <c r="U128" s="331"/>
      <c r="V128" s="331"/>
      <c r="W128" s="331"/>
      <c r="X128" s="331"/>
      <c r="Y128" s="331"/>
      <c r="AQ128" s="3"/>
    </row>
    <row r="129" spans="5:43" x14ac:dyDescent="0.3">
      <c r="E129" s="32"/>
      <c r="F129" s="80" t="s">
        <v>253</v>
      </c>
      <c r="G129" s="80" t="s">
        <v>254</v>
      </c>
      <c r="H129" s="37"/>
      <c r="I129" s="37"/>
      <c r="J129" s="81"/>
      <c r="K129" s="81"/>
      <c r="L129" s="125">
        <f>'Inputs by customer type'!L94</f>
        <v>0</v>
      </c>
      <c r="M129" s="81"/>
      <c r="N129" s="125">
        <f>'Inputs by customer type'!N94</f>
        <v>1108.7262320716898</v>
      </c>
      <c r="O129" s="125">
        <f>'Inputs by customer type'!O94</f>
        <v>0</v>
      </c>
      <c r="P129" s="125">
        <f>'Inputs by customer type'!P94</f>
        <v>0</v>
      </c>
      <c r="Q129" s="81"/>
      <c r="R129" s="81"/>
      <c r="S129" s="81"/>
      <c r="T129" s="81"/>
      <c r="U129" s="81"/>
      <c r="V129" s="81"/>
      <c r="W129" s="81"/>
      <c r="X129" s="81"/>
      <c r="Y129" s="81"/>
      <c r="AQ129" s="3"/>
    </row>
    <row r="130" spans="5:43" x14ac:dyDescent="0.3">
      <c r="AQ130" s="3"/>
    </row>
    <row r="131" spans="5:43" x14ac:dyDescent="0.3">
      <c r="E131" s="32" t="s">
        <v>955</v>
      </c>
      <c r="G131" s="13"/>
      <c r="I131" t="s">
        <v>154</v>
      </c>
      <c r="AQ131" s="3"/>
    </row>
    <row r="132" spans="5:43" x14ac:dyDescent="0.3">
      <c r="E132" s="32"/>
      <c r="F132" s="78" t="s">
        <v>247</v>
      </c>
      <c r="G132" s="78" t="s">
        <v>207</v>
      </c>
      <c r="H132" s="23"/>
      <c r="I132" s="23"/>
      <c r="J132" s="83"/>
      <c r="K132" s="83"/>
      <c r="L132" s="124">
        <f>'Inputs by customer type'!L97</f>
        <v>134.96696759323282</v>
      </c>
      <c r="M132" s="83"/>
      <c r="N132" s="124">
        <f>'Inputs by customer type'!N97</f>
        <v>447.45563468462888</v>
      </c>
      <c r="O132" s="124">
        <f>'Inputs by customer type'!O97</f>
        <v>0</v>
      </c>
      <c r="P132" s="124">
        <f>'Inputs by customer type'!P97</f>
        <v>0</v>
      </c>
      <c r="Q132" s="83"/>
      <c r="R132" s="83"/>
      <c r="S132" s="83"/>
      <c r="T132" s="83"/>
      <c r="U132" s="83"/>
      <c r="V132" s="83"/>
      <c r="W132" s="83"/>
      <c r="X132" s="83"/>
      <c r="Y132" s="83"/>
      <c r="AQ132" s="3"/>
    </row>
    <row r="133" spans="5:43" x14ac:dyDescent="0.3">
      <c r="E133" s="32"/>
      <c r="F133" s="72" t="s">
        <v>248</v>
      </c>
      <c r="G133" s="72" t="s">
        <v>207</v>
      </c>
      <c r="J133" s="331"/>
      <c r="K133" s="331"/>
      <c r="L133" s="333">
        <f>'Inputs by customer type'!L98</f>
        <v>580.00516730702805</v>
      </c>
      <c r="M133" s="331"/>
      <c r="N133" s="333">
        <f>'Inputs by customer type'!N98</f>
        <v>1666.1333305434889</v>
      </c>
      <c r="O133" s="333">
        <f>'Inputs by customer type'!O98</f>
        <v>0</v>
      </c>
      <c r="P133" s="333">
        <f>'Inputs by customer type'!P98</f>
        <v>0</v>
      </c>
      <c r="Q133" s="331"/>
      <c r="R133" s="331"/>
      <c r="S133" s="331"/>
      <c r="T133" s="331"/>
      <c r="U133" s="331"/>
      <c r="V133" s="331"/>
      <c r="W133" s="331"/>
      <c r="X133" s="331"/>
      <c r="Y133" s="331"/>
      <c r="AQ133" s="3"/>
    </row>
    <row r="134" spans="5:43" x14ac:dyDescent="0.3">
      <c r="E134" s="32"/>
      <c r="F134" s="72" t="s">
        <v>249</v>
      </c>
      <c r="G134" s="72" t="s">
        <v>207</v>
      </c>
      <c r="J134" s="331"/>
      <c r="K134" s="331"/>
      <c r="L134" s="333">
        <f>'Inputs by customer type'!L99</f>
        <v>570.63373896349719</v>
      </c>
      <c r="M134" s="331"/>
      <c r="N134" s="333">
        <f>'Inputs by customer type'!N99</f>
        <v>2309.7905367889166</v>
      </c>
      <c r="O134" s="333">
        <f>'Inputs by customer type'!O99</f>
        <v>0</v>
      </c>
      <c r="P134" s="333">
        <f>'Inputs by customer type'!P99</f>
        <v>0</v>
      </c>
      <c r="Q134" s="331"/>
      <c r="R134" s="331"/>
      <c r="S134" s="331"/>
      <c r="T134" s="331"/>
      <c r="U134" s="331"/>
      <c r="V134" s="331"/>
      <c r="W134" s="331"/>
      <c r="X134" s="331"/>
      <c r="Y134" s="331"/>
      <c r="AQ134" s="3"/>
    </row>
    <row r="135" spans="5:43" x14ac:dyDescent="0.3">
      <c r="E135" s="32"/>
      <c r="F135" s="72" t="s">
        <v>212</v>
      </c>
      <c r="G135" s="72" t="s">
        <v>212</v>
      </c>
      <c r="J135" s="331"/>
      <c r="K135" s="331"/>
      <c r="L135" s="333">
        <f>'Inputs by customer type'!L100</f>
        <v>79.707125997892078</v>
      </c>
      <c r="M135" s="331"/>
      <c r="N135" s="333">
        <f>'Inputs by customer type'!N100</f>
        <v>11.016921368933966</v>
      </c>
      <c r="O135" s="333">
        <f>'Inputs by customer type'!O100</f>
        <v>0</v>
      </c>
      <c r="P135" s="333">
        <f>'Inputs by customer type'!P100</f>
        <v>0</v>
      </c>
      <c r="Q135" s="331"/>
      <c r="R135" s="331"/>
      <c r="S135" s="331"/>
      <c r="T135" s="331"/>
      <c r="U135" s="331"/>
      <c r="V135" s="331"/>
      <c r="W135" s="331"/>
      <c r="X135" s="331"/>
      <c r="Y135" s="331"/>
      <c r="AQ135" s="3"/>
    </row>
    <row r="136" spans="5:43" x14ac:dyDescent="0.3">
      <c r="E136" s="32"/>
      <c r="F136" s="72" t="s">
        <v>250</v>
      </c>
      <c r="G136" s="72" t="s">
        <v>251</v>
      </c>
      <c r="J136" s="331"/>
      <c r="K136" s="331"/>
      <c r="L136" s="333">
        <f>'Inputs by customer type'!L101</f>
        <v>0</v>
      </c>
      <c r="M136" s="331"/>
      <c r="N136" s="333">
        <f>'Inputs by customer type'!N101</f>
        <v>3740.3471075511425</v>
      </c>
      <c r="O136" s="333">
        <f>'Inputs by customer type'!O101</f>
        <v>0</v>
      </c>
      <c r="P136" s="333">
        <f>'Inputs by customer type'!P101</f>
        <v>0</v>
      </c>
      <c r="Q136" s="331"/>
      <c r="R136" s="331"/>
      <c r="S136" s="331"/>
      <c r="T136" s="331"/>
      <c r="U136" s="331"/>
      <c r="V136" s="331"/>
      <c r="W136" s="331"/>
      <c r="X136" s="331"/>
      <c r="Y136" s="331"/>
      <c r="AQ136" s="3"/>
    </row>
    <row r="137" spans="5:43" x14ac:dyDescent="0.3">
      <c r="E137" s="32"/>
      <c r="F137" s="72" t="s">
        <v>252</v>
      </c>
      <c r="G137" s="72" t="s">
        <v>251</v>
      </c>
      <c r="J137" s="331"/>
      <c r="K137" s="331"/>
      <c r="L137" s="333">
        <f>'Inputs by customer type'!L102</f>
        <v>0</v>
      </c>
      <c r="M137" s="331"/>
      <c r="N137" s="333">
        <f>'Inputs by customer type'!N102</f>
        <v>10.080394567265232</v>
      </c>
      <c r="O137" s="333">
        <f>'Inputs by customer type'!O102</f>
        <v>0</v>
      </c>
      <c r="P137" s="333">
        <f>'Inputs by customer type'!P102</f>
        <v>0</v>
      </c>
      <c r="Q137" s="331"/>
      <c r="R137" s="331"/>
      <c r="S137" s="331"/>
      <c r="T137" s="331"/>
      <c r="U137" s="331"/>
      <c r="V137" s="331"/>
      <c r="W137" s="331"/>
      <c r="X137" s="331"/>
      <c r="Y137" s="331"/>
      <c r="AQ137" s="3"/>
    </row>
    <row r="138" spans="5:43" x14ac:dyDescent="0.3">
      <c r="E138" s="32"/>
      <c r="F138" s="80" t="s">
        <v>253</v>
      </c>
      <c r="G138" s="80" t="s">
        <v>254</v>
      </c>
      <c r="H138" s="37"/>
      <c r="I138" s="37"/>
      <c r="J138" s="81"/>
      <c r="K138" s="81"/>
      <c r="L138" s="125">
        <f>'Inputs by customer type'!L103</f>
        <v>0</v>
      </c>
      <c r="M138" s="81"/>
      <c r="N138" s="125">
        <f>'Inputs by customer type'!N103</f>
        <v>598.6266540892949</v>
      </c>
      <c r="O138" s="125">
        <f>'Inputs by customer type'!O103</f>
        <v>0</v>
      </c>
      <c r="P138" s="125">
        <f>'Inputs by customer type'!P103</f>
        <v>0</v>
      </c>
      <c r="Q138" s="81"/>
      <c r="R138" s="81"/>
      <c r="S138" s="81"/>
      <c r="T138" s="81"/>
      <c r="U138" s="81"/>
      <c r="V138" s="81"/>
      <c r="W138" s="81"/>
      <c r="X138" s="81"/>
      <c r="Y138" s="81"/>
      <c r="AQ138" s="3"/>
    </row>
    <row r="139" spans="5:43" x14ac:dyDescent="0.3">
      <c r="AQ139" s="3"/>
    </row>
    <row r="140" spans="5:43" x14ac:dyDescent="0.3">
      <c r="E140" s="32" t="s">
        <v>956</v>
      </c>
      <c r="G140" s="13"/>
      <c r="I140" t="s">
        <v>154</v>
      </c>
      <c r="AQ140" s="3"/>
    </row>
    <row r="141" spans="5:43" x14ac:dyDescent="0.3">
      <c r="E141" s="32"/>
      <c r="F141" s="78" t="s">
        <v>247</v>
      </c>
      <c r="G141" s="78" t="s">
        <v>207</v>
      </c>
      <c r="H141" s="23"/>
      <c r="I141" s="23"/>
      <c r="J141" s="83"/>
      <c r="K141" s="83"/>
      <c r="L141" s="124">
        <f>'Inputs by customer type'!L106</f>
        <v>435.09185224411988</v>
      </c>
      <c r="M141" s="83"/>
      <c r="N141" s="124">
        <f>'Inputs by customer type'!N106</f>
        <v>440.11601549761281</v>
      </c>
      <c r="O141" s="124">
        <f>'Inputs by customer type'!O106</f>
        <v>0</v>
      </c>
      <c r="P141" s="124">
        <f>'Inputs by customer type'!P106</f>
        <v>0</v>
      </c>
      <c r="Q141" s="83"/>
      <c r="R141" s="83"/>
      <c r="S141" s="83"/>
      <c r="T141" s="83"/>
      <c r="U141" s="83"/>
      <c r="V141" s="83"/>
      <c r="W141" s="83"/>
      <c r="X141" s="83"/>
      <c r="Y141" s="83"/>
      <c r="AQ141" s="3"/>
    </row>
    <row r="142" spans="5:43" x14ac:dyDescent="0.3">
      <c r="E142" s="32"/>
      <c r="F142" s="72" t="s">
        <v>248</v>
      </c>
      <c r="G142" s="72" t="s">
        <v>207</v>
      </c>
      <c r="J142" s="331"/>
      <c r="K142" s="331"/>
      <c r="L142" s="333">
        <f>'Inputs by customer type'!L107</f>
        <v>1869.7576677823238</v>
      </c>
      <c r="M142" s="331"/>
      <c r="N142" s="333">
        <f>'Inputs by customer type'!N107</f>
        <v>1638.8037290968496</v>
      </c>
      <c r="O142" s="333">
        <f>'Inputs by customer type'!O107</f>
        <v>0</v>
      </c>
      <c r="P142" s="333">
        <f>'Inputs by customer type'!P107</f>
        <v>0</v>
      </c>
      <c r="Q142" s="331"/>
      <c r="R142" s="331"/>
      <c r="S142" s="331"/>
      <c r="T142" s="331"/>
      <c r="U142" s="331"/>
      <c r="V142" s="331"/>
      <c r="W142" s="331"/>
      <c r="X142" s="331"/>
      <c r="Y142" s="331"/>
      <c r="AQ142" s="3"/>
    </row>
    <row r="143" spans="5:43" x14ac:dyDescent="0.3">
      <c r="E143" s="32"/>
      <c r="F143" s="72" t="s">
        <v>249</v>
      </c>
      <c r="G143" s="72" t="s">
        <v>207</v>
      </c>
      <c r="J143" s="331"/>
      <c r="K143" s="331"/>
      <c r="L143" s="333">
        <f>'Inputs by customer type'!L108</f>
        <v>1839.54707485822</v>
      </c>
      <c r="M143" s="331"/>
      <c r="N143" s="333">
        <f>'Inputs by customer type'!N108</f>
        <v>2271.9030198426772</v>
      </c>
      <c r="O143" s="333">
        <f>'Inputs by customer type'!O108</f>
        <v>0</v>
      </c>
      <c r="P143" s="333">
        <f>'Inputs by customer type'!P108</f>
        <v>0</v>
      </c>
      <c r="Q143" s="331"/>
      <c r="R143" s="331"/>
      <c r="S143" s="331"/>
      <c r="T143" s="331"/>
      <c r="U143" s="331"/>
      <c r="V143" s="331"/>
      <c r="W143" s="331"/>
      <c r="X143" s="331"/>
      <c r="Y143" s="331"/>
      <c r="AQ143" s="3"/>
    </row>
    <row r="144" spans="5:43" x14ac:dyDescent="0.3">
      <c r="E144" s="32"/>
      <c r="F144" s="72" t="s">
        <v>212</v>
      </c>
      <c r="G144" s="72" t="s">
        <v>212</v>
      </c>
      <c r="J144" s="331"/>
      <c r="K144" s="331"/>
      <c r="L144" s="333">
        <f>'Inputs by customer type'!L109</f>
        <v>79.68415067873147</v>
      </c>
      <c r="M144" s="331"/>
      <c r="N144" s="333">
        <f>'Inputs by customer type'!N109</f>
        <v>6.9449073482168764</v>
      </c>
      <c r="O144" s="333">
        <f>'Inputs by customer type'!O109</f>
        <v>0</v>
      </c>
      <c r="P144" s="333">
        <f>'Inputs by customer type'!P109</f>
        <v>0</v>
      </c>
      <c r="Q144" s="331"/>
      <c r="R144" s="331"/>
      <c r="S144" s="331"/>
      <c r="T144" s="331"/>
      <c r="U144" s="331"/>
      <c r="V144" s="331"/>
      <c r="W144" s="331"/>
      <c r="X144" s="331"/>
      <c r="Y144" s="331"/>
      <c r="AQ144" s="3"/>
    </row>
    <row r="145" spans="3:43" x14ac:dyDescent="0.3">
      <c r="E145" s="32"/>
      <c r="F145" s="72" t="s">
        <v>250</v>
      </c>
      <c r="G145" s="72" t="s">
        <v>251</v>
      </c>
      <c r="J145" s="331"/>
      <c r="K145" s="331"/>
      <c r="L145" s="333">
        <f>'Inputs by customer type'!L110</f>
        <v>0</v>
      </c>
      <c r="M145" s="331"/>
      <c r="N145" s="333">
        <f>'Inputs by customer type'!N110</f>
        <v>3838.2026001765089</v>
      </c>
      <c r="O145" s="333">
        <f>'Inputs by customer type'!O110</f>
        <v>0</v>
      </c>
      <c r="P145" s="333">
        <f>'Inputs by customer type'!P110</f>
        <v>0</v>
      </c>
      <c r="Q145" s="331"/>
      <c r="R145" s="331"/>
      <c r="S145" s="331"/>
      <c r="T145" s="331"/>
      <c r="U145" s="331"/>
      <c r="V145" s="331"/>
      <c r="W145" s="331"/>
      <c r="X145" s="331"/>
      <c r="Y145" s="331"/>
      <c r="AQ145" s="3"/>
    </row>
    <row r="146" spans="3:43" x14ac:dyDescent="0.3">
      <c r="E146" s="32"/>
      <c r="F146" s="72" t="s">
        <v>252</v>
      </c>
      <c r="G146" s="72" t="s">
        <v>251</v>
      </c>
      <c r="J146" s="331"/>
      <c r="K146" s="331"/>
      <c r="L146" s="333">
        <f>'Inputs by customer type'!L111</f>
        <v>0</v>
      </c>
      <c r="M146" s="331"/>
      <c r="N146" s="333">
        <f>'Inputs by customer type'!N111</f>
        <v>10.344119282612207</v>
      </c>
      <c r="O146" s="333">
        <f>'Inputs by customer type'!O111</f>
        <v>0</v>
      </c>
      <c r="P146" s="333">
        <f>'Inputs by customer type'!P111</f>
        <v>0</v>
      </c>
      <c r="Q146" s="331"/>
      <c r="R146" s="331"/>
      <c r="S146" s="331"/>
      <c r="T146" s="331"/>
      <c r="U146" s="331"/>
      <c r="V146" s="331"/>
      <c r="W146" s="331"/>
      <c r="X146" s="331"/>
      <c r="Y146" s="331"/>
      <c r="AQ146" s="3"/>
    </row>
    <row r="147" spans="3:43" x14ac:dyDescent="0.3">
      <c r="E147" s="32"/>
      <c r="F147" s="80" t="s">
        <v>253</v>
      </c>
      <c r="G147" s="80" t="s">
        <v>254</v>
      </c>
      <c r="H147" s="37"/>
      <c r="I147" s="37"/>
      <c r="J147" s="81"/>
      <c r="K147" s="81"/>
      <c r="L147" s="125">
        <f>'Inputs by customer type'!L112</f>
        <v>0</v>
      </c>
      <c r="M147" s="81"/>
      <c r="N147" s="125">
        <f>'Inputs by customer type'!N112</f>
        <v>588.80737518065018</v>
      </c>
      <c r="O147" s="125">
        <f>'Inputs by customer type'!O112</f>
        <v>0</v>
      </c>
      <c r="P147" s="125">
        <f>'Inputs by customer type'!P112</f>
        <v>0</v>
      </c>
      <c r="Q147" s="81"/>
      <c r="R147" s="81"/>
      <c r="S147" s="81"/>
      <c r="T147" s="81"/>
      <c r="U147" s="81"/>
      <c r="V147" s="81"/>
      <c r="W147" s="81"/>
      <c r="X147" s="81"/>
      <c r="Y147" s="81"/>
      <c r="AQ147" s="3"/>
    </row>
    <row r="148" spans="3:43" x14ac:dyDescent="0.3">
      <c r="AQ148" s="3"/>
    </row>
    <row r="149" spans="3:43" x14ac:dyDescent="0.3">
      <c r="C149" s="29"/>
      <c r="D149" s="29" t="s">
        <v>966</v>
      </c>
      <c r="AQ149" s="3"/>
    </row>
    <row r="150" spans="3:43" x14ac:dyDescent="0.3">
      <c r="AQ150" s="3"/>
    </row>
    <row r="151" spans="3:43" x14ac:dyDescent="0.3">
      <c r="E151" s="32" t="s">
        <v>911</v>
      </c>
      <c r="G151" s="13"/>
      <c r="I151" t="s">
        <v>154</v>
      </c>
      <c r="AQ151" s="3"/>
    </row>
    <row r="152" spans="3:43" x14ac:dyDescent="0.3">
      <c r="E152" s="32"/>
      <c r="F152" s="78" t="s">
        <v>247</v>
      </c>
      <c r="G152" s="78" t="s">
        <v>207</v>
      </c>
      <c r="H152" s="23"/>
      <c r="I152" s="23"/>
      <c r="J152" s="83"/>
      <c r="K152" s="124">
        <f>'Inputs by customer type'!K117</f>
        <v>0</v>
      </c>
      <c r="L152" s="124">
        <f>'Inputs by customer type'!L117</f>
        <v>0</v>
      </c>
      <c r="M152" s="124">
        <f>'Inputs by customer type'!M117</f>
        <v>0</v>
      </c>
      <c r="N152" s="124">
        <f>'Inputs by customer type'!N117</f>
        <v>0</v>
      </c>
      <c r="O152" s="124">
        <f>'Inputs by customer type'!O117</f>
        <v>0</v>
      </c>
      <c r="P152" s="124">
        <f>'Inputs by customer type'!P117</f>
        <v>0</v>
      </c>
      <c r="Q152" s="83"/>
      <c r="R152" s="124">
        <f>'Inputs by customer type'!R117</f>
        <v>0</v>
      </c>
      <c r="S152" s="124">
        <f>'Inputs by customer type'!S117</f>
        <v>0</v>
      </c>
      <c r="T152" s="124">
        <f>'Inputs by customer type'!T117</f>
        <v>2.405417066698996</v>
      </c>
      <c r="U152" s="124">
        <f>'Inputs by customer type'!U117</f>
        <v>0</v>
      </c>
      <c r="V152" s="124">
        <f>'Inputs by customer type'!V117</f>
        <v>0</v>
      </c>
      <c r="W152" s="124">
        <f>'Inputs by customer type'!W117</f>
        <v>0</v>
      </c>
      <c r="X152" s="124">
        <f>'Inputs by customer type'!X117</f>
        <v>5.5315659252622229</v>
      </c>
      <c r="Y152" s="124">
        <f>'Inputs by customer type'!Y117</f>
        <v>0</v>
      </c>
      <c r="AQ152" s="3"/>
    </row>
    <row r="153" spans="3:43" x14ac:dyDescent="0.3">
      <c r="E153" s="32"/>
      <c r="F153" s="72" t="s">
        <v>248</v>
      </c>
      <c r="G153" s="72" t="s">
        <v>207</v>
      </c>
      <c r="J153" s="331"/>
      <c r="K153" s="333">
        <f>'Inputs by customer type'!K118</f>
        <v>0</v>
      </c>
      <c r="L153" s="333">
        <f>'Inputs by customer type'!L118</f>
        <v>0</v>
      </c>
      <c r="M153" s="333">
        <f>'Inputs by customer type'!M118</f>
        <v>0</v>
      </c>
      <c r="N153" s="333">
        <f>'Inputs by customer type'!N118</f>
        <v>0</v>
      </c>
      <c r="O153" s="333">
        <f>'Inputs by customer type'!O118</f>
        <v>0</v>
      </c>
      <c r="P153" s="333">
        <f>'Inputs by customer type'!P118</f>
        <v>0</v>
      </c>
      <c r="Q153" s="331"/>
      <c r="R153" s="333">
        <f>'Inputs by customer type'!R118</f>
        <v>0</v>
      </c>
      <c r="S153" s="333">
        <f>'Inputs by customer type'!S118</f>
        <v>0</v>
      </c>
      <c r="T153" s="333">
        <f>'Inputs by customer type'!T118</f>
        <v>13.065209505688999</v>
      </c>
      <c r="U153" s="333">
        <f>'Inputs by customer type'!U118</f>
        <v>0</v>
      </c>
      <c r="V153" s="333">
        <f>'Inputs by customer type'!V118</f>
        <v>0</v>
      </c>
      <c r="W153" s="333">
        <f>'Inputs by customer type'!W118</f>
        <v>0</v>
      </c>
      <c r="X153" s="333">
        <f>'Inputs by customer type'!X118</f>
        <v>3.5193669404444461E-2</v>
      </c>
      <c r="Y153" s="333">
        <f>'Inputs by customer type'!Y118</f>
        <v>0</v>
      </c>
      <c r="AQ153" s="3"/>
    </row>
    <row r="154" spans="3:43" x14ac:dyDescent="0.3">
      <c r="E154" s="32"/>
      <c r="F154" s="72" t="s">
        <v>249</v>
      </c>
      <c r="G154" s="72" t="s">
        <v>207</v>
      </c>
      <c r="J154" s="331"/>
      <c r="K154" s="333">
        <f>'Inputs by customer type'!K119</f>
        <v>0</v>
      </c>
      <c r="L154" s="333">
        <f>'Inputs by customer type'!L119</f>
        <v>0</v>
      </c>
      <c r="M154" s="333">
        <f>'Inputs by customer type'!M119</f>
        <v>0</v>
      </c>
      <c r="N154" s="333">
        <f>'Inputs by customer type'!N119</f>
        <v>0</v>
      </c>
      <c r="O154" s="333">
        <f>'Inputs by customer type'!O119</f>
        <v>0</v>
      </c>
      <c r="P154" s="333">
        <f>'Inputs by customer type'!P119</f>
        <v>0</v>
      </c>
      <c r="Q154" s="331"/>
      <c r="R154" s="333">
        <f>'Inputs by customer type'!R119</f>
        <v>0</v>
      </c>
      <c r="S154" s="333">
        <f>'Inputs by customer type'!S119</f>
        <v>0</v>
      </c>
      <c r="T154" s="333">
        <f>'Inputs by customer type'!T119</f>
        <v>30.585567519526965</v>
      </c>
      <c r="U154" s="333">
        <f>'Inputs by customer type'!U119</f>
        <v>0</v>
      </c>
      <c r="V154" s="333">
        <f>'Inputs by customer type'!V119</f>
        <v>0</v>
      </c>
      <c r="W154" s="333">
        <f>'Inputs by customer type'!W119</f>
        <v>0</v>
      </c>
      <c r="X154" s="333">
        <f>'Inputs by customer type'!X119</f>
        <v>0</v>
      </c>
      <c r="Y154" s="333">
        <f>'Inputs by customer type'!Y119</f>
        <v>0</v>
      </c>
      <c r="AQ154" s="3"/>
    </row>
    <row r="155" spans="3:43" x14ac:dyDescent="0.3">
      <c r="E155" s="32"/>
      <c r="F155" s="72" t="s">
        <v>212</v>
      </c>
      <c r="G155" s="72" t="s">
        <v>212</v>
      </c>
      <c r="J155" s="331"/>
      <c r="K155" s="333">
        <f>'Inputs by customer type'!K120</f>
        <v>0</v>
      </c>
      <c r="L155" s="333">
        <f>'Inputs by customer type'!L120</f>
        <v>0</v>
      </c>
      <c r="M155" s="333">
        <f>'Inputs by customer type'!M120</f>
        <v>0</v>
      </c>
      <c r="N155" s="333">
        <f>'Inputs by customer type'!N120</f>
        <v>0</v>
      </c>
      <c r="O155" s="333">
        <f>'Inputs by customer type'!O120</f>
        <v>0</v>
      </c>
      <c r="P155" s="333">
        <f>'Inputs by customer type'!P120</f>
        <v>0</v>
      </c>
      <c r="Q155" s="331"/>
      <c r="R155" s="333">
        <f>'Inputs by customer type'!R120</f>
        <v>0</v>
      </c>
      <c r="S155" s="333">
        <f>'Inputs by customer type'!S120</f>
        <v>0</v>
      </c>
      <c r="T155" s="333">
        <f>'Inputs by customer type'!T120</f>
        <v>2.7440506140904959</v>
      </c>
      <c r="U155" s="333">
        <f>'Inputs by customer type'!U120</f>
        <v>0</v>
      </c>
      <c r="V155" s="333">
        <f>'Inputs by customer type'!V120</f>
        <v>0</v>
      </c>
      <c r="W155" s="333">
        <f>'Inputs by customer type'!W120</f>
        <v>0</v>
      </c>
      <c r="X155" s="333">
        <f>'Inputs by customer type'!X120</f>
        <v>0.33569155719989663</v>
      </c>
      <c r="Y155" s="333">
        <f>'Inputs by customer type'!Y120</f>
        <v>0</v>
      </c>
      <c r="AQ155" s="3"/>
    </row>
    <row r="156" spans="3:43" x14ac:dyDescent="0.3">
      <c r="E156" s="32"/>
      <c r="F156" s="72" t="s">
        <v>250</v>
      </c>
      <c r="G156" s="72" t="s">
        <v>251</v>
      </c>
      <c r="J156" s="331"/>
      <c r="K156" s="333">
        <f>'Inputs by customer type'!K121</f>
        <v>0</v>
      </c>
      <c r="L156" s="333">
        <f>'Inputs by customer type'!L121</f>
        <v>0</v>
      </c>
      <c r="M156" s="333">
        <f>'Inputs by customer type'!M121</f>
        <v>0</v>
      </c>
      <c r="N156" s="333">
        <f>'Inputs by customer type'!N121</f>
        <v>0</v>
      </c>
      <c r="O156" s="333">
        <f>'Inputs by customer type'!O121</f>
        <v>0</v>
      </c>
      <c r="P156" s="333">
        <f>'Inputs by customer type'!P121</f>
        <v>0</v>
      </c>
      <c r="Q156" s="331"/>
      <c r="R156" s="333">
        <f>'Inputs by customer type'!R121</f>
        <v>0</v>
      </c>
      <c r="S156" s="333">
        <f>'Inputs by customer type'!S121</f>
        <v>0</v>
      </c>
      <c r="T156" s="333">
        <f>'Inputs by customer type'!T121</f>
        <v>0</v>
      </c>
      <c r="U156" s="333">
        <f>'Inputs by customer type'!U121</f>
        <v>0</v>
      </c>
      <c r="V156" s="333">
        <f>'Inputs by customer type'!V121</f>
        <v>0</v>
      </c>
      <c r="W156" s="333">
        <f>'Inputs by customer type'!W121</f>
        <v>0</v>
      </c>
      <c r="X156" s="333">
        <f>'Inputs by customer type'!X121</f>
        <v>0</v>
      </c>
      <c r="Y156" s="333">
        <f>'Inputs by customer type'!Y121</f>
        <v>0</v>
      </c>
      <c r="AQ156" s="3"/>
    </row>
    <row r="157" spans="3:43" x14ac:dyDescent="0.3">
      <c r="E157" s="32"/>
      <c r="F157" s="72" t="s">
        <v>252</v>
      </c>
      <c r="G157" s="72" t="s">
        <v>251</v>
      </c>
      <c r="J157" s="331"/>
      <c r="K157" s="333">
        <f>'Inputs by customer type'!K122</f>
        <v>0</v>
      </c>
      <c r="L157" s="333">
        <f>'Inputs by customer type'!L122</f>
        <v>0</v>
      </c>
      <c r="M157" s="333">
        <f>'Inputs by customer type'!M122</f>
        <v>0</v>
      </c>
      <c r="N157" s="333">
        <f>'Inputs by customer type'!N122</f>
        <v>0</v>
      </c>
      <c r="O157" s="333">
        <f>'Inputs by customer type'!O122</f>
        <v>0</v>
      </c>
      <c r="P157" s="333">
        <f>'Inputs by customer type'!P122</f>
        <v>0</v>
      </c>
      <c r="Q157" s="331"/>
      <c r="R157" s="333">
        <f>'Inputs by customer type'!R122</f>
        <v>0</v>
      </c>
      <c r="S157" s="333">
        <f>'Inputs by customer type'!S122</f>
        <v>0</v>
      </c>
      <c r="T157" s="333">
        <f>'Inputs by customer type'!T122</f>
        <v>0</v>
      </c>
      <c r="U157" s="333">
        <f>'Inputs by customer type'!U122</f>
        <v>0</v>
      </c>
      <c r="V157" s="333">
        <f>'Inputs by customer type'!V122</f>
        <v>0</v>
      </c>
      <c r="W157" s="333">
        <f>'Inputs by customer type'!W122</f>
        <v>0</v>
      </c>
      <c r="X157" s="333">
        <f>'Inputs by customer type'!X122</f>
        <v>0</v>
      </c>
      <c r="Y157" s="333">
        <f>'Inputs by customer type'!Y122</f>
        <v>0</v>
      </c>
      <c r="AQ157" s="3"/>
    </row>
    <row r="158" spans="3:43" x14ac:dyDescent="0.3">
      <c r="E158" s="32"/>
      <c r="F158" s="80" t="s">
        <v>253</v>
      </c>
      <c r="G158" s="80" t="s">
        <v>254</v>
      </c>
      <c r="H158" s="37"/>
      <c r="I158" s="37"/>
      <c r="J158" s="81"/>
      <c r="K158" s="125">
        <f>'Inputs by customer type'!K123</f>
        <v>0</v>
      </c>
      <c r="L158" s="125">
        <f>'Inputs by customer type'!L123</f>
        <v>0</v>
      </c>
      <c r="M158" s="125">
        <f>'Inputs by customer type'!M123</f>
        <v>0</v>
      </c>
      <c r="N158" s="125">
        <f>'Inputs by customer type'!N123</f>
        <v>0</v>
      </c>
      <c r="O158" s="125">
        <f>'Inputs by customer type'!O123</f>
        <v>0</v>
      </c>
      <c r="P158" s="125">
        <f>'Inputs by customer type'!P123</f>
        <v>0</v>
      </c>
      <c r="Q158" s="81"/>
      <c r="R158" s="125">
        <f>'Inputs by customer type'!R123</f>
        <v>0</v>
      </c>
      <c r="S158" s="125">
        <f>'Inputs by customer type'!S123</f>
        <v>0</v>
      </c>
      <c r="T158" s="125">
        <f>'Inputs by customer type'!T123</f>
        <v>6.2683321206657237</v>
      </c>
      <c r="U158" s="125">
        <f>'Inputs by customer type'!U123</f>
        <v>0</v>
      </c>
      <c r="V158" s="125">
        <f>'Inputs by customer type'!V123</f>
        <v>0</v>
      </c>
      <c r="W158" s="125">
        <f>'Inputs by customer type'!W123</f>
        <v>0</v>
      </c>
      <c r="X158" s="125">
        <f>'Inputs by customer type'!X123</f>
        <v>2.5011575186284043</v>
      </c>
      <c r="Y158" s="125">
        <f>'Inputs by customer type'!Y123</f>
        <v>0</v>
      </c>
      <c r="AQ158" s="3"/>
    </row>
    <row r="159" spans="3:43" x14ac:dyDescent="0.3">
      <c r="AQ159" s="3"/>
    </row>
    <row r="160" spans="3:43" x14ac:dyDescent="0.3">
      <c r="E160" s="32" t="s">
        <v>957</v>
      </c>
      <c r="G160" s="13"/>
      <c r="I160" t="s">
        <v>154</v>
      </c>
      <c r="AQ160" s="3"/>
    </row>
    <row r="161" spans="5:43" x14ac:dyDescent="0.3">
      <c r="E161" s="32"/>
      <c r="F161" s="78" t="s">
        <v>247</v>
      </c>
      <c r="G161" s="78" t="s">
        <v>207</v>
      </c>
      <c r="H161" s="23"/>
      <c r="I161" s="23"/>
      <c r="J161" s="124">
        <f>'Inputs by customer type'!J126</f>
        <v>23494.309373783628</v>
      </c>
      <c r="K161" s="83"/>
      <c r="L161" s="124">
        <f>'Inputs by customer type'!L126</f>
        <v>134.22688975140395</v>
      </c>
      <c r="M161" s="83"/>
      <c r="N161" s="124">
        <f>'Inputs by customer type'!N126</f>
        <v>5092.3678206961267</v>
      </c>
      <c r="O161" s="124">
        <f>'Inputs by customer type'!O126</f>
        <v>11.470696027676713</v>
      </c>
      <c r="P161" s="124">
        <f>'Inputs by customer type'!P126</f>
        <v>1505.4198786766365</v>
      </c>
      <c r="Q161" s="124">
        <f>'Inputs by customer type'!Q126</f>
        <v>4.7499448082760933</v>
      </c>
      <c r="R161" s="83"/>
      <c r="S161" s="83"/>
      <c r="T161" s="83"/>
      <c r="U161" s="83"/>
      <c r="V161" s="83"/>
      <c r="W161" s="83"/>
      <c r="X161" s="83"/>
      <c r="Y161" s="83"/>
      <c r="AQ161" s="3"/>
    </row>
    <row r="162" spans="5:43" x14ac:dyDescent="0.3">
      <c r="E162" s="32"/>
      <c r="F162" s="72" t="s">
        <v>248</v>
      </c>
      <c r="G162" s="72" t="s">
        <v>207</v>
      </c>
      <c r="J162" s="333">
        <f>'Inputs by customer type'!J127</f>
        <v>66581.853503650185</v>
      </c>
      <c r="K162" s="331"/>
      <c r="L162" s="333">
        <f>'Inputs by customer type'!L127</f>
        <v>560.86101090414024</v>
      </c>
      <c r="M162" s="331"/>
      <c r="N162" s="333">
        <f>'Inputs by customer type'!N127</f>
        <v>18174.481136935185</v>
      </c>
      <c r="O162" s="333">
        <f>'Inputs by customer type'!O127</f>
        <v>43.278708143533713</v>
      </c>
      <c r="P162" s="333">
        <f>'Inputs by customer type'!P127</f>
        <v>5500.5249681367704</v>
      </c>
      <c r="Q162" s="333">
        <f>'Inputs by customer type'!Q127</f>
        <v>310.64116500904521</v>
      </c>
      <c r="R162" s="331"/>
      <c r="S162" s="331"/>
      <c r="T162" s="331"/>
      <c r="U162" s="331"/>
      <c r="V162" s="331"/>
      <c r="W162" s="331"/>
      <c r="X162" s="331"/>
      <c r="Y162" s="331"/>
      <c r="AQ162" s="3"/>
    </row>
    <row r="163" spans="5:43" x14ac:dyDescent="0.3">
      <c r="E163" s="32"/>
      <c r="F163" s="72" t="s">
        <v>249</v>
      </c>
      <c r="G163" s="72" t="s">
        <v>207</v>
      </c>
      <c r="J163" s="333">
        <f>'Inputs by customer type'!J128</f>
        <v>103298.46470504548</v>
      </c>
      <c r="K163" s="331"/>
      <c r="L163" s="333">
        <f>'Inputs by customer type'!L128</f>
        <v>526.97664209102822</v>
      </c>
      <c r="M163" s="331"/>
      <c r="N163" s="333">
        <f>'Inputs by customer type'!N128</f>
        <v>21560.861947820267</v>
      </c>
      <c r="O163" s="333">
        <f>'Inputs by customer type'!O128</f>
        <v>58.722639272901716</v>
      </c>
      <c r="P163" s="333">
        <f>'Inputs by customer type'!P128</f>
        <v>7565.2122379166958</v>
      </c>
      <c r="Q163" s="333">
        <f>'Inputs by customer type'!Q128</f>
        <v>517.68074529552484</v>
      </c>
      <c r="R163" s="331"/>
      <c r="S163" s="331"/>
      <c r="T163" s="331"/>
      <c r="U163" s="331"/>
      <c r="V163" s="331"/>
      <c r="W163" s="331"/>
      <c r="X163" s="331"/>
      <c r="Y163" s="331"/>
      <c r="AQ163" s="3"/>
    </row>
    <row r="164" spans="5:43" x14ac:dyDescent="0.3">
      <c r="E164" s="32"/>
      <c r="F164" s="72" t="s">
        <v>212</v>
      </c>
      <c r="G164" s="72" t="s">
        <v>212</v>
      </c>
      <c r="J164" s="333">
        <f>'Inputs by customer type'!J129</f>
        <v>65699.326539455738</v>
      </c>
      <c r="K164" s="331"/>
      <c r="L164" s="333">
        <f>'Inputs by customer type'!L129</f>
        <v>674.38476219834467</v>
      </c>
      <c r="M164" s="331"/>
      <c r="N164" s="333">
        <f>'Inputs by customer type'!N129</f>
        <v>278.94771546863126</v>
      </c>
      <c r="O164" s="333">
        <f>'Inputs by customer type'!O129</f>
        <v>0.86358747870005459</v>
      </c>
      <c r="P164" s="333">
        <f>'Inputs by customer type'!P129</f>
        <v>27.560496628623962</v>
      </c>
      <c r="Q164" s="333">
        <f>'Inputs by customer type'!Q129</f>
        <v>0</v>
      </c>
      <c r="R164" s="331"/>
      <c r="S164" s="331"/>
      <c r="T164" s="331"/>
      <c r="U164" s="331"/>
      <c r="V164" s="331"/>
      <c r="W164" s="331"/>
      <c r="X164" s="331"/>
      <c r="Y164" s="331"/>
      <c r="AQ164" s="3"/>
    </row>
    <row r="165" spans="5:43" x14ac:dyDescent="0.3">
      <c r="E165" s="32"/>
      <c r="F165" s="72" t="s">
        <v>250</v>
      </c>
      <c r="G165" s="72" t="s">
        <v>251</v>
      </c>
      <c r="J165" s="333">
        <f>'Inputs by customer type'!J130</f>
        <v>0</v>
      </c>
      <c r="K165" s="331"/>
      <c r="L165" s="333">
        <f>'Inputs by customer type'!L130</f>
        <v>0</v>
      </c>
      <c r="M165" s="331"/>
      <c r="N165" s="333">
        <f>'Inputs by customer type'!N130</f>
        <v>23790.983588386411</v>
      </c>
      <c r="O165" s="333">
        <f>'Inputs by customer type'!O130</f>
        <v>39.604595471054651</v>
      </c>
      <c r="P165" s="333">
        <f>'Inputs by customer type'!P130</f>
        <v>9724.219148420696</v>
      </c>
      <c r="Q165" s="333">
        <f>'Inputs by customer type'!Q130</f>
        <v>0</v>
      </c>
      <c r="R165" s="331"/>
      <c r="S165" s="331"/>
      <c r="T165" s="331"/>
      <c r="U165" s="331"/>
      <c r="V165" s="331"/>
      <c r="W165" s="331"/>
      <c r="X165" s="331"/>
      <c r="Y165" s="331"/>
      <c r="AQ165" s="3"/>
    </row>
    <row r="166" spans="5:43" x14ac:dyDescent="0.3">
      <c r="E166" s="32"/>
      <c r="F166" s="72" t="s">
        <v>252</v>
      </c>
      <c r="G166" s="72" t="s">
        <v>251</v>
      </c>
      <c r="J166" s="333">
        <f>'Inputs by customer type'!J131</f>
        <v>0</v>
      </c>
      <c r="K166" s="331"/>
      <c r="L166" s="333">
        <f>'Inputs by customer type'!L131</f>
        <v>0</v>
      </c>
      <c r="M166" s="331"/>
      <c r="N166" s="333">
        <f>'Inputs by customer type'!N131</f>
        <v>110.86359894209711</v>
      </c>
      <c r="O166" s="333">
        <f>'Inputs by customer type'!O131</f>
        <v>0</v>
      </c>
      <c r="P166" s="333">
        <f>'Inputs by customer type'!P131</f>
        <v>105.26931210608977</v>
      </c>
      <c r="Q166" s="333">
        <f>'Inputs by customer type'!Q131</f>
        <v>0</v>
      </c>
      <c r="R166" s="331"/>
      <c r="S166" s="331"/>
      <c r="T166" s="331"/>
      <c r="U166" s="331"/>
      <c r="V166" s="331"/>
      <c r="W166" s="331"/>
      <c r="X166" s="331"/>
      <c r="Y166" s="331"/>
      <c r="AQ166" s="3"/>
    </row>
    <row r="167" spans="5:43" x14ac:dyDescent="0.3">
      <c r="E167" s="32"/>
      <c r="F167" s="80" t="s">
        <v>253</v>
      </c>
      <c r="G167" s="80" t="s">
        <v>254</v>
      </c>
      <c r="H167" s="37"/>
      <c r="I167" s="37"/>
      <c r="J167" s="125">
        <f>'Inputs by customer type'!J132</f>
        <v>0</v>
      </c>
      <c r="K167" s="81"/>
      <c r="L167" s="125">
        <f>'Inputs by customer type'!L132</f>
        <v>0</v>
      </c>
      <c r="M167" s="81"/>
      <c r="N167" s="125">
        <f>'Inputs by customer type'!N132</f>
        <v>2042.4897222182178</v>
      </c>
      <c r="O167" s="125">
        <f>'Inputs by customer type'!O132</f>
        <v>14.235001373728778</v>
      </c>
      <c r="P167" s="125">
        <f>'Inputs by customer type'!P132</f>
        <v>261.04167046155914</v>
      </c>
      <c r="Q167" s="125">
        <f>'Inputs by customer type'!Q132</f>
        <v>0</v>
      </c>
      <c r="R167" s="81"/>
      <c r="S167" s="81"/>
      <c r="T167" s="81"/>
      <c r="U167" s="81"/>
      <c r="V167" s="81"/>
      <c r="W167" s="81"/>
      <c r="X167" s="81"/>
      <c r="Y167" s="81"/>
      <c r="AQ167" s="3"/>
    </row>
    <row r="168" spans="5:43" x14ac:dyDescent="0.3">
      <c r="AQ168" s="3"/>
    </row>
    <row r="169" spans="5:43" x14ac:dyDescent="0.3">
      <c r="E169" s="32" t="s">
        <v>958</v>
      </c>
      <c r="G169" s="13"/>
      <c r="I169" t="s">
        <v>154</v>
      </c>
      <c r="AQ169" s="3"/>
    </row>
    <row r="170" spans="5:43" x14ac:dyDescent="0.3">
      <c r="E170" s="32"/>
      <c r="F170" s="78" t="s">
        <v>247</v>
      </c>
      <c r="G170" s="78" t="s">
        <v>207</v>
      </c>
      <c r="H170" s="23"/>
      <c r="I170" s="23"/>
      <c r="J170" s="83"/>
      <c r="K170" s="83"/>
      <c r="L170" s="124">
        <f>'Inputs by customer type'!L135</f>
        <v>563.38640254867573</v>
      </c>
      <c r="M170" s="83"/>
      <c r="N170" s="124">
        <f>'Inputs by customer type'!N135</f>
        <v>7609.9132433730265</v>
      </c>
      <c r="O170" s="124">
        <f>'Inputs by customer type'!O135</f>
        <v>58.883991984342245</v>
      </c>
      <c r="P170" s="124">
        <f>'Inputs by customer type'!P135</f>
        <v>2685.4536236900685</v>
      </c>
      <c r="Q170" s="83"/>
      <c r="R170" s="83"/>
      <c r="S170" s="83"/>
      <c r="T170" s="83"/>
      <c r="U170" s="83"/>
      <c r="V170" s="83"/>
      <c r="W170" s="83"/>
      <c r="X170" s="83"/>
      <c r="Y170" s="83"/>
      <c r="AQ170" s="3"/>
    </row>
    <row r="171" spans="5:43" x14ac:dyDescent="0.3">
      <c r="E171" s="32"/>
      <c r="F171" s="72" t="s">
        <v>248</v>
      </c>
      <c r="G171" s="72" t="s">
        <v>207</v>
      </c>
      <c r="J171" s="331"/>
      <c r="K171" s="331"/>
      <c r="L171" s="333">
        <f>'Inputs by customer type'!L136</f>
        <v>2354.0846982919243</v>
      </c>
      <c r="M171" s="331"/>
      <c r="N171" s="333">
        <f>'Inputs by customer type'!N136</f>
        <v>27159.511953025001</v>
      </c>
      <c r="O171" s="333">
        <f>'Inputs by customer type'!O136</f>
        <v>222.16813149504119</v>
      </c>
      <c r="P171" s="333">
        <f>'Inputs by customer type'!P136</f>
        <v>9812.1493658404652</v>
      </c>
      <c r="Q171" s="331"/>
      <c r="R171" s="331"/>
      <c r="S171" s="331"/>
      <c r="T171" s="331"/>
      <c r="U171" s="331"/>
      <c r="V171" s="331"/>
      <c r="W171" s="331"/>
      <c r="X171" s="331"/>
      <c r="Y171" s="331"/>
      <c r="AQ171" s="3"/>
    </row>
    <row r="172" spans="5:43" x14ac:dyDescent="0.3">
      <c r="E172" s="32"/>
      <c r="F172" s="72" t="s">
        <v>249</v>
      </c>
      <c r="G172" s="72" t="s">
        <v>207</v>
      </c>
      <c r="J172" s="331"/>
      <c r="K172" s="331"/>
      <c r="L172" s="333">
        <f>'Inputs by customer type'!L137</f>
        <v>2211.862877585153</v>
      </c>
      <c r="M172" s="331"/>
      <c r="N172" s="333">
        <f>'Inputs by customer type'!N137</f>
        <v>32220.03882131707</v>
      </c>
      <c r="O172" s="333">
        <f>'Inputs by customer type'!O137</f>
        <v>301.44843973738506</v>
      </c>
      <c r="P172" s="333">
        <f>'Inputs by customer type'!P137</f>
        <v>13495.255978788438</v>
      </c>
      <c r="Q172" s="331"/>
      <c r="R172" s="331"/>
      <c r="S172" s="331"/>
      <c r="T172" s="331"/>
      <c r="U172" s="331"/>
      <c r="V172" s="331"/>
      <c r="W172" s="331"/>
      <c r="X172" s="331"/>
      <c r="Y172" s="331"/>
      <c r="AQ172" s="3"/>
    </row>
    <row r="173" spans="5:43" x14ac:dyDescent="0.3">
      <c r="E173" s="32"/>
      <c r="F173" s="72" t="s">
        <v>212</v>
      </c>
      <c r="G173" s="72" t="s">
        <v>212</v>
      </c>
      <c r="J173" s="331"/>
      <c r="K173" s="331"/>
      <c r="L173" s="333">
        <f>'Inputs by customer type'!L138</f>
        <v>508.95029872072712</v>
      </c>
      <c r="M173" s="331"/>
      <c r="N173" s="333">
        <f>'Inputs by customer type'!N138</f>
        <v>225.62799871931324</v>
      </c>
      <c r="O173" s="333">
        <f>'Inputs by customer type'!O138</f>
        <v>2.0726099488801308</v>
      </c>
      <c r="P173" s="333">
        <f>'Inputs by customer type'!P138</f>
        <v>14.878226917690466</v>
      </c>
      <c r="Q173" s="331"/>
      <c r="R173" s="331"/>
      <c r="S173" s="331"/>
      <c r="T173" s="331"/>
      <c r="U173" s="331"/>
      <c r="V173" s="331"/>
      <c r="W173" s="331"/>
      <c r="X173" s="331"/>
      <c r="Y173" s="331"/>
      <c r="AQ173" s="3"/>
    </row>
    <row r="174" spans="5:43" x14ac:dyDescent="0.3">
      <c r="E174" s="32"/>
      <c r="F174" s="72" t="s">
        <v>250</v>
      </c>
      <c r="G174" s="72" t="s">
        <v>251</v>
      </c>
      <c r="J174" s="331"/>
      <c r="K174" s="331"/>
      <c r="L174" s="333">
        <f>'Inputs by customer type'!L139</f>
        <v>0</v>
      </c>
      <c r="M174" s="331"/>
      <c r="N174" s="333">
        <f>'Inputs by customer type'!N139</f>
        <v>50176.217353244472</v>
      </c>
      <c r="O174" s="333">
        <f>'Inputs by customer type'!O139</f>
        <v>394.4447274610601</v>
      </c>
      <c r="P174" s="333">
        <f>'Inputs by customer type'!P139</f>
        <v>16096.243491641466</v>
      </c>
      <c r="Q174" s="331"/>
      <c r="R174" s="331"/>
      <c r="S174" s="331"/>
      <c r="T174" s="331"/>
      <c r="U174" s="331"/>
      <c r="V174" s="331"/>
      <c r="W174" s="331"/>
      <c r="X174" s="331"/>
      <c r="Y174" s="331"/>
      <c r="AQ174" s="3"/>
    </row>
    <row r="175" spans="5:43" x14ac:dyDescent="0.3">
      <c r="E175" s="32"/>
      <c r="F175" s="72" t="s">
        <v>252</v>
      </c>
      <c r="G175" s="72" t="s">
        <v>251</v>
      </c>
      <c r="J175" s="331"/>
      <c r="K175" s="331"/>
      <c r="L175" s="333">
        <f>'Inputs by customer type'!L140</f>
        <v>0</v>
      </c>
      <c r="M175" s="331"/>
      <c r="N175" s="333">
        <f>'Inputs by customer type'!N140</f>
        <v>233.81614368382117</v>
      </c>
      <c r="O175" s="333">
        <f>'Inputs by customer type'!O140</f>
        <v>0</v>
      </c>
      <c r="P175" s="333">
        <f>'Inputs by customer type'!P140</f>
        <v>174.24951597603749</v>
      </c>
      <c r="Q175" s="331"/>
      <c r="R175" s="331"/>
      <c r="S175" s="331"/>
      <c r="T175" s="331"/>
      <c r="U175" s="331"/>
      <c r="V175" s="331"/>
      <c r="W175" s="331"/>
      <c r="X175" s="331"/>
      <c r="Y175" s="331"/>
      <c r="AQ175" s="3"/>
    </row>
    <row r="176" spans="5:43" x14ac:dyDescent="0.3">
      <c r="E176" s="32"/>
      <c r="F176" s="80" t="s">
        <v>253</v>
      </c>
      <c r="G176" s="80" t="s">
        <v>254</v>
      </c>
      <c r="H176" s="37"/>
      <c r="I176" s="37"/>
      <c r="J176" s="81"/>
      <c r="K176" s="81"/>
      <c r="L176" s="125">
        <f>'Inputs by customer type'!L141</f>
        <v>0</v>
      </c>
      <c r="M176" s="81"/>
      <c r="N176" s="125">
        <f>'Inputs by customer type'!N141</f>
        <v>3052.248017786932</v>
      </c>
      <c r="O176" s="125">
        <f>'Inputs by customer type'!O141</f>
        <v>73.074354404064792</v>
      </c>
      <c r="P176" s="125">
        <f>'Inputs by customer type'!P141</f>
        <v>465.66098256344367</v>
      </c>
      <c r="Q176" s="81"/>
      <c r="R176" s="81"/>
      <c r="S176" s="81"/>
      <c r="T176" s="81"/>
      <c r="U176" s="81"/>
      <c r="V176" s="81"/>
      <c r="W176" s="81"/>
      <c r="X176" s="81"/>
      <c r="Y176" s="81"/>
      <c r="AQ176" s="3"/>
    </row>
    <row r="177" spans="5:43" x14ac:dyDescent="0.3">
      <c r="AQ177" s="3"/>
    </row>
    <row r="178" spans="5:43" x14ac:dyDescent="0.3">
      <c r="E178" s="32" t="s">
        <v>959</v>
      </c>
      <c r="G178" s="13"/>
      <c r="I178" t="s">
        <v>154</v>
      </c>
      <c r="AQ178" s="3"/>
    </row>
    <row r="179" spans="5:43" x14ac:dyDescent="0.3">
      <c r="E179" s="32"/>
      <c r="F179" s="78" t="s">
        <v>247</v>
      </c>
      <c r="G179" s="78" t="s">
        <v>207</v>
      </c>
      <c r="H179" s="23"/>
      <c r="I179" s="23"/>
      <c r="J179" s="83"/>
      <c r="K179" s="83"/>
      <c r="L179" s="124">
        <f>'Inputs by customer type'!L144</f>
        <v>714.76278719221432</v>
      </c>
      <c r="M179" s="83"/>
      <c r="N179" s="124">
        <f>'Inputs by customer type'!N144</f>
        <v>4108.7662319291576</v>
      </c>
      <c r="O179" s="124">
        <f>'Inputs by customer type'!O144</f>
        <v>106.1581905069866</v>
      </c>
      <c r="P179" s="124">
        <f>'Inputs by customer type'!P144</f>
        <v>1469.2593128454439</v>
      </c>
      <c r="Q179" s="83"/>
      <c r="R179" s="83"/>
      <c r="S179" s="83"/>
      <c r="T179" s="83"/>
      <c r="U179" s="83"/>
      <c r="V179" s="83"/>
      <c r="W179" s="83"/>
      <c r="X179" s="83"/>
      <c r="Y179" s="83"/>
      <c r="AQ179" s="3"/>
    </row>
    <row r="180" spans="5:43" x14ac:dyDescent="0.3">
      <c r="E180" s="32"/>
      <c r="F180" s="72" t="s">
        <v>248</v>
      </c>
      <c r="G180" s="72" t="s">
        <v>207</v>
      </c>
      <c r="J180" s="331"/>
      <c r="K180" s="331"/>
      <c r="L180" s="333">
        <f>'Inputs by customer type'!L145</f>
        <v>2986.6041008902475</v>
      </c>
      <c r="M180" s="331"/>
      <c r="N180" s="333">
        <f>'Inputs by customer type'!N145</f>
        <v>14664.04175966706</v>
      </c>
      <c r="O180" s="333">
        <f>'Inputs by customer type'!O145</f>
        <v>400.53274299241258</v>
      </c>
      <c r="P180" s="333">
        <f>'Inputs by customer type'!P145</f>
        <v>5368.4009686906647</v>
      </c>
      <c r="Q180" s="331"/>
      <c r="R180" s="331"/>
      <c r="S180" s="331"/>
      <c r="T180" s="331"/>
      <c r="U180" s="331"/>
      <c r="V180" s="331"/>
      <c r="W180" s="331"/>
      <c r="X180" s="331"/>
      <c r="Y180" s="331"/>
      <c r="AQ180" s="3"/>
    </row>
    <row r="181" spans="5:43" x14ac:dyDescent="0.3">
      <c r="E181" s="32"/>
      <c r="F181" s="72" t="s">
        <v>249</v>
      </c>
      <c r="G181" s="72" t="s">
        <v>207</v>
      </c>
      <c r="J181" s="331"/>
      <c r="K181" s="331"/>
      <c r="L181" s="333">
        <f>'Inputs by customer type'!L146</f>
        <v>2806.1686759171712</v>
      </c>
      <c r="M181" s="331"/>
      <c r="N181" s="333">
        <f>'Inputs by customer type'!N146</f>
        <v>17396.335972129404</v>
      </c>
      <c r="O181" s="333">
        <f>'Inputs by customer type'!O146</f>
        <v>543.46215015762846</v>
      </c>
      <c r="P181" s="333">
        <f>'Inputs by customer type'!P146</f>
        <v>7383.4939286058006</v>
      </c>
      <c r="Q181" s="331"/>
      <c r="R181" s="331"/>
      <c r="S181" s="331"/>
      <c r="T181" s="331"/>
      <c r="U181" s="331"/>
      <c r="V181" s="331"/>
      <c r="W181" s="331"/>
      <c r="X181" s="331"/>
      <c r="Y181" s="331"/>
      <c r="AQ181" s="3"/>
    </row>
    <row r="182" spans="5:43" x14ac:dyDescent="0.3">
      <c r="E182" s="32"/>
      <c r="F182" s="72" t="s">
        <v>212</v>
      </c>
      <c r="G182" s="72" t="s">
        <v>212</v>
      </c>
      <c r="J182" s="331"/>
      <c r="K182" s="331"/>
      <c r="L182" s="333">
        <f>'Inputs by customer type'!L147</f>
        <v>263.31754885346095</v>
      </c>
      <c r="M182" s="331"/>
      <c r="N182" s="333">
        <f>'Inputs by customer type'!N147</f>
        <v>78.642124034947344</v>
      </c>
      <c r="O182" s="333">
        <f>'Inputs by customer type'!O147</f>
        <v>2.3316861924901473</v>
      </c>
      <c r="P182" s="333">
        <f>'Inputs by customer type'!P147</f>
        <v>3.6517041191014741</v>
      </c>
      <c r="Q182" s="331"/>
      <c r="R182" s="331"/>
      <c r="S182" s="331"/>
      <c r="T182" s="331"/>
      <c r="U182" s="331"/>
      <c r="V182" s="331"/>
      <c r="W182" s="331"/>
      <c r="X182" s="331"/>
      <c r="Y182" s="331"/>
      <c r="AQ182" s="3"/>
    </row>
    <row r="183" spans="5:43" x14ac:dyDescent="0.3">
      <c r="E183" s="32"/>
      <c r="F183" s="72" t="s">
        <v>250</v>
      </c>
      <c r="G183" s="72" t="s">
        <v>251</v>
      </c>
      <c r="J183" s="331"/>
      <c r="K183" s="331"/>
      <c r="L183" s="333">
        <f>'Inputs by customer type'!L148</f>
        <v>0</v>
      </c>
      <c r="M183" s="331"/>
      <c r="N183" s="333">
        <f>'Inputs by customer type'!N148</f>
        <v>27879.379818160778</v>
      </c>
      <c r="O183" s="333">
        <f>'Inputs by customer type'!O148</f>
        <v>720.48362100890699</v>
      </c>
      <c r="P183" s="333">
        <f>'Inputs by customer type'!P148</f>
        <v>8411.1983133069025</v>
      </c>
      <c r="Q183" s="331"/>
      <c r="R183" s="331"/>
      <c r="S183" s="331"/>
      <c r="T183" s="331"/>
      <c r="U183" s="331"/>
      <c r="V183" s="331"/>
      <c r="W183" s="331"/>
      <c r="X183" s="331"/>
      <c r="Y183" s="331"/>
      <c r="AQ183" s="3"/>
    </row>
    <row r="184" spans="5:43" x14ac:dyDescent="0.3">
      <c r="E184" s="32"/>
      <c r="F184" s="72" t="s">
        <v>252</v>
      </c>
      <c r="G184" s="72" t="s">
        <v>251</v>
      </c>
      <c r="J184" s="331"/>
      <c r="K184" s="331"/>
      <c r="L184" s="333">
        <f>'Inputs by customer type'!L149</f>
        <v>0</v>
      </c>
      <c r="M184" s="331"/>
      <c r="N184" s="333">
        <f>'Inputs by customer type'!N149</f>
        <v>129.91511559125925</v>
      </c>
      <c r="O184" s="333">
        <f>'Inputs by customer type'!O149</f>
        <v>0</v>
      </c>
      <c r="P184" s="333">
        <f>'Inputs by customer type'!P149</f>
        <v>91.055235069802407</v>
      </c>
      <c r="Q184" s="331"/>
      <c r="R184" s="331"/>
      <c r="S184" s="331"/>
      <c r="T184" s="331"/>
      <c r="U184" s="331"/>
      <c r="V184" s="331"/>
      <c r="W184" s="331"/>
      <c r="X184" s="331"/>
      <c r="Y184" s="331"/>
      <c r="AQ184" s="3"/>
    </row>
    <row r="185" spans="5:43" x14ac:dyDescent="0.3">
      <c r="E185" s="32"/>
      <c r="F185" s="80" t="s">
        <v>253</v>
      </c>
      <c r="G185" s="80" t="s">
        <v>254</v>
      </c>
      <c r="H185" s="37"/>
      <c r="I185" s="37"/>
      <c r="J185" s="81"/>
      <c r="K185" s="81"/>
      <c r="L185" s="125">
        <f>'Inputs by customer type'!L150</f>
        <v>0</v>
      </c>
      <c r="M185" s="81"/>
      <c r="N185" s="125">
        <f>'Inputs by customer type'!N150</f>
        <v>1647.9785229978493</v>
      </c>
      <c r="O185" s="125">
        <f>'Inputs by customer type'!O150</f>
        <v>131.74108912426547</v>
      </c>
      <c r="P185" s="125">
        <f>'Inputs by customer type'!P150</f>
        <v>254.77138358471282</v>
      </c>
      <c r="Q185" s="81"/>
      <c r="R185" s="81"/>
      <c r="S185" s="81"/>
      <c r="T185" s="81"/>
      <c r="U185" s="81"/>
      <c r="V185" s="81"/>
      <c r="W185" s="81"/>
      <c r="X185" s="81"/>
      <c r="Y185" s="81"/>
      <c r="AQ185" s="3"/>
    </row>
    <row r="186" spans="5:43" x14ac:dyDescent="0.3">
      <c r="AQ186" s="3"/>
    </row>
    <row r="187" spans="5:43" x14ac:dyDescent="0.3">
      <c r="E187" s="32" t="s">
        <v>960</v>
      </c>
      <c r="G187" s="13"/>
      <c r="I187" t="s">
        <v>154</v>
      </c>
      <c r="AQ187" s="3"/>
    </row>
    <row r="188" spans="5:43" x14ac:dyDescent="0.3">
      <c r="E188" s="32"/>
      <c r="F188" s="78" t="s">
        <v>247</v>
      </c>
      <c r="G188" s="78" t="s">
        <v>207</v>
      </c>
      <c r="H188" s="23"/>
      <c r="I188" s="23"/>
      <c r="J188" s="83"/>
      <c r="K188" s="83"/>
      <c r="L188" s="124">
        <f>'Inputs by customer type'!L153</f>
        <v>2304.1746476211338</v>
      </c>
      <c r="M188" s="83"/>
      <c r="N188" s="124">
        <f>'Inputs by customer type'!N153</f>
        <v>4041.3700989201598</v>
      </c>
      <c r="O188" s="124">
        <f>'Inputs by customer type'!O153</f>
        <v>1221.2241561571352</v>
      </c>
      <c r="P188" s="124">
        <f>'Inputs by customer type'!P153</f>
        <v>4670.1389038740672</v>
      </c>
      <c r="Q188" s="83"/>
      <c r="R188" s="83"/>
      <c r="S188" s="83"/>
      <c r="T188" s="83"/>
      <c r="U188" s="83"/>
      <c r="V188" s="83"/>
      <c r="W188" s="83"/>
      <c r="X188" s="83"/>
      <c r="Y188" s="83"/>
      <c r="AQ188" s="3"/>
    </row>
    <row r="189" spans="5:43" x14ac:dyDescent="0.3">
      <c r="E189" s="32"/>
      <c r="F189" s="72" t="s">
        <v>248</v>
      </c>
      <c r="G189" s="72" t="s">
        <v>207</v>
      </c>
      <c r="J189" s="331"/>
      <c r="K189" s="331"/>
      <c r="L189" s="333">
        <f>'Inputs by customer type'!L154</f>
        <v>9627.8899448384436</v>
      </c>
      <c r="M189" s="331"/>
      <c r="N189" s="333">
        <f>'Inputs by customer type'!N154</f>
        <v>14423.507338116386</v>
      </c>
      <c r="O189" s="333">
        <f>'Inputs by customer type'!O154</f>
        <v>4607.6544705424303</v>
      </c>
      <c r="P189" s="333">
        <f>'Inputs by customer type'!P154</f>
        <v>17063.821203163487</v>
      </c>
      <c r="Q189" s="331"/>
      <c r="R189" s="331"/>
      <c r="S189" s="331"/>
      <c r="T189" s="331"/>
      <c r="U189" s="331"/>
      <c r="V189" s="331"/>
      <c r="W189" s="331"/>
      <c r="X189" s="331"/>
      <c r="Y189" s="331"/>
      <c r="AQ189" s="3"/>
    </row>
    <row r="190" spans="5:43" x14ac:dyDescent="0.3">
      <c r="E190" s="32"/>
      <c r="F190" s="72" t="s">
        <v>249</v>
      </c>
      <c r="G190" s="72" t="s">
        <v>207</v>
      </c>
      <c r="J190" s="331"/>
      <c r="K190" s="331"/>
      <c r="L190" s="333">
        <f>'Inputs by customer type'!L155</f>
        <v>9046.2218177260784</v>
      </c>
      <c r="M190" s="331"/>
      <c r="N190" s="333">
        <f>'Inputs by customer type'!N155</f>
        <v>17110.983701675126</v>
      </c>
      <c r="O190" s="333">
        <f>'Inputs by customer type'!O155</f>
        <v>6251.8878907031922</v>
      </c>
      <c r="P190" s="333">
        <f>'Inputs by customer type'!P155</f>
        <v>23468.928827628395</v>
      </c>
      <c r="Q190" s="331"/>
      <c r="R190" s="331"/>
      <c r="S190" s="331"/>
      <c r="T190" s="331"/>
      <c r="U190" s="331"/>
      <c r="V190" s="331"/>
      <c r="W190" s="331"/>
      <c r="X190" s="331"/>
      <c r="Y190" s="331"/>
      <c r="AQ190" s="3"/>
    </row>
    <row r="191" spans="5:43" x14ac:dyDescent="0.3">
      <c r="E191" s="32"/>
      <c r="F191" s="72" t="s">
        <v>212</v>
      </c>
      <c r="G191" s="72" t="s">
        <v>212</v>
      </c>
      <c r="J191" s="331"/>
      <c r="K191" s="331"/>
      <c r="L191" s="333">
        <f>'Inputs by customer type'!L156</f>
        <v>263.24164842862751</v>
      </c>
      <c r="M191" s="331"/>
      <c r="N191" s="333">
        <f>'Inputs by customer type'!N156</f>
        <v>49.574853700034836</v>
      </c>
      <c r="O191" s="333">
        <f>'Inputs by customer type'!O156</f>
        <v>17.876260809091129</v>
      </c>
      <c r="P191" s="333">
        <f>'Inputs by customer type'!P156</f>
        <v>3.7627356632633431</v>
      </c>
      <c r="Q191" s="331"/>
      <c r="R191" s="331"/>
      <c r="S191" s="331"/>
      <c r="T191" s="331"/>
      <c r="U191" s="331"/>
      <c r="V191" s="331"/>
      <c r="W191" s="331"/>
      <c r="X191" s="331"/>
      <c r="Y191" s="331"/>
      <c r="AQ191" s="3"/>
    </row>
    <row r="192" spans="5:43" x14ac:dyDescent="0.3">
      <c r="E192" s="32"/>
      <c r="F192" s="72" t="s">
        <v>250</v>
      </c>
      <c r="G192" s="72" t="s">
        <v>251</v>
      </c>
      <c r="J192" s="331"/>
      <c r="K192" s="331"/>
      <c r="L192" s="333">
        <f>'Inputs by customer type'!L157</f>
        <v>0</v>
      </c>
      <c r="M192" s="331"/>
      <c r="N192" s="333">
        <f>'Inputs by customer type'!N157</f>
        <v>28608.764115326172</v>
      </c>
      <c r="O192" s="333">
        <f>'Inputs by customer type'!O157</f>
        <v>13719.291358833447</v>
      </c>
      <c r="P192" s="333">
        <f>'Inputs by customer type'!P157</f>
        <v>25627.557429639197</v>
      </c>
      <c r="Q192" s="331"/>
      <c r="R192" s="331"/>
      <c r="S192" s="331"/>
      <c r="T192" s="331"/>
      <c r="U192" s="331"/>
      <c r="V192" s="331"/>
      <c r="W192" s="331"/>
      <c r="X192" s="331"/>
      <c r="Y192" s="331"/>
      <c r="AQ192" s="3"/>
    </row>
    <row r="193" spans="4:43" x14ac:dyDescent="0.3">
      <c r="E193" s="32"/>
      <c r="F193" s="72" t="s">
        <v>252</v>
      </c>
      <c r="G193" s="72" t="s">
        <v>251</v>
      </c>
      <c r="J193" s="331"/>
      <c r="K193" s="331"/>
      <c r="L193" s="333">
        <f>'Inputs by customer type'!L158</f>
        <v>0</v>
      </c>
      <c r="M193" s="331"/>
      <c r="N193" s="333">
        <f>'Inputs by customer type'!N158</f>
        <v>133.31397330957071</v>
      </c>
      <c r="O193" s="333">
        <f>'Inputs by customer type'!O158</f>
        <v>0</v>
      </c>
      <c r="P193" s="333">
        <f>'Inputs by customer type'!P158</f>
        <v>277.43053713629803</v>
      </c>
      <c r="Q193" s="331"/>
      <c r="R193" s="331"/>
      <c r="S193" s="331"/>
      <c r="T193" s="331"/>
      <c r="U193" s="331"/>
      <c r="V193" s="331"/>
      <c r="W193" s="331"/>
      <c r="X193" s="331"/>
      <c r="Y193" s="331"/>
      <c r="AQ193" s="3"/>
    </row>
    <row r="194" spans="4:43" x14ac:dyDescent="0.3">
      <c r="E194" s="32"/>
      <c r="F194" s="80" t="s">
        <v>253</v>
      </c>
      <c r="G194" s="80" t="s">
        <v>254</v>
      </c>
      <c r="H194" s="37"/>
      <c r="I194" s="37"/>
      <c r="J194" s="81"/>
      <c r="K194" s="81"/>
      <c r="L194" s="125">
        <f>'Inputs by customer type'!L159</f>
        <v>0</v>
      </c>
      <c r="M194" s="81"/>
      <c r="N194" s="125">
        <f>'Inputs by customer type'!N159</f>
        <v>1620.9467150383618</v>
      </c>
      <c r="O194" s="125">
        <f>'Inputs by customer type'!O159</f>
        <v>1515.5250822254236</v>
      </c>
      <c r="P194" s="125">
        <f>'Inputs by customer type'!P159</f>
        <v>809.80786690984269</v>
      </c>
      <c r="Q194" s="81"/>
      <c r="R194" s="81"/>
      <c r="S194" s="81"/>
      <c r="T194" s="81"/>
      <c r="U194" s="81"/>
      <c r="V194" s="81"/>
      <c r="W194" s="81"/>
      <c r="X194" s="81"/>
      <c r="Y194" s="81"/>
      <c r="AQ194" s="3"/>
    </row>
    <row r="195" spans="4:43" x14ac:dyDescent="0.3">
      <c r="AQ195" s="3"/>
    </row>
    <row r="196" spans="4:43" x14ac:dyDescent="0.3">
      <c r="D196" s="29" t="s">
        <v>967</v>
      </c>
      <c r="AQ196" s="3"/>
    </row>
    <row r="197" spans="4:43" x14ac:dyDescent="0.3">
      <c r="AQ197" s="3"/>
    </row>
    <row r="198" spans="4:43" x14ac:dyDescent="0.3">
      <c r="E198" s="32" t="s">
        <v>245</v>
      </c>
      <c r="G198" s="13"/>
      <c r="I198" t="s">
        <v>154</v>
      </c>
      <c r="AA198" t="s">
        <v>246</v>
      </c>
    </row>
    <row r="199" spans="4:43" x14ac:dyDescent="0.3">
      <c r="E199" s="32"/>
      <c r="F199" s="78" t="s">
        <v>247</v>
      </c>
      <c r="G199" s="78" t="s">
        <v>207</v>
      </c>
      <c r="H199" s="23"/>
      <c r="I199" s="23"/>
      <c r="J199" s="126">
        <f t="shared" ref="J199:Y199" si="2">SUM( J67, J76, J85, J94, J58 )</f>
        <v>908173.56228729698</v>
      </c>
      <c r="K199" s="126">
        <f t="shared" si="2"/>
        <v>79.092618502232185</v>
      </c>
      <c r="L199" s="126">
        <f t="shared" si="2"/>
        <v>291898.35954547604</v>
      </c>
      <c r="M199" s="126">
        <f t="shared" si="2"/>
        <v>127.63198085068298</v>
      </c>
      <c r="N199" s="126">
        <f t="shared" si="2"/>
        <v>253931.05052142486</v>
      </c>
      <c r="O199" s="126">
        <f t="shared" si="2"/>
        <v>20139.456231826349</v>
      </c>
      <c r="P199" s="126">
        <f t="shared" si="2"/>
        <v>656809.7175956564</v>
      </c>
      <c r="Q199" s="126">
        <f t="shared" si="2"/>
        <v>9658.0802606626021</v>
      </c>
      <c r="R199" s="126">
        <f t="shared" si="2"/>
        <v>124.04293104575001</v>
      </c>
      <c r="S199" s="126">
        <f t="shared" si="2"/>
        <v>0</v>
      </c>
      <c r="T199" s="126">
        <f t="shared" si="2"/>
        <v>4277.9371551869754</v>
      </c>
      <c r="U199" s="126">
        <f t="shared" si="2"/>
        <v>0</v>
      </c>
      <c r="V199" s="126">
        <f t="shared" si="2"/>
        <v>907.20921076491038</v>
      </c>
      <c r="W199" s="126">
        <f t="shared" si="2"/>
        <v>0</v>
      </c>
      <c r="X199" s="126">
        <f t="shared" si="2"/>
        <v>81186.840431867386</v>
      </c>
      <c r="Y199" s="126">
        <f t="shared" si="2"/>
        <v>0</v>
      </c>
    </row>
    <row r="200" spans="4:43" x14ac:dyDescent="0.3">
      <c r="E200" s="32"/>
      <c r="F200" s="72" t="s">
        <v>248</v>
      </c>
      <c r="G200" s="72" t="s">
        <v>207</v>
      </c>
      <c r="J200" s="330">
        <f t="shared" ref="J200:Y200" si="3">SUM( J68, J77, J86, J95, J59 )</f>
        <v>2700660.7423146009</v>
      </c>
      <c r="K200" s="330">
        <f t="shared" si="3"/>
        <v>3392.6048671577928</v>
      </c>
      <c r="L200" s="330">
        <f t="shared" si="3"/>
        <v>1198254.7774260878</v>
      </c>
      <c r="M200" s="330">
        <f t="shared" si="3"/>
        <v>959.76246317801258</v>
      </c>
      <c r="N200" s="330">
        <f t="shared" si="3"/>
        <v>974326.69774088101</v>
      </c>
      <c r="O200" s="330">
        <f t="shared" si="3"/>
        <v>53212.131193247391</v>
      </c>
      <c r="P200" s="330">
        <f t="shared" si="3"/>
        <v>2545049.41412629</v>
      </c>
      <c r="Q200" s="425">
        <f t="shared" si="3"/>
        <v>48862.829823812179</v>
      </c>
      <c r="R200" s="425">
        <f t="shared" si="3"/>
        <v>667.41170453977281</v>
      </c>
      <c r="S200" s="425">
        <f t="shared" si="3"/>
        <v>0</v>
      </c>
      <c r="T200" s="330">
        <f t="shared" si="3"/>
        <v>21422.814813085839</v>
      </c>
      <c r="U200" s="330">
        <f t="shared" si="3"/>
        <v>0</v>
      </c>
      <c r="V200" s="330">
        <f t="shared" si="3"/>
        <v>3604.4281560365216</v>
      </c>
      <c r="W200" s="330">
        <f t="shared" si="3"/>
        <v>0</v>
      </c>
      <c r="X200" s="330">
        <f t="shared" si="3"/>
        <v>281566.89250858821</v>
      </c>
      <c r="Y200" s="330">
        <f t="shared" si="3"/>
        <v>0</v>
      </c>
    </row>
    <row r="201" spans="4:43" x14ac:dyDescent="0.3">
      <c r="E201" s="32"/>
      <c r="F201" s="72" t="s">
        <v>249</v>
      </c>
      <c r="G201" s="72" t="s">
        <v>207</v>
      </c>
      <c r="J201" s="330">
        <f t="shared" ref="J201:Y201" si="4">SUM( J69, J78, J87, J96, J60 )</f>
        <v>4472740.9997048797</v>
      </c>
      <c r="K201" s="330">
        <f t="shared" si="4"/>
        <v>13095.75106613846</v>
      </c>
      <c r="L201" s="330">
        <f t="shared" si="4"/>
        <v>1227632.4621005473</v>
      </c>
      <c r="M201" s="330">
        <f t="shared" si="4"/>
        <v>2930.5689204763953</v>
      </c>
      <c r="N201" s="330">
        <f t="shared" si="4"/>
        <v>1039689.5665827426</v>
      </c>
      <c r="O201" s="330">
        <f t="shared" si="4"/>
        <v>54852.621771230217</v>
      </c>
      <c r="P201" s="330">
        <f t="shared" si="4"/>
        <v>3358085.2746495595</v>
      </c>
      <c r="Q201" s="425">
        <f t="shared" si="4"/>
        <v>187359.28019489619</v>
      </c>
      <c r="R201" s="425">
        <f t="shared" si="4"/>
        <v>329.05439631479078</v>
      </c>
      <c r="S201" s="425">
        <f t="shared" si="4"/>
        <v>0</v>
      </c>
      <c r="T201" s="330">
        <f t="shared" si="4"/>
        <v>21453.635266692032</v>
      </c>
      <c r="U201" s="330">
        <f t="shared" si="4"/>
        <v>0</v>
      </c>
      <c r="V201" s="330">
        <f t="shared" si="4"/>
        <v>5426.3333985064392</v>
      </c>
      <c r="W201" s="330">
        <f t="shared" si="4"/>
        <v>0</v>
      </c>
      <c r="X201" s="330">
        <f t="shared" si="4"/>
        <v>341773.46231736481</v>
      </c>
      <c r="Y201" s="330">
        <f t="shared" si="4"/>
        <v>0</v>
      </c>
    </row>
    <row r="202" spans="4:43" x14ac:dyDescent="0.3">
      <c r="E202" s="32"/>
      <c r="F202" s="72" t="s">
        <v>212</v>
      </c>
      <c r="G202" s="72" t="s">
        <v>212</v>
      </c>
      <c r="J202" s="330">
        <f t="shared" ref="J202:Y202" si="5">SUM( J70, J79, J88, J97, J61 )</f>
        <v>2316983.3909131573</v>
      </c>
      <c r="K202" s="330">
        <f t="shared" si="5"/>
        <v>0</v>
      </c>
      <c r="L202" s="330">
        <f t="shared" si="5"/>
        <v>185735.31122140857</v>
      </c>
      <c r="M202" s="330">
        <f t="shared" si="5"/>
        <v>0</v>
      </c>
      <c r="N202" s="330">
        <f t="shared" si="5"/>
        <v>14657.633911072935</v>
      </c>
      <c r="O202" s="330">
        <f t="shared" si="5"/>
        <v>381.28905051971287</v>
      </c>
      <c r="P202" s="330">
        <f t="shared" si="5"/>
        <v>4090.2236564655227</v>
      </c>
      <c r="Q202" s="330">
        <f t="shared" si="5"/>
        <v>29.475632524712577</v>
      </c>
      <c r="R202" s="330">
        <f t="shared" si="5"/>
        <v>0</v>
      </c>
      <c r="S202" s="330">
        <f t="shared" si="5"/>
        <v>0</v>
      </c>
      <c r="T202" s="330">
        <f t="shared" si="5"/>
        <v>654.93140614185506</v>
      </c>
      <c r="U202" s="330">
        <f t="shared" si="5"/>
        <v>0</v>
      </c>
      <c r="V202" s="330">
        <f t="shared" si="5"/>
        <v>27.058064434890188</v>
      </c>
      <c r="W202" s="330">
        <f t="shared" si="5"/>
        <v>0</v>
      </c>
      <c r="X202" s="330">
        <f t="shared" si="5"/>
        <v>316.31557457887271</v>
      </c>
      <c r="Y202" s="330">
        <f t="shared" si="5"/>
        <v>0</v>
      </c>
    </row>
    <row r="203" spans="4:43" x14ac:dyDescent="0.3">
      <c r="E203" s="32"/>
      <c r="F203" s="72" t="s">
        <v>250</v>
      </c>
      <c r="G203" s="72" t="s">
        <v>251</v>
      </c>
      <c r="J203" s="79"/>
      <c r="K203" s="79"/>
      <c r="L203" s="79"/>
      <c r="M203" s="79"/>
      <c r="N203" s="330">
        <f t="shared" ref="N203:P205" si="6">SUM( N71, N80, N89, N98, N62 )</f>
        <v>1535884.7561643836</v>
      </c>
      <c r="O203" s="330">
        <f t="shared" si="6"/>
        <v>164327.49380474005</v>
      </c>
      <c r="P203" s="330">
        <f t="shared" si="6"/>
        <v>2910845.656945304</v>
      </c>
      <c r="Q203" s="79"/>
      <c r="R203" s="79"/>
      <c r="S203" s="79"/>
      <c r="T203" s="79"/>
      <c r="U203" s="79"/>
      <c r="V203" s="79"/>
      <c r="W203" s="79"/>
      <c r="X203" s="79"/>
      <c r="Y203" s="79"/>
    </row>
    <row r="204" spans="4:43" x14ac:dyDescent="0.3">
      <c r="E204" s="32"/>
      <c r="F204" s="72" t="s">
        <v>252</v>
      </c>
      <c r="G204" s="72" t="s">
        <v>251</v>
      </c>
      <c r="J204" s="79"/>
      <c r="K204" s="79"/>
      <c r="L204" s="79"/>
      <c r="M204" s="79"/>
      <c r="N204" s="330">
        <f t="shared" si="6"/>
        <v>31832.940594459065</v>
      </c>
      <c r="O204" s="330">
        <f t="shared" si="6"/>
        <v>315.97343605843048</v>
      </c>
      <c r="P204" s="330">
        <f t="shared" si="6"/>
        <v>37750.303656608834</v>
      </c>
      <c r="Q204" s="79"/>
      <c r="R204" s="79"/>
      <c r="S204" s="79"/>
      <c r="T204" s="79"/>
      <c r="U204" s="79"/>
      <c r="V204" s="79"/>
      <c r="W204" s="79"/>
      <c r="X204" s="79"/>
      <c r="Y204" s="79"/>
    </row>
    <row r="205" spans="4:43" x14ac:dyDescent="0.3">
      <c r="E205" s="32"/>
      <c r="F205" s="80" t="s">
        <v>253</v>
      </c>
      <c r="G205" s="80" t="s">
        <v>254</v>
      </c>
      <c r="H205" s="37"/>
      <c r="I205" s="37"/>
      <c r="J205" s="81"/>
      <c r="K205" s="81"/>
      <c r="L205" s="81"/>
      <c r="M205" s="81"/>
      <c r="N205" s="100">
        <f t="shared" si="6"/>
        <v>288228.43559695699</v>
      </c>
      <c r="O205" s="100">
        <f t="shared" si="6"/>
        <v>14665.504197212982</v>
      </c>
      <c r="P205" s="100">
        <f t="shared" si="6"/>
        <v>728465.84224556806</v>
      </c>
      <c r="Q205" s="81"/>
      <c r="R205" s="81"/>
      <c r="S205" s="81"/>
      <c r="T205" s="100">
        <f>SUM( T73, T82, T91, T100, T64 )</f>
        <v>3604.9287740861882</v>
      </c>
      <c r="U205" s="81"/>
      <c r="V205" s="100">
        <f>SUM( V73, V82, V91, V100, V64 )</f>
        <v>199.32917063675237</v>
      </c>
      <c r="W205" s="81"/>
      <c r="X205" s="100">
        <f>SUM( X73, X82, X91, X100, X64 )</f>
        <v>26105.589426777409</v>
      </c>
      <c r="Y205" s="81"/>
    </row>
    <row r="206" spans="4:43" s="260" customFormat="1" x14ac:dyDescent="0.3">
      <c r="E206" s="261"/>
      <c r="F206" s="235"/>
      <c r="G206" s="235"/>
      <c r="J206" s="262"/>
      <c r="K206" s="262"/>
      <c r="L206" s="262"/>
      <c r="M206" s="262"/>
      <c r="N206" s="263"/>
      <c r="O206" s="263"/>
      <c r="P206" s="263"/>
      <c r="Q206" s="262"/>
      <c r="R206" s="262"/>
      <c r="S206" s="262"/>
      <c r="T206" s="263"/>
      <c r="U206" s="262"/>
      <c r="V206" s="263"/>
      <c r="W206" s="262"/>
      <c r="X206" s="263"/>
      <c r="Y206" s="262"/>
    </row>
    <row r="207" spans="4:43" x14ac:dyDescent="0.3">
      <c r="E207" s="32" t="s">
        <v>255</v>
      </c>
      <c r="G207" s="80"/>
      <c r="H207" s="37"/>
      <c r="I207" t="s">
        <v>154</v>
      </c>
      <c r="J207" s="82"/>
      <c r="K207" s="82"/>
      <c r="L207" s="82"/>
      <c r="M207" s="82"/>
      <c r="N207" s="82"/>
      <c r="O207" s="82"/>
      <c r="P207" s="82"/>
      <c r="Q207" s="82"/>
      <c r="R207" s="82"/>
      <c r="S207" s="82"/>
      <c r="T207" s="82"/>
      <c r="U207" s="82"/>
      <c r="V207" s="82"/>
      <c r="W207" s="82"/>
      <c r="X207" s="82"/>
      <c r="Y207" s="82"/>
      <c r="AA207" t="s">
        <v>246</v>
      </c>
    </row>
    <row r="208" spans="4:43" x14ac:dyDescent="0.3">
      <c r="E208" s="32"/>
      <c r="F208" s="78" t="s">
        <v>247</v>
      </c>
      <c r="G208" s="72" t="s">
        <v>207</v>
      </c>
      <c r="I208" s="23"/>
      <c r="J208" s="126">
        <f t="shared" ref="J208:N211" si="7">SUM( J114, J123, J132, J141, J105 )</f>
        <v>11244.916691828073</v>
      </c>
      <c r="K208" s="126">
        <f t="shared" si="7"/>
        <v>0</v>
      </c>
      <c r="L208" s="126">
        <f t="shared" si="7"/>
        <v>701.78748884702395</v>
      </c>
      <c r="M208" s="126">
        <f t="shared" si="7"/>
        <v>0</v>
      </c>
      <c r="N208" s="126">
        <f t="shared" si="7"/>
        <v>2270.8840399934716</v>
      </c>
      <c r="O208" s="83"/>
      <c r="P208" s="83"/>
      <c r="Q208" s="126">
        <f t="shared" ref="Q208:R211" si="8">SUM( Q114, Q123, Q132, Q141, Q105 )</f>
        <v>4.4788941885141398</v>
      </c>
      <c r="R208" s="126">
        <f t="shared" si="8"/>
        <v>1.4162400381651923</v>
      </c>
      <c r="S208" s="83"/>
      <c r="T208" s="126">
        <f>SUM( T114, T123, T132, T141, T105 )</f>
        <v>0</v>
      </c>
      <c r="U208" s="83"/>
      <c r="V208" s="83"/>
      <c r="W208" s="83"/>
      <c r="X208" s="83"/>
      <c r="Y208" s="83"/>
    </row>
    <row r="209" spans="5:27" x14ac:dyDescent="0.3">
      <c r="E209" s="32"/>
      <c r="F209" s="72" t="s">
        <v>248</v>
      </c>
      <c r="G209" s="72" t="s">
        <v>207</v>
      </c>
      <c r="J209" s="330">
        <f t="shared" si="7"/>
        <v>31905.391196577795</v>
      </c>
      <c r="K209" s="330">
        <f t="shared" si="7"/>
        <v>0</v>
      </c>
      <c r="L209" s="330">
        <f t="shared" si="7"/>
        <v>3015.8517831522058</v>
      </c>
      <c r="M209" s="330">
        <f t="shared" si="7"/>
        <v>0</v>
      </c>
      <c r="N209" s="330">
        <f t="shared" si="7"/>
        <v>8455.8005208697214</v>
      </c>
      <c r="O209" s="79"/>
      <c r="P209" s="79"/>
      <c r="Q209" s="425">
        <f t="shared" si="8"/>
        <v>207.65367753570459</v>
      </c>
      <c r="R209" s="425">
        <f t="shared" si="8"/>
        <v>7.6951102681025541</v>
      </c>
      <c r="S209" s="79"/>
      <c r="T209" s="330">
        <f>SUM( T115, T124, T133, T142, T106 )</f>
        <v>0</v>
      </c>
      <c r="U209" s="79"/>
      <c r="V209" s="79"/>
      <c r="W209" s="79"/>
      <c r="X209" s="79"/>
      <c r="Y209" s="79"/>
    </row>
    <row r="210" spans="5:27" x14ac:dyDescent="0.3">
      <c r="E210" s="32"/>
      <c r="F210" s="72" t="s">
        <v>249</v>
      </c>
      <c r="G210" s="72" t="s">
        <v>207</v>
      </c>
      <c r="J210" s="330">
        <f t="shared" si="7"/>
        <v>49515.527633638289</v>
      </c>
      <c r="K210" s="330">
        <f t="shared" si="7"/>
        <v>0</v>
      </c>
      <c r="L210" s="330">
        <f t="shared" si="7"/>
        <v>2967.1231847299796</v>
      </c>
      <c r="M210" s="330">
        <f t="shared" si="7"/>
        <v>0</v>
      </c>
      <c r="N210" s="330">
        <f t="shared" si="7"/>
        <v>11722.428011033584</v>
      </c>
      <c r="O210" s="79"/>
      <c r="P210" s="79"/>
      <c r="Q210" s="425">
        <f t="shared" si="8"/>
        <v>324.70153315126709</v>
      </c>
      <c r="R210" s="425">
        <f t="shared" si="8"/>
        <v>3.9412575596031192</v>
      </c>
      <c r="S210" s="79"/>
      <c r="T210" s="330">
        <f>SUM( T116, T125, T134, T143, T107 )</f>
        <v>0</v>
      </c>
      <c r="U210" s="79"/>
      <c r="V210" s="79"/>
      <c r="W210" s="79"/>
      <c r="X210" s="79"/>
      <c r="Y210" s="79"/>
    </row>
    <row r="211" spans="5:27" x14ac:dyDescent="0.3">
      <c r="E211" s="32"/>
      <c r="F211" s="72" t="s">
        <v>212</v>
      </c>
      <c r="G211" s="72" t="s">
        <v>212</v>
      </c>
      <c r="J211" s="330">
        <f t="shared" si="7"/>
        <v>30904.405938754266</v>
      </c>
      <c r="K211" s="330">
        <f t="shared" si="7"/>
        <v>0</v>
      </c>
      <c r="L211" s="330">
        <f t="shared" si="7"/>
        <v>517.59086196476539</v>
      </c>
      <c r="M211" s="330">
        <f t="shared" si="7"/>
        <v>0</v>
      </c>
      <c r="N211" s="330">
        <f t="shared" si="7"/>
        <v>88.647495414199938</v>
      </c>
      <c r="O211" s="79"/>
      <c r="P211" s="79"/>
      <c r="Q211" s="330">
        <f t="shared" si="8"/>
        <v>0</v>
      </c>
      <c r="R211" s="330">
        <f t="shared" si="8"/>
        <v>0</v>
      </c>
      <c r="S211" s="79"/>
      <c r="T211" s="330">
        <f>SUM( T117, T126, T135, T144, T108 )</f>
        <v>0</v>
      </c>
      <c r="U211" s="79"/>
      <c r="V211" s="79"/>
      <c r="W211" s="79"/>
      <c r="X211" s="79"/>
      <c r="Y211" s="79"/>
    </row>
    <row r="212" spans="5:27" x14ac:dyDescent="0.3">
      <c r="E212" s="32"/>
      <c r="F212" s="72" t="s">
        <v>250</v>
      </c>
      <c r="G212" s="72" t="s">
        <v>251</v>
      </c>
      <c r="J212" s="79"/>
      <c r="K212" s="79"/>
      <c r="L212" s="79"/>
      <c r="M212" s="79"/>
      <c r="N212" s="330">
        <f>SUM( N118, N127, N136, N145, N109 )</f>
        <v>17502.120744823085</v>
      </c>
      <c r="O212" s="79"/>
      <c r="P212" s="79"/>
      <c r="Q212" s="79"/>
      <c r="R212" s="79"/>
      <c r="S212" s="79"/>
      <c r="T212" s="79"/>
      <c r="U212" s="79"/>
      <c r="V212" s="79"/>
      <c r="W212" s="79"/>
      <c r="X212" s="79"/>
      <c r="Y212" s="79"/>
    </row>
    <row r="213" spans="5:27" x14ac:dyDescent="0.3">
      <c r="E213" s="32"/>
      <c r="F213" s="72" t="s">
        <v>252</v>
      </c>
      <c r="G213" s="72" t="s">
        <v>251</v>
      </c>
      <c r="J213" s="79"/>
      <c r="K213" s="79"/>
      <c r="L213" s="79"/>
      <c r="M213" s="79"/>
      <c r="N213" s="330">
        <f>SUM( N119, N128, N137, N146, N110 )</f>
        <v>47.168959938385179</v>
      </c>
      <c r="O213" s="79"/>
      <c r="P213" s="79"/>
      <c r="Q213" s="79"/>
      <c r="R213" s="79"/>
      <c r="S213" s="79"/>
      <c r="T213" s="79"/>
      <c r="U213" s="79"/>
      <c r="V213" s="79"/>
      <c r="W213" s="79"/>
      <c r="X213" s="79"/>
      <c r="Y213" s="79"/>
    </row>
    <row r="214" spans="5:27" x14ac:dyDescent="0.3">
      <c r="E214" s="32"/>
      <c r="F214" s="80" t="s">
        <v>253</v>
      </c>
      <c r="G214" s="80" t="s">
        <v>254</v>
      </c>
      <c r="H214" s="37"/>
      <c r="I214" s="37"/>
      <c r="J214" s="81"/>
      <c r="K214" s="81"/>
      <c r="L214" s="81"/>
      <c r="M214" s="81"/>
      <c r="N214" s="100">
        <f>SUM( N120, N129, N138, N147, N111 )</f>
        <v>3038.0927388347659</v>
      </c>
      <c r="O214" s="81"/>
      <c r="P214" s="81"/>
      <c r="Q214" s="81"/>
      <c r="R214" s="81"/>
      <c r="S214" s="81"/>
      <c r="T214" s="100">
        <f>SUM( T120, T129, T138, T147, T111 )</f>
        <v>0</v>
      </c>
      <c r="U214" s="81"/>
      <c r="V214" s="81"/>
      <c r="W214" s="81"/>
      <c r="X214" s="81"/>
      <c r="Y214" s="81"/>
    </row>
    <row r="215" spans="5:27" s="260" customFormat="1" x14ac:dyDescent="0.3">
      <c r="E215" s="261"/>
      <c r="F215" s="235"/>
      <c r="G215" s="235"/>
      <c r="J215" s="262"/>
      <c r="K215" s="262"/>
      <c r="L215" s="262"/>
      <c r="M215" s="262"/>
      <c r="N215" s="263"/>
      <c r="O215" s="262"/>
      <c r="P215" s="262"/>
      <c r="Q215" s="262"/>
      <c r="R215" s="262"/>
      <c r="S215" s="262"/>
      <c r="T215" s="263"/>
      <c r="U215" s="262"/>
      <c r="V215" s="262"/>
      <c r="W215" s="262"/>
      <c r="X215" s="262"/>
      <c r="Y215" s="262"/>
    </row>
    <row r="216" spans="5:27" x14ac:dyDescent="0.3">
      <c r="E216" s="32" t="s">
        <v>256</v>
      </c>
      <c r="G216" s="80"/>
      <c r="H216" s="37"/>
      <c r="I216" t="s">
        <v>154</v>
      </c>
      <c r="J216" s="82"/>
      <c r="K216" s="82"/>
      <c r="L216" s="82"/>
      <c r="M216" s="82"/>
      <c r="N216" s="82"/>
      <c r="O216" s="82"/>
      <c r="P216" s="82"/>
      <c r="Q216" s="82"/>
      <c r="R216" s="82"/>
      <c r="S216" s="82"/>
      <c r="T216" s="82"/>
      <c r="U216" s="82"/>
      <c r="V216" s="82"/>
      <c r="W216" s="82"/>
      <c r="X216" s="82"/>
      <c r="Y216" s="82"/>
      <c r="AA216" t="s">
        <v>246</v>
      </c>
    </row>
    <row r="217" spans="5:27" x14ac:dyDescent="0.3">
      <c r="F217" s="78" t="s">
        <v>247</v>
      </c>
      <c r="G217" s="72" t="s">
        <v>207</v>
      </c>
      <c r="I217" s="23"/>
      <c r="J217" s="126">
        <f t="shared" ref="J217:T217" si="9">SUM( J161, J170, J179, J188, J152 )</f>
        <v>23494.309373783628</v>
      </c>
      <c r="K217" s="126">
        <f t="shared" si="9"/>
        <v>0</v>
      </c>
      <c r="L217" s="126">
        <f t="shared" si="9"/>
        <v>3716.5507271134279</v>
      </c>
      <c r="M217" s="126">
        <f t="shared" si="9"/>
        <v>0</v>
      </c>
      <c r="N217" s="126">
        <f t="shared" si="9"/>
        <v>20852.41739491847</v>
      </c>
      <c r="O217" s="126">
        <f t="shared" si="9"/>
        <v>1397.7370346761409</v>
      </c>
      <c r="P217" s="126">
        <f t="shared" si="9"/>
        <v>10330.271719086217</v>
      </c>
      <c r="Q217" s="126">
        <f t="shared" si="9"/>
        <v>4.7499448082760933</v>
      </c>
      <c r="R217" s="126">
        <f t="shared" si="9"/>
        <v>0</v>
      </c>
      <c r="S217" s="126">
        <f t="shared" si="9"/>
        <v>0</v>
      </c>
      <c r="T217" s="126">
        <f t="shared" si="9"/>
        <v>2.405417066698996</v>
      </c>
      <c r="U217" s="83"/>
      <c r="V217" s="126">
        <f>SUM( V161, V170, V179, V188, V152 )</f>
        <v>0</v>
      </c>
      <c r="W217" s="83"/>
      <c r="X217" s="126">
        <f>SUM( X161, X170, X179, X188, X152 )</f>
        <v>5.5315659252622229</v>
      </c>
      <c r="Y217" s="83"/>
    </row>
    <row r="218" spans="5:27" x14ac:dyDescent="0.3">
      <c r="F218" s="72" t="s">
        <v>248</v>
      </c>
      <c r="G218" s="72" t="s">
        <v>207</v>
      </c>
      <c r="J218" s="330">
        <f t="shared" ref="J218:T218" si="10">SUM( J162, J171, J180, J189, J153 )</f>
        <v>66581.853503650185</v>
      </c>
      <c r="K218" s="330">
        <f t="shared" si="10"/>
        <v>0</v>
      </c>
      <c r="L218" s="330">
        <f t="shared" si="10"/>
        <v>15529.439754924755</v>
      </c>
      <c r="M218" s="330">
        <f t="shared" si="10"/>
        <v>0</v>
      </c>
      <c r="N218" s="330">
        <f t="shared" si="10"/>
        <v>74421.542187743631</v>
      </c>
      <c r="O218" s="330">
        <f t="shared" si="10"/>
        <v>5273.6340531734177</v>
      </c>
      <c r="P218" s="330">
        <f t="shared" si="10"/>
        <v>37744.896505831392</v>
      </c>
      <c r="Q218" s="425">
        <f t="shared" si="10"/>
        <v>310.64116500904521</v>
      </c>
      <c r="R218" s="425">
        <f t="shared" si="10"/>
        <v>0</v>
      </c>
      <c r="S218" s="425">
        <f t="shared" si="10"/>
        <v>0</v>
      </c>
      <c r="T218" s="330">
        <f t="shared" si="10"/>
        <v>13.065209505688999</v>
      </c>
      <c r="U218" s="79"/>
      <c r="V218" s="330">
        <f>SUM( V162, V171, V180, V189, V153 )</f>
        <v>0</v>
      </c>
      <c r="W218" s="79"/>
      <c r="X218" s="330">
        <f>SUM( X162, X171, X180, X189, X153 )</f>
        <v>3.5193669404444461E-2</v>
      </c>
      <c r="Y218" s="79"/>
    </row>
    <row r="219" spans="5:27" x14ac:dyDescent="0.3">
      <c r="F219" s="72" t="s">
        <v>249</v>
      </c>
      <c r="G219" s="72" t="s">
        <v>207</v>
      </c>
      <c r="J219" s="330">
        <f t="shared" ref="J219:T219" si="11">SUM( J163, J172, J181, J190, J154 )</f>
        <v>103298.46470504548</v>
      </c>
      <c r="K219" s="330">
        <f t="shared" si="11"/>
        <v>0</v>
      </c>
      <c r="L219" s="330">
        <f t="shared" si="11"/>
        <v>14591.230013319431</v>
      </c>
      <c r="M219" s="330">
        <f t="shared" si="11"/>
        <v>0</v>
      </c>
      <c r="N219" s="330">
        <f t="shared" si="11"/>
        <v>88288.220442941863</v>
      </c>
      <c r="O219" s="330">
        <f t="shared" si="11"/>
        <v>7155.5211198711077</v>
      </c>
      <c r="P219" s="330">
        <f t="shared" si="11"/>
        <v>51912.890972939334</v>
      </c>
      <c r="Q219" s="425">
        <f t="shared" si="11"/>
        <v>517.68074529552484</v>
      </c>
      <c r="R219" s="425">
        <f t="shared" si="11"/>
        <v>0</v>
      </c>
      <c r="S219" s="425">
        <f t="shared" si="11"/>
        <v>0</v>
      </c>
      <c r="T219" s="330">
        <f t="shared" si="11"/>
        <v>30.585567519526965</v>
      </c>
      <c r="U219" s="79"/>
      <c r="V219" s="330">
        <f>SUM( V163, V172, V181, V190, V154 )</f>
        <v>0</v>
      </c>
      <c r="W219" s="79"/>
      <c r="X219" s="330">
        <f>SUM( X163, X172, X181, X190, X154 )</f>
        <v>0</v>
      </c>
      <c r="Y219" s="79"/>
    </row>
    <row r="220" spans="5:27" x14ac:dyDescent="0.3">
      <c r="F220" s="72" t="s">
        <v>212</v>
      </c>
      <c r="G220" s="72" t="s">
        <v>212</v>
      </c>
      <c r="J220" s="330">
        <f t="shared" ref="J220:T220" si="12">SUM( J164, J173, J182, J191, J155 )</f>
        <v>65699.326539455738</v>
      </c>
      <c r="K220" s="330">
        <f t="shared" si="12"/>
        <v>0</v>
      </c>
      <c r="L220" s="330">
        <f t="shared" si="12"/>
        <v>1709.8942582011603</v>
      </c>
      <c r="M220" s="330">
        <f t="shared" si="12"/>
        <v>0</v>
      </c>
      <c r="N220" s="330">
        <f t="shared" si="12"/>
        <v>632.79269192292668</v>
      </c>
      <c r="O220" s="330">
        <f t="shared" si="12"/>
        <v>23.144144429161461</v>
      </c>
      <c r="P220" s="330">
        <f t="shared" si="12"/>
        <v>49.853163328679244</v>
      </c>
      <c r="Q220" s="330">
        <f t="shared" si="12"/>
        <v>0</v>
      </c>
      <c r="R220" s="330">
        <f t="shared" si="12"/>
        <v>0</v>
      </c>
      <c r="S220" s="330">
        <f t="shared" si="12"/>
        <v>0</v>
      </c>
      <c r="T220" s="330">
        <f t="shared" si="12"/>
        <v>2.7440506140904959</v>
      </c>
      <c r="U220" s="79"/>
      <c r="V220" s="330">
        <f>SUM( V164, V173, V182, V191, V155 )</f>
        <v>0</v>
      </c>
      <c r="W220" s="79"/>
      <c r="X220" s="330">
        <f>SUM( X164, X173, X182, X191, X155 )</f>
        <v>0.33569155719989663</v>
      </c>
      <c r="Y220" s="79"/>
    </row>
    <row r="221" spans="5:27" x14ac:dyDescent="0.3">
      <c r="F221" s="72" t="s">
        <v>250</v>
      </c>
      <c r="G221" s="72" t="s">
        <v>251</v>
      </c>
      <c r="J221" s="79"/>
      <c r="K221" s="79"/>
      <c r="L221" s="79"/>
      <c r="M221" s="79"/>
      <c r="N221" s="330">
        <f t="shared" ref="N221:P223" si="13">SUM( N165, N174, N183, N192, N156 )</f>
        <v>130455.34487511782</v>
      </c>
      <c r="O221" s="330">
        <f t="shared" si="13"/>
        <v>14873.824302774468</v>
      </c>
      <c r="P221" s="330">
        <f t="shared" si="13"/>
        <v>59859.218383008265</v>
      </c>
      <c r="Q221" s="79"/>
      <c r="R221" s="79"/>
      <c r="S221" s="79"/>
      <c r="T221" s="79"/>
      <c r="U221" s="79"/>
      <c r="V221" s="79"/>
      <c r="W221" s="79"/>
      <c r="X221" s="79"/>
      <c r="Y221" s="79"/>
    </row>
    <row r="222" spans="5:27" x14ac:dyDescent="0.3">
      <c r="F222" s="72" t="s">
        <v>252</v>
      </c>
      <c r="G222" s="72" t="s">
        <v>251</v>
      </c>
      <c r="J222" s="79"/>
      <c r="K222" s="79"/>
      <c r="L222" s="79"/>
      <c r="M222" s="79"/>
      <c r="N222" s="330">
        <f t="shared" si="13"/>
        <v>607.90883152674814</v>
      </c>
      <c r="O222" s="330">
        <f t="shared" si="13"/>
        <v>0</v>
      </c>
      <c r="P222" s="330">
        <f t="shared" si="13"/>
        <v>648.00460028822772</v>
      </c>
      <c r="Q222" s="79"/>
      <c r="R222" s="79"/>
      <c r="S222" s="79"/>
      <c r="T222" s="79"/>
      <c r="U222" s="79"/>
      <c r="V222" s="79"/>
      <c r="W222" s="79"/>
      <c r="X222" s="79"/>
      <c r="Y222" s="79"/>
    </row>
    <row r="223" spans="5:27" x14ac:dyDescent="0.3">
      <c r="F223" s="80" t="s">
        <v>253</v>
      </c>
      <c r="G223" s="80" t="s">
        <v>254</v>
      </c>
      <c r="H223" s="37"/>
      <c r="I223" s="37"/>
      <c r="J223" s="81"/>
      <c r="K223" s="81"/>
      <c r="L223" s="81"/>
      <c r="M223" s="81"/>
      <c r="N223" s="100">
        <f t="shared" si="13"/>
        <v>8363.6629780413623</v>
      </c>
      <c r="O223" s="100">
        <f t="shared" si="13"/>
        <v>1734.5755271274827</v>
      </c>
      <c r="P223" s="100">
        <f t="shared" si="13"/>
        <v>1791.2819035195582</v>
      </c>
      <c r="Q223" s="81"/>
      <c r="R223" s="81"/>
      <c r="S223" s="81"/>
      <c r="T223" s="100">
        <f>SUM( T167, T176, T185, T194, T158 )</f>
        <v>6.2683321206657237</v>
      </c>
      <c r="U223" s="81"/>
      <c r="V223" s="100">
        <f>SUM( V167, V176, V185, V194, V158 )</f>
        <v>0</v>
      </c>
      <c r="W223" s="81"/>
      <c r="X223" s="100">
        <f>SUM( X167, X176, X185, X194, X158 )</f>
        <v>2.5011575186284043</v>
      </c>
      <c r="Y223" s="81"/>
    </row>
    <row r="224" spans="5:27" x14ac:dyDescent="0.3">
      <c r="G224" s="13"/>
    </row>
    <row r="225" spans="3:43" x14ac:dyDescent="0.3">
      <c r="C225" s="31" t="str">
        <f ca="1">INDEX('Version control'!$H$34:$H$57,MATCH($A$1,'Version control'!$F$34:$F$57,0),1)&amp;"-C: Volume discounting"</f>
        <v>Section 104-C: Volume discounting</v>
      </c>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Q225" s="3"/>
    </row>
    <row r="226" spans="3:43" x14ac:dyDescent="0.3">
      <c r="C226" s="32"/>
      <c r="AQ226" s="3"/>
    </row>
    <row r="227" spans="3:43" x14ac:dyDescent="0.3">
      <c r="C227" s="29" t="s">
        <v>446</v>
      </c>
      <c r="AQ227" s="3"/>
    </row>
    <row r="228" spans="3:43" x14ac:dyDescent="0.3">
      <c r="C228" s="32"/>
      <c r="AQ228" s="3"/>
    </row>
    <row r="229" spans="3:43" x14ac:dyDescent="0.3">
      <c r="C229" s="29"/>
      <c r="E229" s="32" t="s">
        <v>156</v>
      </c>
      <c r="I229" t="s">
        <v>154</v>
      </c>
      <c r="AA229" t="s">
        <v>309</v>
      </c>
      <c r="AQ229" s="3"/>
    </row>
    <row r="230" spans="3:43" x14ac:dyDescent="0.3">
      <c r="C230" s="29"/>
      <c r="E230" s="32"/>
      <c r="AQ230" s="3"/>
    </row>
    <row r="231" spans="3:43" x14ac:dyDescent="0.3">
      <c r="F231" s="28" t="s">
        <v>447</v>
      </c>
      <c r="G231" s="28" t="s">
        <v>207</v>
      </c>
      <c r="J231" s="98">
        <f t="shared" ref="J231:Y231" si="14">J$199</f>
        <v>908173.56228729698</v>
      </c>
      <c r="K231" s="98">
        <f t="shared" si="14"/>
        <v>79.092618502232185</v>
      </c>
      <c r="L231" s="98">
        <f t="shared" si="14"/>
        <v>291898.35954547604</v>
      </c>
      <c r="M231" s="98">
        <f t="shared" si="14"/>
        <v>127.63198085068298</v>
      </c>
      <c r="N231" s="98">
        <f t="shared" si="14"/>
        <v>253931.05052142486</v>
      </c>
      <c r="O231" s="98">
        <f t="shared" si="14"/>
        <v>20139.456231826349</v>
      </c>
      <c r="P231" s="98">
        <f t="shared" si="14"/>
        <v>656809.7175956564</v>
      </c>
      <c r="Q231" s="98">
        <f t="shared" si="14"/>
        <v>9658.0802606626021</v>
      </c>
      <c r="R231" s="98">
        <f t="shared" si="14"/>
        <v>124.04293104575001</v>
      </c>
      <c r="S231" s="98">
        <f t="shared" si="14"/>
        <v>0</v>
      </c>
      <c r="T231" s="98">
        <f t="shared" si="14"/>
        <v>4277.9371551869754</v>
      </c>
      <c r="U231" s="98">
        <f t="shared" si="14"/>
        <v>0</v>
      </c>
      <c r="V231" s="98">
        <f t="shared" si="14"/>
        <v>907.20921076491038</v>
      </c>
      <c r="W231" s="98">
        <f t="shared" si="14"/>
        <v>0</v>
      </c>
      <c r="X231" s="98">
        <f t="shared" si="14"/>
        <v>81186.840431867386</v>
      </c>
      <c r="Y231" s="98">
        <f t="shared" si="14"/>
        <v>0</v>
      </c>
      <c r="AQ231" s="3"/>
    </row>
    <row r="232" spans="3:43" x14ac:dyDescent="0.3">
      <c r="F232" s="28" t="s">
        <v>448</v>
      </c>
      <c r="G232" s="28" t="s">
        <v>207</v>
      </c>
      <c r="J232" s="98">
        <f t="shared" ref="J232:Y232" si="15">J$208</f>
        <v>11244.916691828073</v>
      </c>
      <c r="K232" s="98">
        <f t="shared" si="15"/>
        <v>0</v>
      </c>
      <c r="L232" s="98">
        <f t="shared" si="15"/>
        <v>701.78748884702395</v>
      </c>
      <c r="M232" s="98">
        <f t="shared" si="15"/>
        <v>0</v>
      </c>
      <c r="N232" s="98">
        <f t="shared" si="15"/>
        <v>2270.8840399934716</v>
      </c>
      <c r="O232" s="98">
        <f t="shared" si="15"/>
        <v>0</v>
      </c>
      <c r="P232" s="98">
        <f t="shared" si="15"/>
        <v>0</v>
      </c>
      <c r="Q232" s="98">
        <f t="shared" si="15"/>
        <v>4.4788941885141398</v>
      </c>
      <c r="R232" s="98">
        <f t="shared" si="15"/>
        <v>1.4162400381651923</v>
      </c>
      <c r="S232" s="98">
        <f t="shared" si="15"/>
        <v>0</v>
      </c>
      <c r="T232" s="98">
        <f t="shared" si="15"/>
        <v>0</v>
      </c>
      <c r="U232" s="98">
        <f t="shared" si="15"/>
        <v>0</v>
      </c>
      <c r="V232" s="98">
        <f t="shared" si="15"/>
        <v>0</v>
      </c>
      <c r="W232" s="98">
        <f t="shared" si="15"/>
        <v>0</v>
      </c>
      <c r="X232" s="98">
        <f t="shared" si="15"/>
        <v>0</v>
      </c>
      <c r="Y232" s="98">
        <f t="shared" si="15"/>
        <v>0</v>
      </c>
      <c r="AQ232" s="3"/>
    </row>
    <row r="233" spans="3:43" x14ac:dyDescent="0.3">
      <c r="F233" s="28" t="s">
        <v>449</v>
      </c>
      <c r="G233" s="28" t="s">
        <v>207</v>
      </c>
      <c r="J233" s="98">
        <f t="shared" ref="J233:Y233" si="16">J$217</f>
        <v>23494.309373783628</v>
      </c>
      <c r="K233" s="98">
        <f t="shared" si="16"/>
        <v>0</v>
      </c>
      <c r="L233" s="98">
        <f t="shared" si="16"/>
        <v>3716.5507271134279</v>
      </c>
      <c r="M233" s="98">
        <f t="shared" si="16"/>
        <v>0</v>
      </c>
      <c r="N233" s="98">
        <f t="shared" si="16"/>
        <v>20852.41739491847</v>
      </c>
      <c r="O233" s="98">
        <f t="shared" si="16"/>
        <v>1397.7370346761409</v>
      </c>
      <c r="P233" s="98">
        <f t="shared" si="16"/>
        <v>10330.271719086217</v>
      </c>
      <c r="Q233" s="98">
        <f t="shared" si="16"/>
        <v>4.7499448082760933</v>
      </c>
      <c r="R233" s="98">
        <f t="shared" si="16"/>
        <v>0</v>
      </c>
      <c r="S233" s="98">
        <f t="shared" si="16"/>
        <v>0</v>
      </c>
      <c r="T233" s="98">
        <f t="shared" si="16"/>
        <v>2.405417066698996</v>
      </c>
      <c r="U233" s="98">
        <f t="shared" si="16"/>
        <v>0</v>
      </c>
      <c r="V233" s="98">
        <f t="shared" si="16"/>
        <v>0</v>
      </c>
      <c r="W233" s="98">
        <f t="shared" si="16"/>
        <v>0</v>
      </c>
      <c r="X233" s="98">
        <f t="shared" si="16"/>
        <v>5.5315659252622229</v>
      </c>
      <c r="Y233" s="98">
        <f t="shared" si="16"/>
        <v>0</v>
      </c>
      <c r="AQ233" s="3"/>
    </row>
    <row r="234" spans="3:43" x14ac:dyDescent="0.3">
      <c r="F234" s="28" t="s">
        <v>450</v>
      </c>
      <c r="G234" s="28" t="s">
        <v>167</v>
      </c>
      <c r="J234" s="332">
        <f>IF(J$39, J$45, J$34)</f>
        <v>0.33736714141938473</v>
      </c>
      <c r="K234" s="332">
        <f t="shared" ref="K234:Y234" si="17">IF(K$39, K$45, K$34)</f>
        <v>0.33736714141938473</v>
      </c>
      <c r="L234" s="332">
        <f t="shared" si="17"/>
        <v>0.33736714141938473</v>
      </c>
      <c r="M234" s="332">
        <f t="shared" si="17"/>
        <v>0.33736714141938473</v>
      </c>
      <c r="N234" s="332">
        <f t="shared" si="17"/>
        <v>0.33736714141938473</v>
      </c>
      <c r="O234" s="332">
        <f t="shared" si="17"/>
        <v>0</v>
      </c>
      <c r="P234" s="332">
        <f t="shared" si="17"/>
        <v>0</v>
      </c>
      <c r="Q234" s="332">
        <f t="shared" si="17"/>
        <v>0.33736714141938473</v>
      </c>
      <c r="R234" s="332">
        <f t="shared" si="17"/>
        <v>0</v>
      </c>
      <c r="S234" s="332">
        <f t="shared" si="17"/>
        <v>0</v>
      </c>
      <c r="T234" s="332">
        <f t="shared" si="17"/>
        <v>0</v>
      </c>
      <c r="U234" s="332">
        <f t="shared" si="17"/>
        <v>0</v>
      </c>
      <c r="V234" s="332">
        <f t="shared" si="17"/>
        <v>0</v>
      </c>
      <c r="W234" s="332">
        <f t="shared" si="17"/>
        <v>0</v>
      </c>
      <c r="X234" s="332">
        <f t="shared" si="17"/>
        <v>0</v>
      </c>
      <c r="Y234" s="332">
        <f t="shared" si="17"/>
        <v>0</v>
      </c>
      <c r="AQ234" s="3"/>
    </row>
    <row r="235" spans="3:43" x14ac:dyDescent="0.3">
      <c r="F235" s="28" t="s">
        <v>451</v>
      </c>
      <c r="G235" s="28" t="s">
        <v>167</v>
      </c>
      <c r="J235" s="332">
        <f>IF(J$39, J$45, J$35)</f>
        <v>0.48222066856070578</v>
      </c>
      <c r="K235" s="332">
        <f t="shared" ref="K235:Y235" si="18">IF(K$39, K$45, K$35)</f>
        <v>0.48222066856070578</v>
      </c>
      <c r="L235" s="332">
        <f t="shared" si="18"/>
        <v>0.48222066856070578</v>
      </c>
      <c r="M235" s="332">
        <f t="shared" si="18"/>
        <v>0.48222066856070578</v>
      </c>
      <c r="N235" s="332">
        <f t="shared" si="18"/>
        <v>0.48222066856070578</v>
      </c>
      <c r="O235" s="332">
        <f t="shared" si="18"/>
        <v>0.19751655620522704</v>
      </c>
      <c r="P235" s="332">
        <f t="shared" si="18"/>
        <v>7.8679419876750339E-2</v>
      </c>
      <c r="Q235" s="332">
        <f t="shared" si="18"/>
        <v>0.48222066856070578</v>
      </c>
      <c r="R235" s="332">
        <f t="shared" si="18"/>
        <v>0</v>
      </c>
      <c r="S235" s="332">
        <f t="shared" si="18"/>
        <v>0</v>
      </c>
      <c r="T235" s="332">
        <f t="shared" si="18"/>
        <v>0</v>
      </c>
      <c r="U235" s="332">
        <f t="shared" si="18"/>
        <v>0</v>
      </c>
      <c r="V235" s="332">
        <f t="shared" si="18"/>
        <v>0</v>
      </c>
      <c r="W235" s="332">
        <f t="shared" si="18"/>
        <v>0</v>
      </c>
      <c r="X235" s="332">
        <f t="shared" si="18"/>
        <v>0</v>
      </c>
      <c r="Y235" s="332">
        <f t="shared" si="18"/>
        <v>0</v>
      </c>
      <c r="AQ235" s="3"/>
    </row>
    <row r="236" spans="3:43" x14ac:dyDescent="0.3">
      <c r="F236" s="28" t="s">
        <v>452</v>
      </c>
      <c r="G236" s="28" t="s">
        <v>207</v>
      </c>
      <c r="J236" s="98">
        <f t="shared" ref="J236:Y236" si="19">J232 * (1 - J234)</f>
        <v>7451.2512920069121</v>
      </c>
      <c r="K236" s="98">
        <f t="shared" si="19"/>
        <v>0</v>
      </c>
      <c r="L236" s="98">
        <f t="shared" si="19"/>
        <v>465.02744985081512</v>
      </c>
      <c r="M236" s="98">
        <f t="shared" si="19"/>
        <v>0</v>
      </c>
      <c r="N236" s="98">
        <f t="shared" si="19"/>
        <v>1504.7623829259703</v>
      </c>
      <c r="O236" s="98">
        <f t="shared" si="19"/>
        <v>0</v>
      </c>
      <c r="P236" s="98">
        <f t="shared" si="19"/>
        <v>0</v>
      </c>
      <c r="Q236" s="98">
        <f t="shared" si="19"/>
        <v>2.9678624594152296</v>
      </c>
      <c r="R236" s="98">
        <f t="shared" si="19"/>
        <v>1.4162400381651923</v>
      </c>
      <c r="S236" s="98">
        <f t="shared" si="19"/>
        <v>0</v>
      </c>
      <c r="T236" s="98">
        <f t="shared" si="19"/>
        <v>0</v>
      </c>
      <c r="U236" s="98">
        <f t="shared" si="19"/>
        <v>0</v>
      </c>
      <c r="V236" s="98">
        <f t="shared" si="19"/>
        <v>0</v>
      </c>
      <c r="W236" s="98">
        <f t="shared" si="19"/>
        <v>0</v>
      </c>
      <c r="X236" s="98">
        <f t="shared" si="19"/>
        <v>0</v>
      </c>
      <c r="Y236" s="98">
        <f t="shared" si="19"/>
        <v>0</v>
      </c>
      <c r="AQ236" s="3"/>
    </row>
    <row r="237" spans="3:43" x14ac:dyDescent="0.3">
      <c r="F237" s="67" t="s">
        <v>453</v>
      </c>
      <c r="G237" s="67" t="s">
        <v>207</v>
      </c>
      <c r="H237" s="37"/>
      <c r="I237" s="37"/>
      <c r="J237" s="100">
        <f t="shared" ref="J237:Y237" si="20">J233 * (1 - J235)</f>
        <v>12164.86780018563</v>
      </c>
      <c r="K237" s="100">
        <f t="shared" si="20"/>
        <v>0</v>
      </c>
      <c r="L237" s="100">
        <f t="shared" si="20"/>
        <v>1924.3531507450136</v>
      </c>
      <c r="M237" s="100">
        <f t="shared" si="20"/>
        <v>0</v>
      </c>
      <c r="N237" s="100">
        <f t="shared" si="20"/>
        <v>10796.950737633995</v>
      </c>
      <c r="O237" s="100">
        <f t="shared" si="20"/>
        <v>1121.6608291064035</v>
      </c>
      <c r="P237" s="100">
        <f t="shared" si="20"/>
        <v>9517.4919330593129</v>
      </c>
      <c r="Q237" s="100">
        <f t="shared" si="20"/>
        <v>2.459423247202742</v>
      </c>
      <c r="R237" s="100">
        <f t="shared" si="20"/>
        <v>0</v>
      </c>
      <c r="S237" s="100">
        <f t="shared" si="20"/>
        <v>0</v>
      </c>
      <c r="T237" s="100">
        <f t="shared" si="20"/>
        <v>2.405417066698996</v>
      </c>
      <c r="U237" s="100">
        <f t="shared" si="20"/>
        <v>0</v>
      </c>
      <c r="V237" s="100">
        <f t="shared" si="20"/>
        <v>0</v>
      </c>
      <c r="W237" s="100">
        <f t="shared" si="20"/>
        <v>0</v>
      </c>
      <c r="X237" s="100">
        <f t="shared" si="20"/>
        <v>5.5315659252622229</v>
      </c>
      <c r="Y237" s="100">
        <f t="shared" si="20"/>
        <v>0</v>
      </c>
      <c r="AQ237" s="3"/>
    </row>
    <row r="238" spans="3:43" x14ac:dyDescent="0.3">
      <c r="F238" s="28" t="s">
        <v>454</v>
      </c>
      <c r="G238" s="28" t="s">
        <v>207</v>
      </c>
      <c r="J238" s="121">
        <f t="shared" ref="J238:Y238" si="21">J231 + J236 + J237</f>
        <v>927789.68137948948</v>
      </c>
      <c r="K238" s="121">
        <f t="shared" si="21"/>
        <v>79.092618502232185</v>
      </c>
      <c r="L238" s="121">
        <f t="shared" si="21"/>
        <v>294287.74014607188</v>
      </c>
      <c r="M238" s="121">
        <f t="shared" si="21"/>
        <v>127.63198085068298</v>
      </c>
      <c r="N238" s="121">
        <f t="shared" si="21"/>
        <v>266232.76364198484</v>
      </c>
      <c r="O238" s="121">
        <f t="shared" si="21"/>
        <v>21261.117060932753</v>
      </c>
      <c r="P238" s="121">
        <f t="shared" si="21"/>
        <v>666327.2095287157</v>
      </c>
      <c r="Q238" s="121">
        <f t="shared" si="21"/>
        <v>9663.5075463692192</v>
      </c>
      <c r="R238" s="121">
        <f t="shared" si="21"/>
        <v>125.45917108391521</v>
      </c>
      <c r="S238" s="121">
        <f t="shared" si="21"/>
        <v>0</v>
      </c>
      <c r="T238" s="121">
        <f t="shared" si="21"/>
        <v>4280.342572253674</v>
      </c>
      <c r="U238" s="121">
        <f t="shared" si="21"/>
        <v>0</v>
      </c>
      <c r="V238" s="121">
        <f t="shared" si="21"/>
        <v>907.20921076491038</v>
      </c>
      <c r="W238" s="121">
        <f t="shared" si="21"/>
        <v>0</v>
      </c>
      <c r="X238" s="121">
        <f t="shared" si="21"/>
        <v>81192.371997792652</v>
      </c>
      <c r="Y238" s="121">
        <f t="shared" si="21"/>
        <v>0</v>
      </c>
      <c r="AQ238" s="3"/>
    </row>
    <row r="239" spans="3:43" x14ac:dyDescent="0.3">
      <c r="E239" s="32"/>
      <c r="J239" s="89"/>
      <c r="K239" s="89"/>
      <c r="L239" s="89"/>
      <c r="M239" s="89"/>
      <c r="N239" s="89"/>
      <c r="O239" s="89"/>
      <c r="P239" s="89"/>
      <c r="Q239" s="89"/>
      <c r="R239" s="89"/>
      <c r="S239" s="89"/>
      <c r="T239" s="89"/>
      <c r="U239" s="89"/>
      <c r="V239" s="89"/>
      <c r="W239" s="89"/>
      <c r="X239" s="89"/>
      <c r="Y239" s="89"/>
      <c r="AQ239" s="3"/>
    </row>
    <row r="240" spans="3:43" x14ac:dyDescent="0.3">
      <c r="E240" s="32" t="s">
        <v>157</v>
      </c>
      <c r="I240" t="s">
        <v>154</v>
      </c>
      <c r="J240" s="89"/>
      <c r="K240" s="89"/>
      <c r="L240" s="89"/>
      <c r="M240" s="89"/>
      <c r="N240" s="89"/>
      <c r="O240" s="89"/>
      <c r="P240" s="89"/>
      <c r="Q240" s="89"/>
      <c r="R240" s="89"/>
      <c r="S240" s="89"/>
      <c r="T240" s="89"/>
      <c r="U240" s="89"/>
      <c r="V240" s="89"/>
      <c r="W240" s="89"/>
      <c r="X240" s="89"/>
      <c r="Y240" s="89"/>
      <c r="AA240" t="s">
        <v>309</v>
      </c>
      <c r="AQ240" s="3"/>
    </row>
    <row r="241" spans="5:43" x14ac:dyDescent="0.3">
      <c r="E241" s="32"/>
      <c r="J241" s="89"/>
      <c r="K241" s="89"/>
      <c r="L241" s="89"/>
      <c r="M241" s="89"/>
      <c r="N241" s="89"/>
      <c r="O241" s="89"/>
      <c r="P241" s="89"/>
      <c r="Q241" s="89"/>
      <c r="R241" s="89"/>
      <c r="S241" s="89"/>
      <c r="T241" s="89"/>
      <c r="U241" s="89"/>
      <c r="V241" s="89"/>
      <c r="W241" s="89"/>
      <c r="X241" s="89"/>
      <c r="Y241" s="89"/>
      <c r="AQ241" s="3"/>
    </row>
    <row r="242" spans="5:43" x14ac:dyDescent="0.3">
      <c r="F242" s="28" t="s">
        <v>447</v>
      </c>
      <c r="G242" s="28" t="s">
        <v>207</v>
      </c>
      <c r="J242" s="98">
        <f t="shared" ref="J242:Y242" si="22">J$200</f>
        <v>2700660.7423146009</v>
      </c>
      <c r="K242" s="98">
        <f t="shared" si="22"/>
        <v>3392.6048671577928</v>
      </c>
      <c r="L242" s="98">
        <f t="shared" si="22"/>
        <v>1198254.7774260878</v>
      </c>
      <c r="M242" s="98">
        <f t="shared" si="22"/>
        <v>959.76246317801258</v>
      </c>
      <c r="N242" s="98">
        <f t="shared" si="22"/>
        <v>974326.69774088101</v>
      </c>
      <c r="O242" s="98">
        <f t="shared" si="22"/>
        <v>53212.131193247391</v>
      </c>
      <c r="P242" s="98">
        <f t="shared" si="22"/>
        <v>2545049.41412629</v>
      </c>
      <c r="Q242" s="98">
        <f t="shared" si="22"/>
        <v>48862.829823812179</v>
      </c>
      <c r="R242" s="98">
        <f t="shared" si="22"/>
        <v>667.41170453977281</v>
      </c>
      <c r="S242" s="98">
        <f t="shared" si="22"/>
        <v>0</v>
      </c>
      <c r="T242" s="98">
        <f t="shared" si="22"/>
        <v>21422.814813085839</v>
      </c>
      <c r="U242" s="98">
        <f t="shared" si="22"/>
        <v>0</v>
      </c>
      <c r="V242" s="98">
        <f t="shared" si="22"/>
        <v>3604.4281560365216</v>
      </c>
      <c r="W242" s="98">
        <f t="shared" si="22"/>
        <v>0</v>
      </c>
      <c r="X242" s="98">
        <f t="shared" si="22"/>
        <v>281566.89250858821</v>
      </c>
      <c r="Y242" s="98">
        <f t="shared" si="22"/>
        <v>0</v>
      </c>
      <c r="AQ242" s="3"/>
    </row>
    <row r="243" spans="5:43" x14ac:dyDescent="0.3">
      <c r="F243" s="28" t="s">
        <v>448</v>
      </c>
      <c r="G243" s="28" t="s">
        <v>207</v>
      </c>
      <c r="J243" s="98">
        <f t="shared" ref="J243:Y243" si="23">J$209</f>
        <v>31905.391196577795</v>
      </c>
      <c r="K243" s="98">
        <f t="shared" si="23"/>
        <v>0</v>
      </c>
      <c r="L243" s="98">
        <f t="shared" si="23"/>
        <v>3015.8517831522058</v>
      </c>
      <c r="M243" s="98">
        <f t="shared" si="23"/>
        <v>0</v>
      </c>
      <c r="N243" s="98">
        <f t="shared" si="23"/>
        <v>8455.8005208697214</v>
      </c>
      <c r="O243" s="98">
        <f t="shared" si="23"/>
        <v>0</v>
      </c>
      <c r="P243" s="98">
        <f t="shared" si="23"/>
        <v>0</v>
      </c>
      <c r="Q243" s="98">
        <f t="shared" si="23"/>
        <v>207.65367753570459</v>
      </c>
      <c r="R243" s="98">
        <f t="shared" si="23"/>
        <v>7.6951102681025541</v>
      </c>
      <c r="S243" s="98">
        <f t="shared" si="23"/>
        <v>0</v>
      </c>
      <c r="T243" s="98">
        <f t="shared" si="23"/>
        <v>0</v>
      </c>
      <c r="U243" s="98">
        <f t="shared" si="23"/>
        <v>0</v>
      </c>
      <c r="V243" s="98">
        <f t="shared" si="23"/>
        <v>0</v>
      </c>
      <c r="W243" s="98">
        <f t="shared" si="23"/>
        <v>0</v>
      </c>
      <c r="X243" s="98">
        <f t="shared" si="23"/>
        <v>0</v>
      </c>
      <c r="Y243" s="98">
        <f t="shared" si="23"/>
        <v>0</v>
      </c>
      <c r="AQ243" s="3"/>
    </row>
    <row r="244" spans="5:43" x14ac:dyDescent="0.3">
      <c r="F244" s="28" t="s">
        <v>449</v>
      </c>
      <c r="G244" s="28" t="s">
        <v>207</v>
      </c>
      <c r="J244" s="98">
        <f t="shared" ref="J244:Y244" si="24">J$218</f>
        <v>66581.853503650185</v>
      </c>
      <c r="K244" s="98">
        <f t="shared" si="24"/>
        <v>0</v>
      </c>
      <c r="L244" s="98">
        <f t="shared" si="24"/>
        <v>15529.439754924755</v>
      </c>
      <c r="M244" s="98">
        <f t="shared" si="24"/>
        <v>0</v>
      </c>
      <c r="N244" s="98">
        <f t="shared" si="24"/>
        <v>74421.542187743631</v>
      </c>
      <c r="O244" s="98">
        <f t="shared" si="24"/>
        <v>5273.6340531734177</v>
      </c>
      <c r="P244" s="98">
        <f t="shared" si="24"/>
        <v>37744.896505831392</v>
      </c>
      <c r="Q244" s="98">
        <f t="shared" si="24"/>
        <v>310.64116500904521</v>
      </c>
      <c r="R244" s="98">
        <f t="shared" si="24"/>
        <v>0</v>
      </c>
      <c r="S244" s="98">
        <f t="shared" si="24"/>
        <v>0</v>
      </c>
      <c r="T244" s="98">
        <f t="shared" si="24"/>
        <v>13.065209505688999</v>
      </c>
      <c r="U244" s="98">
        <f t="shared" si="24"/>
        <v>0</v>
      </c>
      <c r="V244" s="98">
        <f t="shared" si="24"/>
        <v>0</v>
      </c>
      <c r="W244" s="98">
        <f t="shared" si="24"/>
        <v>0</v>
      </c>
      <c r="X244" s="98">
        <f t="shared" si="24"/>
        <v>3.5193669404444461E-2</v>
      </c>
      <c r="Y244" s="98">
        <f t="shared" si="24"/>
        <v>0</v>
      </c>
      <c r="AQ244" s="3"/>
    </row>
    <row r="245" spans="5:43" x14ac:dyDescent="0.3">
      <c r="F245" s="28" t="s">
        <v>450</v>
      </c>
      <c r="G245" s="28" t="s">
        <v>167</v>
      </c>
      <c r="J245" s="385">
        <f t="shared" ref="J245:Y245" si="25">IF(J$39, J$45, J$34)</f>
        <v>0.33736714141938473</v>
      </c>
      <c r="K245" s="385">
        <f t="shared" si="25"/>
        <v>0.33736714141938473</v>
      </c>
      <c r="L245" s="385">
        <f t="shared" si="25"/>
        <v>0.33736714141938473</v>
      </c>
      <c r="M245" s="385">
        <f t="shared" si="25"/>
        <v>0.33736714141938473</v>
      </c>
      <c r="N245" s="385">
        <f t="shared" si="25"/>
        <v>0.33736714141938473</v>
      </c>
      <c r="O245" s="385">
        <f t="shared" si="25"/>
        <v>0</v>
      </c>
      <c r="P245" s="385">
        <f t="shared" si="25"/>
        <v>0</v>
      </c>
      <c r="Q245" s="385">
        <f t="shared" si="25"/>
        <v>0.33736714141938473</v>
      </c>
      <c r="R245" s="385">
        <f t="shared" si="25"/>
        <v>0</v>
      </c>
      <c r="S245" s="385">
        <f t="shared" si="25"/>
        <v>0</v>
      </c>
      <c r="T245" s="385">
        <f t="shared" si="25"/>
        <v>0</v>
      </c>
      <c r="U245" s="385">
        <f t="shared" si="25"/>
        <v>0</v>
      </c>
      <c r="V245" s="385">
        <f t="shared" si="25"/>
        <v>0</v>
      </c>
      <c r="W245" s="385">
        <f t="shared" si="25"/>
        <v>0</v>
      </c>
      <c r="X245" s="385">
        <f t="shared" si="25"/>
        <v>0</v>
      </c>
      <c r="Y245" s="385">
        <f t="shared" si="25"/>
        <v>0</v>
      </c>
      <c r="AQ245" s="3"/>
    </row>
    <row r="246" spans="5:43" x14ac:dyDescent="0.3">
      <c r="F246" s="28" t="s">
        <v>451</v>
      </c>
      <c r="G246" s="28" t="s">
        <v>167</v>
      </c>
      <c r="J246" s="385">
        <f t="shared" ref="J246:Y246" si="26">IF(J$39, J$45, J$35)</f>
        <v>0.48222066856070578</v>
      </c>
      <c r="K246" s="385">
        <f t="shared" si="26"/>
        <v>0.48222066856070578</v>
      </c>
      <c r="L246" s="385">
        <f t="shared" si="26"/>
        <v>0.48222066856070578</v>
      </c>
      <c r="M246" s="385">
        <f t="shared" si="26"/>
        <v>0.48222066856070578</v>
      </c>
      <c r="N246" s="385">
        <f t="shared" si="26"/>
        <v>0.48222066856070578</v>
      </c>
      <c r="O246" s="385">
        <f t="shared" si="26"/>
        <v>0.19751655620522704</v>
      </c>
      <c r="P246" s="385">
        <f t="shared" si="26"/>
        <v>7.8679419876750339E-2</v>
      </c>
      <c r="Q246" s="385">
        <f t="shared" si="26"/>
        <v>0.48222066856070578</v>
      </c>
      <c r="R246" s="385">
        <f t="shared" si="26"/>
        <v>0</v>
      </c>
      <c r="S246" s="385">
        <f t="shared" si="26"/>
        <v>0</v>
      </c>
      <c r="T246" s="385">
        <f t="shared" si="26"/>
        <v>0</v>
      </c>
      <c r="U246" s="385">
        <f t="shared" si="26"/>
        <v>0</v>
      </c>
      <c r="V246" s="385">
        <f t="shared" si="26"/>
        <v>0</v>
      </c>
      <c r="W246" s="385">
        <f t="shared" si="26"/>
        <v>0</v>
      </c>
      <c r="X246" s="385">
        <f t="shared" si="26"/>
        <v>0</v>
      </c>
      <c r="Y246" s="385">
        <f t="shared" si="26"/>
        <v>0</v>
      </c>
      <c r="AQ246" s="3"/>
    </row>
    <row r="247" spans="5:43" x14ac:dyDescent="0.3">
      <c r="F247" s="28" t="s">
        <v>452</v>
      </c>
      <c r="G247" s="28" t="s">
        <v>207</v>
      </c>
      <c r="J247" s="98">
        <f t="shared" ref="J247:Y247" si="27">J243 * (1 - J245)</f>
        <v>21141.56057272114</v>
      </c>
      <c r="K247" s="98">
        <f t="shared" si="27"/>
        <v>0</v>
      </c>
      <c r="L247" s="98">
        <f t="shared" si="27"/>
        <v>1998.4024881255921</v>
      </c>
      <c r="M247" s="98">
        <f t="shared" si="27"/>
        <v>0</v>
      </c>
      <c r="N247" s="98">
        <f t="shared" si="27"/>
        <v>5603.0912707313591</v>
      </c>
      <c r="O247" s="98">
        <f t="shared" si="27"/>
        <v>0</v>
      </c>
      <c r="P247" s="98">
        <f t="shared" si="27"/>
        <v>0</v>
      </c>
      <c r="Q247" s="98">
        <f t="shared" si="27"/>
        <v>137.59814994026124</v>
      </c>
      <c r="R247" s="98">
        <f t="shared" si="27"/>
        <v>7.6951102681025541</v>
      </c>
      <c r="S247" s="98">
        <f t="shared" si="27"/>
        <v>0</v>
      </c>
      <c r="T247" s="98">
        <f t="shared" si="27"/>
        <v>0</v>
      </c>
      <c r="U247" s="98">
        <f t="shared" si="27"/>
        <v>0</v>
      </c>
      <c r="V247" s="98">
        <f t="shared" si="27"/>
        <v>0</v>
      </c>
      <c r="W247" s="98">
        <f t="shared" si="27"/>
        <v>0</v>
      </c>
      <c r="X247" s="98">
        <f t="shared" si="27"/>
        <v>0</v>
      </c>
      <c r="Y247" s="98">
        <f t="shared" si="27"/>
        <v>0</v>
      </c>
      <c r="AQ247" s="3"/>
    </row>
    <row r="248" spans="5:43" x14ac:dyDescent="0.3">
      <c r="F248" s="67" t="s">
        <v>453</v>
      </c>
      <c r="G248" s="67" t="s">
        <v>207</v>
      </c>
      <c r="H248" s="37"/>
      <c r="I248" s="37"/>
      <c r="J248" s="100">
        <f t="shared" ref="J248:Y248" si="28">J244 * (1 - J246)</f>
        <v>34474.707593109022</v>
      </c>
      <c r="K248" s="100">
        <f t="shared" si="28"/>
        <v>0</v>
      </c>
      <c r="L248" s="100">
        <f t="shared" si="28"/>
        <v>8040.8229339317368</v>
      </c>
      <c r="M248" s="100">
        <f t="shared" si="28"/>
        <v>0</v>
      </c>
      <c r="N248" s="100">
        <f t="shared" si="28"/>
        <v>38533.936358651124</v>
      </c>
      <c r="O248" s="100">
        <f t="shared" si="28"/>
        <v>4232.0040163039912</v>
      </c>
      <c r="P248" s="100">
        <f t="shared" si="28"/>
        <v>34775.149945444595</v>
      </c>
      <c r="Q248" s="100">
        <f t="shared" si="28"/>
        <v>160.84357473590691</v>
      </c>
      <c r="R248" s="100">
        <f t="shared" si="28"/>
        <v>0</v>
      </c>
      <c r="S248" s="100">
        <f t="shared" si="28"/>
        <v>0</v>
      </c>
      <c r="T248" s="100">
        <f t="shared" si="28"/>
        <v>13.065209505688999</v>
      </c>
      <c r="U248" s="100">
        <f t="shared" si="28"/>
        <v>0</v>
      </c>
      <c r="V248" s="100">
        <f t="shared" si="28"/>
        <v>0</v>
      </c>
      <c r="W248" s="100">
        <f t="shared" si="28"/>
        <v>0</v>
      </c>
      <c r="X248" s="100">
        <f t="shared" si="28"/>
        <v>3.5193669404444461E-2</v>
      </c>
      <c r="Y248" s="100">
        <f t="shared" si="28"/>
        <v>0</v>
      </c>
      <c r="AQ248" s="3"/>
    </row>
    <row r="249" spans="5:43" x14ac:dyDescent="0.3">
      <c r="F249" s="28" t="s">
        <v>454</v>
      </c>
      <c r="G249" s="28" t="s">
        <v>207</v>
      </c>
      <c r="J249" s="121">
        <f t="shared" ref="J249:Y249" si="29">J242 + J247 + J248</f>
        <v>2756277.0104804309</v>
      </c>
      <c r="K249" s="121">
        <f t="shared" si="29"/>
        <v>3392.6048671577928</v>
      </c>
      <c r="L249" s="121">
        <f t="shared" si="29"/>
        <v>1208294.0028481451</v>
      </c>
      <c r="M249" s="121">
        <f t="shared" si="29"/>
        <v>959.76246317801258</v>
      </c>
      <c r="N249" s="121">
        <f t="shared" si="29"/>
        <v>1018463.7253702636</v>
      </c>
      <c r="O249" s="121">
        <f t="shared" si="29"/>
        <v>57444.135209551379</v>
      </c>
      <c r="P249" s="121">
        <f t="shared" si="29"/>
        <v>2579824.5640717344</v>
      </c>
      <c r="Q249" s="121">
        <f t="shared" si="29"/>
        <v>49161.271548488345</v>
      </c>
      <c r="R249" s="121">
        <f t="shared" si="29"/>
        <v>675.10681480787537</v>
      </c>
      <c r="S249" s="121">
        <f t="shared" si="29"/>
        <v>0</v>
      </c>
      <c r="T249" s="121">
        <f t="shared" si="29"/>
        <v>21435.880022591529</v>
      </c>
      <c r="U249" s="121">
        <f t="shared" si="29"/>
        <v>0</v>
      </c>
      <c r="V249" s="121">
        <f t="shared" si="29"/>
        <v>3604.4281560365216</v>
      </c>
      <c r="W249" s="121">
        <f t="shared" si="29"/>
        <v>0</v>
      </c>
      <c r="X249" s="121">
        <f t="shared" si="29"/>
        <v>281566.92770225758</v>
      </c>
      <c r="Y249" s="121">
        <f t="shared" si="29"/>
        <v>0</v>
      </c>
      <c r="AQ249" s="3"/>
    </row>
    <row r="250" spans="5:43" x14ac:dyDescent="0.3">
      <c r="E250" s="32"/>
      <c r="J250" s="89"/>
      <c r="K250" s="89"/>
      <c r="L250" s="89"/>
      <c r="M250" s="89"/>
      <c r="N250" s="89"/>
      <c r="O250" s="89"/>
      <c r="P250" s="89"/>
      <c r="Q250" s="89"/>
      <c r="R250" s="89"/>
      <c r="S250" s="89"/>
      <c r="T250" s="89"/>
      <c r="U250" s="89"/>
      <c r="V250" s="89"/>
      <c r="W250" s="89"/>
      <c r="X250" s="89"/>
      <c r="Y250" s="89"/>
      <c r="AQ250" s="3"/>
    </row>
    <row r="251" spans="5:43" x14ac:dyDescent="0.3">
      <c r="E251" s="32" t="s">
        <v>158</v>
      </c>
      <c r="I251" t="s">
        <v>154</v>
      </c>
      <c r="J251" s="89"/>
      <c r="K251" s="89"/>
      <c r="L251" s="89"/>
      <c r="M251" s="89"/>
      <c r="N251" s="89"/>
      <c r="O251" s="89"/>
      <c r="P251" s="89"/>
      <c r="Q251" s="89"/>
      <c r="R251" s="89"/>
      <c r="S251" s="89"/>
      <c r="T251" s="89"/>
      <c r="U251" s="89"/>
      <c r="V251" s="89"/>
      <c r="W251" s="89"/>
      <c r="X251" s="89"/>
      <c r="Y251" s="89"/>
      <c r="AA251" t="s">
        <v>309</v>
      </c>
      <c r="AQ251" s="3"/>
    </row>
    <row r="252" spans="5:43" x14ac:dyDescent="0.3">
      <c r="E252" s="32"/>
      <c r="J252" s="89"/>
      <c r="K252" s="89"/>
      <c r="L252" s="89"/>
      <c r="M252" s="89"/>
      <c r="N252" s="89"/>
      <c r="O252" s="89"/>
      <c r="P252" s="89"/>
      <c r="Q252" s="89"/>
      <c r="R252" s="89"/>
      <c r="S252" s="89"/>
      <c r="T252" s="89"/>
      <c r="U252" s="89"/>
      <c r="V252" s="89"/>
      <c r="W252" s="89"/>
      <c r="X252" s="89"/>
      <c r="Y252" s="89"/>
      <c r="AQ252" s="3"/>
    </row>
    <row r="253" spans="5:43" x14ac:dyDescent="0.3">
      <c r="F253" s="28" t="s">
        <v>447</v>
      </c>
      <c r="G253" s="28" t="s">
        <v>207</v>
      </c>
      <c r="J253" s="98">
        <f t="shared" ref="J253:Y253" si="30">J$201</f>
        <v>4472740.9997048797</v>
      </c>
      <c r="K253" s="98">
        <f t="shared" si="30"/>
        <v>13095.75106613846</v>
      </c>
      <c r="L253" s="98">
        <f t="shared" si="30"/>
        <v>1227632.4621005473</v>
      </c>
      <c r="M253" s="98">
        <f t="shared" si="30"/>
        <v>2930.5689204763953</v>
      </c>
      <c r="N253" s="98">
        <f t="shared" si="30"/>
        <v>1039689.5665827426</v>
      </c>
      <c r="O253" s="98">
        <f t="shared" si="30"/>
        <v>54852.621771230217</v>
      </c>
      <c r="P253" s="98">
        <f t="shared" si="30"/>
        <v>3358085.2746495595</v>
      </c>
      <c r="Q253" s="98">
        <f t="shared" si="30"/>
        <v>187359.28019489619</v>
      </c>
      <c r="R253" s="98">
        <f t="shared" si="30"/>
        <v>329.05439631479078</v>
      </c>
      <c r="S253" s="98">
        <f t="shared" si="30"/>
        <v>0</v>
      </c>
      <c r="T253" s="98">
        <f t="shared" si="30"/>
        <v>21453.635266692032</v>
      </c>
      <c r="U253" s="98">
        <f t="shared" si="30"/>
        <v>0</v>
      </c>
      <c r="V253" s="98">
        <f t="shared" si="30"/>
        <v>5426.3333985064392</v>
      </c>
      <c r="W253" s="98">
        <f t="shared" si="30"/>
        <v>0</v>
      </c>
      <c r="X253" s="98">
        <f t="shared" si="30"/>
        <v>341773.46231736481</v>
      </c>
      <c r="Y253" s="98">
        <f t="shared" si="30"/>
        <v>0</v>
      </c>
      <c r="AQ253" s="3"/>
    </row>
    <row r="254" spans="5:43" x14ac:dyDescent="0.3">
      <c r="F254" s="28" t="s">
        <v>448</v>
      </c>
      <c r="G254" s="28" t="s">
        <v>207</v>
      </c>
      <c r="J254" s="98">
        <f t="shared" ref="J254:Y254" si="31">J$210</f>
        <v>49515.527633638289</v>
      </c>
      <c r="K254" s="98">
        <f t="shared" si="31"/>
        <v>0</v>
      </c>
      <c r="L254" s="98">
        <f t="shared" si="31"/>
        <v>2967.1231847299796</v>
      </c>
      <c r="M254" s="98">
        <f t="shared" si="31"/>
        <v>0</v>
      </c>
      <c r="N254" s="98">
        <f t="shared" si="31"/>
        <v>11722.428011033584</v>
      </c>
      <c r="O254" s="98">
        <f t="shared" si="31"/>
        <v>0</v>
      </c>
      <c r="P254" s="98">
        <f t="shared" si="31"/>
        <v>0</v>
      </c>
      <c r="Q254" s="98">
        <f t="shared" si="31"/>
        <v>324.70153315126709</v>
      </c>
      <c r="R254" s="98">
        <f t="shared" si="31"/>
        <v>3.9412575596031192</v>
      </c>
      <c r="S254" s="98">
        <f t="shared" si="31"/>
        <v>0</v>
      </c>
      <c r="T254" s="98">
        <f t="shared" si="31"/>
        <v>0</v>
      </c>
      <c r="U254" s="98">
        <f t="shared" si="31"/>
        <v>0</v>
      </c>
      <c r="V254" s="98">
        <f t="shared" si="31"/>
        <v>0</v>
      </c>
      <c r="W254" s="98">
        <f t="shared" si="31"/>
        <v>0</v>
      </c>
      <c r="X254" s="98">
        <f t="shared" si="31"/>
        <v>0</v>
      </c>
      <c r="Y254" s="98">
        <f t="shared" si="31"/>
        <v>0</v>
      </c>
      <c r="AQ254" s="3"/>
    </row>
    <row r="255" spans="5:43" x14ac:dyDescent="0.3">
      <c r="F255" s="28" t="s">
        <v>449</v>
      </c>
      <c r="G255" s="28" t="s">
        <v>207</v>
      </c>
      <c r="J255" s="98">
        <f t="shared" ref="J255:Y255" si="32">J$219</f>
        <v>103298.46470504548</v>
      </c>
      <c r="K255" s="98">
        <f t="shared" si="32"/>
        <v>0</v>
      </c>
      <c r="L255" s="98">
        <f t="shared" si="32"/>
        <v>14591.230013319431</v>
      </c>
      <c r="M255" s="98">
        <f t="shared" si="32"/>
        <v>0</v>
      </c>
      <c r="N255" s="98">
        <f t="shared" si="32"/>
        <v>88288.220442941863</v>
      </c>
      <c r="O255" s="98">
        <f t="shared" si="32"/>
        <v>7155.5211198711077</v>
      </c>
      <c r="P255" s="98">
        <f t="shared" si="32"/>
        <v>51912.890972939334</v>
      </c>
      <c r="Q255" s="98">
        <f t="shared" si="32"/>
        <v>517.68074529552484</v>
      </c>
      <c r="R255" s="98">
        <f t="shared" si="32"/>
        <v>0</v>
      </c>
      <c r="S255" s="98">
        <f t="shared" si="32"/>
        <v>0</v>
      </c>
      <c r="T255" s="98">
        <f t="shared" si="32"/>
        <v>30.585567519526965</v>
      </c>
      <c r="U255" s="98">
        <f t="shared" si="32"/>
        <v>0</v>
      </c>
      <c r="V255" s="98">
        <f t="shared" si="32"/>
        <v>0</v>
      </c>
      <c r="W255" s="98">
        <f t="shared" si="32"/>
        <v>0</v>
      </c>
      <c r="X255" s="98">
        <f t="shared" si="32"/>
        <v>0</v>
      </c>
      <c r="Y255" s="98">
        <f t="shared" si="32"/>
        <v>0</v>
      </c>
      <c r="AQ255" s="3"/>
    </row>
    <row r="256" spans="5:43" x14ac:dyDescent="0.3">
      <c r="F256" s="28" t="s">
        <v>450</v>
      </c>
      <c r="G256" s="28" t="s">
        <v>167</v>
      </c>
      <c r="J256" s="385">
        <f t="shared" ref="J256:Y256" si="33">IF(J$39, J$45, J$34)</f>
        <v>0.33736714141938473</v>
      </c>
      <c r="K256" s="385">
        <f t="shared" si="33"/>
        <v>0.33736714141938473</v>
      </c>
      <c r="L256" s="385">
        <f t="shared" si="33"/>
        <v>0.33736714141938473</v>
      </c>
      <c r="M256" s="385">
        <f t="shared" si="33"/>
        <v>0.33736714141938473</v>
      </c>
      <c r="N256" s="385">
        <f t="shared" si="33"/>
        <v>0.33736714141938473</v>
      </c>
      <c r="O256" s="385">
        <f t="shared" si="33"/>
        <v>0</v>
      </c>
      <c r="P256" s="385">
        <f t="shared" si="33"/>
        <v>0</v>
      </c>
      <c r="Q256" s="385">
        <f t="shared" si="33"/>
        <v>0.33736714141938473</v>
      </c>
      <c r="R256" s="385">
        <f t="shared" si="33"/>
        <v>0</v>
      </c>
      <c r="S256" s="385">
        <f t="shared" si="33"/>
        <v>0</v>
      </c>
      <c r="T256" s="385">
        <f t="shared" si="33"/>
        <v>0</v>
      </c>
      <c r="U256" s="385">
        <f t="shared" si="33"/>
        <v>0</v>
      </c>
      <c r="V256" s="385">
        <f t="shared" si="33"/>
        <v>0</v>
      </c>
      <c r="W256" s="385">
        <f t="shared" si="33"/>
        <v>0</v>
      </c>
      <c r="X256" s="385">
        <f t="shared" si="33"/>
        <v>0</v>
      </c>
      <c r="Y256" s="385">
        <f t="shared" si="33"/>
        <v>0</v>
      </c>
      <c r="AQ256" s="3"/>
    </row>
    <row r="257" spans="5:43" x14ac:dyDescent="0.3">
      <c r="F257" s="28" t="s">
        <v>451</v>
      </c>
      <c r="G257" s="28" t="s">
        <v>167</v>
      </c>
      <c r="J257" s="385">
        <f t="shared" ref="J257:Y257" si="34">IF(J$39, J$45, J$35)</f>
        <v>0.48222066856070578</v>
      </c>
      <c r="K257" s="385">
        <f t="shared" si="34"/>
        <v>0.48222066856070578</v>
      </c>
      <c r="L257" s="385">
        <f t="shared" si="34"/>
        <v>0.48222066856070578</v>
      </c>
      <c r="M257" s="385">
        <f t="shared" si="34"/>
        <v>0.48222066856070578</v>
      </c>
      <c r="N257" s="385">
        <f t="shared" si="34"/>
        <v>0.48222066856070578</v>
      </c>
      <c r="O257" s="385">
        <f t="shared" si="34"/>
        <v>0.19751655620522704</v>
      </c>
      <c r="P257" s="385">
        <f t="shared" si="34"/>
        <v>7.8679419876750339E-2</v>
      </c>
      <c r="Q257" s="385">
        <f t="shared" si="34"/>
        <v>0.48222066856070578</v>
      </c>
      <c r="R257" s="385">
        <f t="shared" si="34"/>
        <v>0</v>
      </c>
      <c r="S257" s="385">
        <f t="shared" si="34"/>
        <v>0</v>
      </c>
      <c r="T257" s="385">
        <f t="shared" si="34"/>
        <v>0</v>
      </c>
      <c r="U257" s="385">
        <f t="shared" si="34"/>
        <v>0</v>
      </c>
      <c r="V257" s="385">
        <f t="shared" si="34"/>
        <v>0</v>
      </c>
      <c r="W257" s="385">
        <f t="shared" si="34"/>
        <v>0</v>
      </c>
      <c r="X257" s="385">
        <f t="shared" si="34"/>
        <v>0</v>
      </c>
      <c r="Y257" s="385">
        <f t="shared" si="34"/>
        <v>0</v>
      </c>
      <c r="AQ257" s="3"/>
    </row>
    <row r="258" spans="5:43" x14ac:dyDescent="0.3">
      <c r="F258" s="28" t="s">
        <v>452</v>
      </c>
      <c r="G258" s="28" t="s">
        <v>207</v>
      </c>
      <c r="J258" s="98">
        <f t="shared" ref="J258:Y258" si="35">J254 * (1 - J256)</f>
        <v>32810.615620005185</v>
      </c>
      <c r="K258" s="98">
        <f t="shared" si="35"/>
        <v>0</v>
      </c>
      <c r="L258" s="98">
        <f t="shared" si="35"/>
        <v>1966.1133176584453</v>
      </c>
      <c r="M258" s="98">
        <f t="shared" si="35"/>
        <v>0</v>
      </c>
      <c r="N258" s="98">
        <f t="shared" si="35"/>
        <v>7767.6659824566595</v>
      </c>
      <c r="O258" s="98">
        <f t="shared" si="35"/>
        <v>0</v>
      </c>
      <c r="P258" s="98">
        <f t="shared" si="35"/>
        <v>0</v>
      </c>
      <c r="Q258" s="98">
        <f t="shared" si="35"/>
        <v>215.15790509753253</v>
      </c>
      <c r="R258" s="98">
        <f t="shared" si="35"/>
        <v>3.9412575596031192</v>
      </c>
      <c r="S258" s="98">
        <f t="shared" si="35"/>
        <v>0</v>
      </c>
      <c r="T258" s="98">
        <f t="shared" si="35"/>
        <v>0</v>
      </c>
      <c r="U258" s="98">
        <f t="shared" si="35"/>
        <v>0</v>
      </c>
      <c r="V258" s="98">
        <f t="shared" si="35"/>
        <v>0</v>
      </c>
      <c r="W258" s="98">
        <f t="shared" si="35"/>
        <v>0</v>
      </c>
      <c r="X258" s="98">
        <f t="shared" si="35"/>
        <v>0</v>
      </c>
      <c r="Y258" s="98">
        <f t="shared" si="35"/>
        <v>0</v>
      </c>
      <c r="AQ258" s="3"/>
    </row>
    <row r="259" spans="5:43" x14ac:dyDescent="0.3">
      <c r="F259" s="67" t="s">
        <v>453</v>
      </c>
      <c r="G259" s="67" t="s">
        <v>207</v>
      </c>
      <c r="H259" s="37"/>
      <c r="I259" s="37"/>
      <c r="J259" s="100">
        <f t="shared" ref="J259:Y259" si="36">J255 * (1 - J257)</f>
        <v>53485.809993683979</v>
      </c>
      <c r="K259" s="100">
        <f t="shared" si="36"/>
        <v>0</v>
      </c>
      <c r="L259" s="100">
        <f t="shared" si="36"/>
        <v>7555.0373211734995</v>
      </c>
      <c r="M259" s="100">
        <f t="shared" si="36"/>
        <v>0</v>
      </c>
      <c r="N259" s="100">
        <f t="shared" si="36"/>
        <v>45713.815754911469</v>
      </c>
      <c r="O259" s="100">
        <f t="shared" si="36"/>
        <v>5742.1872304203971</v>
      </c>
      <c r="P259" s="100">
        <f t="shared" si="36"/>
        <v>47828.414827063476</v>
      </c>
      <c r="Q259" s="100">
        <f t="shared" si="36"/>
        <v>268.04439019811241</v>
      </c>
      <c r="R259" s="100">
        <f t="shared" si="36"/>
        <v>0</v>
      </c>
      <c r="S259" s="100">
        <f t="shared" si="36"/>
        <v>0</v>
      </c>
      <c r="T259" s="100">
        <f t="shared" si="36"/>
        <v>30.585567519526965</v>
      </c>
      <c r="U259" s="100">
        <f t="shared" si="36"/>
        <v>0</v>
      </c>
      <c r="V259" s="100">
        <f t="shared" si="36"/>
        <v>0</v>
      </c>
      <c r="W259" s="100">
        <f t="shared" si="36"/>
        <v>0</v>
      </c>
      <c r="X259" s="100">
        <f t="shared" si="36"/>
        <v>0</v>
      </c>
      <c r="Y259" s="100">
        <f t="shared" si="36"/>
        <v>0</v>
      </c>
      <c r="AQ259" s="3"/>
    </row>
    <row r="260" spans="5:43" x14ac:dyDescent="0.3">
      <c r="F260" s="28" t="s">
        <v>454</v>
      </c>
      <c r="G260" s="28" t="s">
        <v>207</v>
      </c>
      <c r="J260" s="121">
        <f t="shared" ref="J260:Y260" si="37">J253 + J258 + J259</f>
        <v>4559037.4253185689</v>
      </c>
      <c r="K260" s="121">
        <f t="shared" si="37"/>
        <v>13095.75106613846</v>
      </c>
      <c r="L260" s="121">
        <f t="shared" si="37"/>
        <v>1237153.6127393793</v>
      </c>
      <c r="M260" s="121">
        <f t="shared" si="37"/>
        <v>2930.5689204763953</v>
      </c>
      <c r="N260" s="121">
        <f t="shared" si="37"/>
        <v>1093171.0483201107</v>
      </c>
      <c r="O260" s="121">
        <f t="shared" si="37"/>
        <v>60594.809001650618</v>
      </c>
      <c r="P260" s="121">
        <f t="shared" si="37"/>
        <v>3405913.6894766232</v>
      </c>
      <c r="Q260" s="121">
        <f t="shared" si="37"/>
        <v>187842.48249019182</v>
      </c>
      <c r="R260" s="121">
        <f t="shared" si="37"/>
        <v>332.99565387439389</v>
      </c>
      <c r="S260" s="121">
        <f t="shared" si="37"/>
        <v>0</v>
      </c>
      <c r="T260" s="121">
        <f t="shared" si="37"/>
        <v>21484.220834211559</v>
      </c>
      <c r="U260" s="121">
        <f t="shared" si="37"/>
        <v>0</v>
      </c>
      <c r="V260" s="121">
        <f t="shared" si="37"/>
        <v>5426.3333985064392</v>
      </c>
      <c r="W260" s="121">
        <f t="shared" si="37"/>
        <v>0</v>
      </c>
      <c r="X260" s="121">
        <f t="shared" si="37"/>
        <v>341773.46231736481</v>
      </c>
      <c r="Y260" s="121">
        <f t="shared" si="37"/>
        <v>0</v>
      </c>
      <c r="AQ260" s="3"/>
    </row>
    <row r="261" spans="5:43" x14ac:dyDescent="0.3">
      <c r="E261" s="32"/>
      <c r="J261" s="89"/>
      <c r="K261" s="89"/>
      <c r="L261" s="89"/>
      <c r="M261" s="89"/>
      <c r="N261" s="89"/>
      <c r="O261" s="89"/>
      <c r="P261" s="89"/>
      <c r="Q261" s="89"/>
      <c r="R261" s="89"/>
      <c r="S261" s="89"/>
      <c r="T261" s="89"/>
      <c r="U261" s="89"/>
      <c r="V261" s="89"/>
      <c r="W261" s="89"/>
      <c r="X261" s="89"/>
      <c r="Y261" s="89"/>
      <c r="AQ261" s="3"/>
    </row>
    <row r="262" spans="5:43" x14ac:dyDescent="0.3">
      <c r="E262" s="32" t="s">
        <v>455</v>
      </c>
      <c r="I262" t="s">
        <v>154</v>
      </c>
      <c r="J262" s="89"/>
      <c r="K262" s="89"/>
      <c r="L262" s="89"/>
      <c r="M262" s="89"/>
      <c r="N262" s="89"/>
      <c r="O262" s="89"/>
      <c r="P262" s="89"/>
      <c r="Q262" s="89"/>
      <c r="R262" s="89"/>
      <c r="S262" s="89"/>
      <c r="T262" s="89"/>
      <c r="U262" s="89"/>
      <c r="V262" s="89"/>
      <c r="W262" s="89"/>
      <c r="X262" s="89"/>
      <c r="Y262" s="89"/>
      <c r="AQ262" s="3"/>
    </row>
    <row r="263" spans="5:43" x14ac:dyDescent="0.3">
      <c r="E263" s="32"/>
      <c r="J263" s="89"/>
      <c r="K263" s="89"/>
      <c r="L263" s="89"/>
      <c r="M263" s="89"/>
      <c r="N263" s="89"/>
      <c r="O263" s="89"/>
      <c r="P263" s="89"/>
      <c r="Q263" s="89"/>
      <c r="R263" s="89"/>
      <c r="S263" s="89"/>
      <c r="T263" s="89"/>
      <c r="U263" s="89"/>
      <c r="V263" s="89"/>
      <c r="W263" s="89"/>
      <c r="X263" s="89"/>
      <c r="Y263" s="89"/>
      <c r="AQ263" s="3"/>
    </row>
    <row r="264" spans="5:43" x14ac:dyDescent="0.3">
      <c r="F264" s="28" t="s">
        <v>454</v>
      </c>
      <c r="G264" s="28" t="s">
        <v>207</v>
      </c>
      <c r="J264" s="98">
        <f t="shared" ref="J264:Y264" si="38">J260 + J249 + J238</f>
        <v>8243104.1171784895</v>
      </c>
      <c r="K264" s="98">
        <f t="shared" si="38"/>
        <v>16567.448551798487</v>
      </c>
      <c r="L264" s="98">
        <f t="shared" si="38"/>
        <v>2739735.3557335958</v>
      </c>
      <c r="M264" s="98">
        <f t="shared" si="38"/>
        <v>4017.9633645050908</v>
      </c>
      <c r="N264" s="98">
        <f t="shared" si="38"/>
        <v>2377867.5373323588</v>
      </c>
      <c r="O264" s="98">
        <f t="shared" si="38"/>
        <v>139300.06127213477</v>
      </c>
      <c r="P264" s="98">
        <f t="shared" si="38"/>
        <v>6652065.463077073</v>
      </c>
      <c r="Q264" s="98">
        <f t="shared" si="38"/>
        <v>246667.26158504939</v>
      </c>
      <c r="R264" s="98">
        <f t="shared" si="38"/>
        <v>1133.5616397661845</v>
      </c>
      <c r="S264" s="98">
        <f t="shared" si="38"/>
        <v>0</v>
      </c>
      <c r="T264" s="98">
        <f t="shared" si="38"/>
        <v>47200.443429056759</v>
      </c>
      <c r="U264" s="98">
        <f t="shared" si="38"/>
        <v>0</v>
      </c>
      <c r="V264" s="98">
        <f t="shared" si="38"/>
        <v>9937.9707653078713</v>
      </c>
      <c r="W264" s="98">
        <f t="shared" si="38"/>
        <v>0</v>
      </c>
      <c r="X264" s="98">
        <f t="shared" si="38"/>
        <v>704532.76201741502</v>
      </c>
      <c r="Y264" s="98">
        <f t="shared" si="38"/>
        <v>0</v>
      </c>
      <c r="AQ264" s="3"/>
    </row>
    <row r="265" spans="5:43" x14ac:dyDescent="0.3">
      <c r="E265" s="32"/>
      <c r="J265" s="89"/>
      <c r="K265" s="89"/>
      <c r="L265" s="89"/>
      <c r="M265" s="89"/>
      <c r="N265" s="89"/>
      <c r="O265" s="89"/>
      <c r="P265" s="89"/>
      <c r="Q265" s="89"/>
      <c r="R265" s="89"/>
      <c r="S265" s="89"/>
      <c r="T265" s="89"/>
      <c r="U265" s="89"/>
      <c r="V265" s="89"/>
      <c r="W265" s="89"/>
      <c r="X265" s="89"/>
      <c r="Y265" s="89"/>
      <c r="AQ265" s="3"/>
    </row>
    <row r="266" spans="5:43" x14ac:dyDescent="0.3">
      <c r="E266" s="32" t="s">
        <v>212</v>
      </c>
      <c r="I266" t="s">
        <v>154</v>
      </c>
      <c r="J266" s="89"/>
      <c r="K266" s="89"/>
      <c r="L266" s="89"/>
      <c r="M266" s="89"/>
      <c r="N266" s="89"/>
      <c r="O266" s="89"/>
      <c r="P266" s="89"/>
      <c r="Q266" s="89"/>
      <c r="R266" s="89"/>
      <c r="S266" s="89"/>
      <c r="T266" s="89"/>
      <c r="U266" s="89"/>
      <c r="V266" s="89"/>
      <c r="W266" s="89"/>
      <c r="X266" s="89"/>
      <c r="Y266" s="89"/>
      <c r="AA266" t="s">
        <v>309</v>
      </c>
      <c r="AQ266" s="3"/>
    </row>
    <row r="267" spans="5:43" x14ac:dyDescent="0.3">
      <c r="E267" s="32"/>
      <c r="J267" s="89"/>
      <c r="K267" s="89"/>
      <c r="L267" s="89"/>
      <c r="M267" s="89"/>
      <c r="N267" s="89"/>
      <c r="O267" s="89"/>
      <c r="P267" s="89"/>
      <c r="Q267" s="89"/>
      <c r="R267" s="89"/>
      <c r="S267" s="89"/>
      <c r="T267" s="89"/>
      <c r="U267" s="89"/>
      <c r="V267" s="89"/>
      <c r="W267" s="89"/>
      <c r="X267" s="89"/>
      <c r="Y267" s="89"/>
      <c r="AQ267" s="3"/>
    </row>
    <row r="268" spans="5:43" x14ac:dyDescent="0.3">
      <c r="F268" s="28" t="s">
        <v>447</v>
      </c>
      <c r="G268" s="28" t="s">
        <v>212</v>
      </c>
      <c r="J268" s="98">
        <f t="shared" ref="J268:Y268" si="39">J202</f>
        <v>2316983.3909131573</v>
      </c>
      <c r="K268" s="98">
        <f t="shared" si="39"/>
        <v>0</v>
      </c>
      <c r="L268" s="98">
        <f t="shared" si="39"/>
        <v>185735.31122140857</v>
      </c>
      <c r="M268" s="98">
        <f t="shared" si="39"/>
        <v>0</v>
      </c>
      <c r="N268" s="98">
        <f t="shared" si="39"/>
        <v>14657.633911072935</v>
      </c>
      <c r="O268" s="98">
        <f t="shared" si="39"/>
        <v>381.28905051971287</v>
      </c>
      <c r="P268" s="98">
        <f t="shared" si="39"/>
        <v>4090.2236564655227</v>
      </c>
      <c r="Q268" s="98">
        <f t="shared" si="39"/>
        <v>29.475632524712577</v>
      </c>
      <c r="R268" s="98">
        <f t="shared" si="39"/>
        <v>0</v>
      </c>
      <c r="S268" s="98">
        <f t="shared" si="39"/>
        <v>0</v>
      </c>
      <c r="T268" s="98">
        <f t="shared" si="39"/>
        <v>654.93140614185506</v>
      </c>
      <c r="U268" s="98">
        <f t="shared" si="39"/>
        <v>0</v>
      </c>
      <c r="V268" s="98">
        <f t="shared" si="39"/>
        <v>27.058064434890188</v>
      </c>
      <c r="W268" s="98">
        <f t="shared" si="39"/>
        <v>0</v>
      </c>
      <c r="X268" s="98">
        <f t="shared" si="39"/>
        <v>316.31557457887271</v>
      </c>
      <c r="Y268" s="98">
        <f t="shared" si="39"/>
        <v>0</v>
      </c>
      <c r="AQ268" s="3"/>
    </row>
    <row r="269" spans="5:43" x14ac:dyDescent="0.3">
      <c r="F269" s="28" t="s">
        <v>448</v>
      </c>
      <c r="G269" s="28" t="s">
        <v>212</v>
      </c>
      <c r="J269" s="98">
        <f t="shared" ref="J269:Y269" si="40">J211</f>
        <v>30904.405938754266</v>
      </c>
      <c r="K269" s="98">
        <f t="shared" si="40"/>
        <v>0</v>
      </c>
      <c r="L269" s="98">
        <f t="shared" si="40"/>
        <v>517.59086196476539</v>
      </c>
      <c r="M269" s="98">
        <f t="shared" si="40"/>
        <v>0</v>
      </c>
      <c r="N269" s="98">
        <f t="shared" si="40"/>
        <v>88.647495414199938</v>
      </c>
      <c r="O269" s="98">
        <f t="shared" si="40"/>
        <v>0</v>
      </c>
      <c r="P269" s="98">
        <f t="shared" si="40"/>
        <v>0</v>
      </c>
      <c r="Q269" s="98">
        <f t="shared" si="40"/>
        <v>0</v>
      </c>
      <c r="R269" s="98">
        <f t="shared" si="40"/>
        <v>0</v>
      </c>
      <c r="S269" s="98">
        <f t="shared" si="40"/>
        <v>0</v>
      </c>
      <c r="T269" s="98">
        <f t="shared" si="40"/>
        <v>0</v>
      </c>
      <c r="U269" s="98">
        <f t="shared" si="40"/>
        <v>0</v>
      </c>
      <c r="V269" s="98">
        <f t="shared" si="40"/>
        <v>0</v>
      </c>
      <c r="W269" s="98">
        <f t="shared" si="40"/>
        <v>0</v>
      </c>
      <c r="X269" s="98">
        <f t="shared" si="40"/>
        <v>0</v>
      </c>
      <c r="Y269" s="98">
        <f t="shared" si="40"/>
        <v>0</v>
      </c>
      <c r="AQ269" s="3"/>
    </row>
    <row r="270" spans="5:43" x14ac:dyDescent="0.3">
      <c r="F270" s="28" t="s">
        <v>449</v>
      </c>
      <c r="G270" s="28" t="s">
        <v>212</v>
      </c>
      <c r="J270" s="98">
        <f t="shared" ref="J270:Y270" si="41">J220</f>
        <v>65699.326539455738</v>
      </c>
      <c r="K270" s="98">
        <f t="shared" si="41"/>
        <v>0</v>
      </c>
      <c r="L270" s="98">
        <f t="shared" si="41"/>
        <v>1709.8942582011603</v>
      </c>
      <c r="M270" s="98">
        <f t="shared" si="41"/>
        <v>0</v>
      </c>
      <c r="N270" s="98">
        <f t="shared" si="41"/>
        <v>632.79269192292668</v>
      </c>
      <c r="O270" s="98">
        <f t="shared" si="41"/>
        <v>23.144144429161461</v>
      </c>
      <c r="P270" s="98">
        <f t="shared" si="41"/>
        <v>49.853163328679244</v>
      </c>
      <c r="Q270" s="98">
        <f t="shared" si="41"/>
        <v>0</v>
      </c>
      <c r="R270" s="98">
        <f t="shared" si="41"/>
        <v>0</v>
      </c>
      <c r="S270" s="98">
        <f t="shared" si="41"/>
        <v>0</v>
      </c>
      <c r="T270" s="98">
        <f t="shared" si="41"/>
        <v>2.7440506140904959</v>
      </c>
      <c r="U270" s="98">
        <f t="shared" si="41"/>
        <v>0</v>
      </c>
      <c r="V270" s="98">
        <f t="shared" si="41"/>
        <v>0</v>
      </c>
      <c r="W270" s="98">
        <f t="shared" si="41"/>
        <v>0</v>
      </c>
      <c r="X270" s="98">
        <f t="shared" si="41"/>
        <v>0.33569155719989663</v>
      </c>
      <c r="Y270" s="98">
        <f t="shared" si="41"/>
        <v>0</v>
      </c>
      <c r="AQ270" s="3"/>
    </row>
    <row r="271" spans="5:43" x14ac:dyDescent="0.3">
      <c r="F271" s="28" t="s">
        <v>450</v>
      </c>
      <c r="G271" s="28" t="s">
        <v>167</v>
      </c>
      <c r="J271" s="385">
        <f t="shared" ref="J271:Y271" si="42">IF(J$40, J$46, J$34)</f>
        <v>0.33736714141938473</v>
      </c>
      <c r="K271" s="385">
        <f t="shared" si="42"/>
        <v>0.33736714141938473</v>
      </c>
      <c r="L271" s="385">
        <f t="shared" si="42"/>
        <v>0.33736714141938473</v>
      </c>
      <c r="M271" s="385">
        <f t="shared" si="42"/>
        <v>0.33736714141938473</v>
      </c>
      <c r="N271" s="385">
        <f t="shared" si="42"/>
        <v>0.33736714141938473</v>
      </c>
      <c r="O271" s="385">
        <f t="shared" si="42"/>
        <v>0</v>
      </c>
      <c r="P271" s="385">
        <f t="shared" si="42"/>
        <v>0</v>
      </c>
      <c r="Q271" s="385">
        <f t="shared" si="42"/>
        <v>0.33736714141938473</v>
      </c>
      <c r="R271" s="385">
        <f t="shared" si="42"/>
        <v>1</v>
      </c>
      <c r="S271" s="385">
        <f t="shared" si="42"/>
        <v>1</v>
      </c>
      <c r="T271" s="385">
        <f t="shared" si="42"/>
        <v>1</v>
      </c>
      <c r="U271" s="385">
        <f t="shared" si="42"/>
        <v>1</v>
      </c>
      <c r="V271" s="385">
        <f t="shared" si="42"/>
        <v>1</v>
      </c>
      <c r="W271" s="385">
        <f t="shared" si="42"/>
        <v>1</v>
      </c>
      <c r="X271" s="385">
        <f t="shared" si="42"/>
        <v>1</v>
      </c>
      <c r="Y271" s="385">
        <f t="shared" si="42"/>
        <v>1</v>
      </c>
      <c r="AQ271" s="3"/>
    </row>
    <row r="272" spans="5:43" x14ac:dyDescent="0.3">
      <c r="F272" s="28" t="s">
        <v>451</v>
      </c>
      <c r="G272" s="28" t="s">
        <v>167</v>
      </c>
      <c r="J272" s="385">
        <f t="shared" ref="J272:Y272" si="43">IF(J$40, J$46, J$35)</f>
        <v>0.48222066856070578</v>
      </c>
      <c r="K272" s="385">
        <f t="shared" si="43"/>
        <v>0.48222066856070578</v>
      </c>
      <c r="L272" s="385">
        <f t="shared" si="43"/>
        <v>0.48222066856070578</v>
      </c>
      <c r="M272" s="385">
        <f t="shared" si="43"/>
        <v>0.48222066856070578</v>
      </c>
      <c r="N272" s="385">
        <f t="shared" si="43"/>
        <v>0.48222066856070578</v>
      </c>
      <c r="O272" s="385">
        <f t="shared" si="43"/>
        <v>0.19751655620522704</v>
      </c>
      <c r="P272" s="385">
        <f t="shared" si="43"/>
        <v>7.8679419876750339E-2</v>
      </c>
      <c r="Q272" s="385">
        <f t="shared" si="43"/>
        <v>0.48222066856070578</v>
      </c>
      <c r="R272" s="385">
        <f t="shared" si="43"/>
        <v>1</v>
      </c>
      <c r="S272" s="385">
        <f t="shared" si="43"/>
        <v>1</v>
      </c>
      <c r="T272" s="385">
        <f t="shared" si="43"/>
        <v>1</v>
      </c>
      <c r="U272" s="385">
        <f t="shared" si="43"/>
        <v>1</v>
      </c>
      <c r="V272" s="385">
        <f t="shared" si="43"/>
        <v>1</v>
      </c>
      <c r="W272" s="385">
        <f t="shared" si="43"/>
        <v>1</v>
      </c>
      <c r="X272" s="385">
        <f t="shared" si="43"/>
        <v>1</v>
      </c>
      <c r="Y272" s="385">
        <f t="shared" si="43"/>
        <v>1</v>
      </c>
      <c r="AQ272" s="3"/>
    </row>
    <row r="273" spans="5:43" x14ac:dyDescent="0.3">
      <c r="F273" s="28" t="s">
        <v>452</v>
      </c>
      <c r="G273" s="28" t="s">
        <v>212</v>
      </c>
      <c r="J273" s="98">
        <f t="shared" ref="J273:Y273" si="44">J269 * (1 - J271)</f>
        <v>20478.274849932481</v>
      </c>
      <c r="K273" s="98">
        <f t="shared" si="44"/>
        <v>0</v>
      </c>
      <c r="L273" s="98">
        <f t="shared" si="44"/>
        <v>342.97271243891714</v>
      </c>
      <c r="M273" s="98">
        <f t="shared" si="44"/>
        <v>0</v>
      </c>
      <c r="N273" s="98">
        <f t="shared" si="44"/>
        <v>58.740743292323288</v>
      </c>
      <c r="O273" s="98">
        <f t="shared" si="44"/>
        <v>0</v>
      </c>
      <c r="P273" s="98">
        <f t="shared" si="44"/>
        <v>0</v>
      </c>
      <c r="Q273" s="98">
        <f t="shared" si="44"/>
        <v>0</v>
      </c>
      <c r="R273" s="98">
        <f t="shared" si="44"/>
        <v>0</v>
      </c>
      <c r="S273" s="98">
        <f t="shared" si="44"/>
        <v>0</v>
      </c>
      <c r="T273" s="98">
        <f t="shared" si="44"/>
        <v>0</v>
      </c>
      <c r="U273" s="98">
        <f t="shared" si="44"/>
        <v>0</v>
      </c>
      <c r="V273" s="98">
        <f t="shared" si="44"/>
        <v>0</v>
      </c>
      <c r="W273" s="98">
        <f t="shared" si="44"/>
        <v>0</v>
      </c>
      <c r="X273" s="98">
        <f t="shared" si="44"/>
        <v>0</v>
      </c>
      <c r="Y273" s="98">
        <f t="shared" si="44"/>
        <v>0</v>
      </c>
      <c r="AQ273" s="3"/>
    </row>
    <row r="274" spans="5:43" x14ac:dyDescent="0.3">
      <c r="F274" s="67" t="s">
        <v>453</v>
      </c>
      <c r="G274" s="67" t="s">
        <v>212</v>
      </c>
      <c r="H274" s="37"/>
      <c r="I274" s="37"/>
      <c r="J274" s="100">
        <f t="shared" ref="J274:Y274" si="45">J270 * (1 - J272)</f>
        <v>34017.753371611274</v>
      </c>
      <c r="K274" s="100">
        <f t="shared" si="45"/>
        <v>0</v>
      </c>
      <c r="L274" s="100">
        <f t="shared" si="45"/>
        <v>885.34790584328471</v>
      </c>
      <c r="M274" s="100">
        <f t="shared" si="45"/>
        <v>0</v>
      </c>
      <c r="N274" s="100">
        <f t="shared" si="45"/>
        <v>327.64697696352425</v>
      </c>
      <c r="O274" s="100">
        <f t="shared" si="45"/>
        <v>18.5727927251971</v>
      </c>
      <c r="P274" s="100">
        <f t="shared" si="45"/>
        <v>45.930745358957878</v>
      </c>
      <c r="Q274" s="100">
        <f t="shared" si="45"/>
        <v>0</v>
      </c>
      <c r="R274" s="100">
        <f t="shared" si="45"/>
        <v>0</v>
      </c>
      <c r="S274" s="100">
        <f t="shared" si="45"/>
        <v>0</v>
      </c>
      <c r="T274" s="100">
        <f t="shared" si="45"/>
        <v>0</v>
      </c>
      <c r="U274" s="100">
        <f t="shared" si="45"/>
        <v>0</v>
      </c>
      <c r="V274" s="100">
        <f t="shared" si="45"/>
        <v>0</v>
      </c>
      <c r="W274" s="100">
        <f t="shared" si="45"/>
        <v>0</v>
      </c>
      <c r="X274" s="100">
        <f t="shared" si="45"/>
        <v>0</v>
      </c>
      <c r="Y274" s="100">
        <f t="shared" si="45"/>
        <v>0</v>
      </c>
      <c r="AQ274" s="3"/>
    </row>
    <row r="275" spans="5:43" x14ac:dyDescent="0.3">
      <c r="F275" s="28" t="s">
        <v>454</v>
      </c>
      <c r="G275" s="28" t="s">
        <v>212</v>
      </c>
      <c r="J275" s="121">
        <f t="shared" ref="J275:Y275" si="46">J268 + J273 + J274</f>
        <v>2371479.4191347011</v>
      </c>
      <c r="K275" s="121">
        <f t="shared" si="46"/>
        <v>0</v>
      </c>
      <c r="L275" s="121">
        <f t="shared" si="46"/>
        <v>186963.63183969076</v>
      </c>
      <c r="M275" s="121">
        <f t="shared" si="46"/>
        <v>0</v>
      </c>
      <c r="N275" s="121">
        <f t="shared" si="46"/>
        <v>15044.021631328782</v>
      </c>
      <c r="O275" s="121">
        <f t="shared" si="46"/>
        <v>399.86184324490995</v>
      </c>
      <c r="P275" s="121">
        <f t="shared" si="46"/>
        <v>4136.1544018244804</v>
      </c>
      <c r="Q275" s="121">
        <f t="shared" si="46"/>
        <v>29.475632524712577</v>
      </c>
      <c r="R275" s="121">
        <f t="shared" si="46"/>
        <v>0</v>
      </c>
      <c r="S275" s="121">
        <f t="shared" si="46"/>
        <v>0</v>
      </c>
      <c r="T275" s="121">
        <f t="shared" si="46"/>
        <v>654.93140614185506</v>
      </c>
      <c r="U275" s="121">
        <f t="shared" si="46"/>
        <v>0</v>
      </c>
      <c r="V275" s="121">
        <f t="shared" si="46"/>
        <v>27.058064434890188</v>
      </c>
      <c r="W275" s="121">
        <f t="shared" si="46"/>
        <v>0</v>
      </c>
      <c r="X275" s="121">
        <f t="shared" si="46"/>
        <v>316.31557457887271</v>
      </c>
      <c r="Y275" s="121">
        <f t="shared" si="46"/>
        <v>0</v>
      </c>
      <c r="AQ275" s="3"/>
    </row>
    <row r="276" spans="5:43" x14ac:dyDescent="0.3">
      <c r="E276" s="32"/>
      <c r="J276" s="89"/>
      <c r="K276" s="89"/>
      <c r="L276" s="89"/>
      <c r="M276" s="89"/>
      <c r="N276" s="89"/>
      <c r="O276" s="89"/>
      <c r="P276" s="89"/>
      <c r="Q276" s="89"/>
      <c r="R276" s="89"/>
      <c r="S276" s="89"/>
      <c r="T276" s="89"/>
      <c r="U276" s="89"/>
      <c r="V276" s="89"/>
      <c r="W276" s="89"/>
      <c r="X276" s="89"/>
      <c r="Y276" s="89"/>
      <c r="AQ276" s="3"/>
    </row>
    <row r="277" spans="5:43" x14ac:dyDescent="0.3">
      <c r="E277" s="32" t="s">
        <v>250</v>
      </c>
      <c r="I277" t="s">
        <v>154</v>
      </c>
      <c r="J277" s="89"/>
      <c r="K277" s="89"/>
      <c r="L277" s="89"/>
      <c r="M277" s="89"/>
      <c r="N277" s="89"/>
      <c r="O277" s="89"/>
      <c r="P277" s="89"/>
      <c r="Q277" s="89"/>
      <c r="R277" s="89"/>
      <c r="S277" s="89"/>
      <c r="T277" s="89"/>
      <c r="U277" s="89"/>
      <c r="V277" s="89"/>
      <c r="W277" s="89"/>
      <c r="X277" s="89"/>
      <c r="Y277" s="89"/>
      <c r="AA277" t="s">
        <v>309</v>
      </c>
      <c r="AQ277" s="3"/>
    </row>
    <row r="278" spans="5:43" x14ac:dyDescent="0.3">
      <c r="E278" s="32"/>
      <c r="J278" s="89"/>
      <c r="K278" s="89"/>
      <c r="L278" s="89"/>
      <c r="M278" s="89"/>
      <c r="N278" s="89"/>
      <c r="O278" s="89"/>
      <c r="P278" s="89"/>
      <c r="Q278" s="89"/>
      <c r="R278" s="89"/>
      <c r="S278" s="89"/>
      <c r="T278" s="89"/>
      <c r="U278" s="89"/>
      <c r="V278" s="89"/>
      <c r="W278" s="89"/>
      <c r="X278" s="89"/>
      <c r="Y278" s="89"/>
      <c r="AQ278" s="3"/>
    </row>
    <row r="279" spans="5:43" x14ac:dyDescent="0.3">
      <c r="F279" s="28" t="s">
        <v>447</v>
      </c>
      <c r="G279" s="28" t="s">
        <v>251</v>
      </c>
      <c r="J279" s="98">
        <f t="shared" ref="J279:Y279" si="47">J203</f>
        <v>0</v>
      </c>
      <c r="K279" s="98">
        <f t="shared" si="47"/>
        <v>0</v>
      </c>
      <c r="L279" s="98">
        <f t="shared" si="47"/>
        <v>0</v>
      </c>
      <c r="M279" s="98">
        <f t="shared" si="47"/>
        <v>0</v>
      </c>
      <c r="N279" s="98">
        <f t="shared" si="47"/>
        <v>1535884.7561643836</v>
      </c>
      <c r="O279" s="98">
        <f t="shared" si="47"/>
        <v>164327.49380474005</v>
      </c>
      <c r="P279" s="98">
        <f t="shared" si="47"/>
        <v>2910845.656945304</v>
      </c>
      <c r="Q279" s="98">
        <f t="shared" si="47"/>
        <v>0</v>
      </c>
      <c r="R279" s="98">
        <f t="shared" si="47"/>
        <v>0</v>
      </c>
      <c r="S279" s="98">
        <f t="shared" si="47"/>
        <v>0</v>
      </c>
      <c r="T279" s="98">
        <f t="shared" si="47"/>
        <v>0</v>
      </c>
      <c r="U279" s="98">
        <f t="shared" si="47"/>
        <v>0</v>
      </c>
      <c r="V279" s="98">
        <f t="shared" si="47"/>
        <v>0</v>
      </c>
      <c r="W279" s="98">
        <f t="shared" si="47"/>
        <v>0</v>
      </c>
      <c r="X279" s="98">
        <f t="shared" si="47"/>
        <v>0</v>
      </c>
      <c r="Y279" s="98">
        <f t="shared" si="47"/>
        <v>0</v>
      </c>
      <c r="AQ279" s="3"/>
    </row>
    <row r="280" spans="5:43" x14ac:dyDescent="0.3">
      <c r="F280" s="28" t="s">
        <v>448</v>
      </c>
      <c r="G280" s="28" t="s">
        <v>251</v>
      </c>
      <c r="J280" s="98">
        <f t="shared" ref="J280:Y280" si="48">J212</f>
        <v>0</v>
      </c>
      <c r="K280" s="98">
        <f t="shared" si="48"/>
        <v>0</v>
      </c>
      <c r="L280" s="98">
        <f t="shared" si="48"/>
        <v>0</v>
      </c>
      <c r="M280" s="98">
        <f t="shared" si="48"/>
        <v>0</v>
      </c>
      <c r="N280" s="98">
        <f t="shared" si="48"/>
        <v>17502.120744823085</v>
      </c>
      <c r="O280" s="98">
        <f t="shared" si="48"/>
        <v>0</v>
      </c>
      <c r="P280" s="98">
        <f t="shared" si="48"/>
        <v>0</v>
      </c>
      <c r="Q280" s="98">
        <f t="shared" si="48"/>
        <v>0</v>
      </c>
      <c r="R280" s="98">
        <f t="shared" si="48"/>
        <v>0</v>
      </c>
      <c r="S280" s="98">
        <f t="shared" si="48"/>
        <v>0</v>
      </c>
      <c r="T280" s="98">
        <f t="shared" si="48"/>
        <v>0</v>
      </c>
      <c r="U280" s="98">
        <f t="shared" si="48"/>
        <v>0</v>
      </c>
      <c r="V280" s="98">
        <f t="shared" si="48"/>
        <v>0</v>
      </c>
      <c r="W280" s="98">
        <f t="shared" si="48"/>
        <v>0</v>
      </c>
      <c r="X280" s="98">
        <f t="shared" si="48"/>
        <v>0</v>
      </c>
      <c r="Y280" s="98">
        <f t="shared" si="48"/>
        <v>0</v>
      </c>
      <c r="AQ280" s="3"/>
    </row>
    <row r="281" spans="5:43" x14ac:dyDescent="0.3">
      <c r="F281" s="28" t="s">
        <v>449</v>
      </c>
      <c r="G281" s="28" t="s">
        <v>251</v>
      </c>
      <c r="J281" s="98">
        <f t="shared" ref="J281:Y281" si="49">J221</f>
        <v>0</v>
      </c>
      <c r="K281" s="98">
        <f t="shared" si="49"/>
        <v>0</v>
      </c>
      <c r="L281" s="98">
        <f t="shared" si="49"/>
        <v>0</v>
      </c>
      <c r="M281" s="98">
        <f t="shared" si="49"/>
        <v>0</v>
      </c>
      <c r="N281" s="98">
        <f t="shared" si="49"/>
        <v>130455.34487511782</v>
      </c>
      <c r="O281" s="98">
        <f t="shared" si="49"/>
        <v>14873.824302774468</v>
      </c>
      <c r="P281" s="98">
        <f t="shared" si="49"/>
        <v>59859.218383008265</v>
      </c>
      <c r="Q281" s="98">
        <f t="shared" si="49"/>
        <v>0</v>
      </c>
      <c r="R281" s="98">
        <f t="shared" si="49"/>
        <v>0</v>
      </c>
      <c r="S281" s="98">
        <f t="shared" si="49"/>
        <v>0</v>
      </c>
      <c r="T281" s="98">
        <f t="shared" si="49"/>
        <v>0</v>
      </c>
      <c r="U281" s="98">
        <f t="shared" si="49"/>
        <v>0</v>
      </c>
      <c r="V281" s="98">
        <f t="shared" si="49"/>
        <v>0</v>
      </c>
      <c r="W281" s="98">
        <f t="shared" si="49"/>
        <v>0</v>
      </c>
      <c r="X281" s="98">
        <f t="shared" si="49"/>
        <v>0</v>
      </c>
      <c r="Y281" s="98">
        <f t="shared" si="49"/>
        <v>0</v>
      </c>
      <c r="AQ281" s="3"/>
    </row>
    <row r="282" spans="5:43" x14ac:dyDescent="0.3">
      <c r="F282" s="28" t="s">
        <v>450</v>
      </c>
      <c r="G282" s="28" t="s">
        <v>167</v>
      </c>
      <c r="J282" s="385">
        <f t="shared" ref="J282:Y282" si="50">IF(J$41, J$47, J$34)</f>
        <v>0.33736714141938473</v>
      </c>
      <c r="K282" s="385">
        <f t="shared" si="50"/>
        <v>0.33736714141938473</v>
      </c>
      <c r="L282" s="385">
        <f t="shared" si="50"/>
        <v>0.33736714141938473</v>
      </c>
      <c r="M282" s="385">
        <f t="shared" si="50"/>
        <v>0.33736714141938473</v>
      </c>
      <c r="N282" s="385">
        <f t="shared" si="50"/>
        <v>0.33736714141938473</v>
      </c>
      <c r="O282" s="385">
        <f t="shared" si="50"/>
        <v>0</v>
      </c>
      <c r="P282" s="385">
        <f t="shared" si="50"/>
        <v>0</v>
      </c>
      <c r="Q282" s="385">
        <f t="shared" si="50"/>
        <v>0.33736714141938473</v>
      </c>
      <c r="R282" s="385">
        <f t="shared" si="50"/>
        <v>0</v>
      </c>
      <c r="S282" s="385">
        <f t="shared" si="50"/>
        <v>0</v>
      </c>
      <c r="T282" s="385">
        <f t="shared" si="50"/>
        <v>0</v>
      </c>
      <c r="U282" s="385">
        <f t="shared" si="50"/>
        <v>0</v>
      </c>
      <c r="V282" s="385">
        <f t="shared" si="50"/>
        <v>0</v>
      </c>
      <c r="W282" s="385">
        <f t="shared" si="50"/>
        <v>0</v>
      </c>
      <c r="X282" s="385">
        <f t="shared" si="50"/>
        <v>0</v>
      </c>
      <c r="Y282" s="385">
        <f t="shared" si="50"/>
        <v>0</v>
      </c>
      <c r="AQ282" s="3"/>
    </row>
    <row r="283" spans="5:43" x14ac:dyDescent="0.3">
      <c r="F283" s="28" t="s">
        <v>451</v>
      </c>
      <c r="G283" s="28" t="s">
        <v>167</v>
      </c>
      <c r="J283" s="385">
        <f t="shared" ref="J283:Y283" si="51">IF(J$41, J$47, J$35)</f>
        <v>0.48222066856070578</v>
      </c>
      <c r="K283" s="385">
        <f t="shared" si="51"/>
        <v>0.48222066856070578</v>
      </c>
      <c r="L283" s="385">
        <f t="shared" si="51"/>
        <v>0.48222066856070578</v>
      </c>
      <c r="M283" s="385">
        <f t="shared" si="51"/>
        <v>0.48222066856070578</v>
      </c>
      <c r="N283" s="385">
        <f t="shared" si="51"/>
        <v>0.48222066856070578</v>
      </c>
      <c r="O283" s="385">
        <f t="shared" si="51"/>
        <v>0.19751655620522704</v>
      </c>
      <c r="P283" s="385">
        <f t="shared" si="51"/>
        <v>7.8679419876750339E-2</v>
      </c>
      <c r="Q283" s="385">
        <f t="shared" si="51"/>
        <v>0.48222066856070578</v>
      </c>
      <c r="R283" s="385">
        <f t="shared" si="51"/>
        <v>0</v>
      </c>
      <c r="S283" s="385">
        <f t="shared" si="51"/>
        <v>0</v>
      </c>
      <c r="T283" s="385">
        <f t="shared" si="51"/>
        <v>0</v>
      </c>
      <c r="U283" s="385">
        <f t="shared" si="51"/>
        <v>0</v>
      </c>
      <c r="V283" s="385">
        <f t="shared" si="51"/>
        <v>0</v>
      </c>
      <c r="W283" s="385">
        <f t="shared" si="51"/>
        <v>0</v>
      </c>
      <c r="X283" s="385">
        <f t="shared" si="51"/>
        <v>0</v>
      </c>
      <c r="Y283" s="385">
        <f t="shared" si="51"/>
        <v>0</v>
      </c>
      <c r="AQ283" s="3"/>
    </row>
    <row r="284" spans="5:43" x14ac:dyDescent="0.3">
      <c r="F284" s="28" t="s">
        <v>452</v>
      </c>
      <c r="G284" s="28" t="s">
        <v>251</v>
      </c>
      <c r="J284" s="98">
        <f t="shared" ref="J284:Y284" si="52">J280 * (1 - J282)</f>
        <v>0</v>
      </c>
      <c r="K284" s="98">
        <f t="shared" si="52"/>
        <v>0</v>
      </c>
      <c r="L284" s="98">
        <f t="shared" si="52"/>
        <v>0</v>
      </c>
      <c r="M284" s="98">
        <f t="shared" si="52"/>
        <v>0</v>
      </c>
      <c r="N284" s="98">
        <f t="shared" si="52"/>
        <v>11597.480300365209</v>
      </c>
      <c r="O284" s="98">
        <f t="shared" si="52"/>
        <v>0</v>
      </c>
      <c r="P284" s="98">
        <f t="shared" si="52"/>
        <v>0</v>
      </c>
      <c r="Q284" s="98">
        <f t="shared" si="52"/>
        <v>0</v>
      </c>
      <c r="R284" s="98">
        <f t="shared" si="52"/>
        <v>0</v>
      </c>
      <c r="S284" s="98">
        <f t="shared" si="52"/>
        <v>0</v>
      </c>
      <c r="T284" s="98">
        <f t="shared" si="52"/>
        <v>0</v>
      </c>
      <c r="U284" s="98">
        <f t="shared" si="52"/>
        <v>0</v>
      </c>
      <c r="V284" s="98">
        <f t="shared" si="52"/>
        <v>0</v>
      </c>
      <c r="W284" s="98">
        <f t="shared" si="52"/>
        <v>0</v>
      </c>
      <c r="X284" s="98">
        <f t="shared" si="52"/>
        <v>0</v>
      </c>
      <c r="Y284" s="98">
        <f t="shared" si="52"/>
        <v>0</v>
      </c>
      <c r="AQ284" s="3"/>
    </row>
    <row r="285" spans="5:43" x14ac:dyDescent="0.3">
      <c r="F285" s="67" t="s">
        <v>453</v>
      </c>
      <c r="G285" s="67" t="s">
        <v>251</v>
      </c>
      <c r="H285" s="37"/>
      <c r="I285" s="37"/>
      <c r="J285" s="100">
        <f t="shared" ref="J285:Y285" si="53">J281 * (1 - J283)</f>
        <v>0</v>
      </c>
      <c r="K285" s="100">
        <f t="shared" si="53"/>
        <v>0</v>
      </c>
      <c r="L285" s="100">
        <f t="shared" si="53"/>
        <v>0</v>
      </c>
      <c r="M285" s="100">
        <f t="shared" si="53"/>
        <v>0</v>
      </c>
      <c r="N285" s="100">
        <f t="shared" si="53"/>
        <v>67547.081252121061</v>
      </c>
      <c r="O285" s="100">
        <f t="shared" si="53"/>
        <v>11935.997748888843</v>
      </c>
      <c r="P285" s="100">
        <f t="shared" si="53"/>
        <v>55149.529806357466</v>
      </c>
      <c r="Q285" s="100">
        <f t="shared" si="53"/>
        <v>0</v>
      </c>
      <c r="R285" s="100">
        <f t="shared" si="53"/>
        <v>0</v>
      </c>
      <c r="S285" s="100">
        <f t="shared" si="53"/>
        <v>0</v>
      </c>
      <c r="T285" s="100">
        <f t="shared" si="53"/>
        <v>0</v>
      </c>
      <c r="U285" s="100">
        <f t="shared" si="53"/>
        <v>0</v>
      </c>
      <c r="V285" s="100">
        <f t="shared" si="53"/>
        <v>0</v>
      </c>
      <c r="W285" s="100">
        <f t="shared" si="53"/>
        <v>0</v>
      </c>
      <c r="X285" s="100">
        <f t="shared" si="53"/>
        <v>0</v>
      </c>
      <c r="Y285" s="100">
        <f t="shared" si="53"/>
        <v>0</v>
      </c>
      <c r="AQ285" s="3"/>
    </row>
    <row r="286" spans="5:43" x14ac:dyDescent="0.3">
      <c r="F286" s="28" t="s">
        <v>454</v>
      </c>
      <c r="G286" s="28" t="s">
        <v>251</v>
      </c>
      <c r="J286" s="121">
        <f t="shared" ref="J286:Y286" si="54">J279 + J284 + J285</f>
        <v>0</v>
      </c>
      <c r="K286" s="121">
        <f t="shared" si="54"/>
        <v>0</v>
      </c>
      <c r="L286" s="121">
        <f t="shared" si="54"/>
        <v>0</v>
      </c>
      <c r="M286" s="121">
        <f t="shared" si="54"/>
        <v>0</v>
      </c>
      <c r="N286" s="121">
        <f t="shared" si="54"/>
        <v>1615029.31771687</v>
      </c>
      <c r="O286" s="121">
        <f t="shared" si="54"/>
        <v>176263.4915536289</v>
      </c>
      <c r="P286" s="121">
        <f t="shared" si="54"/>
        <v>2965995.1867516614</v>
      </c>
      <c r="Q286" s="121">
        <f t="shared" si="54"/>
        <v>0</v>
      </c>
      <c r="R286" s="121">
        <f t="shared" si="54"/>
        <v>0</v>
      </c>
      <c r="S286" s="121">
        <f t="shared" si="54"/>
        <v>0</v>
      </c>
      <c r="T286" s="121">
        <f t="shared" si="54"/>
        <v>0</v>
      </c>
      <c r="U286" s="121">
        <f t="shared" si="54"/>
        <v>0</v>
      </c>
      <c r="V286" s="121">
        <f t="shared" si="54"/>
        <v>0</v>
      </c>
      <c r="W286" s="121">
        <f t="shared" si="54"/>
        <v>0</v>
      </c>
      <c r="X286" s="121">
        <f t="shared" si="54"/>
        <v>0</v>
      </c>
      <c r="Y286" s="121">
        <f t="shared" si="54"/>
        <v>0</v>
      </c>
      <c r="AQ286" s="3"/>
    </row>
    <row r="287" spans="5:43" x14ac:dyDescent="0.3">
      <c r="E287" s="32"/>
      <c r="J287" s="89"/>
      <c r="K287" s="89"/>
      <c r="L287" s="89"/>
      <c r="M287" s="89"/>
      <c r="N287" s="89"/>
      <c r="O287" s="89"/>
      <c r="P287" s="89"/>
      <c r="Q287" s="89"/>
      <c r="R287" s="89"/>
      <c r="S287" s="89"/>
      <c r="T287" s="89"/>
      <c r="U287" s="89"/>
      <c r="V287" s="89"/>
      <c r="W287" s="89"/>
      <c r="X287" s="89"/>
      <c r="Y287" s="89"/>
      <c r="AQ287" s="3"/>
    </row>
    <row r="288" spans="5:43" x14ac:dyDescent="0.3">
      <c r="E288" s="32" t="s">
        <v>252</v>
      </c>
      <c r="I288" t="s">
        <v>154</v>
      </c>
      <c r="J288" s="89"/>
      <c r="K288" s="89"/>
      <c r="L288" s="89"/>
      <c r="M288" s="89"/>
      <c r="N288" s="89"/>
      <c r="O288" s="89"/>
      <c r="P288" s="89"/>
      <c r="Q288" s="89"/>
      <c r="R288" s="89"/>
      <c r="S288" s="89"/>
      <c r="T288" s="89"/>
      <c r="U288" s="89"/>
      <c r="V288" s="89"/>
      <c r="W288" s="89"/>
      <c r="X288" s="89"/>
      <c r="Y288" s="89"/>
      <c r="AA288" t="s">
        <v>309</v>
      </c>
      <c r="AQ288" s="3"/>
    </row>
    <row r="289" spans="5:43" x14ac:dyDescent="0.3">
      <c r="E289" s="32"/>
      <c r="J289" s="89"/>
      <c r="K289" s="89"/>
      <c r="L289" s="89"/>
      <c r="M289" s="89"/>
      <c r="N289" s="89"/>
      <c r="O289" s="89"/>
      <c r="P289" s="89"/>
      <c r="Q289" s="89"/>
      <c r="R289" s="89"/>
      <c r="S289" s="89"/>
      <c r="T289" s="89"/>
      <c r="U289" s="89"/>
      <c r="V289" s="89"/>
      <c r="W289" s="89"/>
      <c r="X289" s="89"/>
      <c r="Y289" s="89"/>
      <c r="AQ289" s="3"/>
    </row>
    <row r="290" spans="5:43" x14ac:dyDescent="0.3">
      <c r="F290" s="28" t="s">
        <v>447</v>
      </c>
      <c r="G290" s="28" t="s">
        <v>251</v>
      </c>
      <c r="J290" s="98">
        <f t="shared" ref="J290:Y290" si="55">J204</f>
        <v>0</v>
      </c>
      <c r="K290" s="98">
        <f t="shared" si="55"/>
        <v>0</v>
      </c>
      <c r="L290" s="98">
        <f t="shared" si="55"/>
        <v>0</v>
      </c>
      <c r="M290" s="98">
        <f t="shared" si="55"/>
        <v>0</v>
      </c>
      <c r="N290" s="98">
        <f t="shared" si="55"/>
        <v>31832.940594459065</v>
      </c>
      <c r="O290" s="98">
        <f t="shared" si="55"/>
        <v>315.97343605843048</v>
      </c>
      <c r="P290" s="98">
        <f t="shared" si="55"/>
        <v>37750.303656608834</v>
      </c>
      <c r="Q290" s="98">
        <f t="shared" si="55"/>
        <v>0</v>
      </c>
      <c r="R290" s="98">
        <f t="shared" si="55"/>
        <v>0</v>
      </c>
      <c r="S290" s="98">
        <f t="shared" si="55"/>
        <v>0</v>
      </c>
      <c r="T290" s="98">
        <f t="shared" si="55"/>
        <v>0</v>
      </c>
      <c r="U290" s="98">
        <f t="shared" si="55"/>
        <v>0</v>
      </c>
      <c r="V290" s="98">
        <f t="shared" si="55"/>
        <v>0</v>
      </c>
      <c r="W290" s="98">
        <f t="shared" si="55"/>
        <v>0</v>
      </c>
      <c r="X290" s="98">
        <f t="shared" si="55"/>
        <v>0</v>
      </c>
      <c r="Y290" s="98">
        <f t="shared" si="55"/>
        <v>0</v>
      </c>
      <c r="AQ290" s="3"/>
    </row>
    <row r="291" spans="5:43" x14ac:dyDescent="0.3">
      <c r="F291" s="28" t="s">
        <v>448</v>
      </c>
      <c r="G291" s="28" t="s">
        <v>251</v>
      </c>
      <c r="J291" s="98">
        <f t="shared" ref="J291:Y291" si="56">J213</f>
        <v>0</v>
      </c>
      <c r="K291" s="98">
        <f t="shared" si="56"/>
        <v>0</v>
      </c>
      <c r="L291" s="98">
        <f t="shared" si="56"/>
        <v>0</v>
      </c>
      <c r="M291" s="98">
        <f t="shared" si="56"/>
        <v>0</v>
      </c>
      <c r="N291" s="98">
        <f t="shared" si="56"/>
        <v>47.168959938385179</v>
      </c>
      <c r="O291" s="98">
        <f t="shared" si="56"/>
        <v>0</v>
      </c>
      <c r="P291" s="98">
        <f t="shared" si="56"/>
        <v>0</v>
      </c>
      <c r="Q291" s="98">
        <f t="shared" si="56"/>
        <v>0</v>
      </c>
      <c r="R291" s="98">
        <f t="shared" si="56"/>
        <v>0</v>
      </c>
      <c r="S291" s="98">
        <f t="shared" si="56"/>
        <v>0</v>
      </c>
      <c r="T291" s="98">
        <f t="shared" si="56"/>
        <v>0</v>
      </c>
      <c r="U291" s="98">
        <f t="shared" si="56"/>
        <v>0</v>
      </c>
      <c r="V291" s="98">
        <f t="shared" si="56"/>
        <v>0</v>
      </c>
      <c r="W291" s="98">
        <f t="shared" si="56"/>
        <v>0</v>
      </c>
      <c r="X291" s="98">
        <f t="shared" si="56"/>
        <v>0</v>
      </c>
      <c r="Y291" s="98">
        <f t="shared" si="56"/>
        <v>0</v>
      </c>
      <c r="AQ291" s="3"/>
    </row>
    <row r="292" spans="5:43" x14ac:dyDescent="0.3">
      <c r="F292" s="28" t="s">
        <v>449</v>
      </c>
      <c r="G292" s="28" t="s">
        <v>251</v>
      </c>
      <c r="J292" s="98">
        <f t="shared" ref="J292:Y292" si="57">J222</f>
        <v>0</v>
      </c>
      <c r="K292" s="98">
        <f t="shared" si="57"/>
        <v>0</v>
      </c>
      <c r="L292" s="98">
        <f t="shared" si="57"/>
        <v>0</v>
      </c>
      <c r="M292" s="98">
        <f t="shared" si="57"/>
        <v>0</v>
      </c>
      <c r="N292" s="98">
        <f t="shared" si="57"/>
        <v>607.90883152674814</v>
      </c>
      <c r="O292" s="98">
        <f t="shared" si="57"/>
        <v>0</v>
      </c>
      <c r="P292" s="98">
        <f t="shared" si="57"/>
        <v>648.00460028822772</v>
      </c>
      <c r="Q292" s="98">
        <f t="shared" si="57"/>
        <v>0</v>
      </c>
      <c r="R292" s="98">
        <f t="shared" si="57"/>
        <v>0</v>
      </c>
      <c r="S292" s="98">
        <f t="shared" si="57"/>
        <v>0</v>
      </c>
      <c r="T292" s="98">
        <f t="shared" si="57"/>
        <v>0</v>
      </c>
      <c r="U292" s="98">
        <f t="shared" si="57"/>
        <v>0</v>
      </c>
      <c r="V292" s="98">
        <f t="shared" si="57"/>
        <v>0</v>
      </c>
      <c r="W292" s="98">
        <f t="shared" si="57"/>
        <v>0</v>
      </c>
      <c r="X292" s="98">
        <f t="shared" si="57"/>
        <v>0</v>
      </c>
      <c r="Y292" s="98">
        <f t="shared" si="57"/>
        <v>0</v>
      </c>
      <c r="AQ292" s="3"/>
    </row>
    <row r="293" spans="5:43" x14ac:dyDescent="0.3">
      <c r="F293" s="28" t="s">
        <v>450</v>
      </c>
      <c r="G293" s="28" t="s">
        <v>167</v>
      </c>
      <c r="J293" s="385">
        <f t="shared" ref="J293:Y293" si="58">IF(J$42, J$48, J$34)</f>
        <v>0.33736714141938473</v>
      </c>
      <c r="K293" s="385">
        <f t="shared" si="58"/>
        <v>0.33736714141938473</v>
      </c>
      <c r="L293" s="385">
        <f t="shared" si="58"/>
        <v>0.33736714141938473</v>
      </c>
      <c r="M293" s="385">
        <f t="shared" si="58"/>
        <v>0.33736714141938473</v>
      </c>
      <c r="N293" s="385">
        <f t="shared" si="58"/>
        <v>0.33736714141938473</v>
      </c>
      <c r="O293" s="385">
        <f t="shared" si="58"/>
        <v>0</v>
      </c>
      <c r="P293" s="385">
        <f t="shared" si="58"/>
        <v>0</v>
      </c>
      <c r="Q293" s="385">
        <f t="shared" si="58"/>
        <v>0.33736714141938473</v>
      </c>
      <c r="R293" s="385">
        <f t="shared" si="58"/>
        <v>0</v>
      </c>
      <c r="S293" s="385">
        <f t="shared" si="58"/>
        <v>0</v>
      </c>
      <c r="T293" s="385">
        <f t="shared" si="58"/>
        <v>0</v>
      </c>
      <c r="U293" s="385">
        <f t="shared" si="58"/>
        <v>0</v>
      </c>
      <c r="V293" s="385">
        <f t="shared" si="58"/>
        <v>0</v>
      </c>
      <c r="W293" s="385">
        <f t="shared" si="58"/>
        <v>0</v>
      </c>
      <c r="X293" s="385">
        <f t="shared" si="58"/>
        <v>0</v>
      </c>
      <c r="Y293" s="385">
        <f t="shared" si="58"/>
        <v>0</v>
      </c>
      <c r="AQ293" s="3"/>
    </row>
    <row r="294" spans="5:43" x14ac:dyDescent="0.3">
      <c r="F294" s="28" t="s">
        <v>451</v>
      </c>
      <c r="G294" s="28" t="s">
        <v>167</v>
      </c>
      <c r="J294" s="385">
        <f t="shared" ref="J294:Y294" si="59">IF(J$42, J$48, J$35)</f>
        <v>0.48222066856070578</v>
      </c>
      <c r="K294" s="385">
        <f t="shared" si="59"/>
        <v>0.48222066856070578</v>
      </c>
      <c r="L294" s="385">
        <f t="shared" si="59"/>
        <v>0.48222066856070578</v>
      </c>
      <c r="M294" s="385">
        <f t="shared" si="59"/>
        <v>0.48222066856070578</v>
      </c>
      <c r="N294" s="385">
        <f t="shared" si="59"/>
        <v>0.48222066856070578</v>
      </c>
      <c r="O294" s="385">
        <f t="shared" si="59"/>
        <v>0.19751655620522704</v>
      </c>
      <c r="P294" s="385">
        <f t="shared" si="59"/>
        <v>7.8679419876750339E-2</v>
      </c>
      <c r="Q294" s="385">
        <f t="shared" si="59"/>
        <v>0.48222066856070578</v>
      </c>
      <c r="R294" s="385">
        <f t="shared" si="59"/>
        <v>0</v>
      </c>
      <c r="S294" s="385">
        <f t="shared" si="59"/>
        <v>0</v>
      </c>
      <c r="T294" s="385">
        <f t="shared" si="59"/>
        <v>0</v>
      </c>
      <c r="U294" s="385">
        <f t="shared" si="59"/>
        <v>0</v>
      </c>
      <c r="V294" s="385">
        <f t="shared" si="59"/>
        <v>0</v>
      </c>
      <c r="W294" s="385">
        <f t="shared" si="59"/>
        <v>0</v>
      </c>
      <c r="X294" s="385">
        <f t="shared" si="59"/>
        <v>0</v>
      </c>
      <c r="Y294" s="385">
        <f t="shared" si="59"/>
        <v>0</v>
      </c>
      <c r="AQ294" s="3"/>
    </row>
    <row r="295" spans="5:43" x14ac:dyDescent="0.3">
      <c r="F295" s="28" t="s">
        <v>452</v>
      </c>
      <c r="G295" s="28" t="s">
        <v>251</v>
      </c>
      <c r="J295" s="98">
        <f t="shared" ref="J295:Y295" si="60">J291 * (1 - J293)</f>
        <v>0</v>
      </c>
      <c r="K295" s="98">
        <f t="shared" si="60"/>
        <v>0</v>
      </c>
      <c r="L295" s="98">
        <f t="shared" si="60"/>
        <v>0</v>
      </c>
      <c r="M295" s="98">
        <f t="shared" si="60"/>
        <v>0</v>
      </c>
      <c r="N295" s="98">
        <f t="shared" si="60"/>
        <v>31.255702760246692</v>
      </c>
      <c r="O295" s="98">
        <f t="shared" si="60"/>
        <v>0</v>
      </c>
      <c r="P295" s="98">
        <f t="shared" si="60"/>
        <v>0</v>
      </c>
      <c r="Q295" s="98">
        <f t="shared" si="60"/>
        <v>0</v>
      </c>
      <c r="R295" s="98">
        <f t="shared" si="60"/>
        <v>0</v>
      </c>
      <c r="S295" s="98">
        <f t="shared" si="60"/>
        <v>0</v>
      </c>
      <c r="T295" s="98">
        <f t="shared" si="60"/>
        <v>0</v>
      </c>
      <c r="U295" s="98">
        <f t="shared" si="60"/>
        <v>0</v>
      </c>
      <c r="V295" s="98">
        <f t="shared" si="60"/>
        <v>0</v>
      </c>
      <c r="W295" s="98">
        <f t="shared" si="60"/>
        <v>0</v>
      </c>
      <c r="X295" s="98">
        <f t="shared" si="60"/>
        <v>0</v>
      </c>
      <c r="Y295" s="98">
        <f t="shared" si="60"/>
        <v>0</v>
      </c>
      <c r="AQ295" s="3"/>
    </row>
    <row r="296" spans="5:43" x14ac:dyDescent="0.3">
      <c r="F296" s="67" t="s">
        <v>453</v>
      </c>
      <c r="G296" s="67" t="s">
        <v>251</v>
      </c>
      <c r="H296" s="37"/>
      <c r="I296" s="37"/>
      <c r="J296" s="100">
        <f t="shared" ref="J296:Y296" si="61">J292 * (1 - J294)</f>
        <v>0</v>
      </c>
      <c r="K296" s="100">
        <f t="shared" si="61"/>
        <v>0</v>
      </c>
      <c r="L296" s="100">
        <f t="shared" si="61"/>
        <v>0</v>
      </c>
      <c r="M296" s="100">
        <f t="shared" si="61"/>
        <v>0</v>
      </c>
      <c r="N296" s="100">
        <f t="shared" si="61"/>
        <v>314.76262836396222</v>
      </c>
      <c r="O296" s="100">
        <f t="shared" si="61"/>
        <v>0</v>
      </c>
      <c r="P296" s="100">
        <f t="shared" si="61"/>
        <v>597.0199742600845</v>
      </c>
      <c r="Q296" s="100">
        <f t="shared" si="61"/>
        <v>0</v>
      </c>
      <c r="R296" s="100">
        <f t="shared" si="61"/>
        <v>0</v>
      </c>
      <c r="S296" s="100">
        <f t="shared" si="61"/>
        <v>0</v>
      </c>
      <c r="T296" s="100">
        <f t="shared" si="61"/>
        <v>0</v>
      </c>
      <c r="U296" s="100">
        <f t="shared" si="61"/>
        <v>0</v>
      </c>
      <c r="V296" s="100">
        <f t="shared" si="61"/>
        <v>0</v>
      </c>
      <c r="W296" s="100">
        <f t="shared" si="61"/>
        <v>0</v>
      </c>
      <c r="X296" s="100">
        <f t="shared" si="61"/>
        <v>0</v>
      </c>
      <c r="Y296" s="100">
        <f t="shared" si="61"/>
        <v>0</v>
      </c>
      <c r="AQ296" s="3"/>
    </row>
    <row r="297" spans="5:43" x14ac:dyDescent="0.3">
      <c r="F297" s="28" t="s">
        <v>454</v>
      </c>
      <c r="G297" s="28" t="s">
        <v>251</v>
      </c>
      <c r="J297" s="121">
        <f t="shared" ref="J297:Y297" si="62">J290 + J295 + J296</f>
        <v>0</v>
      </c>
      <c r="K297" s="121">
        <f t="shared" si="62"/>
        <v>0</v>
      </c>
      <c r="L297" s="121">
        <f t="shared" si="62"/>
        <v>0</v>
      </c>
      <c r="M297" s="121">
        <f t="shared" si="62"/>
        <v>0</v>
      </c>
      <c r="N297" s="121">
        <f t="shared" si="62"/>
        <v>32178.958925583273</v>
      </c>
      <c r="O297" s="121">
        <f t="shared" si="62"/>
        <v>315.97343605843048</v>
      </c>
      <c r="P297" s="121">
        <f t="shared" si="62"/>
        <v>38347.323630868916</v>
      </c>
      <c r="Q297" s="121">
        <f t="shared" si="62"/>
        <v>0</v>
      </c>
      <c r="R297" s="121">
        <f t="shared" si="62"/>
        <v>0</v>
      </c>
      <c r="S297" s="121">
        <f t="shared" si="62"/>
        <v>0</v>
      </c>
      <c r="T297" s="121">
        <f t="shared" si="62"/>
        <v>0</v>
      </c>
      <c r="U297" s="121">
        <f t="shared" si="62"/>
        <v>0</v>
      </c>
      <c r="V297" s="121">
        <f t="shared" si="62"/>
        <v>0</v>
      </c>
      <c r="W297" s="121">
        <f t="shared" si="62"/>
        <v>0</v>
      </c>
      <c r="X297" s="121">
        <f t="shared" si="62"/>
        <v>0</v>
      </c>
      <c r="Y297" s="121">
        <f t="shared" si="62"/>
        <v>0</v>
      </c>
      <c r="AQ297" s="3"/>
    </row>
    <row r="298" spans="5:43" x14ac:dyDescent="0.3">
      <c r="E298" s="32"/>
      <c r="J298" s="89"/>
      <c r="K298" s="89"/>
      <c r="L298" s="89"/>
      <c r="M298" s="89"/>
      <c r="N298" s="89"/>
      <c r="O298" s="89"/>
      <c r="P298" s="89"/>
      <c r="Q298" s="89"/>
      <c r="R298" s="89"/>
      <c r="S298" s="89"/>
      <c r="T298" s="89"/>
      <c r="U298" s="89"/>
      <c r="V298" s="89"/>
      <c r="W298" s="89"/>
      <c r="X298" s="89"/>
      <c r="Y298" s="89"/>
      <c r="AQ298" s="3"/>
    </row>
    <row r="299" spans="5:43" x14ac:dyDescent="0.3">
      <c r="E299" s="32" t="s">
        <v>253</v>
      </c>
      <c r="I299" t="s">
        <v>154</v>
      </c>
      <c r="J299" s="89"/>
      <c r="K299" s="89"/>
      <c r="L299" s="89"/>
      <c r="M299" s="89"/>
      <c r="N299" s="89"/>
      <c r="O299" s="89"/>
      <c r="P299" s="89"/>
      <c r="Q299" s="89"/>
      <c r="R299" s="89"/>
      <c r="S299" s="89"/>
      <c r="T299" s="89"/>
      <c r="U299" s="89"/>
      <c r="V299" s="89"/>
      <c r="W299" s="89"/>
      <c r="X299" s="89"/>
      <c r="Y299" s="89"/>
      <c r="AA299" t="s">
        <v>309</v>
      </c>
      <c r="AQ299" s="3"/>
    </row>
    <row r="300" spans="5:43" x14ac:dyDescent="0.3">
      <c r="E300" s="32"/>
      <c r="J300" s="89"/>
      <c r="K300" s="89"/>
      <c r="L300" s="89"/>
      <c r="M300" s="89"/>
      <c r="N300" s="89"/>
      <c r="O300" s="89"/>
      <c r="P300" s="89"/>
      <c r="Q300" s="89"/>
      <c r="R300" s="89"/>
      <c r="S300" s="89"/>
      <c r="T300" s="89"/>
      <c r="U300" s="89"/>
      <c r="V300" s="89"/>
      <c r="W300" s="89"/>
      <c r="X300" s="89"/>
      <c r="Y300" s="89"/>
      <c r="AQ300" s="3"/>
    </row>
    <row r="301" spans="5:43" x14ac:dyDescent="0.3">
      <c r="F301" s="28" t="s">
        <v>447</v>
      </c>
      <c r="G301" s="28" t="s">
        <v>254</v>
      </c>
      <c r="J301" s="98">
        <f t="shared" ref="J301:Y301" si="63">J205</f>
        <v>0</v>
      </c>
      <c r="K301" s="98">
        <f t="shared" si="63"/>
        <v>0</v>
      </c>
      <c r="L301" s="98">
        <f t="shared" si="63"/>
        <v>0</v>
      </c>
      <c r="M301" s="98">
        <f t="shared" si="63"/>
        <v>0</v>
      </c>
      <c r="N301" s="98">
        <f t="shared" si="63"/>
        <v>288228.43559695699</v>
      </c>
      <c r="O301" s="98">
        <f t="shared" si="63"/>
        <v>14665.504197212982</v>
      </c>
      <c r="P301" s="98">
        <f t="shared" si="63"/>
        <v>728465.84224556806</v>
      </c>
      <c r="Q301" s="98">
        <f t="shared" si="63"/>
        <v>0</v>
      </c>
      <c r="R301" s="98">
        <f t="shared" si="63"/>
        <v>0</v>
      </c>
      <c r="S301" s="98">
        <f t="shared" si="63"/>
        <v>0</v>
      </c>
      <c r="T301" s="98">
        <f t="shared" si="63"/>
        <v>3604.9287740861882</v>
      </c>
      <c r="U301" s="98">
        <f t="shared" si="63"/>
        <v>0</v>
      </c>
      <c r="V301" s="98">
        <f t="shared" si="63"/>
        <v>199.32917063675237</v>
      </c>
      <c r="W301" s="98">
        <f t="shared" si="63"/>
        <v>0</v>
      </c>
      <c r="X301" s="98">
        <f t="shared" si="63"/>
        <v>26105.589426777409</v>
      </c>
      <c r="Y301" s="98">
        <f t="shared" si="63"/>
        <v>0</v>
      </c>
      <c r="AQ301" s="3"/>
    </row>
    <row r="302" spans="5:43" x14ac:dyDescent="0.3">
      <c r="F302" s="28" t="s">
        <v>448</v>
      </c>
      <c r="G302" s="28" t="s">
        <v>254</v>
      </c>
      <c r="J302" s="98">
        <f t="shared" ref="J302:Y302" si="64">J214</f>
        <v>0</v>
      </c>
      <c r="K302" s="98">
        <f t="shared" si="64"/>
        <v>0</v>
      </c>
      <c r="L302" s="98">
        <f t="shared" si="64"/>
        <v>0</v>
      </c>
      <c r="M302" s="98">
        <f t="shared" si="64"/>
        <v>0</v>
      </c>
      <c r="N302" s="98">
        <f t="shared" si="64"/>
        <v>3038.0927388347659</v>
      </c>
      <c r="O302" s="98">
        <f t="shared" si="64"/>
        <v>0</v>
      </c>
      <c r="P302" s="98">
        <f t="shared" si="64"/>
        <v>0</v>
      </c>
      <c r="Q302" s="98">
        <f t="shared" si="64"/>
        <v>0</v>
      </c>
      <c r="R302" s="98">
        <f t="shared" si="64"/>
        <v>0</v>
      </c>
      <c r="S302" s="98">
        <f t="shared" si="64"/>
        <v>0</v>
      </c>
      <c r="T302" s="98">
        <f t="shared" si="64"/>
        <v>0</v>
      </c>
      <c r="U302" s="98">
        <f t="shared" si="64"/>
        <v>0</v>
      </c>
      <c r="V302" s="98">
        <f t="shared" si="64"/>
        <v>0</v>
      </c>
      <c r="W302" s="98">
        <f t="shared" si="64"/>
        <v>0</v>
      </c>
      <c r="X302" s="98">
        <f t="shared" si="64"/>
        <v>0</v>
      </c>
      <c r="Y302" s="98">
        <f t="shared" si="64"/>
        <v>0</v>
      </c>
      <c r="AQ302" s="3"/>
    </row>
    <row r="303" spans="5:43" x14ac:dyDescent="0.3">
      <c r="F303" s="28" t="s">
        <v>449</v>
      </c>
      <c r="G303" s="28" t="s">
        <v>254</v>
      </c>
      <c r="J303" s="98">
        <f t="shared" ref="J303:Y303" si="65">J223</f>
        <v>0</v>
      </c>
      <c r="K303" s="98">
        <f t="shared" si="65"/>
        <v>0</v>
      </c>
      <c r="L303" s="98">
        <f t="shared" si="65"/>
        <v>0</v>
      </c>
      <c r="M303" s="98">
        <f t="shared" si="65"/>
        <v>0</v>
      </c>
      <c r="N303" s="98">
        <f t="shared" si="65"/>
        <v>8363.6629780413623</v>
      </c>
      <c r="O303" s="98">
        <f t="shared" si="65"/>
        <v>1734.5755271274827</v>
      </c>
      <c r="P303" s="98">
        <f t="shared" si="65"/>
        <v>1791.2819035195582</v>
      </c>
      <c r="Q303" s="98">
        <f t="shared" si="65"/>
        <v>0</v>
      </c>
      <c r="R303" s="98">
        <f t="shared" si="65"/>
        <v>0</v>
      </c>
      <c r="S303" s="98">
        <f t="shared" si="65"/>
        <v>0</v>
      </c>
      <c r="T303" s="98">
        <f t="shared" si="65"/>
        <v>6.2683321206657237</v>
      </c>
      <c r="U303" s="98">
        <f t="shared" si="65"/>
        <v>0</v>
      </c>
      <c r="V303" s="98">
        <f t="shared" si="65"/>
        <v>0</v>
      </c>
      <c r="W303" s="98">
        <f t="shared" si="65"/>
        <v>0</v>
      </c>
      <c r="X303" s="98">
        <f t="shared" si="65"/>
        <v>2.5011575186284043</v>
      </c>
      <c r="Y303" s="98">
        <f t="shared" si="65"/>
        <v>0</v>
      </c>
      <c r="AQ303" s="3"/>
    </row>
    <row r="304" spans="5:43" x14ac:dyDescent="0.3">
      <c r="F304" s="28" t="s">
        <v>450</v>
      </c>
      <c r="G304" s="28" t="s">
        <v>167</v>
      </c>
      <c r="J304" s="385">
        <f t="shared" ref="J304:Y304" si="66">IF(J$43, J$49, J$34)</f>
        <v>0.33736714141938473</v>
      </c>
      <c r="K304" s="385">
        <f t="shared" si="66"/>
        <v>0.33736714141938473</v>
      </c>
      <c r="L304" s="385">
        <f t="shared" si="66"/>
        <v>0.33736714141938473</v>
      </c>
      <c r="M304" s="385">
        <f t="shared" si="66"/>
        <v>0.33736714141938473</v>
      </c>
      <c r="N304" s="385">
        <f t="shared" si="66"/>
        <v>0.33736714141938473</v>
      </c>
      <c r="O304" s="385">
        <f t="shared" si="66"/>
        <v>0</v>
      </c>
      <c r="P304" s="385">
        <f t="shared" si="66"/>
        <v>0</v>
      </c>
      <c r="Q304" s="385">
        <f t="shared" si="66"/>
        <v>0.33736714141938473</v>
      </c>
      <c r="R304" s="385">
        <f t="shared" si="66"/>
        <v>0</v>
      </c>
      <c r="S304" s="385">
        <f t="shared" si="66"/>
        <v>0</v>
      </c>
      <c r="T304" s="385">
        <f t="shared" si="66"/>
        <v>0</v>
      </c>
      <c r="U304" s="385">
        <f t="shared" si="66"/>
        <v>0</v>
      </c>
      <c r="V304" s="385">
        <f t="shared" si="66"/>
        <v>0</v>
      </c>
      <c r="W304" s="385">
        <f t="shared" si="66"/>
        <v>0</v>
      </c>
      <c r="X304" s="385">
        <f t="shared" si="66"/>
        <v>0</v>
      </c>
      <c r="Y304" s="385">
        <f t="shared" si="66"/>
        <v>0</v>
      </c>
      <c r="AQ304" s="3"/>
    </row>
    <row r="305" spans="2:43" x14ac:dyDescent="0.3">
      <c r="F305" s="28" t="s">
        <v>451</v>
      </c>
      <c r="G305" s="28" t="s">
        <v>167</v>
      </c>
      <c r="J305" s="385">
        <f t="shared" ref="J305:Y305" si="67">IF(J$43, J$49, J$35)</f>
        <v>0.48222066856070578</v>
      </c>
      <c r="K305" s="385">
        <f t="shared" si="67"/>
        <v>0.48222066856070578</v>
      </c>
      <c r="L305" s="385">
        <f t="shared" si="67"/>
        <v>0.48222066856070578</v>
      </c>
      <c r="M305" s="385">
        <f t="shared" si="67"/>
        <v>0.48222066856070578</v>
      </c>
      <c r="N305" s="385">
        <f t="shared" si="67"/>
        <v>0.48222066856070578</v>
      </c>
      <c r="O305" s="385">
        <f t="shared" si="67"/>
        <v>0.19751655620522704</v>
      </c>
      <c r="P305" s="385">
        <f t="shared" si="67"/>
        <v>7.8679419876750339E-2</v>
      </c>
      <c r="Q305" s="385">
        <f t="shared" si="67"/>
        <v>0.48222066856070578</v>
      </c>
      <c r="R305" s="385">
        <f t="shared" si="67"/>
        <v>0</v>
      </c>
      <c r="S305" s="385">
        <f t="shared" si="67"/>
        <v>0</v>
      </c>
      <c r="T305" s="385">
        <f t="shared" si="67"/>
        <v>0</v>
      </c>
      <c r="U305" s="385">
        <f t="shared" si="67"/>
        <v>0</v>
      </c>
      <c r="V305" s="385">
        <f t="shared" si="67"/>
        <v>0</v>
      </c>
      <c r="W305" s="385">
        <f t="shared" si="67"/>
        <v>0</v>
      </c>
      <c r="X305" s="385">
        <f t="shared" si="67"/>
        <v>0</v>
      </c>
      <c r="Y305" s="385">
        <f t="shared" si="67"/>
        <v>0</v>
      </c>
      <c r="AQ305" s="3"/>
    </row>
    <row r="306" spans="2:43" x14ac:dyDescent="0.3">
      <c r="F306" s="28" t="s">
        <v>452</v>
      </c>
      <c r="G306" s="28" t="s">
        <v>254</v>
      </c>
      <c r="J306" s="98">
        <f t="shared" ref="J306:Y306" si="68">J302 * (1 - J304)</f>
        <v>0</v>
      </c>
      <c r="K306" s="98">
        <f t="shared" si="68"/>
        <v>0</v>
      </c>
      <c r="L306" s="98">
        <f t="shared" si="68"/>
        <v>0</v>
      </c>
      <c r="M306" s="98">
        <f t="shared" si="68"/>
        <v>0</v>
      </c>
      <c r="N306" s="98">
        <f t="shared" si="68"/>
        <v>2013.1400761670916</v>
      </c>
      <c r="O306" s="98">
        <f t="shared" si="68"/>
        <v>0</v>
      </c>
      <c r="P306" s="98">
        <f t="shared" si="68"/>
        <v>0</v>
      </c>
      <c r="Q306" s="98">
        <f t="shared" si="68"/>
        <v>0</v>
      </c>
      <c r="R306" s="98">
        <f t="shared" si="68"/>
        <v>0</v>
      </c>
      <c r="S306" s="98">
        <f t="shared" si="68"/>
        <v>0</v>
      </c>
      <c r="T306" s="98">
        <f t="shared" si="68"/>
        <v>0</v>
      </c>
      <c r="U306" s="98">
        <f t="shared" si="68"/>
        <v>0</v>
      </c>
      <c r="V306" s="98">
        <f t="shared" si="68"/>
        <v>0</v>
      </c>
      <c r="W306" s="98">
        <f t="shared" si="68"/>
        <v>0</v>
      </c>
      <c r="X306" s="98">
        <f t="shared" si="68"/>
        <v>0</v>
      </c>
      <c r="Y306" s="98">
        <f t="shared" si="68"/>
        <v>0</v>
      </c>
      <c r="AQ306" s="3"/>
    </row>
    <row r="307" spans="2:43" x14ac:dyDescent="0.3">
      <c r="F307" s="67" t="s">
        <v>453</v>
      </c>
      <c r="G307" s="67" t="s">
        <v>254</v>
      </c>
      <c r="H307" s="37"/>
      <c r="I307" s="37"/>
      <c r="J307" s="100">
        <f t="shared" ref="J307:Y307" si="69">J303 * (1 - J305)</f>
        <v>0</v>
      </c>
      <c r="K307" s="100">
        <f t="shared" si="69"/>
        <v>0</v>
      </c>
      <c r="L307" s="100">
        <f t="shared" si="69"/>
        <v>0</v>
      </c>
      <c r="M307" s="100">
        <f t="shared" si="69"/>
        <v>0</v>
      </c>
      <c r="N307" s="100">
        <f t="shared" si="69"/>
        <v>4330.5318251538329</v>
      </c>
      <c r="O307" s="100">
        <f t="shared" si="69"/>
        <v>1391.9681425313961</v>
      </c>
      <c r="P307" s="100">
        <f t="shared" si="69"/>
        <v>1650.3448825149183</v>
      </c>
      <c r="Q307" s="100">
        <f t="shared" si="69"/>
        <v>0</v>
      </c>
      <c r="R307" s="100">
        <f t="shared" si="69"/>
        <v>0</v>
      </c>
      <c r="S307" s="100">
        <f t="shared" si="69"/>
        <v>0</v>
      </c>
      <c r="T307" s="100">
        <f t="shared" si="69"/>
        <v>6.2683321206657237</v>
      </c>
      <c r="U307" s="100">
        <f t="shared" si="69"/>
        <v>0</v>
      </c>
      <c r="V307" s="100">
        <f t="shared" si="69"/>
        <v>0</v>
      </c>
      <c r="W307" s="100">
        <f t="shared" si="69"/>
        <v>0</v>
      </c>
      <c r="X307" s="100">
        <f t="shared" si="69"/>
        <v>2.5011575186284043</v>
      </c>
      <c r="Y307" s="100">
        <f t="shared" si="69"/>
        <v>0</v>
      </c>
      <c r="AQ307" s="3"/>
    </row>
    <row r="308" spans="2:43" x14ac:dyDescent="0.3">
      <c r="F308" s="28" t="s">
        <v>454</v>
      </c>
      <c r="G308" s="28" t="s">
        <v>254</v>
      </c>
      <c r="J308" s="121">
        <f t="shared" ref="J308:Y308" si="70">J301 + J306 + J307</f>
        <v>0</v>
      </c>
      <c r="K308" s="121">
        <f t="shared" si="70"/>
        <v>0</v>
      </c>
      <c r="L308" s="121">
        <f t="shared" si="70"/>
        <v>0</v>
      </c>
      <c r="M308" s="121">
        <f t="shared" si="70"/>
        <v>0</v>
      </c>
      <c r="N308" s="121">
        <f t="shared" si="70"/>
        <v>294572.10749827791</v>
      </c>
      <c r="O308" s="121">
        <f t="shared" si="70"/>
        <v>16057.472339744378</v>
      </c>
      <c r="P308" s="121">
        <f t="shared" si="70"/>
        <v>730116.18712808297</v>
      </c>
      <c r="Q308" s="121">
        <f t="shared" si="70"/>
        <v>0</v>
      </c>
      <c r="R308" s="121">
        <f t="shared" si="70"/>
        <v>0</v>
      </c>
      <c r="S308" s="121">
        <f t="shared" si="70"/>
        <v>0</v>
      </c>
      <c r="T308" s="121">
        <f t="shared" si="70"/>
        <v>3611.1971062068542</v>
      </c>
      <c r="U308" s="121">
        <f t="shared" si="70"/>
        <v>0</v>
      </c>
      <c r="V308" s="121">
        <f t="shared" si="70"/>
        <v>199.32917063675237</v>
      </c>
      <c r="W308" s="121">
        <f t="shared" si="70"/>
        <v>0</v>
      </c>
      <c r="X308" s="121">
        <f t="shared" si="70"/>
        <v>26108.090584296038</v>
      </c>
      <c r="Y308" s="121">
        <f t="shared" si="70"/>
        <v>0</v>
      </c>
      <c r="AQ308" s="3"/>
    </row>
    <row r="309" spans="2:43" x14ac:dyDescent="0.3">
      <c r="D309" s="32"/>
      <c r="AQ309" s="3"/>
    </row>
    <row r="310" spans="2:43" x14ac:dyDescent="0.3">
      <c r="B310" s="30" t="s">
        <v>934</v>
      </c>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c r="AA310" s="30"/>
      <c r="AC310" s="30"/>
      <c r="AD310" s="30"/>
      <c r="AE310" s="30"/>
      <c r="AF310" s="30"/>
      <c r="AG310" s="30"/>
      <c r="AH310" s="30"/>
      <c r="AI310" s="30"/>
      <c r="AJ310" s="30"/>
      <c r="AK310" s="30"/>
      <c r="AL310" s="30"/>
      <c r="AM310" s="30"/>
      <c r="AN310" s="30"/>
      <c r="AO310" s="30"/>
      <c r="AQ310" s="30"/>
    </row>
    <row r="311" spans="2:43" x14ac:dyDescent="0.3">
      <c r="C311" s="32"/>
      <c r="AQ311" s="3"/>
    </row>
    <row r="312" spans="2:43" x14ac:dyDescent="0.3">
      <c r="C312" s="29" t="s">
        <v>1038</v>
      </c>
      <c r="AQ312" s="3"/>
    </row>
    <row r="313" spans="2:43" x14ac:dyDescent="0.3">
      <c r="C313" s="32"/>
      <c r="AQ313" s="3"/>
    </row>
    <row r="314" spans="2:43" x14ac:dyDescent="0.3">
      <c r="C314" s="32"/>
      <c r="E314" s="32" t="s">
        <v>450</v>
      </c>
      <c r="AQ314" s="3"/>
    </row>
    <row r="315" spans="2:43" x14ac:dyDescent="0.3">
      <c r="C315" s="32"/>
      <c r="F315" s="78" t="s">
        <v>247</v>
      </c>
      <c r="G315" s="23" t="s">
        <v>167</v>
      </c>
      <c r="H315" s="23"/>
      <c r="I315" s="23"/>
      <c r="J315" s="154">
        <f>IF(J$39, J$45, J$34)</f>
        <v>0.33736714141938473</v>
      </c>
      <c r="K315" s="154">
        <f t="shared" ref="K315:Y315" si="71">IF(K$39, K$45, K$34)</f>
        <v>0.33736714141938473</v>
      </c>
      <c r="L315" s="154">
        <f t="shared" si="71"/>
        <v>0.33736714141938473</v>
      </c>
      <c r="M315" s="154">
        <f t="shared" si="71"/>
        <v>0.33736714141938473</v>
      </c>
      <c r="N315" s="154">
        <f t="shared" si="71"/>
        <v>0.33736714141938473</v>
      </c>
      <c r="O315" s="154">
        <f t="shared" si="71"/>
        <v>0</v>
      </c>
      <c r="P315" s="154">
        <f t="shared" si="71"/>
        <v>0</v>
      </c>
      <c r="Q315" s="154">
        <f t="shared" si="71"/>
        <v>0.33736714141938473</v>
      </c>
      <c r="R315" s="154">
        <f t="shared" si="71"/>
        <v>0</v>
      </c>
      <c r="S315" s="154">
        <f t="shared" si="71"/>
        <v>0</v>
      </c>
      <c r="T315" s="154">
        <f t="shared" si="71"/>
        <v>0</v>
      </c>
      <c r="U315" s="154">
        <f t="shared" si="71"/>
        <v>0</v>
      </c>
      <c r="V315" s="154">
        <f t="shared" si="71"/>
        <v>0</v>
      </c>
      <c r="W315" s="154">
        <f t="shared" si="71"/>
        <v>0</v>
      </c>
      <c r="X315" s="154">
        <f t="shared" si="71"/>
        <v>0</v>
      </c>
      <c r="Y315" s="154">
        <f t="shared" si="71"/>
        <v>0</v>
      </c>
      <c r="AQ315" s="3"/>
    </row>
    <row r="316" spans="2:43" x14ac:dyDescent="0.3">
      <c r="C316" s="32"/>
      <c r="F316" s="72" t="s">
        <v>248</v>
      </c>
      <c r="G316" t="s">
        <v>167</v>
      </c>
      <c r="J316" s="332">
        <f t="shared" ref="J316:Y317" si="72">IF(J$39, J$45, J$34)</f>
        <v>0.33736714141938473</v>
      </c>
      <c r="K316" s="332">
        <f t="shared" si="72"/>
        <v>0.33736714141938473</v>
      </c>
      <c r="L316" s="332">
        <f t="shared" si="72"/>
        <v>0.33736714141938473</v>
      </c>
      <c r="M316" s="332">
        <f t="shared" si="72"/>
        <v>0.33736714141938473</v>
      </c>
      <c r="N316" s="332">
        <f t="shared" si="72"/>
        <v>0.33736714141938473</v>
      </c>
      <c r="O316" s="332">
        <f t="shared" si="72"/>
        <v>0</v>
      </c>
      <c r="P316" s="332">
        <f t="shared" si="72"/>
        <v>0</v>
      </c>
      <c r="Q316" s="332">
        <f t="shared" si="72"/>
        <v>0.33736714141938473</v>
      </c>
      <c r="R316" s="332">
        <f t="shared" si="72"/>
        <v>0</v>
      </c>
      <c r="S316" s="332">
        <f t="shared" si="72"/>
        <v>0</v>
      </c>
      <c r="T316" s="332">
        <f t="shared" si="72"/>
        <v>0</v>
      </c>
      <c r="U316" s="332">
        <f t="shared" si="72"/>
        <v>0</v>
      </c>
      <c r="V316" s="332">
        <f t="shared" si="72"/>
        <v>0</v>
      </c>
      <c r="W316" s="332">
        <f t="shared" si="72"/>
        <v>0</v>
      </c>
      <c r="X316" s="332">
        <f t="shared" si="72"/>
        <v>0</v>
      </c>
      <c r="Y316" s="332">
        <f t="shared" si="72"/>
        <v>0</v>
      </c>
      <c r="AQ316" s="3"/>
    </row>
    <row r="317" spans="2:43" x14ac:dyDescent="0.3">
      <c r="C317" s="32"/>
      <c r="F317" s="80" t="s">
        <v>249</v>
      </c>
      <c r="G317" s="37" t="s">
        <v>167</v>
      </c>
      <c r="H317" s="37"/>
      <c r="I317" s="37"/>
      <c r="J317" s="155">
        <f t="shared" si="72"/>
        <v>0.33736714141938473</v>
      </c>
      <c r="K317" s="155">
        <f t="shared" si="72"/>
        <v>0.33736714141938473</v>
      </c>
      <c r="L317" s="155">
        <f t="shared" si="72"/>
        <v>0.33736714141938473</v>
      </c>
      <c r="M317" s="155">
        <f t="shared" si="72"/>
        <v>0.33736714141938473</v>
      </c>
      <c r="N317" s="155">
        <f t="shared" si="72"/>
        <v>0.33736714141938473</v>
      </c>
      <c r="O317" s="155">
        <f t="shared" si="72"/>
        <v>0</v>
      </c>
      <c r="P317" s="155">
        <f t="shared" si="72"/>
        <v>0</v>
      </c>
      <c r="Q317" s="155">
        <f t="shared" si="72"/>
        <v>0.33736714141938473</v>
      </c>
      <c r="R317" s="155">
        <f t="shared" si="72"/>
        <v>0</v>
      </c>
      <c r="S317" s="155">
        <f t="shared" si="72"/>
        <v>0</v>
      </c>
      <c r="T317" s="155">
        <f t="shared" si="72"/>
        <v>0</v>
      </c>
      <c r="U317" s="155">
        <f t="shared" si="72"/>
        <v>0</v>
      </c>
      <c r="V317" s="155">
        <f t="shared" si="72"/>
        <v>0</v>
      </c>
      <c r="W317" s="155">
        <f t="shared" si="72"/>
        <v>0</v>
      </c>
      <c r="X317" s="155">
        <f t="shared" si="72"/>
        <v>0</v>
      </c>
      <c r="Y317" s="155">
        <f t="shared" si="72"/>
        <v>0</v>
      </c>
      <c r="AQ317" s="3"/>
    </row>
    <row r="318" spans="2:43" x14ac:dyDescent="0.3">
      <c r="C318" s="32"/>
      <c r="F318" s="72" t="s">
        <v>212</v>
      </c>
      <c r="G318" t="s">
        <v>167</v>
      </c>
      <c r="J318" s="332">
        <f t="shared" ref="J318:Y318" si="73">IF(J$39, J46, J$34)</f>
        <v>0.33736714141938473</v>
      </c>
      <c r="K318" s="332">
        <f t="shared" si="73"/>
        <v>0.33736714141938473</v>
      </c>
      <c r="L318" s="332">
        <f t="shared" si="73"/>
        <v>0.33736714141938473</v>
      </c>
      <c r="M318" s="332">
        <f t="shared" si="73"/>
        <v>0.33736714141938473</v>
      </c>
      <c r="N318" s="332">
        <f t="shared" si="73"/>
        <v>0.33736714141938473</v>
      </c>
      <c r="O318" s="332">
        <f t="shared" si="73"/>
        <v>0</v>
      </c>
      <c r="P318" s="332">
        <f t="shared" si="73"/>
        <v>0</v>
      </c>
      <c r="Q318" s="332">
        <f t="shared" si="73"/>
        <v>0.33736714141938473</v>
      </c>
      <c r="R318" s="332">
        <f t="shared" si="73"/>
        <v>1</v>
      </c>
      <c r="S318" s="332">
        <f t="shared" si="73"/>
        <v>1</v>
      </c>
      <c r="T318" s="332">
        <f t="shared" si="73"/>
        <v>1</v>
      </c>
      <c r="U318" s="332">
        <f t="shared" si="73"/>
        <v>1</v>
      </c>
      <c r="V318" s="332">
        <f t="shared" si="73"/>
        <v>1</v>
      </c>
      <c r="W318" s="332">
        <f t="shared" si="73"/>
        <v>1</v>
      </c>
      <c r="X318" s="332">
        <f t="shared" si="73"/>
        <v>1</v>
      </c>
      <c r="Y318" s="332">
        <f t="shared" si="73"/>
        <v>1</v>
      </c>
      <c r="AQ318" s="3"/>
    </row>
    <row r="319" spans="2:43" x14ac:dyDescent="0.3">
      <c r="C319" s="32"/>
      <c r="F319" s="72" t="s">
        <v>250</v>
      </c>
      <c r="G319" t="s">
        <v>167</v>
      </c>
      <c r="J319" s="332">
        <f t="shared" ref="J319:Y319" si="74">IF(J$39, J47, J$34)</f>
        <v>0.33736714141938473</v>
      </c>
      <c r="K319" s="332">
        <f t="shared" si="74"/>
        <v>0.33736714141938473</v>
      </c>
      <c r="L319" s="332">
        <f t="shared" si="74"/>
        <v>0.33736714141938473</v>
      </c>
      <c r="M319" s="332">
        <f t="shared" si="74"/>
        <v>0.33736714141938473</v>
      </c>
      <c r="N319" s="332">
        <f t="shared" si="74"/>
        <v>0.33736714141938473</v>
      </c>
      <c r="O319" s="332">
        <f t="shared" si="74"/>
        <v>0</v>
      </c>
      <c r="P319" s="332">
        <f t="shared" si="74"/>
        <v>0</v>
      </c>
      <c r="Q319" s="332">
        <f t="shared" si="74"/>
        <v>0.33736714141938473</v>
      </c>
      <c r="R319" s="332">
        <f t="shared" si="74"/>
        <v>0</v>
      </c>
      <c r="S319" s="332">
        <f t="shared" si="74"/>
        <v>0</v>
      </c>
      <c r="T319" s="332">
        <f t="shared" si="74"/>
        <v>0</v>
      </c>
      <c r="U319" s="332">
        <f t="shared" si="74"/>
        <v>0</v>
      </c>
      <c r="V319" s="332">
        <f t="shared" si="74"/>
        <v>0</v>
      </c>
      <c r="W319" s="332">
        <f t="shared" si="74"/>
        <v>0</v>
      </c>
      <c r="X319" s="332">
        <f t="shared" si="74"/>
        <v>0</v>
      </c>
      <c r="Y319" s="332">
        <f t="shared" si="74"/>
        <v>0</v>
      </c>
      <c r="AQ319" s="3"/>
    </row>
    <row r="320" spans="2:43" x14ac:dyDescent="0.3">
      <c r="C320" s="32"/>
      <c r="F320" s="72" t="s">
        <v>252</v>
      </c>
      <c r="G320" t="s">
        <v>167</v>
      </c>
      <c r="J320" s="332">
        <f t="shared" ref="J320:Y320" si="75">IF(J$39, J48, J$34)</f>
        <v>0.33736714141938473</v>
      </c>
      <c r="K320" s="332">
        <f t="shared" si="75"/>
        <v>0.33736714141938473</v>
      </c>
      <c r="L320" s="332">
        <f t="shared" si="75"/>
        <v>0.33736714141938473</v>
      </c>
      <c r="M320" s="332">
        <f t="shared" si="75"/>
        <v>0.33736714141938473</v>
      </c>
      <c r="N320" s="332">
        <f t="shared" si="75"/>
        <v>0.33736714141938473</v>
      </c>
      <c r="O320" s="332">
        <f t="shared" si="75"/>
        <v>0</v>
      </c>
      <c r="P320" s="332">
        <f t="shared" si="75"/>
        <v>0</v>
      </c>
      <c r="Q320" s="332">
        <f t="shared" si="75"/>
        <v>0.33736714141938473</v>
      </c>
      <c r="R320" s="332">
        <f t="shared" si="75"/>
        <v>0</v>
      </c>
      <c r="S320" s="332">
        <f t="shared" si="75"/>
        <v>0</v>
      </c>
      <c r="T320" s="332">
        <f t="shared" si="75"/>
        <v>0</v>
      </c>
      <c r="U320" s="332">
        <f t="shared" si="75"/>
        <v>0</v>
      </c>
      <c r="V320" s="332">
        <f t="shared" si="75"/>
        <v>0</v>
      </c>
      <c r="W320" s="332">
        <f t="shared" si="75"/>
        <v>0</v>
      </c>
      <c r="X320" s="332">
        <f t="shared" si="75"/>
        <v>0</v>
      </c>
      <c r="Y320" s="332">
        <f t="shared" si="75"/>
        <v>0</v>
      </c>
      <c r="AQ320" s="3"/>
    </row>
    <row r="321" spans="3:43" x14ac:dyDescent="0.3">
      <c r="C321" s="32"/>
      <c r="F321" s="80" t="s">
        <v>253</v>
      </c>
      <c r="G321" s="37" t="s">
        <v>167</v>
      </c>
      <c r="H321" s="37"/>
      <c r="I321" s="37"/>
      <c r="J321" s="155">
        <f t="shared" ref="J321:Y321" si="76">IF(J$39, J49, J$34)</f>
        <v>0.33736714141938473</v>
      </c>
      <c r="K321" s="155">
        <f t="shared" si="76"/>
        <v>0.33736714141938473</v>
      </c>
      <c r="L321" s="155">
        <f t="shared" si="76"/>
        <v>0.33736714141938473</v>
      </c>
      <c r="M321" s="155">
        <f t="shared" si="76"/>
        <v>0.33736714141938473</v>
      </c>
      <c r="N321" s="155">
        <f t="shared" si="76"/>
        <v>0.33736714141938473</v>
      </c>
      <c r="O321" s="155">
        <f t="shared" si="76"/>
        <v>0</v>
      </c>
      <c r="P321" s="155">
        <f t="shared" si="76"/>
        <v>0</v>
      </c>
      <c r="Q321" s="155">
        <f t="shared" si="76"/>
        <v>0.33736714141938473</v>
      </c>
      <c r="R321" s="155">
        <f t="shared" si="76"/>
        <v>0</v>
      </c>
      <c r="S321" s="155">
        <f t="shared" si="76"/>
        <v>0</v>
      </c>
      <c r="T321" s="155">
        <f t="shared" si="76"/>
        <v>0</v>
      </c>
      <c r="U321" s="155">
        <f t="shared" si="76"/>
        <v>0</v>
      </c>
      <c r="V321" s="155">
        <f t="shared" si="76"/>
        <v>0</v>
      </c>
      <c r="W321" s="155">
        <f t="shared" si="76"/>
        <v>0</v>
      </c>
      <c r="X321" s="155">
        <f t="shared" si="76"/>
        <v>0</v>
      </c>
      <c r="Y321" s="155">
        <f t="shared" si="76"/>
        <v>0</v>
      </c>
      <c r="AQ321" s="3"/>
    </row>
    <row r="322" spans="3:43" x14ac:dyDescent="0.3">
      <c r="C322" s="32"/>
      <c r="AQ322" s="3"/>
    </row>
    <row r="323" spans="3:43" x14ac:dyDescent="0.3">
      <c r="C323" s="32"/>
      <c r="E323" s="32" t="s">
        <v>451</v>
      </c>
      <c r="AQ323" s="3"/>
    </row>
    <row r="324" spans="3:43" x14ac:dyDescent="0.3">
      <c r="C324" s="32"/>
      <c r="F324" s="78" t="s">
        <v>247</v>
      </c>
      <c r="G324" s="23" t="s">
        <v>167</v>
      </c>
      <c r="H324" s="23"/>
      <c r="I324" s="23"/>
      <c r="J324" s="154">
        <f>IF(J$39, J$45, J$35)</f>
        <v>0.48222066856070578</v>
      </c>
      <c r="K324" s="154">
        <f t="shared" ref="K324:Y326" si="77">IF(K$39, K$45, K$35)</f>
        <v>0.48222066856070578</v>
      </c>
      <c r="L324" s="154">
        <f t="shared" si="77"/>
        <v>0.48222066856070578</v>
      </c>
      <c r="M324" s="154">
        <f t="shared" si="77"/>
        <v>0.48222066856070578</v>
      </c>
      <c r="N324" s="154">
        <f t="shared" si="77"/>
        <v>0.48222066856070578</v>
      </c>
      <c r="O324" s="154">
        <f t="shared" si="77"/>
        <v>0.19751655620522704</v>
      </c>
      <c r="P324" s="154">
        <f t="shared" si="77"/>
        <v>7.8679419876750339E-2</v>
      </c>
      <c r="Q324" s="154">
        <f t="shared" si="77"/>
        <v>0.48222066856070578</v>
      </c>
      <c r="R324" s="154">
        <f t="shared" si="77"/>
        <v>0</v>
      </c>
      <c r="S324" s="154">
        <f t="shared" si="77"/>
        <v>0</v>
      </c>
      <c r="T324" s="154">
        <f t="shared" si="77"/>
        <v>0</v>
      </c>
      <c r="U324" s="154">
        <f t="shared" si="77"/>
        <v>0</v>
      </c>
      <c r="V324" s="154">
        <f t="shared" si="77"/>
        <v>0</v>
      </c>
      <c r="W324" s="154">
        <f t="shared" si="77"/>
        <v>0</v>
      </c>
      <c r="X324" s="154">
        <f t="shared" si="77"/>
        <v>0</v>
      </c>
      <c r="Y324" s="154">
        <f t="shared" si="77"/>
        <v>0</v>
      </c>
      <c r="AQ324" s="3"/>
    </row>
    <row r="325" spans="3:43" x14ac:dyDescent="0.3">
      <c r="C325" s="32"/>
      <c r="F325" s="72" t="s">
        <v>248</v>
      </c>
      <c r="G325" t="s">
        <v>167</v>
      </c>
      <c r="J325" s="332">
        <f t="shared" ref="J325:J326" si="78">IF(J$39, J$45, J$35)</f>
        <v>0.48222066856070578</v>
      </c>
      <c r="K325" s="332">
        <f t="shared" si="77"/>
        <v>0.48222066856070578</v>
      </c>
      <c r="L325" s="332">
        <f t="shared" si="77"/>
        <v>0.48222066856070578</v>
      </c>
      <c r="M325" s="332">
        <f t="shared" si="77"/>
        <v>0.48222066856070578</v>
      </c>
      <c r="N325" s="332">
        <f t="shared" si="77"/>
        <v>0.48222066856070578</v>
      </c>
      <c r="O325" s="332">
        <f t="shared" si="77"/>
        <v>0.19751655620522704</v>
      </c>
      <c r="P325" s="332">
        <f t="shared" si="77"/>
        <v>7.8679419876750339E-2</v>
      </c>
      <c r="Q325" s="332">
        <f t="shared" si="77"/>
        <v>0.48222066856070578</v>
      </c>
      <c r="R325" s="332">
        <f t="shared" si="77"/>
        <v>0</v>
      </c>
      <c r="S325" s="332">
        <f t="shared" si="77"/>
        <v>0</v>
      </c>
      <c r="T325" s="332">
        <f t="shared" si="77"/>
        <v>0</v>
      </c>
      <c r="U325" s="332">
        <f t="shared" si="77"/>
        <v>0</v>
      </c>
      <c r="V325" s="332">
        <f t="shared" si="77"/>
        <v>0</v>
      </c>
      <c r="W325" s="332">
        <f t="shared" si="77"/>
        <v>0</v>
      </c>
      <c r="X325" s="332">
        <f t="shared" si="77"/>
        <v>0</v>
      </c>
      <c r="Y325" s="332">
        <f t="shared" si="77"/>
        <v>0</v>
      </c>
      <c r="AQ325" s="3"/>
    </row>
    <row r="326" spans="3:43" x14ac:dyDescent="0.3">
      <c r="C326" s="32"/>
      <c r="F326" s="80" t="s">
        <v>249</v>
      </c>
      <c r="G326" s="37" t="s">
        <v>167</v>
      </c>
      <c r="H326" s="37"/>
      <c r="I326" s="37"/>
      <c r="J326" s="155">
        <f t="shared" si="78"/>
        <v>0.48222066856070578</v>
      </c>
      <c r="K326" s="155">
        <f t="shared" si="77"/>
        <v>0.48222066856070578</v>
      </c>
      <c r="L326" s="155">
        <f t="shared" si="77"/>
        <v>0.48222066856070578</v>
      </c>
      <c r="M326" s="155">
        <f t="shared" si="77"/>
        <v>0.48222066856070578</v>
      </c>
      <c r="N326" s="155">
        <f t="shared" si="77"/>
        <v>0.48222066856070578</v>
      </c>
      <c r="O326" s="155">
        <f t="shared" si="77"/>
        <v>0.19751655620522704</v>
      </c>
      <c r="P326" s="155">
        <f t="shared" si="77"/>
        <v>7.8679419876750339E-2</v>
      </c>
      <c r="Q326" s="155">
        <f t="shared" si="77"/>
        <v>0.48222066856070578</v>
      </c>
      <c r="R326" s="155">
        <f t="shared" si="77"/>
        <v>0</v>
      </c>
      <c r="S326" s="155">
        <f t="shared" si="77"/>
        <v>0</v>
      </c>
      <c r="T326" s="155">
        <f t="shared" si="77"/>
        <v>0</v>
      </c>
      <c r="U326" s="155">
        <f t="shared" si="77"/>
        <v>0</v>
      </c>
      <c r="V326" s="155">
        <f t="shared" si="77"/>
        <v>0</v>
      </c>
      <c r="W326" s="155">
        <f t="shared" si="77"/>
        <v>0</v>
      </c>
      <c r="X326" s="155">
        <f t="shared" si="77"/>
        <v>0</v>
      </c>
      <c r="Y326" s="155">
        <f t="shared" si="77"/>
        <v>0</v>
      </c>
      <c r="AQ326" s="3"/>
    </row>
    <row r="327" spans="3:43" x14ac:dyDescent="0.3">
      <c r="C327" s="32"/>
      <c r="F327" s="72" t="s">
        <v>212</v>
      </c>
      <c r="G327" t="s">
        <v>167</v>
      </c>
      <c r="J327" s="332">
        <f t="shared" ref="J327:Y327" si="79">IF(J$39, J46, J$35)</f>
        <v>0.48222066856070578</v>
      </c>
      <c r="K327" s="332">
        <f t="shared" si="79"/>
        <v>0.48222066856070578</v>
      </c>
      <c r="L327" s="332">
        <f t="shared" si="79"/>
        <v>0.48222066856070578</v>
      </c>
      <c r="M327" s="332">
        <f t="shared" si="79"/>
        <v>0.48222066856070578</v>
      </c>
      <c r="N327" s="332">
        <f t="shared" si="79"/>
        <v>0.48222066856070578</v>
      </c>
      <c r="O327" s="332">
        <f t="shared" si="79"/>
        <v>0.19751655620522704</v>
      </c>
      <c r="P327" s="332">
        <f t="shared" si="79"/>
        <v>7.8679419876750339E-2</v>
      </c>
      <c r="Q327" s="332">
        <f t="shared" si="79"/>
        <v>0.48222066856070578</v>
      </c>
      <c r="R327" s="332">
        <f t="shared" si="79"/>
        <v>1</v>
      </c>
      <c r="S327" s="332">
        <f t="shared" si="79"/>
        <v>1</v>
      </c>
      <c r="T327" s="332">
        <f t="shared" si="79"/>
        <v>1</v>
      </c>
      <c r="U327" s="332">
        <f t="shared" si="79"/>
        <v>1</v>
      </c>
      <c r="V327" s="332">
        <f t="shared" si="79"/>
        <v>1</v>
      </c>
      <c r="W327" s="332">
        <f t="shared" si="79"/>
        <v>1</v>
      </c>
      <c r="X327" s="332">
        <f t="shared" si="79"/>
        <v>1</v>
      </c>
      <c r="Y327" s="332">
        <f t="shared" si="79"/>
        <v>1</v>
      </c>
      <c r="AQ327" s="3"/>
    </row>
    <row r="328" spans="3:43" x14ac:dyDescent="0.3">
      <c r="C328" s="32"/>
      <c r="F328" s="72" t="s">
        <v>250</v>
      </c>
      <c r="G328" t="s">
        <v>167</v>
      </c>
      <c r="J328" s="332">
        <f t="shared" ref="J328:Y328" si="80">IF(J$39, J47, J$35)</f>
        <v>0.48222066856070578</v>
      </c>
      <c r="K328" s="332">
        <f t="shared" si="80"/>
        <v>0.48222066856070578</v>
      </c>
      <c r="L328" s="332">
        <f t="shared" si="80"/>
        <v>0.48222066856070578</v>
      </c>
      <c r="M328" s="332">
        <f t="shared" si="80"/>
        <v>0.48222066856070578</v>
      </c>
      <c r="N328" s="332">
        <f t="shared" si="80"/>
        <v>0.48222066856070578</v>
      </c>
      <c r="O328" s="332">
        <f t="shared" si="80"/>
        <v>0.19751655620522704</v>
      </c>
      <c r="P328" s="332">
        <f t="shared" si="80"/>
        <v>7.8679419876750339E-2</v>
      </c>
      <c r="Q328" s="332">
        <f t="shared" si="80"/>
        <v>0.48222066856070578</v>
      </c>
      <c r="R328" s="332">
        <f t="shared" si="80"/>
        <v>0</v>
      </c>
      <c r="S328" s="332">
        <f t="shared" si="80"/>
        <v>0</v>
      </c>
      <c r="T328" s="332">
        <f t="shared" si="80"/>
        <v>0</v>
      </c>
      <c r="U328" s="332">
        <f t="shared" si="80"/>
        <v>0</v>
      </c>
      <c r="V328" s="332">
        <f t="shared" si="80"/>
        <v>0</v>
      </c>
      <c r="W328" s="332">
        <f t="shared" si="80"/>
        <v>0</v>
      </c>
      <c r="X328" s="332">
        <f t="shared" si="80"/>
        <v>0</v>
      </c>
      <c r="Y328" s="332">
        <f t="shared" si="80"/>
        <v>0</v>
      </c>
      <c r="AQ328" s="3"/>
    </row>
    <row r="329" spans="3:43" x14ac:dyDescent="0.3">
      <c r="C329" s="32"/>
      <c r="F329" s="72" t="s">
        <v>252</v>
      </c>
      <c r="G329" t="s">
        <v>167</v>
      </c>
      <c r="J329" s="332">
        <f t="shared" ref="J329:Y329" si="81">IF(J$39, J48, J$35)</f>
        <v>0.48222066856070578</v>
      </c>
      <c r="K329" s="332">
        <f t="shared" si="81"/>
        <v>0.48222066856070578</v>
      </c>
      <c r="L329" s="332">
        <f t="shared" si="81"/>
        <v>0.48222066856070578</v>
      </c>
      <c r="M329" s="332">
        <f t="shared" si="81"/>
        <v>0.48222066856070578</v>
      </c>
      <c r="N329" s="332">
        <f t="shared" si="81"/>
        <v>0.48222066856070578</v>
      </c>
      <c r="O329" s="332">
        <f t="shared" si="81"/>
        <v>0.19751655620522704</v>
      </c>
      <c r="P329" s="332">
        <f t="shared" si="81"/>
        <v>7.8679419876750339E-2</v>
      </c>
      <c r="Q329" s="332">
        <f t="shared" si="81"/>
        <v>0.48222066856070578</v>
      </c>
      <c r="R329" s="332">
        <f t="shared" si="81"/>
        <v>0</v>
      </c>
      <c r="S329" s="332">
        <f t="shared" si="81"/>
        <v>0</v>
      </c>
      <c r="T329" s="332">
        <f t="shared" si="81"/>
        <v>0</v>
      </c>
      <c r="U329" s="332">
        <f t="shared" si="81"/>
        <v>0</v>
      </c>
      <c r="V329" s="332">
        <f t="shared" si="81"/>
        <v>0</v>
      </c>
      <c r="W329" s="332">
        <f t="shared" si="81"/>
        <v>0</v>
      </c>
      <c r="X329" s="332">
        <f t="shared" si="81"/>
        <v>0</v>
      </c>
      <c r="Y329" s="332">
        <f t="shared" si="81"/>
        <v>0</v>
      </c>
      <c r="AQ329" s="3"/>
    </row>
    <row r="330" spans="3:43" x14ac:dyDescent="0.3">
      <c r="C330" s="32"/>
      <c r="F330" s="80" t="s">
        <v>253</v>
      </c>
      <c r="G330" s="37" t="s">
        <v>167</v>
      </c>
      <c r="H330" s="37"/>
      <c r="I330" s="37"/>
      <c r="J330" s="155">
        <f t="shared" ref="J330:Y330" si="82">IF(J$39, J49, J$35)</f>
        <v>0.48222066856070578</v>
      </c>
      <c r="K330" s="155">
        <f t="shared" si="82"/>
        <v>0.48222066856070578</v>
      </c>
      <c r="L330" s="155">
        <f t="shared" si="82"/>
        <v>0.48222066856070578</v>
      </c>
      <c r="M330" s="155">
        <f t="shared" si="82"/>
        <v>0.48222066856070578</v>
      </c>
      <c r="N330" s="155">
        <f t="shared" si="82"/>
        <v>0.48222066856070578</v>
      </c>
      <c r="O330" s="155">
        <f t="shared" si="82"/>
        <v>0.19751655620522704</v>
      </c>
      <c r="P330" s="155">
        <f t="shared" si="82"/>
        <v>7.8679419876750339E-2</v>
      </c>
      <c r="Q330" s="155">
        <f t="shared" si="82"/>
        <v>0.48222066856070578</v>
      </c>
      <c r="R330" s="155">
        <f t="shared" si="82"/>
        <v>0</v>
      </c>
      <c r="S330" s="155">
        <f t="shared" si="82"/>
        <v>0</v>
      </c>
      <c r="T330" s="155">
        <f t="shared" si="82"/>
        <v>0</v>
      </c>
      <c r="U330" s="155">
        <f t="shared" si="82"/>
        <v>0</v>
      </c>
      <c r="V330" s="155">
        <f t="shared" si="82"/>
        <v>0</v>
      </c>
      <c r="W330" s="155">
        <f t="shared" si="82"/>
        <v>0</v>
      </c>
      <c r="X330" s="155">
        <f t="shared" si="82"/>
        <v>0</v>
      </c>
      <c r="Y330" s="155">
        <f t="shared" si="82"/>
        <v>0</v>
      </c>
      <c r="AQ330" s="3"/>
    </row>
    <row r="331" spans="3:43" x14ac:dyDescent="0.3">
      <c r="C331" s="32"/>
      <c r="AQ331" s="3"/>
    </row>
    <row r="332" spans="3:43" x14ac:dyDescent="0.3">
      <c r="C332" s="31" t="str">
        <f ca="1">INDEX('Version control'!$H$34:$H$57,MATCH($A$1,'Version control'!$F$34:$F$57,0),1)&amp;"-D: No residual volume discounting"</f>
        <v>Section 104-D: No residual volume discounting</v>
      </c>
      <c r="D332" s="31"/>
      <c r="E332" s="31"/>
      <c r="F332" s="31"/>
      <c r="G332" s="31"/>
      <c r="H332" s="31"/>
      <c r="I332" s="31"/>
      <c r="J332" s="31"/>
      <c r="K332" s="31"/>
      <c r="L332" s="31"/>
      <c r="M332" s="31"/>
      <c r="N332" s="31"/>
      <c r="O332" s="31"/>
      <c r="P332" s="31"/>
      <c r="Q332" s="31"/>
      <c r="R332" s="31"/>
      <c r="S332" s="31"/>
      <c r="T332" s="31"/>
      <c r="U332" s="31"/>
      <c r="V332" s="31"/>
      <c r="W332" s="31"/>
      <c r="X332" s="31"/>
      <c r="Y332" s="31"/>
      <c r="Z332" s="31"/>
      <c r="AA332" s="31"/>
      <c r="AQ332" s="3"/>
    </row>
    <row r="333" spans="3:43" x14ac:dyDescent="0.3">
      <c r="C333" s="32"/>
      <c r="AQ333" s="3"/>
    </row>
    <row r="334" spans="3:43" x14ac:dyDescent="0.3">
      <c r="E334" s="32" t="s">
        <v>971</v>
      </c>
      <c r="G334" s="13"/>
      <c r="I334" t="s">
        <v>154</v>
      </c>
      <c r="AQ334" s="3"/>
    </row>
    <row r="335" spans="3:43" x14ac:dyDescent="0.3">
      <c r="E335" s="32"/>
      <c r="F335" s="78" t="s">
        <v>247</v>
      </c>
      <c r="G335" s="78" t="s">
        <v>207</v>
      </c>
      <c r="H335" s="23"/>
      <c r="I335" s="23"/>
      <c r="J335" s="83"/>
      <c r="K335" s="126">
        <f t="shared" ref="K335:P341" si="83">(1 - K315) * K105</f>
        <v>0</v>
      </c>
      <c r="L335" s="126">
        <f t="shared" si="83"/>
        <v>0</v>
      </c>
      <c r="M335" s="126">
        <f t="shared" si="83"/>
        <v>0</v>
      </c>
      <c r="N335" s="126">
        <f t="shared" si="83"/>
        <v>0</v>
      </c>
      <c r="O335" s="126">
        <f t="shared" si="83"/>
        <v>0</v>
      </c>
      <c r="P335" s="126">
        <f t="shared" si="83"/>
        <v>0</v>
      </c>
      <c r="Q335" s="83"/>
      <c r="R335" s="126">
        <f t="shared" ref="R335:Y341" si="84">(1 - R315) * R105</f>
        <v>1.4162400381651923</v>
      </c>
      <c r="S335" s="126">
        <f t="shared" si="84"/>
        <v>0</v>
      </c>
      <c r="T335" s="126">
        <f t="shared" si="84"/>
        <v>0</v>
      </c>
      <c r="U335" s="126">
        <f t="shared" si="84"/>
        <v>0</v>
      </c>
      <c r="V335" s="126">
        <f t="shared" si="84"/>
        <v>0</v>
      </c>
      <c r="W335" s="126">
        <f t="shared" si="84"/>
        <v>0</v>
      </c>
      <c r="X335" s="126">
        <f t="shared" si="84"/>
        <v>0</v>
      </c>
      <c r="Y335" s="126">
        <f t="shared" si="84"/>
        <v>0</v>
      </c>
      <c r="AQ335" s="3"/>
    </row>
    <row r="336" spans="3:43" x14ac:dyDescent="0.3">
      <c r="E336" s="32"/>
      <c r="F336" s="72" t="s">
        <v>248</v>
      </c>
      <c r="G336" s="72" t="s">
        <v>207</v>
      </c>
      <c r="J336" s="331"/>
      <c r="K336" s="330">
        <f t="shared" si="83"/>
        <v>0</v>
      </c>
      <c r="L336" s="330">
        <f t="shared" si="83"/>
        <v>0</v>
      </c>
      <c r="M336" s="330">
        <f t="shared" si="83"/>
        <v>0</v>
      </c>
      <c r="N336" s="330">
        <f t="shared" si="83"/>
        <v>0</v>
      </c>
      <c r="O336" s="330">
        <f t="shared" si="83"/>
        <v>0</v>
      </c>
      <c r="P336" s="330">
        <f t="shared" si="83"/>
        <v>0</v>
      </c>
      <c r="Q336" s="331"/>
      <c r="R336" s="330">
        <f t="shared" si="84"/>
        <v>7.6951102681025541</v>
      </c>
      <c r="S336" s="330">
        <f t="shared" si="84"/>
        <v>0</v>
      </c>
      <c r="T336" s="330">
        <f t="shared" si="84"/>
        <v>0</v>
      </c>
      <c r="U336" s="330">
        <f t="shared" si="84"/>
        <v>0</v>
      </c>
      <c r="V336" s="330">
        <f t="shared" si="84"/>
        <v>0</v>
      </c>
      <c r="W336" s="330">
        <f t="shared" si="84"/>
        <v>0</v>
      </c>
      <c r="X336" s="330">
        <f t="shared" si="84"/>
        <v>0</v>
      </c>
      <c r="Y336" s="330">
        <f t="shared" si="84"/>
        <v>0</v>
      </c>
      <c r="AQ336" s="3"/>
    </row>
    <row r="337" spans="5:43" x14ac:dyDescent="0.3">
      <c r="E337" s="32"/>
      <c r="F337" s="72" t="s">
        <v>249</v>
      </c>
      <c r="G337" s="72" t="s">
        <v>207</v>
      </c>
      <c r="J337" s="331"/>
      <c r="K337" s="330">
        <f t="shared" si="83"/>
        <v>0</v>
      </c>
      <c r="L337" s="330">
        <f t="shared" si="83"/>
        <v>0</v>
      </c>
      <c r="M337" s="330">
        <f t="shared" si="83"/>
        <v>0</v>
      </c>
      <c r="N337" s="330">
        <f t="shared" si="83"/>
        <v>0</v>
      </c>
      <c r="O337" s="330">
        <f t="shared" si="83"/>
        <v>0</v>
      </c>
      <c r="P337" s="330">
        <f t="shared" si="83"/>
        <v>0</v>
      </c>
      <c r="Q337" s="331"/>
      <c r="R337" s="330">
        <f t="shared" si="84"/>
        <v>3.9412575596031192</v>
      </c>
      <c r="S337" s="330">
        <f t="shared" si="84"/>
        <v>0</v>
      </c>
      <c r="T337" s="330">
        <f t="shared" si="84"/>
        <v>0</v>
      </c>
      <c r="U337" s="330">
        <f t="shared" si="84"/>
        <v>0</v>
      </c>
      <c r="V337" s="330">
        <f t="shared" si="84"/>
        <v>0</v>
      </c>
      <c r="W337" s="330">
        <f t="shared" si="84"/>
        <v>0</v>
      </c>
      <c r="X337" s="330">
        <f t="shared" si="84"/>
        <v>0</v>
      </c>
      <c r="Y337" s="330">
        <f t="shared" si="84"/>
        <v>0</v>
      </c>
      <c r="AQ337" s="3"/>
    </row>
    <row r="338" spans="5:43" x14ac:dyDescent="0.3">
      <c r="E338" s="32"/>
      <c r="F338" s="72" t="s">
        <v>212</v>
      </c>
      <c r="G338" s="72" t="s">
        <v>212</v>
      </c>
      <c r="J338" s="331"/>
      <c r="K338" s="330">
        <f t="shared" si="83"/>
        <v>0</v>
      </c>
      <c r="L338" s="330">
        <f t="shared" si="83"/>
        <v>0</v>
      </c>
      <c r="M338" s="330">
        <f t="shared" si="83"/>
        <v>0</v>
      </c>
      <c r="N338" s="330">
        <f t="shared" si="83"/>
        <v>0</v>
      </c>
      <c r="O338" s="330">
        <f t="shared" si="83"/>
        <v>0</v>
      </c>
      <c r="P338" s="330">
        <f t="shared" si="83"/>
        <v>0</v>
      </c>
      <c r="Q338" s="331"/>
      <c r="R338" s="330">
        <f t="shared" si="84"/>
        <v>0</v>
      </c>
      <c r="S338" s="330">
        <f t="shared" si="84"/>
        <v>0</v>
      </c>
      <c r="T338" s="330">
        <f t="shared" si="84"/>
        <v>0</v>
      </c>
      <c r="U338" s="330">
        <f t="shared" si="84"/>
        <v>0</v>
      </c>
      <c r="V338" s="330">
        <f t="shared" si="84"/>
        <v>0</v>
      </c>
      <c r="W338" s="330">
        <f t="shared" si="84"/>
        <v>0</v>
      </c>
      <c r="X338" s="330">
        <f t="shared" si="84"/>
        <v>0</v>
      </c>
      <c r="Y338" s="330">
        <f t="shared" si="84"/>
        <v>0</v>
      </c>
      <c r="AQ338" s="3"/>
    </row>
    <row r="339" spans="5:43" x14ac:dyDescent="0.3">
      <c r="E339" s="32"/>
      <c r="F339" s="72" t="s">
        <v>250</v>
      </c>
      <c r="G339" s="72" t="s">
        <v>251</v>
      </c>
      <c r="J339" s="331"/>
      <c r="K339" s="330">
        <f t="shared" si="83"/>
        <v>0</v>
      </c>
      <c r="L339" s="330">
        <f t="shared" si="83"/>
        <v>0</v>
      </c>
      <c r="M339" s="330">
        <f t="shared" si="83"/>
        <v>0</v>
      </c>
      <c r="N339" s="330">
        <f t="shared" si="83"/>
        <v>0</v>
      </c>
      <c r="O339" s="330">
        <f t="shared" si="83"/>
        <v>0</v>
      </c>
      <c r="P339" s="330">
        <f t="shared" si="83"/>
        <v>0</v>
      </c>
      <c r="Q339" s="331"/>
      <c r="R339" s="330">
        <f t="shared" si="84"/>
        <v>0</v>
      </c>
      <c r="S339" s="330">
        <f t="shared" si="84"/>
        <v>0</v>
      </c>
      <c r="T339" s="330">
        <f t="shared" si="84"/>
        <v>0</v>
      </c>
      <c r="U339" s="330">
        <f t="shared" si="84"/>
        <v>0</v>
      </c>
      <c r="V339" s="330">
        <f t="shared" si="84"/>
        <v>0</v>
      </c>
      <c r="W339" s="330">
        <f t="shared" si="84"/>
        <v>0</v>
      </c>
      <c r="X339" s="330">
        <f t="shared" si="84"/>
        <v>0</v>
      </c>
      <c r="Y339" s="330">
        <f t="shared" si="84"/>
        <v>0</v>
      </c>
      <c r="AQ339" s="3"/>
    </row>
    <row r="340" spans="5:43" x14ac:dyDescent="0.3">
      <c r="E340" s="32"/>
      <c r="F340" s="72" t="s">
        <v>252</v>
      </c>
      <c r="G340" s="72" t="s">
        <v>251</v>
      </c>
      <c r="J340" s="331"/>
      <c r="K340" s="330">
        <f t="shared" si="83"/>
        <v>0</v>
      </c>
      <c r="L340" s="330">
        <f t="shared" si="83"/>
        <v>0</v>
      </c>
      <c r="M340" s="330">
        <f t="shared" si="83"/>
        <v>0</v>
      </c>
      <c r="N340" s="330">
        <f t="shared" si="83"/>
        <v>0</v>
      </c>
      <c r="O340" s="330">
        <f t="shared" si="83"/>
        <v>0</v>
      </c>
      <c r="P340" s="330">
        <f t="shared" si="83"/>
        <v>0</v>
      </c>
      <c r="Q340" s="331"/>
      <c r="R340" s="330">
        <f t="shared" si="84"/>
        <v>0</v>
      </c>
      <c r="S340" s="330">
        <f t="shared" si="84"/>
        <v>0</v>
      </c>
      <c r="T340" s="330">
        <f t="shared" si="84"/>
        <v>0</v>
      </c>
      <c r="U340" s="330">
        <f t="shared" si="84"/>
        <v>0</v>
      </c>
      <c r="V340" s="330">
        <f t="shared" si="84"/>
        <v>0</v>
      </c>
      <c r="W340" s="330">
        <f t="shared" si="84"/>
        <v>0</v>
      </c>
      <c r="X340" s="330">
        <f t="shared" si="84"/>
        <v>0</v>
      </c>
      <c r="Y340" s="330">
        <f t="shared" si="84"/>
        <v>0</v>
      </c>
      <c r="AQ340" s="3"/>
    </row>
    <row r="341" spans="5:43" x14ac:dyDescent="0.3">
      <c r="E341" s="32"/>
      <c r="F341" s="80" t="s">
        <v>253</v>
      </c>
      <c r="G341" s="80" t="s">
        <v>254</v>
      </c>
      <c r="H341" s="37"/>
      <c r="I341" s="37"/>
      <c r="J341" s="81"/>
      <c r="K341" s="100">
        <f t="shared" si="83"/>
        <v>0</v>
      </c>
      <c r="L341" s="100">
        <f t="shared" si="83"/>
        <v>0</v>
      </c>
      <c r="M341" s="100">
        <f t="shared" si="83"/>
        <v>0</v>
      </c>
      <c r="N341" s="100">
        <f t="shared" si="83"/>
        <v>0</v>
      </c>
      <c r="O341" s="100">
        <f t="shared" si="83"/>
        <v>0</v>
      </c>
      <c r="P341" s="100">
        <f t="shared" si="83"/>
        <v>0</v>
      </c>
      <c r="Q341" s="81"/>
      <c r="R341" s="100">
        <f t="shared" si="84"/>
        <v>0</v>
      </c>
      <c r="S341" s="100">
        <f t="shared" si="84"/>
        <v>0</v>
      </c>
      <c r="T341" s="100">
        <f t="shared" si="84"/>
        <v>0</v>
      </c>
      <c r="U341" s="100">
        <f t="shared" si="84"/>
        <v>0</v>
      </c>
      <c r="V341" s="100">
        <f t="shared" si="84"/>
        <v>0</v>
      </c>
      <c r="W341" s="100">
        <f t="shared" si="84"/>
        <v>0</v>
      </c>
      <c r="X341" s="100">
        <f t="shared" si="84"/>
        <v>0</v>
      </c>
      <c r="Y341" s="100">
        <f t="shared" si="84"/>
        <v>0</v>
      </c>
      <c r="AQ341" s="3"/>
    </row>
    <row r="342" spans="5:43" x14ac:dyDescent="0.3">
      <c r="AQ342" s="3"/>
    </row>
    <row r="343" spans="5:43" x14ac:dyDescent="0.3">
      <c r="E343" s="32" t="s">
        <v>972</v>
      </c>
      <c r="G343" s="13"/>
      <c r="I343" t="s">
        <v>154</v>
      </c>
      <c r="AQ343" s="3"/>
    </row>
    <row r="344" spans="5:43" x14ac:dyDescent="0.3">
      <c r="E344" s="32"/>
      <c r="F344" s="78" t="s">
        <v>247</v>
      </c>
      <c r="G344" s="78" t="s">
        <v>207</v>
      </c>
      <c r="H344" s="23"/>
      <c r="I344" s="23"/>
      <c r="J344" s="83"/>
      <c r="K344" s="126">
        <f t="shared" ref="K344:P350" si="85">(1 - K324) * K152</f>
        <v>0</v>
      </c>
      <c r="L344" s="126">
        <f t="shared" si="85"/>
        <v>0</v>
      </c>
      <c r="M344" s="126">
        <f t="shared" si="85"/>
        <v>0</v>
      </c>
      <c r="N344" s="126">
        <f t="shared" si="85"/>
        <v>0</v>
      </c>
      <c r="O344" s="126">
        <f t="shared" si="85"/>
        <v>0</v>
      </c>
      <c r="P344" s="126">
        <f t="shared" si="85"/>
        <v>0</v>
      </c>
      <c r="Q344" s="83"/>
      <c r="R344" s="126">
        <f t="shared" ref="R344:Y350" si="86">(1 - R324) * R152</f>
        <v>0</v>
      </c>
      <c r="S344" s="126">
        <f t="shared" si="86"/>
        <v>0</v>
      </c>
      <c r="T344" s="126">
        <f t="shared" si="86"/>
        <v>2.405417066698996</v>
      </c>
      <c r="U344" s="126">
        <f t="shared" si="86"/>
        <v>0</v>
      </c>
      <c r="V344" s="126">
        <f t="shared" si="86"/>
        <v>0</v>
      </c>
      <c r="W344" s="126">
        <f t="shared" si="86"/>
        <v>0</v>
      </c>
      <c r="X344" s="126">
        <f t="shared" si="86"/>
        <v>5.5315659252622229</v>
      </c>
      <c r="Y344" s="126">
        <f t="shared" si="86"/>
        <v>0</v>
      </c>
      <c r="AQ344" s="3"/>
    </row>
    <row r="345" spans="5:43" x14ac:dyDescent="0.3">
      <c r="E345" s="32"/>
      <c r="F345" s="72" t="s">
        <v>248</v>
      </c>
      <c r="G345" s="72" t="s">
        <v>207</v>
      </c>
      <c r="J345" s="331"/>
      <c r="K345" s="330">
        <f t="shared" si="85"/>
        <v>0</v>
      </c>
      <c r="L345" s="330">
        <f t="shared" si="85"/>
        <v>0</v>
      </c>
      <c r="M345" s="330">
        <f t="shared" si="85"/>
        <v>0</v>
      </c>
      <c r="N345" s="330">
        <f t="shared" si="85"/>
        <v>0</v>
      </c>
      <c r="O345" s="330">
        <f t="shared" si="85"/>
        <v>0</v>
      </c>
      <c r="P345" s="330">
        <f t="shared" si="85"/>
        <v>0</v>
      </c>
      <c r="Q345" s="331"/>
      <c r="R345" s="330">
        <f t="shared" si="86"/>
        <v>0</v>
      </c>
      <c r="S345" s="330">
        <f t="shared" si="86"/>
        <v>0</v>
      </c>
      <c r="T345" s="330">
        <f t="shared" si="86"/>
        <v>13.065209505688999</v>
      </c>
      <c r="U345" s="330">
        <f t="shared" si="86"/>
        <v>0</v>
      </c>
      <c r="V345" s="330">
        <f t="shared" si="86"/>
        <v>0</v>
      </c>
      <c r="W345" s="330">
        <f t="shared" si="86"/>
        <v>0</v>
      </c>
      <c r="X345" s="330">
        <f t="shared" si="86"/>
        <v>3.5193669404444461E-2</v>
      </c>
      <c r="Y345" s="330">
        <f t="shared" si="86"/>
        <v>0</v>
      </c>
      <c r="AQ345" s="3"/>
    </row>
    <row r="346" spans="5:43" x14ac:dyDescent="0.3">
      <c r="E346" s="32"/>
      <c r="F346" s="72" t="s">
        <v>249</v>
      </c>
      <c r="G346" s="72" t="s">
        <v>207</v>
      </c>
      <c r="J346" s="331"/>
      <c r="K346" s="330">
        <f t="shared" si="85"/>
        <v>0</v>
      </c>
      <c r="L346" s="330">
        <f t="shared" si="85"/>
        <v>0</v>
      </c>
      <c r="M346" s="330">
        <f t="shared" si="85"/>
        <v>0</v>
      </c>
      <c r="N346" s="330">
        <f t="shared" si="85"/>
        <v>0</v>
      </c>
      <c r="O346" s="330">
        <f t="shared" si="85"/>
        <v>0</v>
      </c>
      <c r="P346" s="330">
        <f t="shared" si="85"/>
        <v>0</v>
      </c>
      <c r="Q346" s="331"/>
      <c r="R346" s="330">
        <f t="shared" si="86"/>
        <v>0</v>
      </c>
      <c r="S346" s="330">
        <f t="shared" si="86"/>
        <v>0</v>
      </c>
      <c r="T346" s="330">
        <f t="shared" si="86"/>
        <v>30.585567519526965</v>
      </c>
      <c r="U346" s="330">
        <f t="shared" si="86"/>
        <v>0</v>
      </c>
      <c r="V346" s="330">
        <f t="shared" si="86"/>
        <v>0</v>
      </c>
      <c r="W346" s="330">
        <f t="shared" si="86"/>
        <v>0</v>
      </c>
      <c r="X346" s="330">
        <f t="shared" si="86"/>
        <v>0</v>
      </c>
      <c r="Y346" s="330">
        <f t="shared" si="86"/>
        <v>0</v>
      </c>
      <c r="AQ346" s="3"/>
    </row>
    <row r="347" spans="5:43" x14ac:dyDescent="0.3">
      <c r="E347" s="32"/>
      <c r="F347" s="72" t="s">
        <v>212</v>
      </c>
      <c r="G347" s="72" t="s">
        <v>212</v>
      </c>
      <c r="J347" s="331"/>
      <c r="K347" s="330">
        <f t="shared" si="85"/>
        <v>0</v>
      </c>
      <c r="L347" s="330">
        <f t="shared" si="85"/>
        <v>0</v>
      </c>
      <c r="M347" s="330">
        <f t="shared" si="85"/>
        <v>0</v>
      </c>
      <c r="N347" s="330">
        <f t="shared" si="85"/>
        <v>0</v>
      </c>
      <c r="O347" s="330">
        <f t="shared" si="85"/>
        <v>0</v>
      </c>
      <c r="P347" s="330">
        <f t="shared" si="85"/>
        <v>0</v>
      </c>
      <c r="Q347" s="331"/>
      <c r="R347" s="330">
        <f t="shared" si="86"/>
        <v>0</v>
      </c>
      <c r="S347" s="330">
        <f t="shared" si="86"/>
        <v>0</v>
      </c>
      <c r="T347" s="330">
        <f t="shared" si="86"/>
        <v>0</v>
      </c>
      <c r="U347" s="330">
        <f t="shared" si="86"/>
        <v>0</v>
      </c>
      <c r="V347" s="330">
        <f t="shared" si="86"/>
        <v>0</v>
      </c>
      <c r="W347" s="330">
        <f t="shared" si="86"/>
        <v>0</v>
      </c>
      <c r="X347" s="330">
        <f t="shared" si="86"/>
        <v>0</v>
      </c>
      <c r="Y347" s="330">
        <f t="shared" si="86"/>
        <v>0</v>
      </c>
      <c r="AQ347" s="3"/>
    </row>
    <row r="348" spans="5:43" x14ac:dyDescent="0.3">
      <c r="E348" s="32"/>
      <c r="F348" s="72" t="s">
        <v>250</v>
      </c>
      <c r="G348" s="72" t="s">
        <v>251</v>
      </c>
      <c r="J348" s="331"/>
      <c r="K348" s="330">
        <f t="shared" si="85"/>
        <v>0</v>
      </c>
      <c r="L348" s="330">
        <f t="shared" si="85"/>
        <v>0</v>
      </c>
      <c r="M348" s="330">
        <f t="shared" si="85"/>
        <v>0</v>
      </c>
      <c r="N348" s="330">
        <f t="shared" si="85"/>
        <v>0</v>
      </c>
      <c r="O348" s="330">
        <f t="shared" si="85"/>
        <v>0</v>
      </c>
      <c r="P348" s="330">
        <f t="shared" si="85"/>
        <v>0</v>
      </c>
      <c r="Q348" s="331"/>
      <c r="R348" s="330">
        <f t="shared" si="86"/>
        <v>0</v>
      </c>
      <c r="S348" s="330">
        <f t="shared" si="86"/>
        <v>0</v>
      </c>
      <c r="T348" s="330">
        <f t="shared" si="86"/>
        <v>0</v>
      </c>
      <c r="U348" s="330">
        <f t="shared" si="86"/>
        <v>0</v>
      </c>
      <c r="V348" s="330">
        <f t="shared" si="86"/>
        <v>0</v>
      </c>
      <c r="W348" s="330">
        <f t="shared" si="86"/>
        <v>0</v>
      </c>
      <c r="X348" s="330">
        <f t="shared" si="86"/>
        <v>0</v>
      </c>
      <c r="Y348" s="330">
        <f t="shared" si="86"/>
        <v>0</v>
      </c>
      <c r="AQ348" s="3"/>
    </row>
    <row r="349" spans="5:43" x14ac:dyDescent="0.3">
      <c r="E349" s="32"/>
      <c r="F349" s="72" t="s">
        <v>252</v>
      </c>
      <c r="G349" s="72" t="s">
        <v>251</v>
      </c>
      <c r="J349" s="331"/>
      <c r="K349" s="330">
        <f t="shared" si="85"/>
        <v>0</v>
      </c>
      <c r="L349" s="330">
        <f t="shared" si="85"/>
        <v>0</v>
      </c>
      <c r="M349" s="330">
        <f t="shared" si="85"/>
        <v>0</v>
      </c>
      <c r="N349" s="330">
        <f t="shared" si="85"/>
        <v>0</v>
      </c>
      <c r="O349" s="330">
        <f t="shared" si="85"/>
        <v>0</v>
      </c>
      <c r="P349" s="330">
        <f t="shared" si="85"/>
        <v>0</v>
      </c>
      <c r="Q349" s="331"/>
      <c r="R349" s="330">
        <f t="shared" si="86"/>
        <v>0</v>
      </c>
      <c r="S349" s="330">
        <f t="shared" si="86"/>
        <v>0</v>
      </c>
      <c r="T349" s="330">
        <f t="shared" si="86"/>
        <v>0</v>
      </c>
      <c r="U349" s="330">
        <f t="shared" si="86"/>
        <v>0</v>
      </c>
      <c r="V349" s="330">
        <f t="shared" si="86"/>
        <v>0</v>
      </c>
      <c r="W349" s="330">
        <f t="shared" si="86"/>
        <v>0</v>
      </c>
      <c r="X349" s="330">
        <f t="shared" si="86"/>
        <v>0</v>
      </c>
      <c r="Y349" s="330">
        <f t="shared" si="86"/>
        <v>0</v>
      </c>
      <c r="AQ349" s="3"/>
    </row>
    <row r="350" spans="5:43" x14ac:dyDescent="0.3">
      <c r="E350" s="32"/>
      <c r="F350" s="80" t="s">
        <v>253</v>
      </c>
      <c r="G350" s="80" t="s">
        <v>254</v>
      </c>
      <c r="H350" s="37"/>
      <c r="I350" s="37"/>
      <c r="J350" s="81"/>
      <c r="K350" s="100">
        <f t="shared" si="85"/>
        <v>0</v>
      </c>
      <c r="L350" s="100">
        <f t="shared" si="85"/>
        <v>0</v>
      </c>
      <c r="M350" s="100">
        <f t="shared" si="85"/>
        <v>0</v>
      </c>
      <c r="N350" s="100">
        <f t="shared" si="85"/>
        <v>0</v>
      </c>
      <c r="O350" s="100">
        <f t="shared" si="85"/>
        <v>0</v>
      </c>
      <c r="P350" s="100">
        <f t="shared" si="85"/>
        <v>0</v>
      </c>
      <c r="Q350" s="81"/>
      <c r="R350" s="100">
        <f t="shared" si="86"/>
        <v>0</v>
      </c>
      <c r="S350" s="100">
        <f t="shared" si="86"/>
        <v>0</v>
      </c>
      <c r="T350" s="100">
        <f t="shared" si="86"/>
        <v>6.2683321206657237</v>
      </c>
      <c r="U350" s="100">
        <f t="shared" si="86"/>
        <v>0</v>
      </c>
      <c r="V350" s="100">
        <f t="shared" si="86"/>
        <v>0</v>
      </c>
      <c r="W350" s="100">
        <f t="shared" si="86"/>
        <v>0</v>
      </c>
      <c r="X350" s="100">
        <f t="shared" si="86"/>
        <v>2.5011575186284043</v>
      </c>
      <c r="Y350" s="100">
        <f t="shared" si="86"/>
        <v>0</v>
      </c>
      <c r="AQ350" s="3"/>
    </row>
    <row r="351" spans="5:43" x14ac:dyDescent="0.3">
      <c r="AQ351" s="3"/>
    </row>
    <row r="352" spans="5:43" x14ac:dyDescent="0.3">
      <c r="E352" s="32" t="s">
        <v>973</v>
      </c>
      <c r="G352" s="13"/>
      <c r="I352" t="s">
        <v>154</v>
      </c>
      <c r="AQ352" s="3"/>
    </row>
    <row r="353" spans="3:43" x14ac:dyDescent="0.3">
      <c r="E353" s="32"/>
      <c r="F353" s="78" t="s">
        <v>247</v>
      </c>
      <c r="G353" s="78" t="s">
        <v>207</v>
      </c>
      <c r="H353" s="23"/>
      <c r="I353" s="23"/>
      <c r="J353" s="83"/>
      <c r="K353" s="126">
        <f t="shared" ref="K353:P359" si="87">K58+K335+K344</f>
        <v>79.092618502232185</v>
      </c>
      <c r="L353" s="126">
        <f t="shared" si="87"/>
        <v>0</v>
      </c>
      <c r="M353" s="126">
        <f t="shared" si="87"/>
        <v>127.63198085068298</v>
      </c>
      <c r="N353" s="126">
        <f t="shared" si="87"/>
        <v>0</v>
      </c>
      <c r="O353" s="126">
        <f t="shared" si="87"/>
        <v>0</v>
      </c>
      <c r="P353" s="126">
        <f t="shared" si="87"/>
        <v>0</v>
      </c>
      <c r="Q353" s="83"/>
      <c r="R353" s="126">
        <f t="shared" ref="R353:Y359" si="88">R58+R335+R344</f>
        <v>125.45917108391521</v>
      </c>
      <c r="S353" s="126">
        <f t="shared" si="88"/>
        <v>0</v>
      </c>
      <c r="T353" s="126">
        <f t="shared" si="88"/>
        <v>4280.342572253674</v>
      </c>
      <c r="U353" s="126">
        <f t="shared" si="88"/>
        <v>0</v>
      </c>
      <c r="V353" s="126">
        <f t="shared" si="88"/>
        <v>907.20921076491038</v>
      </c>
      <c r="W353" s="126">
        <f t="shared" si="88"/>
        <v>0</v>
      </c>
      <c r="X353" s="126">
        <f t="shared" si="88"/>
        <v>81192.371997792652</v>
      </c>
      <c r="Y353" s="126">
        <f t="shared" si="88"/>
        <v>0</v>
      </c>
      <c r="AQ353" s="3"/>
    </row>
    <row r="354" spans="3:43" x14ac:dyDescent="0.3">
      <c r="E354" s="32"/>
      <c r="F354" s="72" t="s">
        <v>248</v>
      </c>
      <c r="G354" s="72" t="s">
        <v>207</v>
      </c>
      <c r="J354" s="331"/>
      <c r="K354" s="330">
        <f t="shared" si="87"/>
        <v>3392.6048671577928</v>
      </c>
      <c r="L354" s="330">
        <f t="shared" si="87"/>
        <v>0</v>
      </c>
      <c r="M354" s="330">
        <f t="shared" si="87"/>
        <v>959.76246317801258</v>
      </c>
      <c r="N354" s="330">
        <f t="shared" si="87"/>
        <v>0</v>
      </c>
      <c r="O354" s="330">
        <f t="shared" si="87"/>
        <v>0</v>
      </c>
      <c r="P354" s="330">
        <f t="shared" si="87"/>
        <v>0</v>
      </c>
      <c r="Q354" s="331"/>
      <c r="R354" s="330">
        <f t="shared" si="88"/>
        <v>675.10681480787537</v>
      </c>
      <c r="S354" s="330">
        <f t="shared" si="88"/>
        <v>0</v>
      </c>
      <c r="T354" s="330">
        <f t="shared" si="88"/>
        <v>21435.880022591529</v>
      </c>
      <c r="U354" s="330">
        <f t="shared" si="88"/>
        <v>0</v>
      </c>
      <c r="V354" s="330">
        <f t="shared" si="88"/>
        <v>3604.4281560365216</v>
      </c>
      <c r="W354" s="330">
        <f t="shared" si="88"/>
        <v>0</v>
      </c>
      <c r="X354" s="330">
        <f t="shared" si="88"/>
        <v>281566.92770225758</v>
      </c>
      <c r="Y354" s="330">
        <f t="shared" si="88"/>
        <v>0</v>
      </c>
      <c r="AQ354" s="3"/>
    </row>
    <row r="355" spans="3:43" x14ac:dyDescent="0.3">
      <c r="E355" s="32"/>
      <c r="F355" s="72" t="s">
        <v>249</v>
      </c>
      <c r="G355" s="72" t="s">
        <v>207</v>
      </c>
      <c r="J355" s="331"/>
      <c r="K355" s="330">
        <f t="shared" si="87"/>
        <v>13095.75106613846</v>
      </c>
      <c r="L355" s="330">
        <f t="shared" si="87"/>
        <v>0</v>
      </c>
      <c r="M355" s="330">
        <f t="shared" si="87"/>
        <v>2930.5689204763953</v>
      </c>
      <c r="N355" s="330">
        <f t="shared" si="87"/>
        <v>0</v>
      </c>
      <c r="O355" s="330">
        <f t="shared" si="87"/>
        <v>0</v>
      </c>
      <c r="P355" s="330">
        <f t="shared" si="87"/>
        <v>0</v>
      </c>
      <c r="Q355" s="331"/>
      <c r="R355" s="330">
        <f t="shared" si="88"/>
        <v>332.99565387439389</v>
      </c>
      <c r="S355" s="330">
        <f t="shared" si="88"/>
        <v>0</v>
      </c>
      <c r="T355" s="330">
        <f t="shared" si="88"/>
        <v>21484.220834211559</v>
      </c>
      <c r="U355" s="330">
        <f t="shared" si="88"/>
        <v>0</v>
      </c>
      <c r="V355" s="330">
        <f t="shared" si="88"/>
        <v>5426.3333985064392</v>
      </c>
      <c r="W355" s="330">
        <f t="shared" si="88"/>
        <v>0</v>
      </c>
      <c r="X355" s="330">
        <f t="shared" si="88"/>
        <v>341773.46231736481</v>
      </c>
      <c r="Y355" s="330">
        <f t="shared" si="88"/>
        <v>0</v>
      </c>
      <c r="AQ355" s="3"/>
    </row>
    <row r="356" spans="3:43" x14ac:dyDescent="0.3">
      <c r="E356" s="32"/>
      <c r="F356" s="72" t="s">
        <v>212</v>
      </c>
      <c r="G356" s="72" t="s">
        <v>212</v>
      </c>
      <c r="J356" s="331"/>
      <c r="K356" s="330">
        <f t="shared" si="87"/>
        <v>0</v>
      </c>
      <c r="L356" s="330">
        <f t="shared" si="87"/>
        <v>0</v>
      </c>
      <c r="M356" s="330">
        <f t="shared" si="87"/>
        <v>0</v>
      </c>
      <c r="N356" s="330">
        <f t="shared" si="87"/>
        <v>0</v>
      </c>
      <c r="O356" s="330">
        <f t="shared" si="87"/>
        <v>0</v>
      </c>
      <c r="P356" s="330">
        <f t="shared" si="87"/>
        <v>0</v>
      </c>
      <c r="Q356" s="331"/>
      <c r="R356" s="330">
        <f t="shared" si="88"/>
        <v>0</v>
      </c>
      <c r="S356" s="330">
        <f t="shared" si="88"/>
        <v>0</v>
      </c>
      <c r="T356" s="330">
        <f t="shared" si="88"/>
        <v>654.93140614185506</v>
      </c>
      <c r="U356" s="330">
        <f t="shared" si="88"/>
        <v>0</v>
      </c>
      <c r="V356" s="330">
        <f t="shared" si="88"/>
        <v>27.058064434890188</v>
      </c>
      <c r="W356" s="330">
        <f t="shared" si="88"/>
        <v>0</v>
      </c>
      <c r="X356" s="330">
        <f t="shared" si="88"/>
        <v>316.31557457887271</v>
      </c>
      <c r="Y356" s="330">
        <f t="shared" si="88"/>
        <v>0</v>
      </c>
      <c r="AQ356" s="3"/>
    </row>
    <row r="357" spans="3:43" x14ac:dyDescent="0.3">
      <c r="E357" s="32"/>
      <c r="F357" s="72" t="s">
        <v>250</v>
      </c>
      <c r="G357" s="72" t="s">
        <v>251</v>
      </c>
      <c r="J357" s="331"/>
      <c r="K357" s="330">
        <f t="shared" si="87"/>
        <v>0</v>
      </c>
      <c r="L357" s="330">
        <f t="shared" si="87"/>
        <v>0</v>
      </c>
      <c r="M357" s="330">
        <f t="shared" si="87"/>
        <v>0</v>
      </c>
      <c r="N357" s="330">
        <f t="shared" si="87"/>
        <v>0</v>
      </c>
      <c r="O357" s="330">
        <f t="shared" si="87"/>
        <v>0</v>
      </c>
      <c r="P357" s="330">
        <f t="shared" si="87"/>
        <v>0</v>
      </c>
      <c r="Q357" s="331"/>
      <c r="R357" s="330">
        <f t="shared" si="88"/>
        <v>0</v>
      </c>
      <c r="S357" s="330">
        <f t="shared" si="88"/>
        <v>0</v>
      </c>
      <c r="T357" s="330">
        <f t="shared" si="88"/>
        <v>0</v>
      </c>
      <c r="U357" s="330">
        <f t="shared" si="88"/>
        <v>0</v>
      </c>
      <c r="V357" s="330">
        <f t="shared" si="88"/>
        <v>0</v>
      </c>
      <c r="W357" s="330">
        <f t="shared" si="88"/>
        <v>0</v>
      </c>
      <c r="X357" s="330">
        <f t="shared" si="88"/>
        <v>0</v>
      </c>
      <c r="Y357" s="330">
        <f t="shared" si="88"/>
        <v>0</v>
      </c>
      <c r="AQ357" s="3"/>
    </row>
    <row r="358" spans="3:43" x14ac:dyDescent="0.3">
      <c r="E358" s="32"/>
      <c r="F358" s="72" t="s">
        <v>252</v>
      </c>
      <c r="G358" s="72" t="s">
        <v>251</v>
      </c>
      <c r="J358" s="331"/>
      <c r="K358" s="330">
        <f t="shared" si="87"/>
        <v>0</v>
      </c>
      <c r="L358" s="330">
        <f t="shared" si="87"/>
        <v>0</v>
      </c>
      <c r="M358" s="330">
        <f t="shared" si="87"/>
        <v>0</v>
      </c>
      <c r="N358" s="330">
        <f t="shared" si="87"/>
        <v>0</v>
      </c>
      <c r="O358" s="330">
        <f t="shared" si="87"/>
        <v>0</v>
      </c>
      <c r="P358" s="330">
        <f t="shared" si="87"/>
        <v>0</v>
      </c>
      <c r="Q358" s="331"/>
      <c r="R358" s="330">
        <f t="shared" si="88"/>
        <v>0</v>
      </c>
      <c r="S358" s="330">
        <f t="shared" si="88"/>
        <v>0</v>
      </c>
      <c r="T358" s="330">
        <f t="shared" si="88"/>
        <v>0</v>
      </c>
      <c r="U358" s="330">
        <f t="shared" si="88"/>
        <v>0</v>
      </c>
      <c r="V358" s="330">
        <f t="shared" si="88"/>
        <v>0</v>
      </c>
      <c r="W358" s="330">
        <f t="shared" si="88"/>
        <v>0</v>
      </c>
      <c r="X358" s="330">
        <f t="shared" si="88"/>
        <v>0</v>
      </c>
      <c r="Y358" s="330">
        <f t="shared" si="88"/>
        <v>0</v>
      </c>
      <c r="AQ358" s="3"/>
    </row>
    <row r="359" spans="3:43" x14ac:dyDescent="0.3">
      <c r="E359" s="32"/>
      <c r="F359" s="80" t="s">
        <v>253</v>
      </c>
      <c r="G359" s="80" t="s">
        <v>254</v>
      </c>
      <c r="H359" s="37"/>
      <c r="I359" s="37"/>
      <c r="J359" s="81"/>
      <c r="K359" s="100">
        <f t="shared" si="87"/>
        <v>0</v>
      </c>
      <c r="L359" s="100">
        <f t="shared" si="87"/>
        <v>0</v>
      </c>
      <c r="M359" s="100">
        <f t="shared" si="87"/>
        <v>0</v>
      </c>
      <c r="N359" s="100">
        <f t="shared" si="87"/>
        <v>0</v>
      </c>
      <c r="O359" s="100">
        <f t="shared" si="87"/>
        <v>0</v>
      </c>
      <c r="P359" s="100">
        <f t="shared" si="87"/>
        <v>0</v>
      </c>
      <c r="Q359" s="81"/>
      <c r="R359" s="100">
        <f t="shared" si="88"/>
        <v>0</v>
      </c>
      <c r="S359" s="100">
        <f t="shared" si="88"/>
        <v>0</v>
      </c>
      <c r="T359" s="100">
        <f t="shared" si="88"/>
        <v>3611.1971062068542</v>
      </c>
      <c r="U359" s="100">
        <f t="shared" si="88"/>
        <v>0</v>
      </c>
      <c r="V359" s="100">
        <f t="shared" si="88"/>
        <v>199.32917063675237</v>
      </c>
      <c r="W359" s="100">
        <f t="shared" si="88"/>
        <v>0</v>
      </c>
      <c r="X359" s="100">
        <f t="shared" si="88"/>
        <v>26108.090584296038</v>
      </c>
      <c r="Y359" s="100">
        <f t="shared" si="88"/>
        <v>0</v>
      </c>
      <c r="AQ359" s="3"/>
    </row>
    <row r="360" spans="3:43" x14ac:dyDescent="0.3">
      <c r="AQ360" s="3"/>
    </row>
    <row r="361" spans="3:43" x14ac:dyDescent="0.3">
      <c r="C361" s="31" t="str">
        <f ca="1">INDEX('Version control'!$H$34:$H$57,MATCH($A$1,'Version control'!$F$34:$F$57,0),1)&amp;"-E: Residual band 1 volume discounting"</f>
        <v>Section 104-E: Residual band 1 volume discounting</v>
      </c>
      <c r="D361" s="31"/>
      <c r="E361" s="31"/>
      <c r="F361" s="31"/>
      <c r="G361" s="31"/>
      <c r="H361" s="31"/>
      <c r="I361" s="31"/>
      <c r="J361" s="31"/>
      <c r="K361" s="31"/>
      <c r="L361" s="31"/>
      <c r="M361" s="31"/>
      <c r="N361" s="31"/>
      <c r="O361" s="31"/>
      <c r="P361" s="31"/>
      <c r="Q361" s="31"/>
      <c r="R361" s="31"/>
      <c r="S361" s="31"/>
      <c r="T361" s="31"/>
      <c r="U361" s="31"/>
      <c r="V361" s="31"/>
      <c r="W361" s="31"/>
      <c r="X361" s="31"/>
      <c r="Y361" s="31"/>
      <c r="Z361" s="31"/>
      <c r="AA361" s="31"/>
      <c r="AQ361" s="3"/>
    </row>
    <row r="362" spans="3:43" x14ac:dyDescent="0.3">
      <c r="C362" s="32"/>
      <c r="AQ362" s="3"/>
    </row>
    <row r="363" spans="3:43" x14ac:dyDescent="0.3">
      <c r="E363" s="32" t="s">
        <v>969</v>
      </c>
      <c r="G363" s="13"/>
      <c r="I363" t="s">
        <v>154</v>
      </c>
      <c r="AQ363" s="3"/>
    </row>
    <row r="364" spans="3:43" x14ac:dyDescent="0.3">
      <c r="E364" s="32"/>
      <c r="F364" s="78" t="s">
        <v>247</v>
      </c>
      <c r="G364" s="78" t="s">
        <v>207</v>
      </c>
      <c r="H364" s="23"/>
      <c r="I364" s="23"/>
      <c r="J364" s="126">
        <f t="shared" ref="J364:J370" si="89">(1 - J315) * J114</f>
        <v>7451.2512920069121</v>
      </c>
      <c r="K364" s="83"/>
      <c r="L364" s="126">
        <f t="shared" ref="L364:L370" si="90">(1 - L315) * L114</f>
        <v>16.794924333235631</v>
      </c>
      <c r="M364" s="83"/>
      <c r="N364" s="126">
        <f t="shared" ref="N364:Q370" si="91">(1 - N315) * N114</f>
        <v>367.47794711195371</v>
      </c>
      <c r="O364" s="126">
        <f t="shared" si="91"/>
        <v>0</v>
      </c>
      <c r="P364" s="126">
        <f t="shared" si="91"/>
        <v>0</v>
      </c>
      <c r="Q364" s="126">
        <f t="shared" si="91"/>
        <v>2.9678624594152296</v>
      </c>
      <c r="R364" s="83"/>
      <c r="S364" s="83"/>
      <c r="T364" s="83"/>
      <c r="U364" s="83"/>
      <c r="V364" s="83"/>
      <c r="W364" s="83"/>
      <c r="X364" s="83"/>
      <c r="Y364" s="83"/>
      <c r="AQ364" s="3"/>
    </row>
    <row r="365" spans="3:43" x14ac:dyDescent="0.3">
      <c r="E365" s="32"/>
      <c r="F365" s="72" t="s">
        <v>248</v>
      </c>
      <c r="G365" s="72" t="s">
        <v>207</v>
      </c>
      <c r="J365" s="330">
        <f t="shared" si="89"/>
        <v>21141.56057272114</v>
      </c>
      <c r="K365" s="331"/>
      <c r="L365" s="330">
        <f t="shared" si="90"/>
        <v>72.174273983581926</v>
      </c>
      <c r="M365" s="331"/>
      <c r="N365" s="330">
        <f t="shared" si="91"/>
        <v>1368.3306421081402</v>
      </c>
      <c r="O365" s="330">
        <f t="shared" si="91"/>
        <v>0</v>
      </c>
      <c r="P365" s="330">
        <f t="shared" si="91"/>
        <v>0</v>
      </c>
      <c r="Q365" s="330">
        <f t="shared" si="91"/>
        <v>137.59814994026124</v>
      </c>
      <c r="R365" s="331"/>
      <c r="S365" s="331"/>
      <c r="T365" s="331"/>
      <c r="U365" s="331"/>
      <c r="V365" s="331"/>
      <c r="W365" s="331"/>
      <c r="X365" s="331"/>
      <c r="Y365" s="331"/>
      <c r="AQ365" s="3"/>
    </row>
    <row r="366" spans="3:43" x14ac:dyDescent="0.3">
      <c r="E366" s="32"/>
      <c r="F366" s="72" t="s">
        <v>249</v>
      </c>
      <c r="G366" s="72" t="s">
        <v>207</v>
      </c>
      <c r="J366" s="330">
        <f t="shared" si="89"/>
        <v>32810.615620005185</v>
      </c>
      <c r="K366" s="331"/>
      <c r="L366" s="330">
        <f t="shared" si="90"/>
        <v>71.008118792199895</v>
      </c>
      <c r="M366" s="331"/>
      <c r="N366" s="330">
        <f t="shared" si="91"/>
        <v>1896.941325403242</v>
      </c>
      <c r="O366" s="330">
        <f t="shared" si="91"/>
        <v>0</v>
      </c>
      <c r="P366" s="330">
        <f t="shared" si="91"/>
        <v>0</v>
      </c>
      <c r="Q366" s="330">
        <f t="shared" si="91"/>
        <v>215.15790509753253</v>
      </c>
      <c r="R366" s="331"/>
      <c r="S366" s="331"/>
      <c r="T366" s="331"/>
      <c r="U366" s="331"/>
      <c r="V366" s="331"/>
      <c r="W366" s="331"/>
      <c r="X366" s="331"/>
      <c r="Y366" s="331"/>
      <c r="AQ366" s="3"/>
    </row>
    <row r="367" spans="3:43" x14ac:dyDescent="0.3">
      <c r="E367" s="32"/>
      <c r="F367" s="72" t="s">
        <v>212</v>
      </c>
      <c r="G367" s="72" t="s">
        <v>212</v>
      </c>
      <c r="J367" s="330">
        <f t="shared" si="89"/>
        <v>20478.274849932481</v>
      </c>
      <c r="K367" s="331"/>
      <c r="L367" s="330">
        <f t="shared" si="90"/>
        <v>135.26893257245482</v>
      </c>
      <c r="M367" s="331"/>
      <c r="N367" s="330">
        <f t="shared" si="91"/>
        <v>25.89409826546899</v>
      </c>
      <c r="O367" s="330">
        <f t="shared" si="91"/>
        <v>0</v>
      </c>
      <c r="P367" s="330">
        <f t="shared" si="91"/>
        <v>0</v>
      </c>
      <c r="Q367" s="330">
        <f t="shared" si="91"/>
        <v>0</v>
      </c>
      <c r="R367" s="331"/>
      <c r="S367" s="331"/>
      <c r="T367" s="331"/>
      <c r="U367" s="331"/>
      <c r="V367" s="331"/>
      <c r="W367" s="331"/>
      <c r="X367" s="331"/>
      <c r="Y367" s="331"/>
      <c r="AQ367" s="3"/>
    </row>
    <row r="368" spans="3:43" x14ac:dyDescent="0.3">
      <c r="E368" s="32"/>
      <c r="F368" s="72" t="s">
        <v>250</v>
      </c>
      <c r="G368" s="72" t="s">
        <v>251</v>
      </c>
      <c r="J368" s="330">
        <f t="shared" si="89"/>
        <v>0</v>
      </c>
      <c r="K368" s="331"/>
      <c r="L368" s="330">
        <f t="shared" si="90"/>
        <v>0</v>
      </c>
      <c r="M368" s="331"/>
      <c r="N368" s="330">
        <f t="shared" si="91"/>
        <v>2115.0184667155759</v>
      </c>
      <c r="O368" s="330">
        <f t="shared" si="91"/>
        <v>0</v>
      </c>
      <c r="P368" s="330">
        <f t="shared" si="91"/>
        <v>0</v>
      </c>
      <c r="Q368" s="330">
        <f t="shared" si="91"/>
        <v>0</v>
      </c>
      <c r="R368" s="331"/>
      <c r="S368" s="331"/>
      <c r="T368" s="331"/>
      <c r="U368" s="331"/>
      <c r="V368" s="331"/>
      <c r="W368" s="331"/>
      <c r="X368" s="331"/>
      <c r="Y368" s="331"/>
      <c r="AQ368" s="3"/>
    </row>
    <row r="369" spans="5:43" x14ac:dyDescent="0.3">
      <c r="E369" s="32"/>
      <c r="F369" s="72" t="s">
        <v>252</v>
      </c>
      <c r="G369" s="72" t="s">
        <v>251</v>
      </c>
      <c r="J369" s="330">
        <f t="shared" si="89"/>
        <v>0</v>
      </c>
      <c r="K369" s="331"/>
      <c r="L369" s="330">
        <f t="shared" si="90"/>
        <v>0</v>
      </c>
      <c r="M369" s="331"/>
      <c r="N369" s="330">
        <f t="shared" si="91"/>
        <v>5.7000647395808084</v>
      </c>
      <c r="O369" s="330">
        <f t="shared" si="91"/>
        <v>0</v>
      </c>
      <c r="P369" s="330">
        <f t="shared" si="91"/>
        <v>0</v>
      </c>
      <c r="Q369" s="330">
        <f t="shared" si="91"/>
        <v>0</v>
      </c>
      <c r="R369" s="331"/>
      <c r="S369" s="331"/>
      <c r="T369" s="331"/>
      <c r="U369" s="331"/>
      <c r="V369" s="331"/>
      <c r="W369" s="331"/>
      <c r="X369" s="331"/>
      <c r="Y369" s="331"/>
      <c r="AQ369" s="3"/>
    </row>
    <row r="370" spans="5:43" x14ac:dyDescent="0.3">
      <c r="E370" s="32"/>
      <c r="F370" s="80" t="s">
        <v>253</v>
      </c>
      <c r="G370" s="80" t="s">
        <v>254</v>
      </c>
      <c r="H370" s="37"/>
      <c r="I370" s="37"/>
      <c r="J370" s="100">
        <f t="shared" si="89"/>
        <v>0</v>
      </c>
      <c r="K370" s="81"/>
      <c r="L370" s="100">
        <f t="shared" si="90"/>
        <v>0</v>
      </c>
      <c r="M370" s="81"/>
      <c r="N370" s="100">
        <f t="shared" si="91"/>
        <v>491.62883843507149</v>
      </c>
      <c r="O370" s="100">
        <f t="shared" si="91"/>
        <v>0</v>
      </c>
      <c r="P370" s="100">
        <f t="shared" si="91"/>
        <v>0</v>
      </c>
      <c r="Q370" s="100">
        <f t="shared" si="91"/>
        <v>0</v>
      </c>
      <c r="R370" s="81"/>
      <c r="S370" s="81"/>
      <c r="T370" s="81"/>
      <c r="U370" s="81"/>
      <c r="V370" s="81"/>
      <c r="W370" s="81"/>
      <c r="X370" s="81"/>
      <c r="Y370" s="81"/>
      <c r="AQ370" s="3"/>
    </row>
    <row r="371" spans="5:43" x14ac:dyDescent="0.3">
      <c r="AQ371" s="3"/>
    </row>
    <row r="372" spans="5:43" x14ac:dyDescent="0.3">
      <c r="E372" s="32" t="s">
        <v>970</v>
      </c>
      <c r="G372" s="13"/>
      <c r="I372" t="s">
        <v>154</v>
      </c>
      <c r="AQ372" s="3"/>
    </row>
    <row r="373" spans="5:43" x14ac:dyDescent="0.3">
      <c r="E373" s="32"/>
      <c r="F373" s="78" t="s">
        <v>247</v>
      </c>
      <c r="G373" s="78" t="s">
        <v>207</v>
      </c>
      <c r="H373" s="23"/>
      <c r="I373" s="23"/>
      <c r="J373" s="126">
        <f t="shared" ref="J373:J379" si="92">(1 - J324) * J161</f>
        <v>12164.86780018563</v>
      </c>
      <c r="K373" s="83"/>
      <c r="L373" s="126">
        <f t="shared" ref="L373:L379" si="93">(1 - L324) * L161</f>
        <v>69.499909236657786</v>
      </c>
      <c r="M373" s="83"/>
      <c r="N373" s="126">
        <f t="shared" ref="N373:Q379" si="94">(1 - N324) * N161</f>
        <v>2636.7228056430163</v>
      </c>
      <c r="O373" s="126">
        <f t="shared" si="94"/>
        <v>9.2050436510130318</v>
      </c>
      <c r="P373" s="126">
        <f t="shared" si="94"/>
        <v>1386.974315951431</v>
      </c>
      <c r="Q373" s="126">
        <f t="shared" si="94"/>
        <v>2.459423247202742</v>
      </c>
      <c r="R373" s="83"/>
      <c r="S373" s="83"/>
      <c r="T373" s="83"/>
      <c r="U373" s="83"/>
      <c r="V373" s="83"/>
      <c r="W373" s="83"/>
      <c r="X373" s="83"/>
      <c r="Y373" s="83"/>
      <c r="AQ373" s="3"/>
    </row>
    <row r="374" spans="5:43" x14ac:dyDescent="0.3">
      <c r="E374" s="32"/>
      <c r="F374" s="72" t="s">
        <v>248</v>
      </c>
      <c r="G374" s="72" t="s">
        <v>207</v>
      </c>
      <c r="J374" s="330">
        <f t="shared" si="92"/>
        <v>34474.707593109022</v>
      </c>
      <c r="K374" s="331"/>
      <c r="L374" s="330">
        <f t="shared" si="93"/>
        <v>290.40223925631244</v>
      </c>
      <c r="M374" s="331"/>
      <c r="N374" s="330">
        <f t="shared" si="94"/>
        <v>9410.3706923383634</v>
      </c>
      <c r="O374" s="330">
        <f t="shared" si="94"/>
        <v>34.730446754011822</v>
      </c>
      <c r="P374" s="330">
        <f t="shared" si="94"/>
        <v>5067.7468546261889</v>
      </c>
      <c r="Q374" s="330">
        <f t="shared" si="94"/>
        <v>160.84357473590691</v>
      </c>
      <c r="R374" s="331"/>
      <c r="S374" s="331"/>
      <c r="T374" s="331"/>
      <c r="U374" s="331"/>
      <c r="V374" s="331"/>
      <c r="W374" s="331"/>
      <c r="X374" s="331"/>
      <c r="Y374" s="331"/>
      <c r="AQ374" s="3"/>
    </row>
    <row r="375" spans="5:43" x14ac:dyDescent="0.3">
      <c r="E375" s="32"/>
      <c r="F375" s="72" t="s">
        <v>249</v>
      </c>
      <c r="G375" s="72" t="s">
        <v>207</v>
      </c>
      <c r="J375" s="330">
        <f t="shared" si="92"/>
        <v>53485.809993683979</v>
      </c>
      <c r="K375" s="331"/>
      <c r="L375" s="330">
        <f t="shared" si="93"/>
        <v>272.85761342601683</v>
      </c>
      <c r="M375" s="331"/>
      <c r="N375" s="330">
        <f t="shared" si="94"/>
        <v>11163.768684597297</v>
      </c>
      <c r="O375" s="330">
        <f t="shared" si="94"/>
        <v>47.123945792436352</v>
      </c>
      <c r="P375" s="330">
        <f t="shared" si="94"/>
        <v>6969.9857277929186</v>
      </c>
      <c r="Q375" s="330">
        <f t="shared" si="94"/>
        <v>268.04439019811241</v>
      </c>
      <c r="R375" s="331"/>
      <c r="S375" s="331"/>
      <c r="T375" s="331"/>
      <c r="U375" s="331"/>
      <c r="V375" s="331"/>
      <c r="W375" s="331"/>
      <c r="X375" s="331"/>
      <c r="Y375" s="331"/>
      <c r="AQ375" s="3"/>
    </row>
    <row r="376" spans="5:43" x14ac:dyDescent="0.3">
      <c r="E376" s="32"/>
      <c r="F376" s="72" t="s">
        <v>212</v>
      </c>
      <c r="G376" s="72" t="s">
        <v>212</v>
      </c>
      <c r="J376" s="330">
        <f t="shared" si="92"/>
        <v>34017.753371611274</v>
      </c>
      <c r="K376" s="331"/>
      <c r="L376" s="330">
        <f t="shared" si="93"/>
        <v>349.18249130390632</v>
      </c>
      <c r="M376" s="331"/>
      <c r="N376" s="330">
        <f t="shared" si="94"/>
        <v>144.43336162186637</v>
      </c>
      <c r="O376" s="330">
        <f t="shared" si="94"/>
        <v>0.69301465392526496</v>
      </c>
      <c r="P376" s="330">
        <f t="shared" si="94"/>
        <v>25.392052742368698</v>
      </c>
      <c r="Q376" s="330">
        <f t="shared" si="94"/>
        <v>0</v>
      </c>
      <c r="R376" s="331"/>
      <c r="S376" s="331"/>
      <c r="T376" s="331"/>
      <c r="U376" s="331"/>
      <c r="V376" s="331"/>
      <c r="W376" s="331"/>
      <c r="X376" s="331"/>
      <c r="Y376" s="331"/>
      <c r="AQ376" s="3"/>
    </row>
    <row r="377" spans="5:43" x14ac:dyDescent="0.3">
      <c r="E377" s="32"/>
      <c r="F377" s="72" t="s">
        <v>250</v>
      </c>
      <c r="G377" s="72" t="s">
        <v>251</v>
      </c>
      <c r="J377" s="330">
        <f t="shared" si="92"/>
        <v>0</v>
      </c>
      <c r="K377" s="331"/>
      <c r="L377" s="330">
        <f t="shared" si="93"/>
        <v>0</v>
      </c>
      <c r="M377" s="331"/>
      <c r="N377" s="330">
        <f t="shared" si="94"/>
        <v>12318.479576677937</v>
      </c>
      <c r="O377" s="330">
        <f t="shared" si="94"/>
        <v>31.782032163710806</v>
      </c>
      <c r="P377" s="330">
        <f t="shared" si="94"/>
        <v>8959.1232270685687</v>
      </c>
      <c r="Q377" s="330">
        <f t="shared" si="94"/>
        <v>0</v>
      </c>
      <c r="R377" s="331"/>
      <c r="S377" s="331"/>
      <c r="T377" s="331"/>
      <c r="U377" s="331"/>
      <c r="V377" s="331"/>
      <c r="W377" s="331"/>
      <c r="X377" s="331"/>
      <c r="Y377" s="331"/>
      <c r="AQ377" s="3"/>
    </row>
    <row r="378" spans="5:43" x14ac:dyDescent="0.3">
      <c r="E378" s="32"/>
      <c r="F378" s="72" t="s">
        <v>252</v>
      </c>
      <c r="G378" s="72" t="s">
        <v>251</v>
      </c>
      <c r="J378" s="330">
        <f t="shared" si="92"/>
        <v>0</v>
      </c>
      <c r="K378" s="331"/>
      <c r="L378" s="330">
        <f t="shared" si="93"/>
        <v>0</v>
      </c>
      <c r="M378" s="331"/>
      <c r="N378" s="330">
        <f t="shared" si="94"/>
        <v>57.402880141193087</v>
      </c>
      <c r="O378" s="330">
        <f t="shared" si="94"/>
        <v>0</v>
      </c>
      <c r="P378" s="330">
        <f t="shared" si="94"/>
        <v>96.98678369875806</v>
      </c>
      <c r="Q378" s="330">
        <f t="shared" si="94"/>
        <v>0</v>
      </c>
      <c r="R378" s="331"/>
      <c r="S378" s="331"/>
      <c r="T378" s="331"/>
      <c r="U378" s="331"/>
      <c r="V378" s="331"/>
      <c r="W378" s="331"/>
      <c r="X378" s="331"/>
      <c r="Y378" s="331"/>
      <c r="AQ378" s="3"/>
    </row>
    <row r="379" spans="5:43" x14ac:dyDescent="0.3">
      <c r="E379" s="32"/>
      <c r="F379" s="80" t="s">
        <v>253</v>
      </c>
      <c r="G379" s="80" t="s">
        <v>254</v>
      </c>
      <c r="H379" s="37"/>
      <c r="I379" s="37"/>
      <c r="J379" s="100">
        <f t="shared" si="92"/>
        <v>0</v>
      </c>
      <c r="K379" s="81"/>
      <c r="L379" s="100">
        <f t="shared" si="93"/>
        <v>0</v>
      </c>
      <c r="M379" s="81"/>
      <c r="N379" s="100">
        <f t="shared" si="94"/>
        <v>1057.5589628417786</v>
      </c>
      <c r="O379" s="100">
        <f t="shared" si="94"/>
        <v>11.423352924813194</v>
      </c>
      <c r="P379" s="100">
        <f t="shared" si="94"/>
        <v>240.50306326598584</v>
      </c>
      <c r="Q379" s="100">
        <f t="shared" si="94"/>
        <v>0</v>
      </c>
      <c r="R379" s="81"/>
      <c r="S379" s="81"/>
      <c r="T379" s="81"/>
      <c r="U379" s="81"/>
      <c r="V379" s="81"/>
      <c r="W379" s="81"/>
      <c r="X379" s="81"/>
      <c r="Y379" s="81"/>
      <c r="AQ379" s="3"/>
    </row>
    <row r="380" spans="5:43" x14ac:dyDescent="0.3">
      <c r="AQ380" s="3"/>
    </row>
    <row r="381" spans="5:43" x14ac:dyDescent="0.3">
      <c r="E381" s="32" t="s">
        <v>968</v>
      </c>
      <c r="G381" s="13"/>
      <c r="I381" t="s">
        <v>154</v>
      </c>
      <c r="AQ381" s="3"/>
    </row>
    <row r="382" spans="5:43" x14ac:dyDescent="0.3">
      <c r="E382" s="32"/>
      <c r="F382" s="78" t="s">
        <v>247</v>
      </c>
      <c r="G382" s="78" t="s">
        <v>207</v>
      </c>
      <c r="H382" s="23"/>
      <c r="I382" s="23"/>
      <c r="J382" s="126">
        <f t="shared" ref="J382:J388" si="95">J67+J364+J373</f>
        <v>927789.68137948948</v>
      </c>
      <c r="K382" s="83"/>
      <c r="L382" s="126">
        <f t="shared" ref="L382:L388" si="96">L67+L364+L373</f>
        <v>10628.491564396461</v>
      </c>
      <c r="M382" s="83"/>
      <c r="N382" s="126">
        <f t="shared" ref="N382:Q388" si="97">N67+N364+N373</f>
        <v>65016.690041693946</v>
      </c>
      <c r="O382" s="126">
        <f t="shared" si="97"/>
        <v>174.48189821436509</v>
      </c>
      <c r="P382" s="126">
        <f t="shared" si="97"/>
        <v>97103.179297242372</v>
      </c>
      <c r="Q382" s="126">
        <f t="shared" si="97"/>
        <v>9663.5075463692192</v>
      </c>
      <c r="R382" s="83"/>
      <c r="S382" s="83"/>
      <c r="T382" s="83"/>
      <c r="U382" s="83"/>
      <c r="V382" s="83"/>
      <c r="W382" s="83"/>
      <c r="X382" s="83"/>
      <c r="Y382" s="83"/>
      <c r="AQ382" s="3"/>
    </row>
    <row r="383" spans="5:43" x14ac:dyDescent="0.3">
      <c r="E383" s="32"/>
      <c r="F383" s="72" t="s">
        <v>248</v>
      </c>
      <c r="G383" s="72" t="s">
        <v>207</v>
      </c>
      <c r="J383" s="330">
        <f t="shared" si="95"/>
        <v>2756277.0104804309</v>
      </c>
      <c r="K383" s="331"/>
      <c r="L383" s="330">
        <f t="shared" si="96"/>
        <v>43638.727900142738</v>
      </c>
      <c r="M383" s="331"/>
      <c r="N383" s="330">
        <f t="shared" si="97"/>
        <v>248718.97600158816</v>
      </c>
      <c r="O383" s="330">
        <f t="shared" si="97"/>
        <v>471.4221611178811</v>
      </c>
      <c r="P383" s="330">
        <f t="shared" si="97"/>
        <v>375955.18180575204</v>
      </c>
      <c r="Q383" s="330">
        <f t="shared" si="97"/>
        <v>49161.271548488345</v>
      </c>
      <c r="R383" s="331"/>
      <c r="S383" s="331"/>
      <c r="T383" s="331"/>
      <c r="U383" s="331"/>
      <c r="V383" s="331"/>
      <c r="W383" s="331"/>
      <c r="X383" s="331"/>
      <c r="Y383" s="331"/>
      <c r="AQ383" s="3"/>
    </row>
    <row r="384" spans="5:43" x14ac:dyDescent="0.3">
      <c r="E384" s="32"/>
      <c r="F384" s="72" t="s">
        <v>249</v>
      </c>
      <c r="G384" s="72" t="s">
        <v>207</v>
      </c>
      <c r="J384" s="330">
        <f t="shared" si="95"/>
        <v>4559037.4253185689</v>
      </c>
      <c r="K384" s="331"/>
      <c r="L384" s="330">
        <f t="shared" si="96"/>
        <v>44681.021133725983</v>
      </c>
      <c r="M384" s="331"/>
      <c r="N384" s="330">
        <f t="shared" si="97"/>
        <v>266963.24764430261</v>
      </c>
      <c r="O384" s="330">
        <f t="shared" si="97"/>
        <v>497.27854215017703</v>
      </c>
      <c r="P384" s="330">
        <f t="shared" si="97"/>
        <v>496340.30087724945</v>
      </c>
      <c r="Q384" s="330">
        <f t="shared" si="97"/>
        <v>187842.48249019182</v>
      </c>
      <c r="R384" s="331"/>
      <c r="S384" s="331"/>
      <c r="T384" s="331"/>
      <c r="U384" s="331"/>
      <c r="V384" s="331"/>
      <c r="W384" s="331"/>
      <c r="X384" s="331"/>
      <c r="Y384" s="331"/>
      <c r="AQ384" s="3"/>
    </row>
    <row r="385" spans="3:43" x14ac:dyDescent="0.3">
      <c r="E385" s="32"/>
      <c r="F385" s="72" t="s">
        <v>212</v>
      </c>
      <c r="G385" s="72" t="s">
        <v>212</v>
      </c>
      <c r="J385" s="330">
        <f t="shared" si="95"/>
        <v>2371479.4191347011</v>
      </c>
      <c r="K385" s="331"/>
      <c r="L385" s="330">
        <f t="shared" si="96"/>
        <v>73738.726119001571</v>
      </c>
      <c r="M385" s="331"/>
      <c r="N385" s="330">
        <f t="shared" si="97"/>
        <v>6631.7065906174585</v>
      </c>
      <c r="O385" s="330">
        <f t="shared" si="97"/>
        <v>14.920218031526492</v>
      </c>
      <c r="P385" s="330">
        <f t="shared" si="97"/>
        <v>2286.6045369155877</v>
      </c>
      <c r="Q385" s="330">
        <f t="shared" si="97"/>
        <v>29.475632524712577</v>
      </c>
      <c r="R385" s="331"/>
      <c r="S385" s="331"/>
      <c r="T385" s="331"/>
      <c r="U385" s="331"/>
      <c r="V385" s="331"/>
      <c r="W385" s="331"/>
      <c r="X385" s="331"/>
      <c r="Y385" s="331"/>
      <c r="AQ385" s="3"/>
    </row>
    <row r="386" spans="3:43" x14ac:dyDescent="0.3">
      <c r="E386" s="32"/>
      <c r="F386" s="72" t="s">
        <v>250</v>
      </c>
      <c r="G386" s="72" t="s">
        <v>251</v>
      </c>
      <c r="J386" s="330">
        <f t="shared" si="95"/>
        <v>0</v>
      </c>
      <c r="K386" s="331"/>
      <c r="L386" s="330">
        <f t="shared" si="96"/>
        <v>0</v>
      </c>
      <c r="M386" s="331"/>
      <c r="N386" s="330">
        <f t="shared" si="97"/>
        <v>294530.9448941829</v>
      </c>
      <c r="O386" s="330">
        <f t="shared" si="97"/>
        <v>469.33755147255357</v>
      </c>
      <c r="P386" s="330">
        <f t="shared" si="97"/>
        <v>481830.33404460998</v>
      </c>
      <c r="Q386" s="330">
        <f t="shared" si="97"/>
        <v>0</v>
      </c>
      <c r="R386" s="331"/>
      <c r="S386" s="331"/>
      <c r="T386" s="331"/>
      <c r="U386" s="331"/>
      <c r="V386" s="331"/>
      <c r="W386" s="331"/>
      <c r="X386" s="331"/>
      <c r="Y386" s="331"/>
      <c r="AQ386" s="3"/>
    </row>
    <row r="387" spans="3:43" x14ac:dyDescent="0.3">
      <c r="E387" s="32"/>
      <c r="F387" s="72" t="s">
        <v>252</v>
      </c>
      <c r="G387" s="72" t="s">
        <v>251</v>
      </c>
      <c r="J387" s="330">
        <f t="shared" si="95"/>
        <v>0</v>
      </c>
      <c r="K387" s="331"/>
      <c r="L387" s="330">
        <f t="shared" si="96"/>
        <v>0</v>
      </c>
      <c r="M387" s="331"/>
      <c r="N387" s="330">
        <f t="shared" si="97"/>
        <v>5868.4378506896392</v>
      </c>
      <c r="O387" s="330">
        <f t="shared" si="97"/>
        <v>0.84134381716200657</v>
      </c>
      <c r="P387" s="330">
        <f t="shared" si="97"/>
        <v>6229.5798176982598</v>
      </c>
      <c r="Q387" s="330">
        <f t="shared" si="97"/>
        <v>0</v>
      </c>
      <c r="R387" s="331"/>
      <c r="S387" s="331"/>
      <c r="T387" s="331"/>
      <c r="U387" s="331"/>
      <c r="V387" s="331"/>
      <c r="W387" s="331"/>
      <c r="X387" s="331"/>
      <c r="Y387" s="331"/>
      <c r="AQ387" s="3"/>
    </row>
    <row r="388" spans="3:43" x14ac:dyDescent="0.3">
      <c r="E388" s="32"/>
      <c r="F388" s="80" t="s">
        <v>253</v>
      </c>
      <c r="G388" s="80" t="s">
        <v>254</v>
      </c>
      <c r="H388" s="37"/>
      <c r="I388" s="37"/>
      <c r="J388" s="100">
        <f t="shared" si="95"/>
        <v>0</v>
      </c>
      <c r="K388" s="81"/>
      <c r="L388" s="100">
        <f t="shared" si="96"/>
        <v>0</v>
      </c>
      <c r="M388" s="81"/>
      <c r="N388" s="100">
        <f t="shared" si="97"/>
        <v>71937.439803234665</v>
      </c>
      <c r="O388" s="100">
        <f t="shared" si="97"/>
        <v>131.77756588864506</v>
      </c>
      <c r="P388" s="100">
        <f t="shared" si="97"/>
        <v>106399.08143127071</v>
      </c>
      <c r="Q388" s="100">
        <f t="shared" si="97"/>
        <v>0</v>
      </c>
      <c r="R388" s="81"/>
      <c r="S388" s="81"/>
      <c r="T388" s="81"/>
      <c r="U388" s="81"/>
      <c r="V388" s="81"/>
      <c r="W388" s="81"/>
      <c r="X388" s="81"/>
      <c r="Y388" s="81"/>
      <c r="AQ388" s="3"/>
    </row>
    <row r="389" spans="3:43" x14ac:dyDescent="0.3">
      <c r="AQ389" s="3"/>
    </row>
    <row r="390" spans="3:43" x14ac:dyDescent="0.3">
      <c r="C390" s="31" t="str">
        <f ca="1">INDEX('Version control'!$H$34:$H$57,MATCH($A$1,'Version control'!$F$34:$F$57,0),1)&amp;"-F: Residual band 2 volume discounting"</f>
        <v>Section 104-F: Residual band 2 volume discounting</v>
      </c>
      <c r="D390" s="31"/>
      <c r="E390" s="31"/>
      <c r="F390" s="31"/>
      <c r="G390" s="31"/>
      <c r="H390" s="31"/>
      <c r="I390" s="31"/>
      <c r="J390" s="31"/>
      <c r="K390" s="31"/>
      <c r="L390" s="31"/>
      <c r="M390" s="31"/>
      <c r="N390" s="31"/>
      <c r="O390" s="31"/>
      <c r="P390" s="31"/>
      <c r="Q390" s="31"/>
      <c r="R390" s="31"/>
      <c r="S390" s="31"/>
      <c r="T390" s="31"/>
      <c r="U390" s="31"/>
      <c r="V390" s="31"/>
      <c r="W390" s="31"/>
      <c r="X390" s="31"/>
      <c r="Y390" s="31"/>
      <c r="Z390" s="31"/>
      <c r="AA390" s="31"/>
      <c r="AQ390" s="3"/>
    </row>
    <row r="391" spans="3:43" x14ac:dyDescent="0.3">
      <c r="C391" s="32"/>
      <c r="AQ391" s="3"/>
    </row>
    <row r="392" spans="3:43" x14ac:dyDescent="0.3">
      <c r="E392" s="32" t="s">
        <v>980</v>
      </c>
      <c r="G392" s="13"/>
      <c r="I392" t="s">
        <v>154</v>
      </c>
      <c r="AQ392" s="3"/>
    </row>
    <row r="393" spans="3:43" x14ac:dyDescent="0.3">
      <c r="E393" s="32"/>
      <c r="F393" s="78" t="s">
        <v>247</v>
      </c>
      <c r="G393" s="78" t="s">
        <v>207</v>
      </c>
      <c r="H393" s="23"/>
      <c r="I393" s="23"/>
      <c r="J393" s="83"/>
      <c r="K393" s="83"/>
      <c r="L393" s="126">
        <f t="shared" ref="L393:L399" si="98">(1 - L315) * L123</f>
        <v>70.492820169662551</v>
      </c>
      <c r="M393" s="83"/>
      <c r="N393" s="126">
        <f t="shared" ref="N393:P399" si="99">(1 - N315) * N123</f>
        <v>549.15029605864402</v>
      </c>
      <c r="O393" s="126">
        <f t="shared" si="99"/>
        <v>0</v>
      </c>
      <c r="P393" s="126">
        <f t="shared" si="99"/>
        <v>0</v>
      </c>
      <c r="Q393" s="83"/>
      <c r="R393" s="83"/>
      <c r="S393" s="83"/>
      <c r="T393" s="83"/>
      <c r="U393" s="83"/>
      <c r="V393" s="83"/>
      <c r="W393" s="83"/>
      <c r="X393" s="83"/>
      <c r="Y393" s="83"/>
      <c r="AQ393" s="3"/>
    </row>
    <row r="394" spans="3:43" x14ac:dyDescent="0.3">
      <c r="E394" s="32"/>
      <c r="F394" s="72" t="s">
        <v>248</v>
      </c>
      <c r="G394" s="72" t="s">
        <v>207</v>
      </c>
      <c r="J394" s="331"/>
      <c r="K394" s="331"/>
      <c r="L394" s="330">
        <f t="shared" si="98"/>
        <v>302.9348638822006</v>
      </c>
      <c r="M394" s="331"/>
      <c r="N394" s="330">
        <f t="shared" si="99"/>
        <v>2044.8007373647279</v>
      </c>
      <c r="O394" s="330">
        <f t="shared" si="99"/>
        <v>0</v>
      </c>
      <c r="P394" s="330">
        <f t="shared" si="99"/>
        <v>0</v>
      </c>
      <c r="Q394" s="331"/>
      <c r="R394" s="331"/>
      <c r="S394" s="331"/>
      <c r="T394" s="331"/>
      <c r="U394" s="331"/>
      <c r="V394" s="331"/>
      <c r="W394" s="331"/>
      <c r="X394" s="331"/>
      <c r="Y394" s="331"/>
      <c r="AQ394" s="3"/>
    </row>
    <row r="395" spans="3:43" x14ac:dyDescent="0.3">
      <c r="E395" s="32"/>
      <c r="F395" s="72" t="s">
        <v>249</v>
      </c>
      <c r="G395" s="72" t="s">
        <v>207</v>
      </c>
      <c r="J395" s="331"/>
      <c r="K395" s="331"/>
      <c r="L395" s="330">
        <f t="shared" si="98"/>
        <v>298.04019650740719</v>
      </c>
      <c r="M395" s="331"/>
      <c r="N395" s="330">
        <f t="shared" si="99"/>
        <v>2834.7439584822391</v>
      </c>
      <c r="O395" s="330">
        <f t="shared" si="99"/>
        <v>0</v>
      </c>
      <c r="P395" s="330">
        <f t="shared" si="99"/>
        <v>0</v>
      </c>
      <c r="Q395" s="331"/>
      <c r="R395" s="331"/>
      <c r="S395" s="331"/>
      <c r="T395" s="331"/>
      <c r="U395" s="331"/>
      <c r="V395" s="331"/>
      <c r="W395" s="331"/>
      <c r="X395" s="331"/>
      <c r="Y395" s="331"/>
      <c r="AQ395" s="3"/>
    </row>
    <row r="396" spans="3:43" x14ac:dyDescent="0.3">
      <c r="E396" s="32"/>
      <c r="F396" s="72" t="s">
        <v>212</v>
      </c>
      <c r="G396" s="72" t="s">
        <v>212</v>
      </c>
      <c r="J396" s="331"/>
      <c r="K396" s="331"/>
      <c r="L396" s="330">
        <f t="shared" si="98"/>
        <v>102.08588256941752</v>
      </c>
      <c r="M396" s="331"/>
      <c r="N396" s="330">
        <f t="shared" si="99"/>
        <v>20.94454711867326</v>
      </c>
      <c r="O396" s="330">
        <f t="shared" si="99"/>
        <v>0</v>
      </c>
      <c r="P396" s="330">
        <f t="shared" si="99"/>
        <v>0</v>
      </c>
      <c r="Q396" s="331"/>
      <c r="R396" s="331"/>
      <c r="S396" s="331"/>
      <c r="T396" s="331"/>
      <c r="U396" s="331"/>
      <c r="V396" s="331"/>
      <c r="W396" s="331"/>
      <c r="X396" s="331"/>
      <c r="Y396" s="331"/>
      <c r="AQ396" s="3"/>
    </row>
    <row r="397" spans="3:43" x14ac:dyDescent="0.3">
      <c r="E397" s="32"/>
      <c r="F397" s="72" t="s">
        <v>250</v>
      </c>
      <c r="G397" s="72" t="s">
        <v>251</v>
      </c>
      <c r="J397" s="331"/>
      <c r="K397" s="331"/>
      <c r="L397" s="330">
        <f t="shared" si="98"/>
        <v>0</v>
      </c>
      <c r="M397" s="331"/>
      <c r="N397" s="330">
        <f t="shared" si="99"/>
        <v>4460.6657769227713</v>
      </c>
      <c r="O397" s="330">
        <f t="shared" si="99"/>
        <v>0</v>
      </c>
      <c r="P397" s="330">
        <f t="shared" si="99"/>
        <v>0</v>
      </c>
      <c r="Q397" s="331"/>
      <c r="R397" s="331"/>
      <c r="S397" s="331"/>
      <c r="T397" s="331"/>
      <c r="U397" s="331"/>
      <c r="V397" s="331"/>
      <c r="W397" s="331"/>
      <c r="X397" s="331"/>
      <c r="Y397" s="331"/>
      <c r="AQ397" s="3"/>
    </row>
    <row r="398" spans="3:43" x14ac:dyDescent="0.3">
      <c r="E398" s="32"/>
      <c r="F398" s="72" t="s">
        <v>252</v>
      </c>
      <c r="G398" s="72" t="s">
        <v>251</v>
      </c>
      <c r="J398" s="331"/>
      <c r="K398" s="331"/>
      <c r="L398" s="330">
        <f t="shared" si="98"/>
        <v>0</v>
      </c>
      <c r="M398" s="331"/>
      <c r="N398" s="330">
        <f t="shared" si="99"/>
        <v>12.021684023202234</v>
      </c>
      <c r="O398" s="330">
        <f t="shared" si="99"/>
        <v>0</v>
      </c>
      <c r="P398" s="330">
        <f t="shared" si="99"/>
        <v>0</v>
      </c>
      <c r="Q398" s="331"/>
      <c r="R398" s="331"/>
      <c r="S398" s="331"/>
      <c r="T398" s="331"/>
      <c r="U398" s="331"/>
      <c r="V398" s="331"/>
      <c r="W398" s="331"/>
      <c r="X398" s="331"/>
      <c r="Y398" s="331"/>
      <c r="AQ398" s="3"/>
    </row>
    <row r="399" spans="3:43" x14ac:dyDescent="0.3">
      <c r="E399" s="32"/>
      <c r="F399" s="80" t="s">
        <v>253</v>
      </c>
      <c r="G399" s="80" t="s">
        <v>254</v>
      </c>
      <c r="H399" s="37"/>
      <c r="I399" s="37"/>
      <c r="J399" s="81"/>
      <c r="K399" s="81"/>
      <c r="L399" s="100">
        <f t="shared" si="98"/>
        <v>0</v>
      </c>
      <c r="M399" s="81"/>
      <c r="N399" s="100">
        <f t="shared" si="99"/>
        <v>734.67843254097841</v>
      </c>
      <c r="O399" s="100">
        <f t="shared" si="99"/>
        <v>0</v>
      </c>
      <c r="P399" s="100">
        <f t="shared" si="99"/>
        <v>0</v>
      </c>
      <c r="Q399" s="81"/>
      <c r="R399" s="81"/>
      <c r="S399" s="81"/>
      <c r="T399" s="81"/>
      <c r="U399" s="81"/>
      <c r="V399" s="81"/>
      <c r="W399" s="81"/>
      <c r="X399" s="81"/>
      <c r="Y399" s="81"/>
      <c r="AQ399" s="3"/>
    </row>
    <row r="400" spans="3:43" x14ac:dyDescent="0.3">
      <c r="AQ400" s="3"/>
    </row>
    <row r="401" spans="5:43" x14ac:dyDescent="0.3">
      <c r="E401" s="32" t="s">
        <v>981</v>
      </c>
      <c r="G401" s="13"/>
      <c r="I401" t="s">
        <v>154</v>
      </c>
      <c r="AQ401" s="3"/>
    </row>
    <row r="402" spans="5:43" x14ac:dyDescent="0.3">
      <c r="E402" s="32"/>
      <c r="F402" s="78" t="s">
        <v>247</v>
      </c>
      <c r="G402" s="78" t="s">
        <v>207</v>
      </c>
      <c r="H402" s="23"/>
      <c r="I402" s="23"/>
      <c r="J402" s="83"/>
      <c r="K402" s="83"/>
      <c r="L402" s="126">
        <f t="shared" ref="L402:L408" si="100">(1 - L324) * L170</f>
        <v>291.70983485364241</v>
      </c>
      <c r="M402" s="83"/>
      <c r="N402" s="126">
        <f t="shared" ref="N402:P408" si="101">(1 - N324) * N170</f>
        <v>3940.2557914647168</v>
      </c>
      <c r="O402" s="126">
        <f t="shared" si="101"/>
        <v>47.253428671978774</v>
      </c>
      <c r="P402" s="126">
        <f t="shared" si="101"/>
        <v>2474.1636904722168</v>
      </c>
      <c r="Q402" s="83"/>
      <c r="R402" s="83"/>
      <c r="S402" s="83"/>
      <c r="T402" s="83"/>
      <c r="U402" s="83"/>
      <c r="V402" s="83"/>
      <c r="W402" s="83"/>
      <c r="X402" s="83"/>
      <c r="Y402" s="83"/>
      <c r="AQ402" s="3"/>
    </row>
    <row r="403" spans="5:43" x14ac:dyDescent="0.3">
      <c r="E403" s="32"/>
      <c r="F403" s="72" t="s">
        <v>248</v>
      </c>
      <c r="G403" s="72" t="s">
        <v>207</v>
      </c>
      <c r="J403" s="331"/>
      <c r="K403" s="331"/>
      <c r="L403" s="330">
        <f t="shared" si="100"/>
        <v>1218.8964012330653</v>
      </c>
      <c r="M403" s="331"/>
      <c r="N403" s="330">
        <f t="shared" si="101"/>
        <v>14062.633941254806</v>
      </c>
      <c r="O403" s="330">
        <f t="shared" si="101"/>
        <v>178.28624726359064</v>
      </c>
      <c r="P403" s="330">
        <f t="shared" si="101"/>
        <v>9040.1351459921134</v>
      </c>
      <c r="Q403" s="331"/>
      <c r="R403" s="331"/>
      <c r="S403" s="331"/>
      <c r="T403" s="331"/>
      <c r="U403" s="331"/>
      <c r="V403" s="331"/>
      <c r="W403" s="331"/>
      <c r="X403" s="331"/>
      <c r="Y403" s="331"/>
      <c r="AQ403" s="3"/>
    </row>
    <row r="404" spans="5:43" x14ac:dyDescent="0.3">
      <c r="E404" s="32"/>
      <c r="F404" s="72" t="s">
        <v>249</v>
      </c>
      <c r="G404" s="72" t="s">
        <v>207</v>
      </c>
      <c r="J404" s="331"/>
      <c r="K404" s="331"/>
      <c r="L404" s="330">
        <f t="shared" si="100"/>
        <v>1145.2568819914341</v>
      </c>
      <c r="M404" s="331"/>
      <c r="N404" s="330">
        <f t="shared" si="101"/>
        <v>16682.870159849659</v>
      </c>
      <c r="O404" s="330">
        <f t="shared" si="101"/>
        <v>241.90738204701785</v>
      </c>
      <c r="P404" s="330">
        <f t="shared" si="101"/>
        <v>12433.457067289119</v>
      </c>
      <c r="Q404" s="331"/>
      <c r="R404" s="331"/>
      <c r="S404" s="331"/>
      <c r="T404" s="331"/>
      <c r="U404" s="331"/>
      <c r="V404" s="331"/>
      <c r="W404" s="331"/>
      <c r="X404" s="331"/>
      <c r="Y404" s="331"/>
      <c r="AQ404" s="3"/>
    </row>
    <row r="405" spans="5:43" x14ac:dyDescent="0.3">
      <c r="E405" s="32"/>
      <c r="F405" s="72" t="s">
        <v>212</v>
      </c>
      <c r="G405" s="72" t="s">
        <v>212</v>
      </c>
      <c r="J405" s="331"/>
      <c r="K405" s="331"/>
      <c r="L405" s="330">
        <f t="shared" si="100"/>
        <v>263.52394540744717</v>
      </c>
      <c r="M405" s="331"/>
      <c r="N405" s="330">
        <f t="shared" si="101"/>
        <v>116.82551433087194</v>
      </c>
      <c r="O405" s="330">
        <f t="shared" si="101"/>
        <v>1.6632351694206358</v>
      </c>
      <c r="P405" s="330">
        <f t="shared" si="101"/>
        <v>13.707616655011929</v>
      </c>
      <c r="Q405" s="331"/>
      <c r="R405" s="331"/>
      <c r="S405" s="331"/>
      <c r="T405" s="331"/>
      <c r="U405" s="331"/>
      <c r="V405" s="331"/>
      <c r="W405" s="331"/>
      <c r="X405" s="331"/>
      <c r="Y405" s="331"/>
      <c r="AQ405" s="3"/>
    </row>
    <row r="406" spans="5:43" x14ac:dyDescent="0.3">
      <c r="E406" s="32"/>
      <c r="F406" s="72" t="s">
        <v>250</v>
      </c>
      <c r="G406" s="72" t="s">
        <v>251</v>
      </c>
      <c r="J406" s="331"/>
      <c r="K406" s="331"/>
      <c r="L406" s="330">
        <f t="shared" si="100"/>
        <v>0</v>
      </c>
      <c r="M406" s="331"/>
      <c r="N406" s="330">
        <f t="shared" si="101"/>
        <v>25980.208275315636</v>
      </c>
      <c r="O406" s="330">
        <f t="shared" si="101"/>
        <v>316.53536327964218</v>
      </c>
      <c r="P406" s="330">
        <f t="shared" si="101"/>
        <v>14829.800391524197</v>
      </c>
      <c r="Q406" s="331"/>
      <c r="R406" s="331"/>
      <c r="S406" s="331"/>
      <c r="T406" s="331"/>
      <c r="U406" s="331"/>
      <c r="V406" s="331"/>
      <c r="W406" s="331"/>
      <c r="X406" s="331"/>
      <c r="Y406" s="331"/>
      <c r="AQ406" s="3"/>
    </row>
    <row r="407" spans="5:43" x14ac:dyDescent="0.3">
      <c r="E407" s="32"/>
      <c r="F407" s="72" t="s">
        <v>252</v>
      </c>
      <c r="G407" s="72" t="s">
        <v>251</v>
      </c>
      <c r="J407" s="331"/>
      <c r="K407" s="331"/>
      <c r="L407" s="330">
        <f t="shared" si="100"/>
        <v>0</v>
      </c>
      <c r="M407" s="331"/>
      <c r="N407" s="330">
        <f t="shared" si="101"/>
        <v>121.06516655632288</v>
      </c>
      <c r="O407" s="330">
        <f t="shared" si="101"/>
        <v>0</v>
      </c>
      <c r="P407" s="330">
        <f t="shared" si="101"/>
        <v>160.53966514523833</v>
      </c>
      <c r="Q407" s="331"/>
      <c r="R407" s="331"/>
      <c r="S407" s="331"/>
      <c r="T407" s="331"/>
      <c r="U407" s="331"/>
      <c r="V407" s="331"/>
      <c r="W407" s="331"/>
      <c r="X407" s="331"/>
      <c r="Y407" s="331"/>
      <c r="AQ407" s="3"/>
    </row>
    <row r="408" spans="5:43" x14ac:dyDescent="0.3">
      <c r="E408" s="32"/>
      <c r="F408" s="80" t="s">
        <v>253</v>
      </c>
      <c r="G408" s="80" t="s">
        <v>254</v>
      </c>
      <c r="H408" s="37"/>
      <c r="I408" s="37"/>
      <c r="J408" s="81"/>
      <c r="K408" s="81"/>
      <c r="L408" s="100">
        <f t="shared" si="100"/>
        <v>0</v>
      </c>
      <c r="M408" s="81"/>
      <c r="N408" s="100">
        <f t="shared" si="101"/>
        <v>1580.3909380366288</v>
      </c>
      <c r="O408" s="100">
        <f t="shared" si="101"/>
        <v>58.640959575253653</v>
      </c>
      <c r="P408" s="100">
        <f t="shared" si="101"/>
        <v>429.0230465961144</v>
      </c>
      <c r="Q408" s="81"/>
      <c r="R408" s="81"/>
      <c r="S408" s="81"/>
      <c r="T408" s="81"/>
      <c r="U408" s="81"/>
      <c r="V408" s="81"/>
      <c r="W408" s="81"/>
      <c r="X408" s="81"/>
      <c r="Y408" s="81"/>
      <c r="AQ408" s="3"/>
    </row>
    <row r="409" spans="5:43" x14ac:dyDescent="0.3">
      <c r="AQ409" s="3"/>
    </row>
    <row r="410" spans="5:43" x14ac:dyDescent="0.3">
      <c r="E410" s="32" t="s">
        <v>982</v>
      </c>
      <c r="G410" s="13"/>
      <c r="I410" t="s">
        <v>154</v>
      </c>
      <c r="AQ410" s="3"/>
    </row>
    <row r="411" spans="5:43" x14ac:dyDescent="0.3">
      <c r="E411" s="32"/>
      <c r="F411" s="78" t="s">
        <v>247</v>
      </c>
      <c r="G411" s="78" t="s">
        <v>207</v>
      </c>
      <c r="H411" s="23"/>
      <c r="I411" s="23"/>
      <c r="J411" s="83"/>
      <c r="K411" s="83"/>
      <c r="L411" s="126">
        <f t="shared" ref="L411:L417" si="102">L76+L393+L402</f>
        <v>44610.641266249244</v>
      </c>
      <c r="M411" s="83"/>
      <c r="N411" s="126">
        <f t="shared" ref="N411:P417" si="103">N76+N393+N402</f>
        <v>97159.393824174054</v>
      </c>
      <c r="O411" s="126">
        <f t="shared" si="103"/>
        <v>895.69025899367671</v>
      </c>
      <c r="P411" s="126">
        <f t="shared" si="103"/>
        <v>173218.17547994421</v>
      </c>
      <c r="Q411" s="83"/>
      <c r="R411" s="83"/>
      <c r="S411" s="83"/>
      <c r="T411" s="83"/>
      <c r="U411" s="83"/>
      <c r="V411" s="83"/>
      <c r="W411" s="83"/>
      <c r="X411" s="83"/>
      <c r="Y411" s="83"/>
      <c r="AQ411" s="3"/>
    </row>
    <row r="412" spans="5:43" x14ac:dyDescent="0.3">
      <c r="E412" s="32"/>
      <c r="F412" s="72" t="s">
        <v>248</v>
      </c>
      <c r="G412" s="72" t="s">
        <v>207</v>
      </c>
      <c r="J412" s="331"/>
      <c r="K412" s="331"/>
      <c r="L412" s="330">
        <f t="shared" si="102"/>
        <v>183163.49256840907</v>
      </c>
      <c r="M412" s="331"/>
      <c r="N412" s="330">
        <f t="shared" si="103"/>
        <v>371679.71678328759</v>
      </c>
      <c r="O412" s="330">
        <f t="shared" si="103"/>
        <v>2420.0117141565461</v>
      </c>
      <c r="P412" s="330">
        <f t="shared" si="103"/>
        <v>670650.24158763571</v>
      </c>
      <c r="Q412" s="331"/>
      <c r="R412" s="331"/>
      <c r="S412" s="331"/>
      <c r="T412" s="331"/>
      <c r="U412" s="331"/>
      <c r="V412" s="331"/>
      <c r="W412" s="331"/>
      <c r="X412" s="331"/>
      <c r="Y412" s="331"/>
      <c r="AQ412" s="3"/>
    </row>
    <row r="413" spans="5:43" x14ac:dyDescent="0.3">
      <c r="E413" s="32"/>
      <c r="F413" s="72" t="s">
        <v>249</v>
      </c>
      <c r="G413" s="72" t="s">
        <v>207</v>
      </c>
      <c r="J413" s="331"/>
      <c r="K413" s="331"/>
      <c r="L413" s="330">
        <f t="shared" si="102"/>
        <v>187538.27795125486</v>
      </c>
      <c r="M413" s="331"/>
      <c r="N413" s="330">
        <f t="shared" si="103"/>
        <v>398943.52200673043</v>
      </c>
      <c r="O413" s="330">
        <f t="shared" si="103"/>
        <v>2552.7435841124961</v>
      </c>
      <c r="P413" s="330">
        <f t="shared" si="103"/>
        <v>885400.06575835485</v>
      </c>
      <c r="Q413" s="331"/>
      <c r="R413" s="331"/>
      <c r="S413" s="331"/>
      <c r="T413" s="331"/>
      <c r="U413" s="331"/>
      <c r="V413" s="331"/>
      <c r="W413" s="331"/>
      <c r="X413" s="331"/>
      <c r="Y413" s="331"/>
      <c r="AQ413" s="3"/>
    </row>
    <row r="414" spans="5:43" x14ac:dyDescent="0.3">
      <c r="E414" s="32"/>
      <c r="F414" s="72" t="s">
        <v>212</v>
      </c>
      <c r="G414" s="72" t="s">
        <v>212</v>
      </c>
      <c r="J414" s="331"/>
      <c r="K414" s="331"/>
      <c r="L414" s="330">
        <f t="shared" si="102"/>
        <v>55649.7548420495</v>
      </c>
      <c r="M414" s="331"/>
      <c r="N414" s="330">
        <f t="shared" si="103"/>
        <v>5364.0829559077765</v>
      </c>
      <c r="O414" s="330">
        <f t="shared" si="103"/>
        <v>35.808523275663582</v>
      </c>
      <c r="P414" s="330">
        <f t="shared" si="103"/>
        <v>1234.3979729275734</v>
      </c>
      <c r="Q414" s="331"/>
      <c r="R414" s="331"/>
      <c r="S414" s="331"/>
      <c r="T414" s="331"/>
      <c r="U414" s="331"/>
      <c r="V414" s="331"/>
      <c r="W414" s="331"/>
      <c r="X414" s="331"/>
      <c r="Y414" s="331"/>
      <c r="AQ414" s="3"/>
    </row>
    <row r="415" spans="5:43" x14ac:dyDescent="0.3">
      <c r="E415" s="32"/>
      <c r="F415" s="72" t="s">
        <v>250</v>
      </c>
      <c r="G415" s="72" t="s">
        <v>251</v>
      </c>
      <c r="J415" s="331"/>
      <c r="K415" s="331"/>
      <c r="L415" s="330">
        <f t="shared" si="102"/>
        <v>0</v>
      </c>
      <c r="M415" s="331"/>
      <c r="N415" s="330">
        <f t="shared" si="103"/>
        <v>621178.55083053815</v>
      </c>
      <c r="O415" s="330">
        <f t="shared" si="103"/>
        <v>4674.4000380747439</v>
      </c>
      <c r="P415" s="330">
        <f t="shared" si="103"/>
        <v>797561.04424081987</v>
      </c>
      <c r="Q415" s="331"/>
      <c r="R415" s="331"/>
      <c r="S415" s="331"/>
      <c r="T415" s="331"/>
      <c r="U415" s="331"/>
      <c r="V415" s="331"/>
      <c r="W415" s="331"/>
      <c r="X415" s="331"/>
      <c r="Y415" s="331"/>
      <c r="AQ415" s="3"/>
    </row>
    <row r="416" spans="5:43" x14ac:dyDescent="0.3">
      <c r="E416" s="32"/>
      <c r="F416" s="72" t="s">
        <v>252</v>
      </c>
      <c r="G416" s="72" t="s">
        <v>251</v>
      </c>
      <c r="J416" s="331"/>
      <c r="K416" s="331"/>
      <c r="L416" s="330">
        <f t="shared" si="102"/>
        <v>0</v>
      </c>
      <c r="M416" s="331"/>
      <c r="N416" s="330">
        <f t="shared" si="103"/>
        <v>12376.790225014032</v>
      </c>
      <c r="O416" s="330">
        <f t="shared" si="103"/>
        <v>8.3794223552683675</v>
      </c>
      <c r="P416" s="330">
        <f t="shared" si="103"/>
        <v>10311.65917446152</v>
      </c>
      <c r="Q416" s="331"/>
      <c r="R416" s="331"/>
      <c r="S416" s="331"/>
      <c r="T416" s="331"/>
      <c r="U416" s="331"/>
      <c r="V416" s="331"/>
      <c r="W416" s="331"/>
      <c r="X416" s="331"/>
      <c r="Y416" s="331"/>
      <c r="AQ416" s="3"/>
    </row>
    <row r="417" spans="3:43" x14ac:dyDescent="0.3">
      <c r="E417" s="32"/>
      <c r="F417" s="80" t="s">
        <v>253</v>
      </c>
      <c r="G417" s="80" t="s">
        <v>254</v>
      </c>
      <c r="H417" s="37"/>
      <c r="I417" s="37"/>
      <c r="J417" s="81"/>
      <c r="K417" s="81"/>
      <c r="L417" s="100">
        <f t="shared" si="102"/>
        <v>0</v>
      </c>
      <c r="M417" s="81"/>
      <c r="N417" s="100">
        <f t="shared" si="103"/>
        <v>107501.59751385565</v>
      </c>
      <c r="O417" s="100">
        <f t="shared" si="103"/>
        <v>676.4706443951286</v>
      </c>
      <c r="P417" s="100">
        <f t="shared" si="103"/>
        <v>189800.73455524977</v>
      </c>
      <c r="Q417" s="81"/>
      <c r="R417" s="81"/>
      <c r="S417" s="81"/>
      <c r="T417" s="81"/>
      <c r="U417" s="81"/>
      <c r="V417" s="81"/>
      <c r="W417" s="81"/>
      <c r="X417" s="81"/>
      <c r="Y417" s="81"/>
      <c r="AQ417" s="3"/>
    </row>
    <row r="418" spans="3:43" x14ac:dyDescent="0.3">
      <c r="AQ418" s="3"/>
    </row>
    <row r="419" spans="3:43" x14ac:dyDescent="0.3">
      <c r="C419" s="31" t="str">
        <f ca="1">INDEX('Version control'!$H$34:$H$57,MATCH($A$1,'Version control'!$F$34:$F$57,0),1)&amp;"-G: Residual band 3 volume discounting"</f>
        <v>Section 104-G: Residual band 3 volume discounting</v>
      </c>
      <c r="D419" s="31"/>
      <c r="E419" s="31"/>
      <c r="F419" s="31"/>
      <c r="G419" s="31"/>
      <c r="H419" s="31"/>
      <c r="I419" s="31"/>
      <c r="J419" s="31"/>
      <c r="K419" s="31"/>
      <c r="L419" s="31"/>
      <c r="M419" s="31"/>
      <c r="N419" s="31"/>
      <c r="O419" s="31"/>
      <c r="P419" s="31"/>
      <c r="Q419" s="31"/>
      <c r="R419" s="31"/>
      <c r="S419" s="31"/>
      <c r="T419" s="31"/>
      <c r="U419" s="31"/>
      <c r="V419" s="31"/>
      <c r="W419" s="31"/>
      <c r="X419" s="31"/>
      <c r="Y419" s="31"/>
      <c r="Z419" s="31"/>
      <c r="AA419" s="31"/>
      <c r="AQ419" s="3"/>
    </row>
    <row r="420" spans="3:43" x14ac:dyDescent="0.3">
      <c r="C420" s="32"/>
      <c r="AQ420" s="3"/>
    </row>
    <row r="421" spans="3:43" x14ac:dyDescent="0.3">
      <c r="E421" s="32" t="s">
        <v>977</v>
      </c>
      <c r="G421" s="13"/>
      <c r="I421" t="s">
        <v>154</v>
      </c>
      <c r="AQ421" s="3"/>
    </row>
    <row r="422" spans="3:43" x14ac:dyDescent="0.3">
      <c r="E422" s="32"/>
      <c r="F422" s="78" t="s">
        <v>247</v>
      </c>
      <c r="G422" s="78" t="s">
        <v>207</v>
      </c>
      <c r="H422" s="23"/>
      <c r="I422" s="23"/>
      <c r="J422" s="83"/>
      <c r="K422" s="83"/>
      <c r="L422" s="126">
        <f t="shared" ref="L422:L428" si="104">(1 - L315) * L132</f>
        <v>89.433547550261125</v>
      </c>
      <c r="M422" s="83"/>
      <c r="N422" s="126">
        <f t="shared" ref="N422:P428" si="105">(1 - N315) * N132</f>
        <v>296.49880629907915</v>
      </c>
      <c r="O422" s="126">
        <f t="shared" si="105"/>
        <v>0</v>
      </c>
      <c r="P422" s="126">
        <f t="shared" si="105"/>
        <v>0</v>
      </c>
      <c r="Q422" s="83"/>
      <c r="R422" s="83"/>
      <c r="S422" s="83"/>
      <c r="T422" s="83"/>
      <c r="U422" s="83"/>
      <c r="V422" s="83"/>
      <c r="W422" s="83"/>
      <c r="X422" s="83"/>
      <c r="Y422" s="83"/>
      <c r="AQ422" s="3"/>
    </row>
    <row r="423" spans="3:43" x14ac:dyDescent="0.3">
      <c r="E423" s="32"/>
      <c r="F423" s="72" t="s">
        <v>248</v>
      </c>
      <c r="G423" s="72" t="s">
        <v>207</v>
      </c>
      <c r="J423" s="331"/>
      <c r="K423" s="331"/>
      <c r="L423" s="330">
        <f t="shared" si="104"/>
        <v>384.33048200418403</v>
      </c>
      <c r="M423" s="331"/>
      <c r="N423" s="330">
        <f t="shared" si="105"/>
        <v>1104.0346915944733</v>
      </c>
      <c r="O423" s="330">
        <f t="shared" si="105"/>
        <v>0</v>
      </c>
      <c r="P423" s="330">
        <f t="shared" si="105"/>
        <v>0</v>
      </c>
      <c r="Q423" s="331"/>
      <c r="R423" s="331"/>
      <c r="S423" s="331"/>
      <c r="T423" s="331"/>
      <c r="U423" s="331"/>
      <c r="V423" s="331"/>
      <c r="W423" s="331"/>
      <c r="X423" s="331"/>
      <c r="Y423" s="331"/>
      <c r="AQ423" s="3"/>
    </row>
    <row r="424" spans="3:43" x14ac:dyDescent="0.3">
      <c r="E424" s="32"/>
      <c r="F424" s="72" t="s">
        <v>249</v>
      </c>
      <c r="G424" s="72" t="s">
        <v>207</v>
      </c>
      <c r="J424" s="331"/>
      <c r="K424" s="331"/>
      <c r="L424" s="330">
        <f t="shared" si="104"/>
        <v>378.12066565192674</v>
      </c>
      <c r="M424" s="331"/>
      <c r="N424" s="330">
        <f t="shared" si="105"/>
        <v>1530.5431061148936</v>
      </c>
      <c r="O424" s="330">
        <f t="shared" si="105"/>
        <v>0</v>
      </c>
      <c r="P424" s="330">
        <f t="shared" si="105"/>
        <v>0</v>
      </c>
      <c r="Q424" s="331"/>
      <c r="R424" s="331"/>
      <c r="S424" s="331"/>
      <c r="T424" s="331"/>
      <c r="U424" s="331"/>
      <c r="V424" s="331"/>
      <c r="W424" s="331"/>
      <c r="X424" s="331"/>
      <c r="Y424" s="331"/>
      <c r="AQ424" s="3"/>
    </row>
    <row r="425" spans="3:43" x14ac:dyDescent="0.3">
      <c r="E425" s="32"/>
      <c r="F425" s="72" t="s">
        <v>212</v>
      </c>
      <c r="G425" s="72" t="s">
        <v>212</v>
      </c>
      <c r="J425" s="331"/>
      <c r="K425" s="331"/>
      <c r="L425" s="330">
        <f t="shared" si="104"/>
        <v>52.816560749228501</v>
      </c>
      <c r="M425" s="331"/>
      <c r="N425" s="330">
        <f t="shared" si="105"/>
        <v>7.300174099454579</v>
      </c>
      <c r="O425" s="330">
        <f t="shared" si="105"/>
        <v>0</v>
      </c>
      <c r="P425" s="330">
        <f t="shared" si="105"/>
        <v>0</v>
      </c>
      <c r="Q425" s="331"/>
      <c r="R425" s="331"/>
      <c r="S425" s="331"/>
      <c r="T425" s="331"/>
      <c r="U425" s="331"/>
      <c r="V425" s="331"/>
      <c r="W425" s="331"/>
      <c r="X425" s="331"/>
      <c r="Y425" s="331"/>
      <c r="AQ425" s="3"/>
    </row>
    <row r="426" spans="3:43" x14ac:dyDescent="0.3">
      <c r="E426" s="32"/>
      <c r="F426" s="72" t="s">
        <v>250</v>
      </c>
      <c r="G426" s="72" t="s">
        <v>251</v>
      </c>
      <c r="J426" s="331"/>
      <c r="K426" s="331"/>
      <c r="L426" s="330">
        <f t="shared" si="104"/>
        <v>0</v>
      </c>
      <c r="M426" s="331"/>
      <c r="N426" s="330">
        <f t="shared" si="105"/>
        <v>2478.4768959603493</v>
      </c>
      <c r="O426" s="330">
        <f t="shared" si="105"/>
        <v>0</v>
      </c>
      <c r="P426" s="330">
        <f t="shared" si="105"/>
        <v>0</v>
      </c>
      <c r="Q426" s="331"/>
      <c r="R426" s="331"/>
      <c r="S426" s="331"/>
      <c r="T426" s="331"/>
      <c r="U426" s="331"/>
      <c r="V426" s="331"/>
      <c r="W426" s="331"/>
      <c r="X426" s="331"/>
      <c r="Y426" s="331"/>
      <c r="AQ426" s="3"/>
    </row>
    <row r="427" spans="3:43" x14ac:dyDescent="0.3">
      <c r="E427" s="32"/>
      <c r="F427" s="72" t="s">
        <v>252</v>
      </c>
      <c r="G427" s="72" t="s">
        <v>251</v>
      </c>
      <c r="J427" s="331"/>
      <c r="K427" s="331"/>
      <c r="L427" s="330">
        <f t="shared" si="104"/>
        <v>0</v>
      </c>
      <c r="M427" s="331"/>
      <c r="N427" s="330">
        <f t="shared" si="105"/>
        <v>6.6796006677274651</v>
      </c>
      <c r="O427" s="330">
        <f t="shared" si="105"/>
        <v>0</v>
      </c>
      <c r="P427" s="330">
        <f t="shared" si="105"/>
        <v>0</v>
      </c>
      <c r="Q427" s="331"/>
      <c r="R427" s="331"/>
      <c r="S427" s="331"/>
      <c r="T427" s="331"/>
      <c r="U427" s="331"/>
      <c r="V427" s="331"/>
      <c r="W427" s="331"/>
      <c r="X427" s="331"/>
      <c r="Y427" s="331"/>
      <c r="AQ427" s="3"/>
    </row>
    <row r="428" spans="3:43" x14ac:dyDescent="0.3">
      <c r="E428" s="32"/>
      <c r="F428" s="80" t="s">
        <v>253</v>
      </c>
      <c r="G428" s="80" t="s">
        <v>254</v>
      </c>
      <c r="H428" s="37"/>
      <c r="I428" s="37"/>
      <c r="J428" s="81"/>
      <c r="K428" s="81"/>
      <c r="L428" s="100">
        <f t="shared" si="104"/>
        <v>0</v>
      </c>
      <c r="M428" s="81"/>
      <c r="N428" s="100">
        <f t="shared" si="105"/>
        <v>396.66969102173863</v>
      </c>
      <c r="O428" s="100">
        <f t="shared" si="105"/>
        <v>0</v>
      </c>
      <c r="P428" s="100">
        <f t="shared" si="105"/>
        <v>0</v>
      </c>
      <c r="Q428" s="81"/>
      <c r="R428" s="81"/>
      <c r="S428" s="81"/>
      <c r="T428" s="81"/>
      <c r="U428" s="81"/>
      <c r="V428" s="81"/>
      <c r="W428" s="81"/>
      <c r="X428" s="81"/>
      <c r="Y428" s="81"/>
      <c r="AQ428" s="3"/>
    </row>
    <row r="429" spans="3:43" x14ac:dyDescent="0.3">
      <c r="AQ429" s="3"/>
    </row>
    <row r="430" spans="3:43" x14ac:dyDescent="0.3">
      <c r="E430" s="32" t="s">
        <v>978</v>
      </c>
      <c r="G430" s="13"/>
      <c r="I430" t="s">
        <v>154</v>
      </c>
      <c r="AQ430" s="3"/>
    </row>
    <row r="431" spans="3:43" x14ac:dyDescent="0.3">
      <c r="E431" s="32"/>
      <c r="F431" s="78" t="s">
        <v>247</v>
      </c>
      <c r="G431" s="78" t="s">
        <v>207</v>
      </c>
      <c r="H431" s="23"/>
      <c r="I431" s="23"/>
      <c r="J431" s="83"/>
      <c r="K431" s="83"/>
      <c r="L431" s="126">
        <f t="shared" ref="L431:L437" si="106">(1 - L324) * L179</f>
        <v>370.08939809007126</v>
      </c>
      <c r="M431" s="83"/>
      <c r="N431" s="126">
        <f t="shared" ref="N431:P437" si="107">(1 - N324) * N179</f>
        <v>2127.4342326086271</v>
      </c>
      <c r="O431" s="126">
        <f t="shared" si="107"/>
        <v>85.190190305068185</v>
      </c>
      <c r="P431" s="126">
        <f t="shared" si="107"/>
        <v>1353.6588424622516</v>
      </c>
      <c r="Q431" s="83"/>
      <c r="R431" s="83"/>
      <c r="S431" s="83"/>
      <c r="T431" s="83"/>
      <c r="U431" s="83"/>
      <c r="V431" s="83"/>
      <c r="W431" s="83"/>
      <c r="X431" s="83"/>
      <c r="Y431" s="83"/>
      <c r="AQ431" s="3"/>
    </row>
    <row r="432" spans="3:43" x14ac:dyDescent="0.3">
      <c r="E432" s="32"/>
      <c r="F432" s="72" t="s">
        <v>248</v>
      </c>
      <c r="G432" s="72" t="s">
        <v>207</v>
      </c>
      <c r="J432" s="331"/>
      <c r="K432" s="331"/>
      <c r="L432" s="330">
        <f t="shared" si="106"/>
        <v>1546.4018746328068</v>
      </c>
      <c r="M432" s="331"/>
      <c r="N432" s="330">
        <f t="shared" si="107"/>
        <v>7592.7377385183017</v>
      </c>
      <c r="O432" s="330">
        <f t="shared" si="107"/>
        <v>321.42089494911795</v>
      </c>
      <c r="P432" s="330">
        <f t="shared" si="107"/>
        <v>4946.0182948082984</v>
      </c>
      <c r="Q432" s="331"/>
      <c r="R432" s="331"/>
      <c r="S432" s="331"/>
      <c r="T432" s="331"/>
      <c r="U432" s="331"/>
      <c r="V432" s="331"/>
      <c r="W432" s="331"/>
      <c r="X432" s="331"/>
      <c r="Y432" s="331"/>
      <c r="AQ432" s="3"/>
    </row>
    <row r="433" spans="3:43" x14ac:dyDescent="0.3">
      <c r="E433" s="32"/>
      <c r="F433" s="72" t="s">
        <v>249</v>
      </c>
      <c r="G433" s="72" t="s">
        <v>207</v>
      </c>
      <c r="J433" s="331"/>
      <c r="K433" s="331"/>
      <c r="L433" s="330">
        <f t="shared" si="106"/>
        <v>1452.9761409222824</v>
      </c>
      <c r="M433" s="331"/>
      <c r="N433" s="330">
        <f t="shared" si="107"/>
        <v>9007.4632091425065</v>
      </c>
      <c r="O433" s="330">
        <f t="shared" si="107"/>
        <v>436.11937783060574</v>
      </c>
      <c r="P433" s="330">
        <f t="shared" si="107"/>
        <v>6802.5649096395882</v>
      </c>
      <c r="Q433" s="331"/>
      <c r="R433" s="331"/>
      <c r="S433" s="331"/>
      <c r="T433" s="331"/>
      <c r="U433" s="331"/>
      <c r="V433" s="331"/>
      <c r="W433" s="331"/>
      <c r="X433" s="331"/>
      <c r="Y433" s="331"/>
      <c r="AQ433" s="3"/>
    </row>
    <row r="434" spans="3:43" x14ac:dyDescent="0.3">
      <c r="E434" s="32"/>
      <c r="F434" s="72" t="s">
        <v>212</v>
      </c>
      <c r="G434" s="72" t="s">
        <v>212</v>
      </c>
      <c r="J434" s="331"/>
      <c r="K434" s="331"/>
      <c r="L434" s="330">
        <f t="shared" si="106"/>
        <v>136.34038440157872</v>
      </c>
      <c r="M434" s="331"/>
      <c r="N434" s="330">
        <f t="shared" si="107"/>
        <v>40.719266405781084</v>
      </c>
      <c r="O434" s="330">
        <f t="shared" si="107"/>
        <v>1.8711395655982153</v>
      </c>
      <c r="P434" s="330">
        <f t="shared" si="107"/>
        <v>3.3643901574490305</v>
      </c>
      <c r="Q434" s="331"/>
      <c r="R434" s="331"/>
      <c r="S434" s="331"/>
      <c r="T434" s="331"/>
      <c r="U434" s="331"/>
      <c r="V434" s="331"/>
      <c r="W434" s="331"/>
      <c r="X434" s="331"/>
      <c r="Y434" s="331"/>
      <c r="AQ434" s="3"/>
    </row>
    <row r="435" spans="3:43" x14ac:dyDescent="0.3">
      <c r="E435" s="32"/>
      <c r="F435" s="72" t="s">
        <v>250</v>
      </c>
      <c r="G435" s="72" t="s">
        <v>251</v>
      </c>
      <c r="J435" s="331"/>
      <c r="K435" s="331"/>
      <c r="L435" s="330">
        <f t="shared" si="106"/>
        <v>0</v>
      </c>
      <c r="M435" s="331"/>
      <c r="N435" s="330">
        <f t="shared" si="107"/>
        <v>14435.36664318944</v>
      </c>
      <c r="O435" s="330">
        <f t="shared" si="107"/>
        <v>578.17617738495574</v>
      </c>
      <c r="P435" s="330">
        <f t="shared" si="107"/>
        <v>7749.4101095476144</v>
      </c>
      <c r="Q435" s="331"/>
      <c r="R435" s="331"/>
      <c r="S435" s="331"/>
      <c r="T435" s="331"/>
      <c r="U435" s="331"/>
      <c r="V435" s="331"/>
      <c r="W435" s="331"/>
      <c r="X435" s="331"/>
      <c r="Y435" s="331"/>
      <c r="AQ435" s="3"/>
    </row>
    <row r="436" spans="3:43" x14ac:dyDescent="0.3">
      <c r="E436" s="32"/>
      <c r="F436" s="72" t="s">
        <v>252</v>
      </c>
      <c r="G436" s="72" t="s">
        <v>251</v>
      </c>
      <c r="J436" s="331"/>
      <c r="K436" s="331"/>
      <c r="L436" s="330">
        <f t="shared" si="106"/>
        <v>0</v>
      </c>
      <c r="M436" s="331"/>
      <c r="N436" s="330">
        <f t="shared" si="107"/>
        <v>67.267361694700838</v>
      </c>
      <c r="O436" s="330">
        <f t="shared" si="107"/>
        <v>0</v>
      </c>
      <c r="P436" s="330">
        <f t="shared" si="107"/>
        <v>83.891061997769228</v>
      </c>
      <c r="Q436" s="331"/>
      <c r="R436" s="331"/>
      <c r="S436" s="331"/>
      <c r="T436" s="331"/>
      <c r="U436" s="331"/>
      <c r="V436" s="331"/>
      <c r="W436" s="331"/>
      <c r="X436" s="331"/>
      <c r="Y436" s="331"/>
      <c r="AQ436" s="3"/>
    </row>
    <row r="437" spans="3:43" x14ac:dyDescent="0.3">
      <c r="E437" s="32"/>
      <c r="F437" s="80" t="s">
        <v>253</v>
      </c>
      <c r="G437" s="80" t="s">
        <v>254</v>
      </c>
      <c r="H437" s="37"/>
      <c r="I437" s="37"/>
      <c r="J437" s="81"/>
      <c r="K437" s="81"/>
      <c r="L437" s="100">
        <f t="shared" si="106"/>
        <v>0</v>
      </c>
      <c r="M437" s="81"/>
      <c r="N437" s="100">
        <f t="shared" si="107"/>
        <v>853.28921786414196</v>
      </c>
      <c r="O437" s="100">
        <f t="shared" si="107"/>
        <v>105.72004288971468</v>
      </c>
      <c r="P437" s="100">
        <f t="shared" si="107"/>
        <v>234.7261189230706</v>
      </c>
      <c r="Q437" s="81"/>
      <c r="R437" s="81"/>
      <c r="S437" s="81"/>
      <c r="T437" s="81"/>
      <c r="U437" s="81"/>
      <c r="V437" s="81"/>
      <c r="W437" s="81"/>
      <c r="X437" s="81"/>
      <c r="Y437" s="81"/>
      <c r="AQ437" s="3"/>
    </row>
    <row r="438" spans="3:43" x14ac:dyDescent="0.3">
      <c r="AQ438" s="3"/>
    </row>
    <row r="439" spans="3:43" x14ac:dyDescent="0.3">
      <c r="E439" s="32" t="s">
        <v>979</v>
      </c>
      <c r="G439" s="13"/>
      <c r="I439" t="s">
        <v>154</v>
      </c>
      <c r="AQ439" s="3"/>
    </row>
    <row r="440" spans="3:43" x14ac:dyDescent="0.3">
      <c r="E440" s="32"/>
      <c r="F440" s="78" t="s">
        <v>247</v>
      </c>
      <c r="G440" s="78" t="s">
        <v>207</v>
      </c>
      <c r="H440" s="23"/>
      <c r="I440" s="23"/>
      <c r="J440" s="83"/>
      <c r="K440" s="83"/>
      <c r="L440" s="126">
        <f t="shared" ref="L440:L446" si="108">L85+L422+L431</f>
        <v>56597.081764218514</v>
      </c>
      <c r="M440" s="83"/>
      <c r="N440" s="126">
        <f t="shared" ref="N440:P446" si="109">N85+N422+N431</f>
        <v>52458.57918381846</v>
      </c>
      <c r="O440" s="126">
        <f t="shared" si="109"/>
        <v>1614.7827948687102</v>
      </c>
      <c r="P440" s="126">
        <f t="shared" si="109"/>
        <v>94770.736397336776</v>
      </c>
      <c r="Q440" s="83"/>
      <c r="R440" s="83"/>
      <c r="S440" s="83"/>
      <c r="T440" s="83"/>
      <c r="U440" s="83"/>
      <c r="V440" s="83"/>
      <c r="W440" s="83"/>
      <c r="X440" s="83"/>
      <c r="Y440" s="83"/>
      <c r="AQ440" s="3"/>
    </row>
    <row r="441" spans="3:43" x14ac:dyDescent="0.3">
      <c r="E441" s="32"/>
      <c r="F441" s="72" t="s">
        <v>248</v>
      </c>
      <c r="G441" s="72" t="s">
        <v>207</v>
      </c>
      <c r="J441" s="331"/>
      <c r="K441" s="331"/>
      <c r="L441" s="330">
        <f t="shared" si="108"/>
        <v>232377.72134329309</v>
      </c>
      <c r="M441" s="331"/>
      <c r="N441" s="330">
        <f t="shared" si="109"/>
        <v>200678.38102386455</v>
      </c>
      <c r="O441" s="330">
        <f t="shared" si="109"/>
        <v>4362.8846469662385</v>
      </c>
      <c r="P441" s="330">
        <f t="shared" si="109"/>
        <v>366924.64335343958</v>
      </c>
      <c r="Q441" s="331"/>
      <c r="R441" s="331"/>
      <c r="S441" s="331"/>
      <c r="T441" s="331"/>
      <c r="U441" s="331"/>
      <c r="V441" s="331"/>
      <c r="W441" s="331"/>
      <c r="X441" s="331"/>
      <c r="Y441" s="331"/>
      <c r="AQ441" s="3"/>
    </row>
    <row r="442" spans="3:43" x14ac:dyDescent="0.3">
      <c r="E442" s="32"/>
      <c r="F442" s="72" t="s">
        <v>249</v>
      </c>
      <c r="G442" s="72" t="s">
        <v>207</v>
      </c>
      <c r="J442" s="331"/>
      <c r="K442" s="331"/>
      <c r="L442" s="330">
        <f t="shared" si="108"/>
        <v>237927.96852615874</v>
      </c>
      <c r="M442" s="331"/>
      <c r="N442" s="330">
        <f t="shared" si="109"/>
        <v>215398.73310587116</v>
      </c>
      <c r="O442" s="330">
        <f t="shared" si="109"/>
        <v>4602.1784628624009</v>
      </c>
      <c r="P442" s="330">
        <f t="shared" si="109"/>
        <v>484418.08144945558</v>
      </c>
      <c r="Q442" s="331"/>
      <c r="R442" s="331"/>
      <c r="S442" s="331"/>
      <c r="T442" s="331"/>
      <c r="U442" s="331"/>
      <c r="V442" s="331"/>
      <c r="W442" s="331"/>
      <c r="X442" s="331"/>
      <c r="Y442" s="331"/>
      <c r="AQ442" s="3"/>
    </row>
    <row r="443" spans="3:43" x14ac:dyDescent="0.3">
      <c r="E443" s="32"/>
      <c r="F443" s="72" t="s">
        <v>212</v>
      </c>
      <c r="G443" s="72" t="s">
        <v>212</v>
      </c>
      <c r="J443" s="331"/>
      <c r="K443" s="331"/>
      <c r="L443" s="330">
        <f t="shared" si="108"/>
        <v>28791.724999743532</v>
      </c>
      <c r="M443" s="331"/>
      <c r="N443" s="330">
        <f t="shared" si="109"/>
        <v>1869.638872598561</v>
      </c>
      <c r="O443" s="330">
        <f t="shared" si="109"/>
        <v>40.284588685121527</v>
      </c>
      <c r="P443" s="330">
        <f t="shared" si="109"/>
        <v>302.96998340510919</v>
      </c>
      <c r="Q443" s="331"/>
      <c r="R443" s="331"/>
      <c r="S443" s="331"/>
      <c r="T443" s="331"/>
      <c r="U443" s="331"/>
      <c r="V443" s="331"/>
      <c r="W443" s="331"/>
      <c r="X443" s="331"/>
      <c r="Y443" s="331"/>
      <c r="AQ443" s="3"/>
    </row>
    <row r="444" spans="3:43" x14ac:dyDescent="0.3">
      <c r="E444" s="32"/>
      <c r="F444" s="72" t="s">
        <v>250</v>
      </c>
      <c r="G444" s="72" t="s">
        <v>251</v>
      </c>
      <c r="J444" s="331"/>
      <c r="K444" s="331"/>
      <c r="L444" s="330">
        <f t="shared" si="108"/>
        <v>0</v>
      </c>
      <c r="M444" s="331"/>
      <c r="N444" s="330">
        <f t="shared" si="109"/>
        <v>345145.04414668586</v>
      </c>
      <c r="O444" s="330">
        <f t="shared" si="109"/>
        <v>8538.1510538982639</v>
      </c>
      <c r="P444" s="330">
        <f t="shared" si="109"/>
        <v>416770.78962934855</v>
      </c>
      <c r="Q444" s="331"/>
      <c r="R444" s="331"/>
      <c r="S444" s="331"/>
      <c r="T444" s="331"/>
      <c r="U444" s="331"/>
      <c r="V444" s="331"/>
      <c r="W444" s="331"/>
      <c r="X444" s="331"/>
      <c r="Y444" s="331"/>
      <c r="AQ444" s="3"/>
    </row>
    <row r="445" spans="3:43" x14ac:dyDescent="0.3">
      <c r="E445" s="32"/>
      <c r="F445" s="72" t="s">
        <v>252</v>
      </c>
      <c r="G445" s="72" t="s">
        <v>251</v>
      </c>
      <c r="J445" s="331"/>
      <c r="K445" s="331"/>
      <c r="L445" s="330">
        <f t="shared" si="108"/>
        <v>0</v>
      </c>
      <c r="M445" s="331"/>
      <c r="N445" s="330">
        <f t="shared" si="109"/>
        <v>6876.9081013747209</v>
      </c>
      <c r="O445" s="330">
        <f t="shared" si="109"/>
        <v>15.305659171430394</v>
      </c>
      <c r="P445" s="330">
        <f t="shared" si="109"/>
        <v>5388.425585178662</v>
      </c>
      <c r="Q445" s="331"/>
      <c r="R445" s="331"/>
      <c r="S445" s="331"/>
      <c r="T445" s="331"/>
      <c r="U445" s="331"/>
      <c r="V445" s="331"/>
      <c r="W445" s="331"/>
      <c r="X445" s="331"/>
      <c r="Y445" s="331"/>
      <c r="AQ445" s="3"/>
    </row>
    <row r="446" spans="3:43" x14ac:dyDescent="0.3">
      <c r="E446" s="32"/>
      <c r="F446" s="80" t="s">
        <v>253</v>
      </c>
      <c r="G446" s="80" t="s">
        <v>254</v>
      </c>
      <c r="H446" s="37"/>
      <c r="I446" s="37"/>
      <c r="J446" s="81"/>
      <c r="K446" s="81"/>
      <c r="L446" s="100">
        <f t="shared" si="108"/>
        <v>0</v>
      </c>
      <c r="M446" s="81"/>
      <c r="N446" s="100">
        <f t="shared" si="109"/>
        <v>58042.571527082284</v>
      </c>
      <c r="O446" s="100">
        <f t="shared" si="109"/>
        <v>1219.5657447813273</v>
      </c>
      <c r="P446" s="100">
        <f t="shared" si="109"/>
        <v>103843.34861348962</v>
      </c>
      <c r="Q446" s="81"/>
      <c r="R446" s="81"/>
      <c r="S446" s="81"/>
      <c r="T446" s="81"/>
      <c r="U446" s="81"/>
      <c r="V446" s="81"/>
      <c r="W446" s="81"/>
      <c r="X446" s="81"/>
      <c r="Y446" s="81"/>
      <c r="AQ446" s="3"/>
    </row>
    <row r="447" spans="3:43" x14ac:dyDescent="0.3">
      <c r="AQ447" s="3"/>
    </row>
    <row r="448" spans="3:43" x14ac:dyDescent="0.3">
      <c r="C448" s="31" t="str">
        <f ca="1">INDEX('Version control'!$H$34:$H$57,MATCH($A$1,'Version control'!$F$34:$F$57,0),1)&amp;"-H: Residual band 4 volume discounting"</f>
        <v>Section 104-H: Residual band 4 volume discounting</v>
      </c>
      <c r="D448" s="31"/>
      <c r="E448" s="31"/>
      <c r="F448" s="31"/>
      <c r="G448" s="31"/>
      <c r="H448" s="31"/>
      <c r="I448" s="31"/>
      <c r="J448" s="31"/>
      <c r="K448" s="31"/>
      <c r="L448" s="31"/>
      <c r="M448" s="31"/>
      <c r="N448" s="31"/>
      <c r="O448" s="31"/>
      <c r="P448" s="31"/>
      <c r="Q448" s="31"/>
      <c r="R448" s="31"/>
      <c r="S448" s="31"/>
      <c r="T448" s="31"/>
      <c r="U448" s="31"/>
      <c r="V448" s="31"/>
      <c r="W448" s="31"/>
      <c r="X448" s="31"/>
      <c r="Y448" s="31"/>
      <c r="Z448" s="31"/>
      <c r="AA448" s="31"/>
      <c r="AQ448" s="3"/>
    </row>
    <row r="449" spans="3:43" x14ac:dyDescent="0.3">
      <c r="C449" s="32"/>
      <c r="AQ449" s="3"/>
    </row>
    <row r="450" spans="3:43" x14ac:dyDescent="0.3">
      <c r="E450" s="32" t="s">
        <v>974</v>
      </c>
      <c r="G450" s="13"/>
      <c r="I450" t="s">
        <v>154</v>
      </c>
      <c r="AQ450" s="3"/>
    </row>
    <row r="451" spans="3:43" x14ac:dyDescent="0.3">
      <c r="E451" s="32"/>
      <c r="F451" s="78" t="s">
        <v>247</v>
      </c>
      <c r="G451" s="78" t="s">
        <v>207</v>
      </c>
      <c r="H451" s="23"/>
      <c r="I451" s="23"/>
      <c r="J451" s="83"/>
      <c r="K451" s="83"/>
      <c r="L451" s="126">
        <f t="shared" ref="L451:L457" si="110">(1 - L315) * L141</f>
        <v>288.30615779765583</v>
      </c>
      <c r="M451" s="83"/>
      <c r="N451" s="126">
        <f t="shared" ref="N451:P457" si="111">(1 - N315) * N141</f>
        <v>291.63533345629355</v>
      </c>
      <c r="O451" s="126">
        <f t="shared" si="111"/>
        <v>0</v>
      </c>
      <c r="P451" s="126">
        <f t="shared" si="111"/>
        <v>0</v>
      </c>
      <c r="Q451" s="83"/>
      <c r="R451" s="83"/>
      <c r="S451" s="83"/>
      <c r="T451" s="83"/>
      <c r="U451" s="83"/>
      <c r="V451" s="83"/>
      <c r="W451" s="83"/>
      <c r="X451" s="83"/>
      <c r="Y451" s="83"/>
      <c r="AQ451" s="3"/>
    </row>
    <row r="452" spans="3:43" x14ac:dyDescent="0.3">
      <c r="E452" s="32"/>
      <c r="F452" s="72" t="s">
        <v>248</v>
      </c>
      <c r="G452" s="72" t="s">
        <v>207</v>
      </c>
      <c r="J452" s="331"/>
      <c r="K452" s="331"/>
      <c r="L452" s="330">
        <f t="shared" si="110"/>
        <v>1238.9628682556256</v>
      </c>
      <c r="M452" s="331"/>
      <c r="N452" s="330">
        <f t="shared" si="111"/>
        <v>1085.9251996640176</v>
      </c>
      <c r="O452" s="330">
        <f t="shared" si="111"/>
        <v>0</v>
      </c>
      <c r="P452" s="330">
        <f t="shared" si="111"/>
        <v>0</v>
      </c>
      <c r="Q452" s="331"/>
      <c r="R452" s="331"/>
      <c r="S452" s="331"/>
      <c r="T452" s="331"/>
      <c r="U452" s="331"/>
      <c r="V452" s="331"/>
      <c r="W452" s="331"/>
      <c r="X452" s="331"/>
      <c r="Y452" s="331"/>
      <c r="AQ452" s="3"/>
    </row>
    <row r="453" spans="3:43" x14ac:dyDescent="0.3">
      <c r="E453" s="32"/>
      <c r="F453" s="72" t="s">
        <v>249</v>
      </c>
      <c r="G453" s="72" t="s">
        <v>207</v>
      </c>
      <c r="J453" s="331"/>
      <c r="K453" s="331"/>
      <c r="L453" s="330">
        <f t="shared" si="110"/>
        <v>1218.9443367069114</v>
      </c>
      <c r="M453" s="331"/>
      <c r="N453" s="330">
        <f t="shared" si="111"/>
        <v>1505.4375924562855</v>
      </c>
      <c r="O453" s="330">
        <f t="shared" si="111"/>
        <v>0</v>
      </c>
      <c r="P453" s="330">
        <f t="shared" si="111"/>
        <v>0</v>
      </c>
      <c r="Q453" s="331"/>
      <c r="R453" s="331"/>
      <c r="S453" s="331"/>
      <c r="T453" s="331"/>
      <c r="U453" s="331"/>
      <c r="V453" s="331"/>
      <c r="W453" s="331"/>
      <c r="X453" s="331"/>
      <c r="Y453" s="331"/>
      <c r="AQ453" s="3"/>
    </row>
    <row r="454" spans="3:43" x14ac:dyDescent="0.3">
      <c r="E454" s="32"/>
      <c r="F454" s="72" t="s">
        <v>212</v>
      </c>
      <c r="G454" s="72" t="s">
        <v>212</v>
      </c>
      <c r="J454" s="331"/>
      <c r="K454" s="331"/>
      <c r="L454" s="330">
        <f t="shared" si="110"/>
        <v>52.801336547816305</v>
      </c>
      <c r="M454" s="331"/>
      <c r="N454" s="330">
        <f t="shared" si="111"/>
        <v>4.6019238087264691</v>
      </c>
      <c r="O454" s="330">
        <f t="shared" si="111"/>
        <v>0</v>
      </c>
      <c r="P454" s="330">
        <f t="shared" si="111"/>
        <v>0</v>
      </c>
      <c r="Q454" s="331"/>
      <c r="R454" s="331"/>
      <c r="S454" s="331"/>
      <c r="T454" s="331"/>
      <c r="U454" s="331"/>
      <c r="V454" s="331"/>
      <c r="W454" s="331"/>
      <c r="X454" s="331"/>
      <c r="Y454" s="331"/>
      <c r="AQ454" s="3"/>
    </row>
    <row r="455" spans="3:43" x14ac:dyDescent="0.3">
      <c r="E455" s="32"/>
      <c r="F455" s="72" t="s">
        <v>250</v>
      </c>
      <c r="G455" s="72" t="s">
        <v>251</v>
      </c>
      <c r="J455" s="331"/>
      <c r="K455" s="331"/>
      <c r="L455" s="330">
        <f t="shared" si="110"/>
        <v>0</v>
      </c>
      <c r="M455" s="331"/>
      <c r="N455" s="330">
        <f t="shared" si="111"/>
        <v>2543.3191607665103</v>
      </c>
      <c r="O455" s="330">
        <f t="shared" si="111"/>
        <v>0</v>
      </c>
      <c r="P455" s="330">
        <f t="shared" si="111"/>
        <v>0</v>
      </c>
      <c r="Q455" s="331"/>
      <c r="R455" s="331"/>
      <c r="S455" s="331"/>
      <c r="T455" s="331"/>
      <c r="U455" s="331"/>
      <c r="V455" s="331"/>
      <c r="W455" s="331"/>
      <c r="X455" s="331"/>
      <c r="Y455" s="331"/>
      <c r="AQ455" s="3"/>
    </row>
    <row r="456" spans="3:43" x14ac:dyDescent="0.3">
      <c r="E456" s="32"/>
      <c r="F456" s="72" t="s">
        <v>252</v>
      </c>
      <c r="G456" s="72" t="s">
        <v>251</v>
      </c>
      <c r="J456" s="331"/>
      <c r="K456" s="331"/>
      <c r="L456" s="330">
        <f t="shared" si="110"/>
        <v>0</v>
      </c>
      <c r="M456" s="331"/>
      <c r="N456" s="330">
        <f t="shared" si="111"/>
        <v>6.85435332973619</v>
      </c>
      <c r="O456" s="330">
        <f t="shared" si="111"/>
        <v>0</v>
      </c>
      <c r="P456" s="330">
        <f t="shared" si="111"/>
        <v>0</v>
      </c>
      <c r="Q456" s="331"/>
      <c r="R456" s="331"/>
      <c r="S456" s="331"/>
      <c r="T456" s="331"/>
      <c r="U456" s="331"/>
      <c r="V456" s="331"/>
      <c r="W456" s="331"/>
      <c r="X456" s="331"/>
      <c r="Y456" s="331"/>
      <c r="AQ456" s="3"/>
    </row>
    <row r="457" spans="3:43" x14ac:dyDescent="0.3">
      <c r="E457" s="32"/>
      <c r="F457" s="80" t="s">
        <v>253</v>
      </c>
      <c r="G457" s="80" t="s">
        <v>254</v>
      </c>
      <c r="H457" s="37"/>
      <c r="I457" s="37"/>
      <c r="J457" s="81"/>
      <c r="K457" s="81"/>
      <c r="L457" s="100">
        <f t="shared" si="110"/>
        <v>0</v>
      </c>
      <c r="M457" s="81"/>
      <c r="N457" s="100">
        <f t="shared" si="111"/>
        <v>390.16311416930307</v>
      </c>
      <c r="O457" s="100">
        <f t="shared" si="111"/>
        <v>0</v>
      </c>
      <c r="P457" s="100">
        <f t="shared" si="111"/>
        <v>0</v>
      </c>
      <c r="Q457" s="81"/>
      <c r="R457" s="81"/>
      <c r="S457" s="81"/>
      <c r="T457" s="81"/>
      <c r="U457" s="81"/>
      <c r="V457" s="81"/>
      <c r="W457" s="81"/>
      <c r="X457" s="81"/>
      <c r="Y457" s="81"/>
      <c r="AQ457" s="3"/>
    </row>
    <row r="458" spans="3:43" x14ac:dyDescent="0.3">
      <c r="AQ458" s="3"/>
    </row>
    <row r="459" spans="3:43" x14ac:dyDescent="0.3">
      <c r="E459" s="32" t="s">
        <v>975</v>
      </c>
      <c r="G459" s="13"/>
      <c r="I459" t="s">
        <v>154</v>
      </c>
      <c r="AQ459" s="3"/>
    </row>
    <row r="460" spans="3:43" x14ac:dyDescent="0.3">
      <c r="E460" s="32"/>
      <c r="F460" s="78" t="s">
        <v>247</v>
      </c>
      <c r="G460" s="78" t="s">
        <v>207</v>
      </c>
      <c r="H460" s="23"/>
      <c r="I460" s="23"/>
      <c r="J460" s="83"/>
      <c r="K460" s="83"/>
      <c r="L460" s="126">
        <f t="shared" ref="L460:L466" si="112">(1 - L324) * L188</f>
        <v>1193.0540085646419</v>
      </c>
      <c r="M460" s="83"/>
      <c r="N460" s="126">
        <f t="shared" ref="N460:P466" si="113">(1 - N324) * N188</f>
        <v>2092.5379079176346</v>
      </c>
      <c r="O460" s="126">
        <f t="shared" si="113"/>
        <v>980.01216647834349</v>
      </c>
      <c r="P460" s="126">
        <f t="shared" si="113"/>
        <v>4302.6950841734133</v>
      </c>
      <c r="Q460" s="83"/>
      <c r="R460" s="83"/>
      <c r="S460" s="83"/>
      <c r="T460" s="83"/>
      <c r="U460" s="83"/>
      <c r="V460" s="83"/>
      <c r="W460" s="83"/>
      <c r="X460" s="83"/>
      <c r="Y460" s="83"/>
      <c r="AQ460" s="3"/>
    </row>
    <row r="461" spans="3:43" x14ac:dyDescent="0.3">
      <c r="E461" s="32"/>
      <c r="F461" s="72" t="s">
        <v>248</v>
      </c>
      <c r="G461" s="72" t="s">
        <v>207</v>
      </c>
      <c r="J461" s="331"/>
      <c r="K461" s="331"/>
      <c r="L461" s="330">
        <f t="shared" si="112"/>
        <v>4985.122418809553</v>
      </c>
      <c r="M461" s="331"/>
      <c r="N461" s="330">
        <f t="shared" si="113"/>
        <v>7468.1939865396562</v>
      </c>
      <c r="O461" s="330">
        <f t="shared" si="113"/>
        <v>3697.5664273372709</v>
      </c>
      <c r="P461" s="330">
        <f t="shared" si="113"/>
        <v>15721.249650017991</v>
      </c>
      <c r="Q461" s="331"/>
      <c r="R461" s="331"/>
      <c r="S461" s="331"/>
      <c r="T461" s="331"/>
      <c r="U461" s="331"/>
      <c r="V461" s="331"/>
      <c r="W461" s="331"/>
      <c r="X461" s="331"/>
      <c r="Y461" s="331"/>
      <c r="AQ461" s="3"/>
    </row>
    <row r="462" spans="3:43" x14ac:dyDescent="0.3">
      <c r="E462" s="32"/>
      <c r="F462" s="72" t="s">
        <v>249</v>
      </c>
      <c r="G462" s="72" t="s">
        <v>207</v>
      </c>
      <c r="J462" s="331"/>
      <c r="K462" s="331"/>
      <c r="L462" s="330">
        <f t="shared" si="112"/>
        <v>4683.9466848337661</v>
      </c>
      <c r="M462" s="331"/>
      <c r="N462" s="330">
        <f t="shared" si="113"/>
        <v>8859.7137013220072</v>
      </c>
      <c r="O462" s="330">
        <f t="shared" si="113"/>
        <v>5017.0365247503369</v>
      </c>
      <c r="P462" s="330">
        <f t="shared" si="113"/>
        <v>21622.40712234185</v>
      </c>
      <c r="Q462" s="331"/>
      <c r="R462" s="331"/>
      <c r="S462" s="331"/>
      <c r="T462" s="331"/>
      <c r="U462" s="331"/>
      <c r="V462" s="331"/>
      <c r="W462" s="331"/>
      <c r="X462" s="331"/>
      <c r="Y462" s="331"/>
      <c r="AQ462" s="3"/>
    </row>
    <row r="463" spans="3:43" x14ac:dyDescent="0.3">
      <c r="E463" s="32"/>
      <c r="F463" s="72" t="s">
        <v>212</v>
      </c>
      <c r="G463" s="72" t="s">
        <v>212</v>
      </c>
      <c r="J463" s="331"/>
      <c r="K463" s="331"/>
      <c r="L463" s="330">
        <f t="shared" si="112"/>
        <v>136.3010847303525</v>
      </c>
      <c r="M463" s="331"/>
      <c r="N463" s="330">
        <f t="shared" si="113"/>
        <v>25.668834605004857</v>
      </c>
      <c r="O463" s="330">
        <f t="shared" si="113"/>
        <v>14.345403336252984</v>
      </c>
      <c r="P463" s="330">
        <f t="shared" si="113"/>
        <v>3.466685804128224</v>
      </c>
      <c r="Q463" s="331"/>
      <c r="R463" s="331"/>
      <c r="S463" s="331"/>
      <c r="T463" s="331"/>
      <c r="U463" s="331"/>
      <c r="V463" s="331"/>
      <c r="W463" s="331"/>
      <c r="X463" s="331"/>
      <c r="Y463" s="331"/>
      <c r="AQ463" s="3"/>
    </row>
    <row r="464" spans="3:43" x14ac:dyDescent="0.3">
      <c r="E464" s="32"/>
      <c r="F464" s="72" t="s">
        <v>250</v>
      </c>
      <c r="G464" s="72" t="s">
        <v>251</v>
      </c>
      <c r="J464" s="331"/>
      <c r="K464" s="331"/>
      <c r="L464" s="330">
        <f t="shared" si="112"/>
        <v>0</v>
      </c>
      <c r="M464" s="331"/>
      <c r="N464" s="330">
        <f t="shared" si="113"/>
        <v>14813.026756938058</v>
      </c>
      <c r="O464" s="330">
        <f t="shared" si="113"/>
        <v>11009.504176060535</v>
      </c>
      <c r="P464" s="330">
        <f t="shared" si="113"/>
        <v>23611.196078217083</v>
      </c>
      <c r="Q464" s="331"/>
      <c r="R464" s="331"/>
      <c r="S464" s="331"/>
      <c r="T464" s="331"/>
      <c r="U464" s="331"/>
      <c r="V464" s="331"/>
      <c r="W464" s="331"/>
      <c r="X464" s="331"/>
      <c r="Y464" s="331"/>
      <c r="AQ464" s="3"/>
    </row>
    <row r="465" spans="3:43" x14ac:dyDescent="0.3">
      <c r="E465" s="32"/>
      <c r="F465" s="72" t="s">
        <v>252</v>
      </c>
      <c r="G465" s="72" t="s">
        <v>251</v>
      </c>
      <c r="J465" s="331"/>
      <c r="K465" s="331"/>
      <c r="L465" s="330">
        <f t="shared" si="112"/>
        <v>0</v>
      </c>
      <c r="M465" s="331"/>
      <c r="N465" s="330">
        <f t="shared" si="113"/>
        <v>69.027219971745438</v>
      </c>
      <c r="O465" s="330">
        <f t="shared" si="113"/>
        <v>0</v>
      </c>
      <c r="P465" s="330">
        <f t="shared" si="113"/>
        <v>255.60246341831888</v>
      </c>
      <c r="Q465" s="331"/>
      <c r="R465" s="331"/>
      <c r="S465" s="331"/>
      <c r="T465" s="331"/>
      <c r="U465" s="331"/>
      <c r="V465" s="331"/>
      <c r="W465" s="331"/>
      <c r="X465" s="331"/>
      <c r="Y465" s="331"/>
      <c r="AQ465" s="3"/>
    </row>
    <row r="466" spans="3:43" x14ac:dyDescent="0.3">
      <c r="E466" s="32"/>
      <c r="F466" s="80" t="s">
        <v>253</v>
      </c>
      <c r="G466" s="80" t="s">
        <v>254</v>
      </c>
      <c r="H466" s="37"/>
      <c r="I466" s="37"/>
      <c r="J466" s="81"/>
      <c r="K466" s="81"/>
      <c r="L466" s="100">
        <f t="shared" si="112"/>
        <v>0</v>
      </c>
      <c r="M466" s="81"/>
      <c r="N466" s="100">
        <f t="shared" si="113"/>
        <v>839.29270641128312</v>
      </c>
      <c r="O466" s="100">
        <f t="shared" si="113"/>
        <v>1216.1837871416144</v>
      </c>
      <c r="P466" s="100">
        <f t="shared" si="113"/>
        <v>746.09265372974767</v>
      </c>
      <c r="Q466" s="81"/>
      <c r="R466" s="81"/>
      <c r="S466" s="81"/>
      <c r="T466" s="81"/>
      <c r="U466" s="81"/>
      <c r="V466" s="81"/>
      <c r="W466" s="81"/>
      <c r="X466" s="81"/>
      <c r="Y466" s="81"/>
      <c r="AQ466" s="3"/>
    </row>
    <row r="467" spans="3:43" x14ac:dyDescent="0.3">
      <c r="AQ467" s="3"/>
    </row>
    <row r="468" spans="3:43" x14ac:dyDescent="0.3">
      <c r="E468" s="32" t="s">
        <v>976</v>
      </c>
      <c r="G468" s="13"/>
      <c r="I468" t="s">
        <v>154</v>
      </c>
      <c r="AQ468" s="3"/>
    </row>
    <row r="469" spans="3:43" x14ac:dyDescent="0.3">
      <c r="E469" s="32"/>
      <c r="F469" s="78" t="s">
        <v>247</v>
      </c>
      <c r="G469" s="78" t="s">
        <v>207</v>
      </c>
      <c r="H469" s="23"/>
      <c r="I469" s="23"/>
      <c r="J469" s="83"/>
      <c r="K469" s="83"/>
      <c r="L469" s="126">
        <f t="shared" ref="L469:L475" si="114">L94+L451+L460</f>
        <v>182451.52555120768</v>
      </c>
      <c r="M469" s="83"/>
      <c r="N469" s="126">
        <f t="shared" ref="N469:P475" si="115">N94+N451+N460</f>
        <v>51598.100592298375</v>
      </c>
      <c r="O469" s="126">
        <f t="shared" si="115"/>
        <v>18576.162108855999</v>
      </c>
      <c r="P469" s="126">
        <f t="shared" si="115"/>
        <v>301235.11835419229</v>
      </c>
      <c r="Q469" s="83"/>
      <c r="R469" s="83"/>
      <c r="S469" s="83"/>
      <c r="T469" s="83"/>
      <c r="U469" s="83"/>
      <c r="V469" s="83"/>
      <c r="W469" s="83"/>
      <c r="X469" s="83"/>
      <c r="Y469" s="83"/>
      <c r="AQ469" s="3"/>
    </row>
    <row r="470" spans="3:43" x14ac:dyDescent="0.3">
      <c r="E470" s="32"/>
      <c r="F470" s="72" t="s">
        <v>248</v>
      </c>
      <c r="G470" s="72" t="s">
        <v>207</v>
      </c>
      <c r="J470" s="331"/>
      <c r="K470" s="331"/>
      <c r="L470" s="330">
        <f t="shared" si="114"/>
        <v>749114.06103630015</v>
      </c>
      <c r="M470" s="331"/>
      <c r="N470" s="330">
        <f t="shared" si="115"/>
        <v>197386.65156152315</v>
      </c>
      <c r="O470" s="330">
        <f t="shared" si="115"/>
        <v>50189.816687310711</v>
      </c>
      <c r="P470" s="330">
        <f t="shared" si="115"/>
        <v>1166294.4973249072</v>
      </c>
      <c r="Q470" s="331"/>
      <c r="R470" s="331"/>
      <c r="S470" s="331"/>
      <c r="T470" s="331"/>
      <c r="U470" s="331"/>
      <c r="V470" s="331"/>
      <c r="W470" s="331"/>
      <c r="X470" s="331"/>
      <c r="Y470" s="331"/>
      <c r="AQ470" s="3"/>
    </row>
    <row r="471" spans="3:43" x14ac:dyDescent="0.3">
      <c r="E471" s="32"/>
      <c r="F471" s="72" t="s">
        <v>249</v>
      </c>
      <c r="G471" s="72" t="s">
        <v>207</v>
      </c>
      <c r="J471" s="331"/>
      <c r="K471" s="331"/>
      <c r="L471" s="330">
        <f t="shared" si="114"/>
        <v>767006.34512823971</v>
      </c>
      <c r="M471" s="331"/>
      <c r="N471" s="330">
        <f t="shared" si="115"/>
        <v>211865.54556320657</v>
      </c>
      <c r="O471" s="330">
        <f t="shared" si="115"/>
        <v>52942.608412525537</v>
      </c>
      <c r="P471" s="330">
        <f t="shared" si="115"/>
        <v>1539755.2413915633</v>
      </c>
      <c r="Q471" s="331"/>
      <c r="R471" s="331"/>
      <c r="S471" s="331"/>
      <c r="T471" s="331"/>
      <c r="U471" s="331"/>
      <c r="V471" s="331"/>
      <c r="W471" s="331"/>
      <c r="X471" s="331"/>
      <c r="Y471" s="331"/>
      <c r="AQ471" s="3"/>
    </row>
    <row r="472" spans="3:43" x14ac:dyDescent="0.3">
      <c r="E472" s="32"/>
      <c r="F472" s="72" t="s">
        <v>212</v>
      </c>
      <c r="G472" s="72" t="s">
        <v>212</v>
      </c>
      <c r="J472" s="331"/>
      <c r="K472" s="331"/>
      <c r="L472" s="330">
        <f t="shared" si="114"/>
        <v>28783.425878896152</v>
      </c>
      <c r="M472" s="331"/>
      <c r="N472" s="330">
        <f t="shared" si="115"/>
        <v>1178.5932122049885</v>
      </c>
      <c r="O472" s="330">
        <f t="shared" si="115"/>
        <v>308.84851325259831</v>
      </c>
      <c r="P472" s="330">
        <f t="shared" si="115"/>
        <v>312.1819085762105</v>
      </c>
      <c r="Q472" s="331"/>
      <c r="R472" s="331"/>
      <c r="S472" s="331"/>
      <c r="T472" s="331"/>
      <c r="U472" s="331"/>
      <c r="V472" s="331"/>
      <c r="W472" s="331"/>
      <c r="X472" s="331"/>
      <c r="Y472" s="331"/>
      <c r="AQ472" s="3"/>
    </row>
    <row r="473" spans="3:43" x14ac:dyDescent="0.3">
      <c r="E473" s="32"/>
      <c r="F473" s="72" t="s">
        <v>250</v>
      </c>
      <c r="G473" s="72" t="s">
        <v>251</v>
      </c>
      <c r="J473" s="331"/>
      <c r="K473" s="331"/>
      <c r="L473" s="330">
        <f t="shared" si="114"/>
        <v>0</v>
      </c>
      <c r="M473" s="331"/>
      <c r="N473" s="330">
        <f t="shared" si="115"/>
        <v>354174.77784546284</v>
      </c>
      <c r="O473" s="330">
        <f t="shared" si="115"/>
        <v>162581.60291018331</v>
      </c>
      <c r="P473" s="330">
        <f t="shared" si="115"/>
        <v>1269833.0188368834</v>
      </c>
      <c r="Q473" s="331"/>
      <c r="R473" s="331"/>
      <c r="S473" s="331"/>
      <c r="T473" s="331"/>
      <c r="U473" s="331"/>
      <c r="V473" s="331"/>
      <c r="W473" s="331"/>
      <c r="X473" s="331"/>
      <c r="Y473" s="331"/>
      <c r="AQ473" s="3"/>
    </row>
    <row r="474" spans="3:43" x14ac:dyDescent="0.3">
      <c r="E474" s="32"/>
      <c r="F474" s="72" t="s">
        <v>252</v>
      </c>
      <c r="G474" s="72" t="s">
        <v>251</v>
      </c>
      <c r="J474" s="331"/>
      <c r="K474" s="331"/>
      <c r="L474" s="330">
        <f t="shared" si="114"/>
        <v>0</v>
      </c>
      <c r="M474" s="331"/>
      <c r="N474" s="330">
        <f t="shared" si="115"/>
        <v>7056.8227485048856</v>
      </c>
      <c r="O474" s="330">
        <f t="shared" si="115"/>
        <v>291.44701071456973</v>
      </c>
      <c r="P474" s="330">
        <f t="shared" si="115"/>
        <v>16417.659053530475</v>
      </c>
      <c r="Q474" s="331"/>
      <c r="R474" s="331"/>
      <c r="S474" s="331"/>
      <c r="T474" s="331"/>
      <c r="U474" s="331"/>
      <c r="V474" s="331"/>
      <c r="W474" s="331"/>
      <c r="X474" s="331"/>
      <c r="Y474" s="331"/>
      <c r="AQ474" s="3"/>
    </row>
    <row r="475" spans="3:43" x14ac:dyDescent="0.3">
      <c r="E475" s="32"/>
      <c r="F475" s="80" t="s">
        <v>253</v>
      </c>
      <c r="G475" s="80" t="s">
        <v>254</v>
      </c>
      <c r="H475" s="37"/>
      <c r="I475" s="37"/>
      <c r="J475" s="81"/>
      <c r="K475" s="81"/>
      <c r="L475" s="100">
        <f t="shared" si="114"/>
        <v>0</v>
      </c>
      <c r="M475" s="81"/>
      <c r="N475" s="100">
        <f t="shared" si="115"/>
        <v>57090.498654105315</v>
      </c>
      <c r="O475" s="100">
        <f t="shared" si="115"/>
        <v>14029.658384679276</v>
      </c>
      <c r="P475" s="100">
        <f t="shared" si="115"/>
        <v>330073.02252807282</v>
      </c>
      <c r="Q475" s="81"/>
      <c r="R475" s="81"/>
      <c r="S475" s="81"/>
      <c r="T475" s="81"/>
      <c r="U475" s="81"/>
      <c r="V475" s="81"/>
      <c r="W475" s="81"/>
      <c r="X475" s="81"/>
      <c r="Y475" s="81"/>
      <c r="AQ475" s="3"/>
    </row>
    <row r="476" spans="3:43" x14ac:dyDescent="0.3">
      <c r="AQ476" s="3"/>
    </row>
    <row r="477" spans="3:43" x14ac:dyDescent="0.3">
      <c r="C477" s="31" t="str">
        <f ca="1">INDEX('Version control'!$H$34:$H$57,MATCH($A$1,'Version control'!$F$34:$F$57,0),1)&amp;"-I: Discounted volumes by residual band"</f>
        <v>Section 104-I: Discounted volumes by residual band</v>
      </c>
      <c r="D477" s="31"/>
      <c r="E477" s="31"/>
      <c r="F477" s="31"/>
      <c r="G477" s="31"/>
      <c r="H477" s="31"/>
      <c r="I477" s="31"/>
      <c r="J477" s="31"/>
      <c r="K477" s="31"/>
      <c r="L477" s="31"/>
      <c r="M477" s="31"/>
      <c r="N477" s="31"/>
      <c r="O477" s="31"/>
      <c r="P477" s="31"/>
      <c r="Q477" s="31"/>
      <c r="R477" s="31"/>
      <c r="S477" s="31"/>
      <c r="T477" s="31"/>
      <c r="U477" s="31"/>
      <c r="V477" s="31"/>
      <c r="W477" s="31"/>
      <c r="X477" s="31"/>
      <c r="Y477" s="31"/>
      <c r="Z477" s="31"/>
      <c r="AA477" s="31"/>
      <c r="AQ477" s="3"/>
    </row>
    <row r="478" spans="3:43" x14ac:dyDescent="0.3">
      <c r="C478" s="32"/>
      <c r="AQ478" s="3"/>
    </row>
    <row r="479" spans="3:43" x14ac:dyDescent="0.3">
      <c r="D479" s="32" t="s">
        <v>1016</v>
      </c>
      <c r="AQ479" s="3"/>
    </row>
    <row r="480" spans="3:43" x14ac:dyDescent="0.3">
      <c r="E480" s="78" t="s">
        <v>247</v>
      </c>
      <c r="F480" s="23"/>
      <c r="G480" s="23"/>
      <c r="H480" s="23"/>
      <c r="I480" s="23"/>
      <c r="J480" s="23"/>
      <c r="K480" s="23"/>
      <c r="L480" s="23"/>
      <c r="M480" s="23"/>
      <c r="N480" s="23"/>
      <c r="O480" s="23"/>
      <c r="P480" s="23"/>
      <c r="Q480" s="23"/>
      <c r="R480" s="23"/>
      <c r="S480" s="23"/>
      <c r="T480" s="23"/>
      <c r="U480" s="23"/>
      <c r="V480" s="23"/>
      <c r="W480" s="23"/>
      <c r="X480" s="23"/>
      <c r="Y480" s="23"/>
      <c r="AQ480" s="3"/>
    </row>
    <row r="481" spans="5:43" x14ac:dyDescent="0.3">
      <c r="E481" s="352"/>
      <c r="F481" s="2" t="s">
        <v>983</v>
      </c>
      <c r="G481" t="s">
        <v>207</v>
      </c>
      <c r="J481" s="131">
        <f t="shared" ref="J481:Y481" si="116">J353</f>
        <v>0</v>
      </c>
      <c r="K481" s="131">
        <f t="shared" si="116"/>
        <v>79.092618502232185</v>
      </c>
      <c r="L481" s="131">
        <f t="shared" si="116"/>
        <v>0</v>
      </c>
      <c r="M481" s="131">
        <f t="shared" si="116"/>
        <v>127.63198085068298</v>
      </c>
      <c r="N481" s="131">
        <f t="shared" si="116"/>
        <v>0</v>
      </c>
      <c r="O481" s="131">
        <f t="shared" si="116"/>
        <v>0</v>
      </c>
      <c r="P481" s="131">
        <f t="shared" si="116"/>
        <v>0</v>
      </c>
      <c r="Q481" s="131">
        <f t="shared" si="116"/>
        <v>0</v>
      </c>
      <c r="R481" s="131">
        <f t="shared" si="116"/>
        <v>125.45917108391521</v>
      </c>
      <c r="S481" s="131">
        <f t="shared" si="116"/>
        <v>0</v>
      </c>
      <c r="T481" s="131">
        <f t="shared" si="116"/>
        <v>4280.342572253674</v>
      </c>
      <c r="U481" s="131">
        <f t="shared" si="116"/>
        <v>0</v>
      </c>
      <c r="V481" s="131">
        <f t="shared" si="116"/>
        <v>907.20921076491038</v>
      </c>
      <c r="W481" s="131">
        <f t="shared" si="116"/>
        <v>0</v>
      </c>
      <c r="X481" s="131">
        <f t="shared" si="116"/>
        <v>81192.371997792652</v>
      </c>
      <c r="Y481" s="131">
        <f t="shared" si="116"/>
        <v>0</v>
      </c>
      <c r="AQ481" s="3"/>
    </row>
    <row r="482" spans="5:43" x14ac:dyDescent="0.3">
      <c r="E482" s="352"/>
      <c r="F482" s="2" t="s">
        <v>984</v>
      </c>
      <c r="G482" t="s">
        <v>207</v>
      </c>
      <c r="J482" s="364">
        <f t="shared" ref="J482:Y482" si="117">J382</f>
        <v>927789.68137948948</v>
      </c>
      <c r="K482" s="364">
        <f t="shared" si="117"/>
        <v>0</v>
      </c>
      <c r="L482" s="364">
        <f t="shared" si="117"/>
        <v>10628.491564396461</v>
      </c>
      <c r="M482" s="364">
        <f t="shared" si="117"/>
        <v>0</v>
      </c>
      <c r="N482" s="364">
        <f t="shared" si="117"/>
        <v>65016.690041693946</v>
      </c>
      <c r="O482" s="364">
        <f t="shared" si="117"/>
        <v>174.48189821436509</v>
      </c>
      <c r="P482" s="364">
        <f t="shared" si="117"/>
        <v>97103.179297242372</v>
      </c>
      <c r="Q482" s="364">
        <f t="shared" si="117"/>
        <v>9663.5075463692192</v>
      </c>
      <c r="R482" s="364">
        <f t="shared" si="117"/>
        <v>0</v>
      </c>
      <c r="S482" s="364">
        <f t="shared" si="117"/>
        <v>0</v>
      </c>
      <c r="T482" s="364">
        <f t="shared" si="117"/>
        <v>0</v>
      </c>
      <c r="U482" s="364">
        <f t="shared" si="117"/>
        <v>0</v>
      </c>
      <c r="V482" s="364">
        <f t="shared" si="117"/>
        <v>0</v>
      </c>
      <c r="W482" s="364">
        <f t="shared" si="117"/>
        <v>0</v>
      </c>
      <c r="X482" s="364">
        <f t="shared" si="117"/>
        <v>0</v>
      </c>
      <c r="Y482" s="364">
        <f t="shared" si="117"/>
        <v>0</v>
      </c>
      <c r="AQ482" s="3"/>
    </row>
    <row r="483" spans="5:43" x14ac:dyDescent="0.3">
      <c r="E483" s="352"/>
      <c r="F483" s="2" t="s">
        <v>985</v>
      </c>
      <c r="G483" t="s">
        <v>207</v>
      </c>
      <c r="J483" s="364">
        <f t="shared" ref="J483:Y483" si="118">J411</f>
        <v>0</v>
      </c>
      <c r="K483" s="364">
        <f t="shared" si="118"/>
        <v>0</v>
      </c>
      <c r="L483" s="364">
        <f t="shared" si="118"/>
        <v>44610.641266249244</v>
      </c>
      <c r="M483" s="364">
        <f t="shared" si="118"/>
        <v>0</v>
      </c>
      <c r="N483" s="364">
        <f t="shared" si="118"/>
        <v>97159.393824174054</v>
      </c>
      <c r="O483" s="364">
        <f t="shared" si="118"/>
        <v>895.69025899367671</v>
      </c>
      <c r="P483" s="364">
        <f t="shared" si="118"/>
        <v>173218.17547994421</v>
      </c>
      <c r="Q483" s="364">
        <f t="shared" si="118"/>
        <v>0</v>
      </c>
      <c r="R483" s="364">
        <f t="shared" si="118"/>
        <v>0</v>
      </c>
      <c r="S483" s="364">
        <f t="shared" si="118"/>
        <v>0</v>
      </c>
      <c r="T483" s="364">
        <f t="shared" si="118"/>
        <v>0</v>
      </c>
      <c r="U483" s="364">
        <f t="shared" si="118"/>
        <v>0</v>
      </c>
      <c r="V483" s="364">
        <f t="shared" si="118"/>
        <v>0</v>
      </c>
      <c r="W483" s="364">
        <f t="shared" si="118"/>
        <v>0</v>
      </c>
      <c r="X483" s="364">
        <f t="shared" si="118"/>
        <v>0</v>
      </c>
      <c r="Y483" s="364">
        <f t="shared" si="118"/>
        <v>0</v>
      </c>
      <c r="AQ483" s="3"/>
    </row>
    <row r="484" spans="5:43" x14ac:dyDescent="0.3">
      <c r="E484" s="352"/>
      <c r="F484" s="2" t="s">
        <v>987</v>
      </c>
      <c r="G484" t="s">
        <v>207</v>
      </c>
      <c r="J484" s="101">
        <f t="shared" ref="J484:Y484" si="119">J440</f>
        <v>0</v>
      </c>
      <c r="K484" s="101">
        <f t="shared" si="119"/>
        <v>0</v>
      </c>
      <c r="L484" s="101">
        <f t="shared" si="119"/>
        <v>56597.081764218514</v>
      </c>
      <c r="M484" s="101">
        <f t="shared" si="119"/>
        <v>0</v>
      </c>
      <c r="N484" s="101">
        <f t="shared" si="119"/>
        <v>52458.57918381846</v>
      </c>
      <c r="O484" s="101">
        <f t="shared" si="119"/>
        <v>1614.7827948687102</v>
      </c>
      <c r="P484" s="101">
        <f t="shared" si="119"/>
        <v>94770.736397336776</v>
      </c>
      <c r="Q484" s="101">
        <f t="shared" si="119"/>
        <v>0</v>
      </c>
      <c r="R484" s="101">
        <f t="shared" si="119"/>
        <v>0</v>
      </c>
      <c r="S484" s="101">
        <f t="shared" si="119"/>
        <v>0</v>
      </c>
      <c r="T484" s="101">
        <f t="shared" si="119"/>
        <v>0</v>
      </c>
      <c r="U484" s="101">
        <f t="shared" si="119"/>
        <v>0</v>
      </c>
      <c r="V484" s="101">
        <f t="shared" si="119"/>
        <v>0</v>
      </c>
      <c r="W484" s="101">
        <f t="shared" si="119"/>
        <v>0</v>
      </c>
      <c r="X484" s="101">
        <f t="shared" si="119"/>
        <v>0</v>
      </c>
      <c r="Y484" s="101">
        <f t="shared" si="119"/>
        <v>0</v>
      </c>
      <c r="AQ484" s="3"/>
    </row>
    <row r="485" spans="5:43" x14ac:dyDescent="0.3">
      <c r="E485" s="352"/>
      <c r="F485" s="2" t="s">
        <v>986</v>
      </c>
      <c r="G485" t="s">
        <v>207</v>
      </c>
      <c r="J485" s="101">
        <f t="shared" ref="J485:Y485" si="120">J469</f>
        <v>0</v>
      </c>
      <c r="K485" s="101">
        <f t="shared" si="120"/>
        <v>0</v>
      </c>
      <c r="L485" s="101">
        <f t="shared" si="120"/>
        <v>182451.52555120768</v>
      </c>
      <c r="M485" s="101">
        <f t="shared" si="120"/>
        <v>0</v>
      </c>
      <c r="N485" s="101">
        <f t="shared" si="120"/>
        <v>51598.100592298375</v>
      </c>
      <c r="O485" s="101">
        <f t="shared" si="120"/>
        <v>18576.162108855999</v>
      </c>
      <c r="P485" s="101">
        <f t="shared" si="120"/>
        <v>301235.11835419229</v>
      </c>
      <c r="Q485" s="101">
        <f t="shared" si="120"/>
        <v>0</v>
      </c>
      <c r="R485" s="101">
        <f t="shared" si="120"/>
        <v>0</v>
      </c>
      <c r="S485" s="101">
        <f t="shared" si="120"/>
        <v>0</v>
      </c>
      <c r="T485" s="101">
        <f t="shared" si="120"/>
        <v>0</v>
      </c>
      <c r="U485" s="101">
        <f t="shared" si="120"/>
        <v>0</v>
      </c>
      <c r="V485" s="101">
        <f t="shared" si="120"/>
        <v>0</v>
      </c>
      <c r="W485" s="101">
        <f t="shared" si="120"/>
        <v>0</v>
      </c>
      <c r="X485" s="101">
        <f t="shared" si="120"/>
        <v>0</v>
      </c>
      <c r="Y485" s="101">
        <f t="shared" si="120"/>
        <v>0</v>
      </c>
      <c r="AQ485" s="3"/>
    </row>
    <row r="486" spans="5:43" x14ac:dyDescent="0.3">
      <c r="E486" s="72" t="s">
        <v>248</v>
      </c>
      <c r="F486" s="2"/>
      <c r="J486" s="26"/>
      <c r="K486" s="26"/>
      <c r="L486" s="26"/>
      <c r="M486" s="26"/>
      <c r="N486" s="26"/>
      <c r="O486" s="26"/>
      <c r="P486" s="26"/>
      <c r="Q486" s="26"/>
      <c r="R486" s="26"/>
      <c r="S486" s="26"/>
      <c r="T486" s="26"/>
      <c r="U486" s="26"/>
      <c r="V486" s="26"/>
      <c r="W486" s="26"/>
      <c r="X486" s="26"/>
      <c r="Y486" s="26"/>
      <c r="AQ486" s="3"/>
    </row>
    <row r="487" spans="5:43" x14ac:dyDescent="0.3">
      <c r="E487" s="352"/>
      <c r="F487" s="2" t="s">
        <v>983</v>
      </c>
      <c r="G487" t="s">
        <v>207</v>
      </c>
      <c r="J487" s="131">
        <f t="shared" ref="J487:Y487" si="121">J354</f>
        <v>0</v>
      </c>
      <c r="K487" s="131">
        <f t="shared" si="121"/>
        <v>3392.6048671577928</v>
      </c>
      <c r="L487" s="131">
        <f t="shared" si="121"/>
        <v>0</v>
      </c>
      <c r="M487" s="131">
        <f t="shared" si="121"/>
        <v>959.76246317801258</v>
      </c>
      <c r="N487" s="131">
        <f t="shared" si="121"/>
        <v>0</v>
      </c>
      <c r="O487" s="131">
        <f t="shared" si="121"/>
        <v>0</v>
      </c>
      <c r="P487" s="131">
        <f t="shared" si="121"/>
        <v>0</v>
      </c>
      <c r="Q487" s="131">
        <f t="shared" si="121"/>
        <v>0</v>
      </c>
      <c r="R487" s="131">
        <f t="shared" si="121"/>
        <v>675.10681480787537</v>
      </c>
      <c r="S487" s="131">
        <f t="shared" si="121"/>
        <v>0</v>
      </c>
      <c r="T487" s="131">
        <f t="shared" si="121"/>
        <v>21435.880022591529</v>
      </c>
      <c r="U487" s="131">
        <f t="shared" si="121"/>
        <v>0</v>
      </c>
      <c r="V487" s="131">
        <f t="shared" si="121"/>
        <v>3604.4281560365216</v>
      </c>
      <c r="W487" s="131">
        <f t="shared" si="121"/>
        <v>0</v>
      </c>
      <c r="X487" s="131">
        <f t="shared" si="121"/>
        <v>281566.92770225758</v>
      </c>
      <c r="Y487" s="131">
        <f t="shared" si="121"/>
        <v>0</v>
      </c>
      <c r="AQ487" s="3"/>
    </row>
    <row r="488" spans="5:43" x14ac:dyDescent="0.3">
      <c r="E488" s="352"/>
      <c r="F488" s="2" t="s">
        <v>984</v>
      </c>
      <c r="G488" t="s">
        <v>207</v>
      </c>
      <c r="J488" s="364">
        <f t="shared" ref="J488:Y488" si="122">J383</f>
        <v>2756277.0104804309</v>
      </c>
      <c r="K488" s="364">
        <f t="shared" si="122"/>
        <v>0</v>
      </c>
      <c r="L488" s="364">
        <f t="shared" si="122"/>
        <v>43638.727900142738</v>
      </c>
      <c r="M488" s="364">
        <f t="shared" si="122"/>
        <v>0</v>
      </c>
      <c r="N488" s="364">
        <f t="shared" si="122"/>
        <v>248718.97600158816</v>
      </c>
      <c r="O488" s="364">
        <f t="shared" si="122"/>
        <v>471.4221611178811</v>
      </c>
      <c r="P488" s="364">
        <f t="shared" si="122"/>
        <v>375955.18180575204</v>
      </c>
      <c r="Q488" s="364">
        <f t="shared" si="122"/>
        <v>49161.271548488345</v>
      </c>
      <c r="R488" s="364">
        <f t="shared" si="122"/>
        <v>0</v>
      </c>
      <c r="S488" s="364">
        <f t="shared" si="122"/>
        <v>0</v>
      </c>
      <c r="T488" s="364">
        <f t="shared" si="122"/>
        <v>0</v>
      </c>
      <c r="U488" s="364">
        <f t="shared" si="122"/>
        <v>0</v>
      </c>
      <c r="V488" s="364">
        <f t="shared" si="122"/>
        <v>0</v>
      </c>
      <c r="W488" s="364">
        <f t="shared" si="122"/>
        <v>0</v>
      </c>
      <c r="X488" s="364">
        <f t="shared" si="122"/>
        <v>0</v>
      </c>
      <c r="Y488" s="364">
        <f t="shared" si="122"/>
        <v>0</v>
      </c>
      <c r="AQ488" s="3"/>
    </row>
    <row r="489" spans="5:43" x14ac:dyDescent="0.3">
      <c r="E489" s="352"/>
      <c r="F489" s="2" t="s">
        <v>985</v>
      </c>
      <c r="G489" t="s">
        <v>207</v>
      </c>
      <c r="J489" s="364">
        <f t="shared" ref="J489:Y489" si="123">J412</f>
        <v>0</v>
      </c>
      <c r="K489" s="364">
        <f t="shared" si="123"/>
        <v>0</v>
      </c>
      <c r="L489" s="364">
        <f t="shared" si="123"/>
        <v>183163.49256840907</v>
      </c>
      <c r="M489" s="364">
        <f t="shared" si="123"/>
        <v>0</v>
      </c>
      <c r="N489" s="364">
        <f t="shared" si="123"/>
        <v>371679.71678328759</v>
      </c>
      <c r="O489" s="364">
        <f t="shared" si="123"/>
        <v>2420.0117141565461</v>
      </c>
      <c r="P489" s="364">
        <f t="shared" si="123"/>
        <v>670650.24158763571</v>
      </c>
      <c r="Q489" s="364">
        <f t="shared" si="123"/>
        <v>0</v>
      </c>
      <c r="R489" s="364">
        <f t="shared" si="123"/>
        <v>0</v>
      </c>
      <c r="S489" s="364">
        <f t="shared" si="123"/>
        <v>0</v>
      </c>
      <c r="T489" s="364">
        <f t="shared" si="123"/>
        <v>0</v>
      </c>
      <c r="U489" s="364">
        <f t="shared" si="123"/>
        <v>0</v>
      </c>
      <c r="V489" s="364">
        <f t="shared" si="123"/>
        <v>0</v>
      </c>
      <c r="W489" s="364">
        <f t="shared" si="123"/>
        <v>0</v>
      </c>
      <c r="X489" s="364">
        <f t="shared" si="123"/>
        <v>0</v>
      </c>
      <c r="Y489" s="364">
        <f t="shared" si="123"/>
        <v>0</v>
      </c>
      <c r="AQ489" s="3"/>
    </row>
    <row r="490" spans="5:43" x14ac:dyDescent="0.3">
      <c r="E490" s="352"/>
      <c r="F490" s="2" t="s">
        <v>987</v>
      </c>
      <c r="G490" t="s">
        <v>207</v>
      </c>
      <c r="J490" s="101">
        <f t="shared" ref="J490:Y490" si="124">J441</f>
        <v>0</v>
      </c>
      <c r="K490" s="101">
        <f t="shared" si="124"/>
        <v>0</v>
      </c>
      <c r="L490" s="101">
        <f t="shared" si="124"/>
        <v>232377.72134329309</v>
      </c>
      <c r="M490" s="101">
        <f t="shared" si="124"/>
        <v>0</v>
      </c>
      <c r="N490" s="101">
        <f t="shared" si="124"/>
        <v>200678.38102386455</v>
      </c>
      <c r="O490" s="101">
        <f t="shared" si="124"/>
        <v>4362.8846469662385</v>
      </c>
      <c r="P490" s="101">
        <f t="shared" si="124"/>
        <v>366924.64335343958</v>
      </c>
      <c r="Q490" s="101">
        <f t="shared" si="124"/>
        <v>0</v>
      </c>
      <c r="R490" s="101">
        <f t="shared" si="124"/>
        <v>0</v>
      </c>
      <c r="S490" s="101">
        <f t="shared" si="124"/>
        <v>0</v>
      </c>
      <c r="T490" s="101">
        <f t="shared" si="124"/>
        <v>0</v>
      </c>
      <c r="U490" s="101">
        <f t="shared" si="124"/>
        <v>0</v>
      </c>
      <c r="V490" s="101">
        <f t="shared" si="124"/>
        <v>0</v>
      </c>
      <c r="W490" s="101">
        <f t="shared" si="124"/>
        <v>0</v>
      </c>
      <c r="X490" s="101">
        <f t="shared" si="124"/>
        <v>0</v>
      </c>
      <c r="Y490" s="101">
        <f t="shared" si="124"/>
        <v>0</v>
      </c>
      <c r="AQ490" s="3"/>
    </row>
    <row r="491" spans="5:43" x14ac:dyDescent="0.3">
      <c r="E491" s="352"/>
      <c r="F491" s="2" t="s">
        <v>986</v>
      </c>
      <c r="G491" t="s">
        <v>207</v>
      </c>
      <c r="J491" s="101">
        <f t="shared" ref="J491:Y491" si="125">J470</f>
        <v>0</v>
      </c>
      <c r="K491" s="101">
        <f t="shared" si="125"/>
        <v>0</v>
      </c>
      <c r="L491" s="101">
        <f t="shared" si="125"/>
        <v>749114.06103630015</v>
      </c>
      <c r="M491" s="101">
        <f t="shared" si="125"/>
        <v>0</v>
      </c>
      <c r="N491" s="101">
        <f t="shared" si="125"/>
        <v>197386.65156152315</v>
      </c>
      <c r="O491" s="101">
        <f t="shared" si="125"/>
        <v>50189.816687310711</v>
      </c>
      <c r="P491" s="101">
        <f t="shared" si="125"/>
        <v>1166294.4973249072</v>
      </c>
      <c r="Q491" s="101">
        <f t="shared" si="125"/>
        <v>0</v>
      </c>
      <c r="R491" s="101">
        <f t="shared" si="125"/>
        <v>0</v>
      </c>
      <c r="S491" s="101">
        <f t="shared" si="125"/>
        <v>0</v>
      </c>
      <c r="T491" s="101">
        <f t="shared" si="125"/>
        <v>0</v>
      </c>
      <c r="U491" s="101">
        <f t="shared" si="125"/>
        <v>0</v>
      </c>
      <c r="V491" s="101">
        <f t="shared" si="125"/>
        <v>0</v>
      </c>
      <c r="W491" s="101">
        <f t="shared" si="125"/>
        <v>0</v>
      </c>
      <c r="X491" s="101">
        <f t="shared" si="125"/>
        <v>0</v>
      </c>
      <c r="Y491" s="101">
        <f t="shared" si="125"/>
        <v>0</v>
      </c>
      <c r="AQ491" s="3"/>
    </row>
    <row r="492" spans="5:43" x14ac:dyDescent="0.3">
      <c r="E492" s="72" t="s">
        <v>249</v>
      </c>
      <c r="F492" s="2"/>
      <c r="J492" s="26"/>
      <c r="K492" s="26"/>
      <c r="L492" s="26"/>
      <c r="M492" s="26"/>
      <c r="N492" s="26"/>
      <c r="O492" s="26"/>
      <c r="P492" s="26"/>
      <c r="Q492" s="26"/>
      <c r="R492" s="26"/>
      <c r="S492" s="26"/>
      <c r="T492" s="26"/>
      <c r="U492" s="26"/>
      <c r="V492" s="26"/>
      <c r="W492" s="26"/>
      <c r="X492" s="26"/>
      <c r="Y492" s="26"/>
      <c r="AQ492" s="3"/>
    </row>
    <row r="493" spans="5:43" x14ac:dyDescent="0.3">
      <c r="E493" s="352"/>
      <c r="F493" s="2" t="s">
        <v>983</v>
      </c>
      <c r="G493" t="s">
        <v>207</v>
      </c>
      <c r="J493" s="131">
        <f t="shared" ref="J493:Y493" si="126">J355</f>
        <v>0</v>
      </c>
      <c r="K493" s="131">
        <f t="shared" si="126"/>
        <v>13095.75106613846</v>
      </c>
      <c r="L493" s="131">
        <f t="shared" si="126"/>
        <v>0</v>
      </c>
      <c r="M493" s="131">
        <f t="shared" si="126"/>
        <v>2930.5689204763953</v>
      </c>
      <c r="N493" s="131">
        <f t="shared" si="126"/>
        <v>0</v>
      </c>
      <c r="O493" s="131">
        <f t="shared" si="126"/>
        <v>0</v>
      </c>
      <c r="P493" s="131">
        <f t="shared" si="126"/>
        <v>0</v>
      </c>
      <c r="Q493" s="131">
        <f t="shared" si="126"/>
        <v>0</v>
      </c>
      <c r="R493" s="131">
        <f t="shared" si="126"/>
        <v>332.99565387439389</v>
      </c>
      <c r="S493" s="131">
        <f t="shared" si="126"/>
        <v>0</v>
      </c>
      <c r="T493" s="131">
        <f t="shared" si="126"/>
        <v>21484.220834211559</v>
      </c>
      <c r="U493" s="131">
        <f t="shared" si="126"/>
        <v>0</v>
      </c>
      <c r="V493" s="131">
        <f t="shared" si="126"/>
        <v>5426.3333985064392</v>
      </c>
      <c r="W493" s="131">
        <f t="shared" si="126"/>
        <v>0</v>
      </c>
      <c r="X493" s="131">
        <f t="shared" si="126"/>
        <v>341773.46231736481</v>
      </c>
      <c r="Y493" s="131">
        <f t="shared" si="126"/>
        <v>0</v>
      </c>
      <c r="AQ493" s="3"/>
    </row>
    <row r="494" spans="5:43" x14ac:dyDescent="0.3">
      <c r="E494" s="352"/>
      <c r="F494" s="2" t="s">
        <v>984</v>
      </c>
      <c r="G494" t="s">
        <v>207</v>
      </c>
      <c r="J494" s="364">
        <f t="shared" ref="J494:Y494" si="127">J384</f>
        <v>4559037.4253185689</v>
      </c>
      <c r="K494" s="364">
        <f t="shared" si="127"/>
        <v>0</v>
      </c>
      <c r="L494" s="364">
        <f t="shared" si="127"/>
        <v>44681.021133725983</v>
      </c>
      <c r="M494" s="364">
        <f t="shared" si="127"/>
        <v>0</v>
      </c>
      <c r="N494" s="364">
        <f t="shared" si="127"/>
        <v>266963.24764430261</v>
      </c>
      <c r="O494" s="364">
        <f t="shared" si="127"/>
        <v>497.27854215017703</v>
      </c>
      <c r="P494" s="364">
        <f t="shared" si="127"/>
        <v>496340.30087724945</v>
      </c>
      <c r="Q494" s="364">
        <f t="shared" si="127"/>
        <v>187842.48249019182</v>
      </c>
      <c r="R494" s="364">
        <f t="shared" si="127"/>
        <v>0</v>
      </c>
      <c r="S494" s="364">
        <f t="shared" si="127"/>
        <v>0</v>
      </c>
      <c r="T494" s="364">
        <f t="shared" si="127"/>
        <v>0</v>
      </c>
      <c r="U494" s="364">
        <f t="shared" si="127"/>
        <v>0</v>
      </c>
      <c r="V494" s="364">
        <f t="shared" si="127"/>
        <v>0</v>
      </c>
      <c r="W494" s="364">
        <f t="shared" si="127"/>
        <v>0</v>
      </c>
      <c r="X494" s="364">
        <f t="shared" si="127"/>
        <v>0</v>
      </c>
      <c r="Y494" s="364">
        <f t="shared" si="127"/>
        <v>0</v>
      </c>
      <c r="AQ494" s="3"/>
    </row>
    <row r="495" spans="5:43" x14ac:dyDescent="0.3">
      <c r="E495" s="352"/>
      <c r="F495" s="2" t="s">
        <v>985</v>
      </c>
      <c r="G495" t="s">
        <v>207</v>
      </c>
      <c r="J495" s="364">
        <f t="shared" ref="J495:Y495" si="128">J413</f>
        <v>0</v>
      </c>
      <c r="K495" s="364">
        <f t="shared" si="128"/>
        <v>0</v>
      </c>
      <c r="L495" s="364">
        <f t="shared" si="128"/>
        <v>187538.27795125486</v>
      </c>
      <c r="M495" s="364">
        <f t="shared" si="128"/>
        <v>0</v>
      </c>
      <c r="N495" s="364">
        <f t="shared" si="128"/>
        <v>398943.52200673043</v>
      </c>
      <c r="O495" s="364">
        <f t="shared" si="128"/>
        <v>2552.7435841124961</v>
      </c>
      <c r="P495" s="364">
        <f t="shared" si="128"/>
        <v>885400.06575835485</v>
      </c>
      <c r="Q495" s="364">
        <f t="shared" si="128"/>
        <v>0</v>
      </c>
      <c r="R495" s="364">
        <f t="shared" si="128"/>
        <v>0</v>
      </c>
      <c r="S495" s="364">
        <f t="shared" si="128"/>
        <v>0</v>
      </c>
      <c r="T495" s="364">
        <f t="shared" si="128"/>
        <v>0</v>
      </c>
      <c r="U495" s="364">
        <f t="shared" si="128"/>
        <v>0</v>
      </c>
      <c r="V495" s="364">
        <f t="shared" si="128"/>
        <v>0</v>
      </c>
      <c r="W495" s="364">
        <f t="shared" si="128"/>
        <v>0</v>
      </c>
      <c r="X495" s="364">
        <f t="shared" si="128"/>
        <v>0</v>
      </c>
      <c r="Y495" s="364">
        <f t="shared" si="128"/>
        <v>0</v>
      </c>
      <c r="AQ495" s="3"/>
    </row>
    <row r="496" spans="5:43" x14ac:dyDescent="0.3">
      <c r="E496" s="352"/>
      <c r="F496" s="2" t="s">
        <v>987</v>
      </c>
      <c r="G496" t="s">
        <v>207</v>
      </c>
      <c r="J496" s="101">
        <f t="shared" ref="J496:Y496" si="129">J442</f>
        <v>0</v>
      </c>
      <c r="K496" s="101">
        <f t="shared" si="129"/>
        <v>0</v>
      </c>
      <c r="L496" s="101">
        <f t="shared" si="129"/>
        <v>237927.96852615874</v>
      </c>
      <c r="M496" s="101">
        <f t="shared" si="129"/>
        <v>0</v>
      </c>
      <c r="N496" s="101">
        <f t="shared" si="129"/>
        <v>215398.73310587116</v>
      </c>
      <c r="O496" s="101">
        <f t="shared" si="129"/>
        <v>4602.1784628624009</v>
      </c>
      <c r="P496" s="101">
        <f t="shared" si="129"/>
        <v>484418.08144945558</v>
      </c>
      <c r="Q496" s="101">
        <f t="shared" si="129"/>
        <v>0</v>
      </c>
      <c r="R496" s="101">
        <f t="shared" si="129"/>
        <v>0</v>
      </c>
      <c r="S496" s="101">
        <f t="shared" si="129"/>
        <v>0</v>
      </c>
      <c r="T496" s="101">
        <f t="shared" si="129"/>
        <v>0</v>
      </c>
      <c r="U496" s="101">
        <f t="shared" si="129"/>
        <v>0</v>
      </c>
      <c r="V496" s="101">
        <f t="shared" si="129"/>
        <v>0</v>
      </c>
      <c r="W496" s="101">
        <f t="shared" si="129"/>
        <v>0</v>
      </c>
      <c r="X496" s="101">
        <f t="shared" si="129"/>
        <v>0</v>
      </c>
      <c r="Y496" s="101">
        <f t="shared" si="129"/>
        <v>0</v>
      </c>
      <c r="AQ496" s="3"/>
    </row>
    <row r="497" spans="5:43" x14ac:dyDescent="0.3">
      <c r="E497" s="352"/>
      <c r="F497" s="2" t="s">
        <v>986</v>
      </c>
      <c r="G497" t="s">
        <v>207</v>
      </c>
      <c r="J497" s="101">
        <f t="shared" ref="J497:Y497" si="130">J471</f>
        <v>0</v>
      </c>
      <c r="K497" s="101">
        <f t="shared" si="130"/>
        <v>0</v>
      </c>
      <c r="L497" s="101">
        <f t="shared" si="130"/>
        <v>767006.34512823971</v>
      </c>
      <c r="M497" s="101">
        <f t="shared" si="130"/>
        <v>0</v>
      </c>
      <c r="N497" s="101">
        <f t="shared" si="130"/>
        <v>211865.54556320657</v>
      </c>
      <c r="O497" s="101">
        <f t="shared" si="130"/>
        <v>52942.608412525537</v>
      </c>
      <c r="P497" s="101">
        <f t="shared" si="130"/>
        <v>1539755.2413915633</v>
      </c>
      <c r="Q497" s="101">
        <f t="shared" si="130"/>
        <v>0</v>
      </c>
      <c r="R497" s="101">
        <f t="shared" si="130"/>
        <v>0</v>
      </c>
      <c r="S497" s="101">
        <f t="shared" si="130"/>
        <v>0</v>
      </c>
      <c r="T497" s="101">
        <f t="shared" si="130"/>
        <v>0</v>
      </c>
      <c r="U497" s="101">
        <f t="shared" si="130"/>
        <v>0</v>
      </c>
      <c r="V497" s="101">
        <f t="shared" si="130"/>
        <v>0</v>
      </c>
      <c r="W497" s="101">
        <f t="shared" si="130"/>
        <v>0</v>
      </c>
      <c r="X497" s="101">
        <f t="shared" si="130"/>
        <v>0</v>
      </c>
      <c r="Y497" s="101">
        <f t="shared" si="130"/>
        <v>0</v>
      </c>
      <c r="AQ497" s="3"/>
    </row>
    <row r="498" spans="5:43" x14ac:dyDescent="0.3">
      <c r="E498" s="72" t="s">
        <v>212</v>
      </c>
      <c r="F498" s="2"/>
      <c r="J498" s="26"/>
      <c r="K498" s="26"/>
      <c r="L498" s="26"/>
      <c r="M498" s="26"/>
      <c r="N498" s="26"/>
      <c r="O498" s="26"/>
      <c r="P498" s="26"/>
      <c r="Q498" s="26"/>
      <c r="R498" s="26"/>
      <c r="S498" s="26"/>
      <c r="T498" s="26"/>
      <c r="U498" s="26"/>
      <c r="V498" s="26"/>
      <c r="W498" s="26"/>
      <c r="X498" s="26"/>
      <c r="Y498" s="26"/>
      <c r="AQ498" s="3"/>
    </row>
    <row r="499" spans="5:43" x14ac:dyDescent="0.3">
      <c r="E499" s="352"/>
      <c r="F499" s="2" t="s">
        <v>983</v>
      </c>
      <c r="G499" t="s">
        <v>212</v>
      </c>
      <c r="J499" s="131">
        <f t="shared" ref="J499:Y499" si="131">J356</f>
        <v>0</v>
      </c>
      <c r="K499" s="131">
        <f t="shared" si="131"/>
        <v>0</v>
      </c>
      <c r="L499" s="131">
        <f t="shared" si="131"/>
        <v>0</v>
      </c>
      <c r="M499" s="131">
        <f t="shared" si="131"/>
        <v>0</v>
      </c>
      <c r="N499" s="131">
        <f t="shared" si="131"/>
        <v>0</v>
      </c>
      <c r="O499" s="131">
        <f t="shared" si="131"/>
        <v>0</v>
      </c>
      <c r="P499" s="131">
        <f t="shared" si="131"/>
        <v>0</v>
      </c>
      <c r="Q499" s="131">
        <f t="shared" si="131"/>
        <v>0</v>
      </c>
      <c r="R499" s="131">
        <f t="shared" si="131"/>
        <v>0</v>
      </c>
      <c r="S499" s="131">
        <f t="shared" si="131"/>
        <v>0</v>
      </c>
      <c r="T499" s="131">
        <f t="shared" si="131"/>
        <v>654.93140614185506</v>
      </c>
      <c r="U499" s="131">
        <f t="shared" si="131"/>
        <v>0</v>
      </c>
      <c r="V499" s="131">
        <f t="shared" si="131"/>
        <v>27.058064434890188</v>
      </c>
      <c r="W499" s="131">
        <f t="shared" si="131"/>
        <v>0</v>
      </c>
      <c r="X499" s="131">
        <f t="shared" si="131"/>
        <v>316.31557457887271</v>
      </c>
      <c r="Y499" s="131">
        <f t="shared" si="131"/>
        <v>0</v>
      </c>
      <c r="AQ499" s="3"/>
    </row>
    <row r="500" spans="5:43" x14ac:dyDescent="0.3">
      <c r="E500" s="352"/>
      <c r="F500" s="2" t="s">
        <v>984</v>
      </c>
      <c r="G500" t="s">
        <v>212</v>
      </c>
      <c r="J500" s="364">
        <f t="shared" ref="J500:Y500" si="132">J385</f>
        <v>2371479.4191347011</v>
      </c>
      <c r="K500" s="364">
        <f t="shared" si="132"/>
        <v>0</v>
      </c>
      <c r="L500" s="364">
        <f t="shared" si="132"/>
        <v>73738.726119001571</v>
      </c>
      <c r="M500" s="364">
        <f t="shared" si="132"/>
        <v>0</v>
      </c>
      <c r="N500" s="364">
        <f t="shared" si="132"/>
        <v>6631.7065906174585</v>
      </c>
      <c r="O500" s="364">
        <f t="shared" si="132"/>
        <v>14.920218031526492</v>
      </c>
      <c r="P500" s="364">
        <f t="shared" si="132"/>
        <v>2286.6045369155877</v>
      </c>
      <c r="Q500" s="364">
        <f t="shared" si="132"/>
        <v>29.475632524712577</v>
      </c>
      <c r="R500" s="364">
        <f t="shared" si="132"/>
        <v>0</v>
      </c>
      <c r="S500" s="364">
        <f t="shared" si="132"/>
        <v>0</v>
      </c>
      <c r="T500" s="364">
        <f t="shared" si="132"/>
        <v>0</v>
      </c>
      <c r="U500" s="364">
        <f t="shared" si="132"/>
        <v>0</v>
      </c>
      <c r="V500" s="364">
        <f t="shared" si="132"/>
        <v>0</v>
      </c>
      <c r="W500" s="364">
        <f t="shared" si="132"/>
        <v>0</v>
      </c>
      <c r="X500" s="364">
        <f t="shared" si="132"/>
        <v>0</v>
      </c>
      <c r="Y500" s="364">
        <f t="shared" si="132"/>
        <v>0</v>
      </c>
      <c r="AQ500" s="3"/>
    </row>
    <row r="501" spans="5:43" x14ac:dyDescent="0.3">
      <c r="E501" s="352"/>
      <c r="F501" s="2" t="s">
        <v>985</v>
      </c>
      <c r="G501" t="s">
        <v>212</v>
      </c>
      <c r="J501" s="364">
        <f t="shared" ref="J501:Y501" si="133">J414</f>
        <v>0</v>
      </c>
      <c r="K501" s="364">
        <f t="shared" si="133"/>
        <v>0</v>
      </c>
      <c r="L501" s="364">
        <f t="shared" si="133"/>
        <v>55649.7548420495</v>
      </c>
      <c r="M501" s="364">
        <f t="shared" si="133"/>
        <v>0</v>
      </c>
      <c r="N501" s="364">
        <f t="shared" si="133"/>
        <v>5364.0829559077765</v>
      </c>
      <c r="O501" s="364">
        <f t="shared" si="133"/>
        <v>35.808523275663582</v>
      </c>
      <c r="P501" s="364">
        <f t="shared" si="133"/>
        <v>1234.3979729275734</v>
      </c>
      <c r="Q501" s="364">
        <f t="shared" si="133"/>
        <v>0</v>
      </c>
      <c r="R501" s="364">
        <f t="shared" si="133"/>
        <v>0</v>
      </c>
      <c r="S501" s="364">
        <f t="shared" si="133"/>
        <v>0</v>
      </c>
      <c r="T501" s="364">
        <f t="shared" si="133"/>
        <v>0</v>
      </c>
      <c r="U501" s="364">
        <f t="shared" si="133"/>
        <v>0</v>
      </c>
      <c r="V501" s="364">
        <f t="shared" si="133"/>
        <v>0</v>
      </c>
      <c r="W501" s="364">
        <f t="shared" si="133"/>
        <v>0</v>
      </c>
      <c r="X501" s="364">
        <f t="shared" si="133"/>
        <v>0</v>
      </c>
      <c r="Y501" s="364">
        <f t="shared" si="133"/>
        <v>0</v>
      </c>
      <c r="AQ501" s="3"/>
    </row>
    <row r="502" spans="5:43" x14ac:dyDescent="0.3">
      <c r="E502" s="352"/>
      <c r="F502" s="2" t="s">
        <v>987</v>
      </c>
      <c r="G502" t="s">
        <v>212</v>
      </c>
      <c r="J502" s="101">
        <f t="shared" ref="J502:Y502" si="134">J443</f>
        <v>0</v>
      </c>
      <c r="K502" s="101">
        <f t="shared" si="134"/>
        <v>0</v>
      </c>
      <c r="L502" s="101">
        <f t="shared" si="134"/>
        <v>28791.724999743532</v>
      </c>
      <c r="M502" s="101">
        <f t="shared" si="134"/>
        <v>0</v>
      </c>
      <c r="N502" s="101">
        <f t="shared" si="134"/>
        <v>1869.638872598561</v>
      </c>
      <c r="O502" s="101">
        <f t="shared" si="134"/>
        <v>40.284588685121527</v>
      </c>
      <c r="P502" s="101">
        <f t="shared" si="134"/>
        <v>302.96998340510919</v>
      </c>
      <c r="Q502" s="101">
        <f t="shared" si="134"/>
        <v>0</v>
      </c>
      <c r="R502" s="101">
        <f t="shared" si="134"/>
        <v>0</v>
      </c>
      <c r="S502" s="101">
        <f t="shared" si="134"/>
        <v>0</v>
      </c>
      <c r="T502" s="101">
        <f t="shared" si="134"/>
        <v>0</v>
      </c>
      <c r="U502" s="101">
        <f t="shared" si="134"/>
        <v>0</v>
      </c>
      <c r="V502" s="101">
        <f t="shared" si="134"/>
        <v>0</v>
      </c>
      <c r="W502" s="101">
        <f t="shared" si="134"/>
        <v>0</v>
      </c>
      <c r="X502" s="101">
        <f t="shared" si="134"/>
        <v>0</v>
      </c>
      <c r="Y502" s="101">
        <f t="shared" si="134"/>
        <v>0</v>
      </c>
      <c r="AQ502" s="3"/>
    </row>
    <row r="503" spans="5:43" x14ac:dyDescent="0.3">
      <c r="E503" s="352"/>
      <c r="F503" s="2" t="s">
        <v>986</v>
      </c>
      <c r="G503" t="s">
        <v>212</v>
      </c>
      <c r="J503" s="101">
        <f t="shared" ref="J503:Y503" si="135">J472</f>
        <v>0</v>
      </c>
      <c r="K503" s="101">
        <f t="shared" si="135"/>
        <v>0</v>
      </c>
      <c r="L503" s="101">
        <f t="shared" si="135"/>
        <v>28783.425878896152</v>
      </c>
      <c r="M503" s="101">
        <f t="shared" si="135"/>
        <v>0</v>
      </c>
      <c r="N503" s="101">
        <f t="shared" si="135"/>
        <v>1178.5932122049885</v>
      </c>
      <c r="O503" s="101">
        <f t="shared" si="135"/>
        <v>308.84851325259831</v>
      </c>
      <c r="P503" s="101">
        <f t="shared" si="135"/>
        <v>312.1819085762105</v>
      </c>
      <c r="Q503" s="101">
        <f t="shared" si="135"/>
        <v>0</v>
      </c>
      <c r="R503" s="101">
        <f t="shared" si="135"/>
        <v>0</v>
      </c>
      <c r="S503" s="101">
        <f t="shared" si="135"/>
        <v>0</v>
      </c>
      <c r="T503" s="101">
        <f t="shared" si="135"/>
        <v>0</v>
      </c>
      <c r="U503" s="101">
        <f t="shared" si="135"/>
        <v>0</v>
      </c>
      <c r="V503" s="101">
        <f t="shared" si="135"/>
        <v>0</v>
      </c>
      <c r="W503" s="101">
        <f t="shared" si="135"/>
        <v>0</v>
      </c>
      <c r="X503" s="101">
        <f t="shared" si="135"/>
        <v>0</v>
      </c>
      <c r="Y503" s="101">
        <f t="shared" si="135"/>
        <v>0</v>
      </c>
      <c r="AQ503" s="3"/>
    </row>
    <row r="504" spans="5:43" x14ac:dyDescent="0.3">
      <c r="E504" s="72" t="s">
        <v>250</v>
      </c>
      <c r="F504" s="2"/>
      <c r="J504" s="26"/>
      <c r="K504" s="26"/>
      <c r="L504" s="26"/>
      <c r="M504" s="26"/>
      <c r="N504" s="26"/>
      <c r="O504" s="26"/>
      <c r="P504" s="26"/>
      <c r="Q504" s="26"/>
      <c r="R504" s="26"/>
      <c r="S504" s="26"/>
      <c r="T504" s="26"/>
      <c r="U504" s="26"/>
      <c r="V504" s="26"/>
      <c r="W504" s="26"/>
      <c r="X504" s="26"/>
      <c r="Y504" s="26"/>
      <c r="AQ504" s="3"/>
    </row>
    <row r="505" spans="5:43" x14ac:dyDescent="0.3">
      <c r="E505" s="352"/>
      <c r="F505" s="2" t="s">
        <v>983</v>
      </c>
      <c r="G505" t="s">
        <v>251</v>
      </c>
      <c r="J505" s="131">
        <f t="shared" ref="J505:Y505" si="136">J357</f>
        <v>0</v>
      </c>
      <c r="K505" s="131">
        <f t="shared" si="136"/>
        <v>0</v>
      </c>
      <c r="L505" s="131">
        <f t="shared" si="136"/>
        <v>0</v>
      </c>
      <c r="M505" s="131">
        <f t="shared" si="136"/>
        <v>0</v>
      </c>
      <c r="N505" s="131">
        <f t="shared" si="136"/>
        <v>0</v>
      </c>
      <c r="O505" s="131">
        <f t="shared" si="136"/>
        <v>0</v>
      </c>
      <c r="P505" s="131">
        <f t="shared" si="136"/>
        <v>0</v>
      </c>
      <c r="Q505" s="131">
        <f t="shared" si="136"/>
        <v>0</v>
      </c>
      <c r="R505" s="131">
        <f t="shared" si="136"/>
        <v>0</v>
      </c>
      <c r="S505" s="131">
        <f t="shared" si="136"/>
        <v>0</v>
      </c>
      <c r="T505" s="131">
        <f t="shared" si="136"/>
        <v>0</v>
      </c>
      <c r="U505" s="131">
        <f t="shared" si="136"/>
        <v>0</v>
      </c>
      <c r="V505" s="131">
        <f t="shared" si="136"/>
        <v>0</v>
      </c>
      <c r="W505" s="131">
        <f t="shared" si="136"/>
        <v>0</v>
      </c>
      <c r="X505" s="131">
        <f t="shared" si="136"/>
        <v>0</v>
      </c>
      <c r="Y505" s="131">
        <f t="shared" si="136"/>
        <v>0</v>
      </c>
      <c r="AQ505" s="3"/>
    </row>
    <row r="506" spans="5:43" x14ac:dyDescent="0.3">
      <c r="E506" s="352"/>
      <c r="F506" s="2" t="s">
        <v>984</v>
      </c>
      <c r="G506" t="s">
        <v>251</v>
      </c>
      <c r="J506" s="364">
        <f t="shared" ref="J506:Y506" si="137">J386</f>
        <v>0</v>
      </c>
      <c r="K506" s="364">
        <f t="shared" si="137"/>
        <v>0</v>
      </c>
      <c r="L506" s="364">
        <f t="shared" si="137"/>
        <v>0</v>
      </c>
      <c r="M506" s="364">
        <f t="shared" si="137"/>
        <v>0</v>
      </c>
      <c r="N506" s="364">
        <f t="shared" si="137"/>
        <v>294530.9448941829</v>
      </c>
      <c r="O506" s="364">
        <f t="shared" si="137"/>
        <v>469.33755147255357</v>
      </c>
      <c r="P506" s="364">
        <f t="shared" si="137"/>
        <v>481830.33404460998</v>
      </c>
      <c r="Q506" s="364">
        <f t="shared" si="137"/>
        <v>0</v>
      </c>
      <c r="R506" s="364">
        <f t="shared" si="137"/>
        <v>0</v>
      </c>
      <c r="S506" s="364">
        <f t="shared" si="137"/>
        <v>0</v>
      </c>
      <c r="T506" s="364">
        <f t="shared" si="137"/>
        <v>0</v>
      </c>
      <c r="U506" s="364">
        <f t="shared" si="137"/>
        <v>0</v>
      </c>
      <c r="V506" s="364">
        <f t="shared" si="137"/>
        <v>0</v>
      </c>
      <c r="W506" s="364">
        <f t="shared" si="137"/>
        <v>0</v>
      </c>
      <c r="X506" s="364">
        <f t="shared" si="137"/>
        <v>0</v>
      </c>
      <c r="Y506" s="364">
        <f t="shared" si="137"/>
        <v>0</v>
      </c>
      <c r="AQ506" s="3"/>
    </row>
    <row r="507" spans="5:43" x14ac:dyDescent="0.3">
      <c r="E507" s="352"/>
      <c r="F507" s="2" t="s">
        <v>985</v>
      </c>
      <c r="G507" t="s">
        <v>251</v>
      </c>
      <c r="J507" s="364">
        <f t="shared" ref="J507:Y507" si="138">J415</f>
        <v>0</v>
      </c>
      <c r="K507" s="364">
        <f t="shared" si="138"/>
        <v>0</v>
      </c>
      <c r="L507" s="364">
        <f t="shared" si="138"/>
        <v>0</v>
      </c>
      <c r="M507" s="364">
        <f t="shared" si="138"/>
        <v>0</v>
      </c>
      <c r="N507" s="364">
        <f t="shared" si="138"/>
        <v>621178.55083053815</v>
      </c>
      <c r="O507" s="364">
        <f t="shared" si="138"/>
        <v>4674.4000380747439</v>
      </c>
      <c r="P507" s="364">
        <f t="shared" si="138"/>
        <v>797561.04424081987</v>
      </c>
      <c r="Q507" s="364">
        <f t="shared" si="138"/>
        <v>0</v>
      </c>
      <c r="R507" s="364">
        <f t="shared" si="138"/>
        <v>0</v>
      </c>
      <c r="S507" s="364">
        <f t="shared" si="138"/>
        <v>0</v>
      </c>
      <c r="T507" s="364">
        <f t="shared" si="138"/>
        <v>0</v>
      </c>
      <c r="U507" s="364">
        <f t="shared" si="138"/>
        <v>0</v>
      </c>
      <c r="V507" s="364">
        <f t="shared" si="138"/>
        <v>0</v>
      </c>
      <c r="W507" s="364">
        <f t="shared" si="138"/>
        <v>0</v>
      </c>
      <c r="X507" s="364">
        <f t="shared" si="138"/>
        <v>0</v>
      </c>
      <c r="Y507" s="364">
        <f t="shared" si="138"/>
        <v>0</v>
      </c>
      <c r="AQ507" s="3"/>
    </row>
    <row r="508" spans="5:43" x14ac:dyDescent="0.3">
      <c r="E508" s="352"/>
      <c r="F508" s="2" t="s">
        <v>987</v>
      </c>
      <c r="G508" t="s">
        <v>251</v>
      </c>
      <c r="J508" s="101">
        <f t="shared" ref="J508:Y508" si="139">J444</f>
        <v>0</v>
      </c>
      <c r="K508" s="101">
        <f t="shared" si="139"/>
        <v>0</v>
      </c>
      <c r="L508" s="101">
        <f t="shared" si="139"/>
        <v>0</v>
      </c>
      <c r="M508" s="101">
        <f t="shared" si="139"/>
        <v>0</v>
      </c>
      <c r="N508" s="101">
        <f t="shared" si="139"/>
        <v>345145.04414668586</v>
      </c>
      <c r="O508" s="101">
        <f t="shared" si="139"/>
        <v>8538.1510538982639</v>
      </c>
      <c r="P508" s="101">
        <f t="shared" si="139"/>
        <v>416770.78962934855</v>
      </c>
      <c r="Q508" s="101">
        <f t="shared" si="139"/>
        <v>0</v>
      </c>
      <c r="R508" s="101">
        <f t="shared" si="139"/>
        <v>0</v>
      </c>
      <c r="S508" s="101">
        <f t="shared" si="139"/>
        <v>0</v>
      </c>
      <c r="T508" s="101">
        <f t="shared" si="139"/>
        <v>0</v>
      </c>
      <c r="U508" s="101">
        <f t="shared" si="139"/>
        <v>0</v>
      </c>
      <c r="V508" s="101">
        <f t="shared" si="139"/>
        <v>0</v>
      </c>
      <c r="W508" s="101">
        <f t="shared" si="139"/>
        <v>0</v>
      </c>
      <c r="X508" s="101">
        <f t="shared" si="139"/>
        <v>0</v>
      </c>
      <c r="Y508" s="101">
        <f t="shared" si="139"/>
        <v>0</v>
      </c>
      <c r="AQ508" s="3"/>
    </row>
    <row r="509" spans="5:43" x14ac:dyDescent="0.3">
      <c r="E509" s="352"/>
      <c r="F509" s="2" t="s">
        <v>986</v>
      </c>
      <c r="G509" t="s">
        <v>251</v>
      </c>
      <c r="J509" s="101">
        <f>J473</f>
        <v>0</v>
      </c>
      <c r="K509" s="101">
        <f t="shared" ref="K509:Y509" si="140">K473</f>
        <v>0</v>
      </c>
      <c r="L509" s="101">
        <f t="shared" si="140"/>
        <v>0</v>
      </c>
      <c r="M509" s="101">
        <f t="shared" si="140"/>
        <v>0</v>
      </c>
      <c r="N509" s="101">
        <f t="shared" si="140"/>
        <v>354174.77784546284</v>
      </c>
      <c r="O509" s="101">
        <f t="shared" si="140"/>
        <v>162581.60291018331</v>
      </c>
      <c r="P509" s="101">
        <f t="shared" si="140"/>
        <v>1269833.0188368834</v>
      </c>
      <c r="Q509" s="101">
        <f t="shared" si="140"/>
        <v>0</v>
      </c>
      <c r="R509" s="101">
        <f t="shared" si="140"/>
        <v>0</v>
      </c>
      <c r="S509" s="101">
        <f t="shared" si="140"/>
        <v>0</v>
      </c>
      <c r="T509" s="101">
        <f t="shared" si="140"/>
        <v>0</v>
      </c>
      <c r="U509" s="101">
        <f t="shared" si="140"/>
        <v>0</v>
      </c>
      <c r="V509" s="101">
        <f t="shared" si="140"/>
        <v>0</v>
      </c>
      <c r="W509" s="101">
        <f t="shared" si="140"/>
        <v>0</v>
      </c>
      <c r="X509" s="101">
        <f t="shared" si="140"/>
        <v>0</v>
      </c>
      <c r="Y509" s="101">
        <f t="shared" si="140"/>
        <v>0</v>
      </c>
      <c r="AQ509" s="3"/>
    </row>
    <row r="510" spans="5:43" x14ac:dyDescent="0.3">
      <c r="E510" s="72" t="s">
        <v>252</v>
      </c>
      <c r="F510" s="2"/>
      <c r="J510" s="26"/>
      <c r="K510" s="26"/>
      <c r="L510" s="26"/>
      <c r="M510" s="26"/>
      <c r="N510" s="26"/>
      <c r="O510" s="26"/>
      <c r="P510" s="26"/>
      <c r="Q510" s="26"/>
      <c r="R510" s="26"/>
      <c r="S510" s="26"/>
      <c r="T510" s="26"/>
      <c r="U510" s="26"/>
      <c r="V510" s="26"/>
      <c r="W510" s="26"/>
      <c r="X510" s="26"/>
      <c r="Y510" s="26"/>
      <c r="AQ510" s="3"/>
    </row>
    <row r="511" spans="5:43" x14ac:dyDescent="0.3">
      <c r="E511" s="352"/>
      <c r="F511" s="2" t="s">
        <v>983</v>
      </c>
      <c r="G511" t="s">
        <v>251</v>
      </c>
      <c r="J511" s="131">
        <f t="shared" ref="J511:Y511" si="141">J358</f>
        <v>0</v>
      </c>
      <c r="K511" s="131">
        <f t="shared" si="141"/>
        <v>0</v>
      </c>
      <c r="L511" s="131">
        <f t="shared" si="141"/>
        <v>0</v>
      </c>
      <c r="M511" s="131">
        <f t="shared" si="141"/>
        <v>0</v>
      </c>
      <c r="N511" s="131">
        <f t="shared" si="141"/>
        <v>0</v>
      </c>
      <c r="O511" s="131">
        <f t="shared" si="141"/>
        <v>0</v>
      </c>
      <c r="P511" s="131">
        <f t="shared" si="141"/>
        <v>0</v>
      </c>
      <c r="Q511" s="131">
        <f t="shared" si="141"/>
        <v>0</v>
      </c>
      <c r="R511" s="131">
        <f t="shared" si="141"/>
        <v>0</v>
      </c>
      <c r="S511" s="131">
        <f t="shared" si="141"/>
        <v>0</v>
      </c>
      <c r="T511" s="131">
        <f t="shared" si="141"/>
        <v>0</v>
      </c>
      <c r="U511" s="131">
        <f t="shared" si="141"/>
        <v>0</v>
      </c>
      <c r="V511" s="131">
        <f t="shared" si="141"/>
        <v>0</v>
      </c>
      <c r="W511" s="131">
        <f t="shared" si="141"/>
        <v>0</v>
      </c>
      <c r="X511" s="131">
        <f t="shared" si="141"/>
        <v>0</v>
      </c>
      <c r="Y511" s="131">
        <f t="shared" si="141"/>
        <v>0</v>
      </c>
      <c r="AQ511" s="3"/>
    </row>
    <row r="512" spans="5:43" x14ac:dyDescent="0.3">
      <c r="E512" s="352"/>
      <c r="F512" s="2" t="s">
        <v>984</v>
      </c>
      <c r="G512" t="s">
        <v>251</v>
      </c>
      <c r="J512" s="364">
        <f t="shared" ref="J512:Y512" si="142">J387</f>
        <v>0</v>
      </c>
      <c r="K512" s="364">
        <f t="shared" si="142"/>
        <v>0</v>
      </c>
      <c r="L512" s="364">
        <f t="shared" si="142"/>
        <v>0</v>
      </c>
      <c r="M512" s="364">
        <f t="shared" si="142"/>
        <v>0</v>
      </c>
      <c r="N512" s="364">
        <f t="shared" si="142"/>
        <v>5868.4378506896392</v>
      </c>
      <c r="O512" s="364">
        <f t="shared" si="142"/>
        <v>0.84134381716200657</v>
      </c>
      <c r="P512" s="364">
        <f t="shared" si="142"/>
        <v>6229.5798176982598</v>
      </c>
      <c r="Q512" s="364">
        <f t="shared" si="142"/>
        <v>0</v>
      </c>
      <c r="R512" s="364">
        <f t="shared" si="142"/>
        <v>0</v>
      </c>
      <c r="S512" s="364">
        <f t="shared" si="142"/>
        <v>0</v>
      </c>
      <c r="T512" s="364">
        <f t="shared" si="142"/>
        <v>0</v>
      </c>
      <c r="U512" s="364">
        <f t="shared" si="142"/>
        <v>0</v>
      </c>
      <c r="V512" s="364">
        <f t="shared" si="142"/>
        <v>0</v>
      </c>
      <c r="W512" s="364">
        <f t="shared" si="142"/>
        <v>0</v>
      </c>
      <c r="X512" s="364">
        <f t="shared" si="142"/>
        <v>0</v>
      </c>
      <c r="Y512" s="364">
        <f t="shared" si="142"/>
        <v>0</v>
      </c>
      <c r="AQ512" s="3"/>
    </row>
    <row r="513" spans="3:43" x14ac:dyDescent="0.3">
      <c r="E513" s="352"/>
      <c r="F513" s="2" t="s">
        <v>985</v>
      </c>
      <c r="G513" t="s">
        <v>251</v>
      </c>
      <c r="J513" s="364">
        <f t="shared" ref="J513:Y513" si="143">J416</f>
        <v>0</v>
      </c>
      <c r="K513" s="364">
        <f t="shared" si="143"/>
        <v>0</v>
      </c>
      <c r="L513" s="364">
        <f t="shared" si="143"/>
        <v>0</v>
      </c>
      <c r="M513" s="364">
        <f t="shared" si="143"/>
        <v>0</v>
      </c>
      <c r="N513" s="364">
        <f t="shared" si="143"/>
        <v>12376.790225014032</v>
      </c>
      <c r="O513" s="364">
        <f t="shared" si="143"/>
        <v>8.3794223552683675</v>
      </c>
      <c r="P513" s="364">
        <f t="shared" si="143"/>
        <v>10311.65917446152</v>
      </c>
      <c r="Q513" s="364">
        <f t="shared" si="143"/>
        <v>0</v>
      </c>
      <c r="R513" s="364">
        <f t="shared" si="143"/>
        <v>0</v>
      </c>
      <c r="S513" s="364">
        <f t="shared" si="143"/>
        <v>0</v>
      </c>
      <c r="T513" s="364">
        <f t="shared" si="143"/>
        <v>0</v>
      </c>
      <c r="U513" s="364">
        <f t="shared" si="143"/>
        <v>0</v>
      </c>
      <c r="V513" s="364">
        <f t="shared" si="143"/>
        <v>0</v>
      </c>
      <c r="W513" s="364">
        <f t="shared" si="143"/>
        <v>0</v>
      </c>
      <c r="X513" s="364">
        <f t="shared" si="143"/>
        <v>0</v>
      </c>
      <c r="Y513" s="364">
        <f t="shared" si="143"/>
        <v>0</v>
      </c>
      <c r="AQ513" s="3"/>
    </row>
    <row r="514" spans="3:43" x14ac:dyDescent="0.3">
      <c r="E514" s="352"/>
      <c r="F514" s="2" t="s">
        <v>987</v>
      </c>
      <c r="G514" t="s">
        <v>251</v>
      </c>
      <c r="J514" s="101">
        <f t="shared" ref="J514:Y514" si="144">J445</f>
        <v>0</v>
      </c>
      <c r="K514" s="101">
        <f t="shared" si="144"/>
        <v>0</v>
      </c>
      <c r="L514" s="101">
        <f t="shared" si="144"/>
        <v>0</v>
      </c>
      <c r="M514" s="101">
        <f t="shared" si="144"/>
        <v>0</v>
      </c>
      <c r="N514" s="101">
        <f t="shared" si="144"/>
        <v>6876.9081013747209</v>
      </c>
      <c r="O514" s="101">
        <f t="shared" si="144"/>
        <v>15.305659171430394</v>
      </c>
      <c r="P514" s="101">
        <f t="shared" si="144"/>
        <v>5388.425585178662</v>
      </c>
      <c r="Q514" s="101">
        <f t="shared" si="144"/>
        <v>0</v>
      </c>
      <c r="R514" s="101">
        <f t="shared" si="144"/>
        <v>0</v>
      </c>
      <c r="S514" s="101">
        <f t="shared" si="144"/>
        <v>0</v>
      </c>
      <c r="T514" s="101">
        <f t="shared" si="144"/>
        <v>0</v>
      </c>
      <c r="U514" s="101">
        <f t="shared" si="144"/>
        <v>0</v>
      </c>
      <c r="V514" s="101">
        <f t="shared" si="144"/>
        <v>0</v>
      </c>
      <c r="W514" s="101">
        <f t="shared" si="144"/>
        <v>0</v>
      </c>
      <c r="X514" s="101">
        <f t="shared" si="144"/>
        <v>0</v>
      </c>
      <c r="Y514" s="101">
        <f t="shared" si="144"/>
        <v>0</v>
      </c>
      <c r="AQ514" s="3"/>
    </row>
    <row r="515" spans="3:43" x14ac:dyDescent="0.3">
      <c r="E515" s="352"/>
      <c r="F515" s="2" t="s">
        <v>986</v>
      </c>
      <c r="G515" t="s">
        <v>251</v>
      </c>
      <c r="J515" s="101">
        <f t="shared" ref="J515:Y515" si="145">J474</f>
        <v>0</v>
      </c>
      <c r="K515" s="101">
        <f t="shared" si="145"/>
        <v>0</v>
      </c>
      <c r="L515" s="101">
        <f t="shared" si="145"/>
        <v>0</v>
      </c>
      <c r="M515" s="101">
        <f t="shared" si="145"/>
        <v>0</v>
      </c>
      <c r="N515" s="101">
        <f t="shared" si="145"/>
        <v>7056.8227485048856</v>
      </c>
      <c r="O515" s="101">
        <f t="shared" si="145"/>
        <v>291.44701071456973</v>
      </c>
      <c r="P515" s="101">
        <f t="shared" si="145"/>
        <v>16417.659053530475</v>
      </c>
      <c r="Q515" s="101">
        <f t="shared" si="145"/>
        <v>0</v>
      </c>
      <c r="R515" s="101">
        <f t="shared" si="145"/>
        <v>0</v>
      </c>
      <c r="S515" s="101">
        <f t="shared" si="145"/>
        <v>0</v>
      </c>
      <c r="T515" s="101">
        <f t="shared" si="145"/>
        <v>0</v>
      </c>
      <c r="U515" s="101">
        <f t="shared" si="145"/>
        <v>0</v>
      </c>
      <c r="V515" s="101">
        <f t="shared" si="145"/>
        <v>0</v>
      </c>
      <c r="W515" s="101">
        <f t="shared" si="145"/>
        <v>0</v>
      </c>
      <c r="X515" s="101">
        <f t="shared" si="145"/>
        <v>0</v>
      </c>
      <c r="Y515" s="101">
        <f t="shared" si="145"/>
        <v>0</v>
      </c>
      <c r="AQ515" s="3"/>
    </row>
    <row r="516" spans="3:43" x14ac:dyDescent="0.3">
      <c r="E516" s="352" t="s">
        <v>253</v>
      </c>
      <c r="F516" s="353"/>
      <c r="J516" s="26"/>
      <c r="K516" s="26"/>
      <c r="L516" s="26"/>
      <c r="M516" s="26"/>
      <c r="N516" s="26"/>
      <c r="O516" s="26"/>
      <c r="P516" s="26"/>
      <c r="Q516" s="26"/>
      <c r="R516" s="26"/>
      <c r="S516" s="26"/>
      <c r="T516" s="26"/>
      <c r="U516" s="26"/>
      <c r="V516" s="26"/>
      <c r="W516" s="26"/>
      <c r="X516" s="26"/>
      <c r="Y516" s="26"/>
      <c r="AQ516" s="3"/>
    </row>
    <row r="517" spans="3:43" x14ac:dyDescent="0.3">
      <c r="E517" s="352"/>
      <c r="F517" s="353" t="s">
        <v>983</v>
      </c>
      <c r="G517" t="s">
        <v>254</v>
      </c>
      <c r="J517" s="131">
        <f t="shared" ref="J517:Y517" si="146">J359</f>
        <v>0</v>
      </c>
      <c r="K517" s="131">
        <f t="shared" si="146"/>
        <v>0</v>
      </c>
      <c r="L517" s="131">
        <f t="shared" si="146"/>
        <v>0</v>
      </c>
      <c r="M517" s="131">
        <f t="shared" si="146"/>
        <v>0</v>
      </c>
      <c r="N517" s="131">
        <f t="shared" si="146"/>
        <v>0</v>
      </c>
      <c r="O517" s="131">
        <f t="shared" si="146"/>
        <v>0</v>
      </c>
      <c r="P517" s="131">
        <f t="shared" si="146"/>
        <v>0</v>
      </c>
      <c r="Q517" s="131">
        <f t="shared" si="146"/>
        <v>0</v>
      </c>
      <c r="R517" s="131">
        <f t="shared" si="146"/>
        <v>0</v>
      </c>
      <c r="S517" s="131">
        <f t="shared" si="146"/>
        <v>0</v>
      </c>
      <c r="T517" s="131">
        <f t="shared" si="146"/>
        <v>3611.1971062068542</v>
      </c>
      <c r="U517" s="131">
        <f t="shared" si="146"/>
        <v>0</v>
      </c>
      <c r="V517" s="131">
        <f t="shared" si="146"/>
        <v>199.32917063675237</v>
      </c>
      <c r="W517" s="131">
        <f t="shared" si="146"/>
        <v>0</v>
      </c>
      <c r="X517" s="131">
        <f t="shared" si="146"/>
        <v>26108.090584296038</v>
      </c>
      <c r="Y517" s="131">
        <f t="shared" si="146"/>
        <v>0</v>
      </c>
      <c r="AQ517" s="3"/>
    </row>
    <row r="518" spans="3:43" x14ac:dyDescent="0.3">
      <c r="E518" s="352"/>
      <c r="F518" s="353" t="s">
        <v>984</v>
      </c>
      <c r="G518" t="s">
        <v>254</v>
      </c>
      <c r="J518" s="364">
        <f t="shared" ref="J518:Y518" si="147">J388</f>
        <v>0</v>
      </c>
      <c r="K518" s="364">
        <f t="shared" si="147"/>
        <v>0</v>
      </c>
      <c r="L518" s="364">
        <f t="shared" si="147"/>
        <v>0</v>
      </c>
      <c r="M518" s="364">
        <f t="shared" si="147"/>
        <v>0</v>
      </c>
      <c r="N518" s="364">
        <f t="shared" si="147"/>
        <v>71937.439803234665</v>
      </c>
      <c r="O518" s="364">
        <f t="shared" si="147"/>
        <v>131.77756588864506</v>
      </c>
      <c r="P518" s="364">
        <f t="shared" si="147"/>
        <v>106399.08143127071</v>
      </c>
      <c r="Q518" s="364">
        <f t="shared" si="147"/>
        <v>0</v>
      </c>
      <c r="R518" s="364">
        <f t="shared" si="147"/>
        <v>0</v>
      </c>
      <c r="S518" s="364">
        <f t="shared" si="147"/>
        <v>0</v>
      </c>
      <c r="T518" s="364">
        <f t="shared" si="147"/>
        <v>0</v>
      </c>
      <c r="U518" s="364">
        <f t="shared" si="147"/>
        <v>0</v>
      </c>
      <c r="V518" s="364">
        <f t="shared" si="147"/>
        <v>0</v>
      </c>
      <c r="W518" s="364">
        <f t="shared" si="147"/>
        <v>0</v>
      </c>
      <c r="X518" s="364">
        <f t="shared" si="147"/>
        <v>0</v>
      </c>
      <c r="Y518" s="364">
        <f t="shared" si="147"/>
        <v>0</v>
      </c>
      <c r="AQ518" s="3"/>
    </row>
    <row r="519" spans="3:43" x14ac:dyDescent="0.3">
      <c r="E519" s="352"/>
      <c r="F519" s="353" t="s">
        <v>985</v>
      </c>
      <c r="G519" t="s">
        <v>254</v>
      </c>
      <c r="J519" s="364">
        <f t="shared" ref="J519:Y519" si="148">J417</f>
        <v>0</v>
      </c>
      <c r="K519" s="364">
        <f t="shared" si="148"/>
        <v>0</v>
      </c>
      <c r="L519" s="364">
        <f t="shared" si="148"/>
        <v>0</v>
      </c>
      <c r="M519" s="364">
        <f t="shared" si="148"/>
        <v>0</v>
      </c>
      <c r="N519" s="364">
        <f t="shared" si="148"/>
        <v>107501.59751385565</v>
      </c>
      <c r="O519" s="364">
        <f t="shared" si="148"/>
        <v>676.4706443951286</v>
      </c>
      <c r="P519" s="364">
        <f t="shared" si="148"/>
        <v>189800.73455524977</v>
      </c>
      <c r="Q519" s="364">
        <f t="shared" si="148"/>
        <v>0</v>
      </c>
      <c r="R519" s="364">
        <f t="shared" si="148"/>
        <v>0</v>
      </c>
      <c r="S519" s="364">
        <f t="shared" si="148"/>
        <v>0</v>
      </c>
      <c r="T519" s="364">
        <f t="shared" si="148"/>
        <v>0</v>
      </c>
      <c r="U519" s="364">
        <f t="shared" si="148"/>
        <v>0</v>
      </c>
      <c r="V519" s="364">
        <f t="shared" si="148"/>
        <v>0</v>
      </c>
      <c r="W519" s="364">
        <f t="shared" si="148"/>
        <v>0</v>
      </c>
      <c r="X519" s="364">
        <f t="shared" si="148"/>
        <v>0</v>
      </c>
      <c r="Y519" s="364">
        <f t="shared" si="148"/>
        <v>0</v>
      </c>
      <c r="AQ519" s="3"/>
    </row>
    <row r="520" spans="3:43" x14ac:dyDescent="0.3">
      <c r="E520" s="352"/>
      <c r="F520" s="353" t="s">
        <v>987</v>
      </c>
      <c r="G520" t="s">
        <v>254</v>
      </c>
      <c r="J520" s="101">
        <f t="shared" ref="J520:Y520" si="149">J446</f>
        <v>0</v>
      </c>
      <c r="K520" s="101">
        <f t="shared" si="149"/>
        <v>0</v>
      </c>
      <c r="L520" s="101">
        <f t="shared" si="149"/>
        <v>0</v>
      </c>
      <c r="M520" s="101">
        <f t="shared" si="149"/>
        <v>0</v>
      </c>
      <c r="N520" s="101">
        <f t="shared" si="149"/>
        <v>58042.571527082284</v>
      </c>
      <c r="O520" s="101">
        <f t="shared" si="149"/>
        <v>1219.5657447813273</v>
      </c>
      <c r="P520" s="101">
        <f t="shared" si="149"/>
        <v>103843.34861348962</v>
      </c>
      <c r="Q520" s="101">
        <f t="shared" si="149"/>
        <v>0</v>
      </c>
      <c r="R520" s="101">
        <f t="shared" si="149"/>
        <v>0</v>
      </c>
      <c r="S520" s="101">
        <f t="shared" si="149"/>
        <v>0</v>
      </c>
      <c r="T520" s="101">
        <f t="shared" si="149"/>
        <v>0</v>
      </c>
      <c r="U520" s="101">
        <f t="shared" si="149"/>
        <v>0</v>
      </c>
      <c r="V520" s="101">
        <f t="shared" si="149"/>
        <v>0</v>
      </c>
      <c r="W520" s="101">
        <f t="shared" si="149"/>
        <v>0</v>
      </c>
      <c r="X520" s="101">
        <f t="shared" si="149"/>
        <v>0</v>
      </c>
      <c r="Y520" s="101">
        <f t="shared" si="149"/>
        <v>0</v>
      </c>
      <c r="AQ520" s="3"/>
    </row>
    <row r="521" spans="3:43" x14ac:dyDescent="0.3">
      <c r="E521" s="80"/>
      <c r="F521" s="354" t="s">
        <v>986</v>
      </c>
      <c r="G521" s="37" t="s">
        <v>254</v>
      </c>
      <c r="H521" s="37"/>
      <c r="I521" s="37"/>
      <c r="J521" s="364">
        <f t="shared" ref="J521:Y521" si="150">J475</f>
        <v>0</v>
      </c>
      <c r="K521" s="364">
        <f t="shared" si="150"/>
        <v>0</v>
      </c>
      <c r="L521" s="364">
        <f t="shared" si="150"/>
        <v>0</v>
      </c>
      <c r="M521" s="364">
        <f t="shared" si="150"/>
        <v>0</v>
      </c>
      <c r="N521" s="364">
        <f t="shared" si="150"/>
        <v>57090.498654105315</v>
      </c>
      <c r="O521" s="364">
        <f t="shared" si="150"/>
        <v>14029.658384679276</v>
      </c>
      <c r="P521" s="364">
        <f t="shared" si="150"/>
        <v>330073.02252807282</v>
      </c>
      <c r="Q521" s="364">
        <f t="shared" si="150"/>
        <v>0</v>
      </c>
      <c r="R521" s="364">
        <f t="shared" si="150"/>
        <v>0</v>
      </c>
      <c r="S521" s="364">
        <f t="shared" si="150"/>
        <v>0</v>
      </c>
      <c r="T521" s="364">
        <f t="shared" si="150"/>
        <v>0</v>
      </c>
      <c r="U521" s="364">
        <f t="shared" si="150"/>
        <v>0</v>
      </c>
      <c r="V521" s="364">
        <f t="shared" si="150"/>
        <v>0</v>
      </c>
      <c r="W521" s="364">
        <f t="shared" si="150"/>
        <v>0</v>
      </c>
      <c r="X521" s="364">
        <f t="shared" si="150"/>
        <v>0</v>
      </c>
      <c r="Y521" s="364">
        <f t="shared" si="150"/>
        <v>0</v>
      </c>
      <c r="AQ521" s="3"/>
    </row>
    <row r="522" spans="3:43" x14ac:dyDescent="0.3">
      <c r="AQ522" s="3"/>
    </row>
    <row r="523" spans="3:43" x14ac:dyDescent="0.3">
      <c r="C523" s="31" t="str">
        <f ca="1">INDEX('Version control'!$H$34:$H$57,MATCH($A$1,'Version control'!$F$34:$F$57,0),1)&amp;"-J: Volumes by residual band"</f>
        <v>Section 104-J: Volumes by residual band</v>
      </c>
      <c r="D523" s="31"/>
      <c r="E523" s="31"/>
      <c r="F523" s="31"/>
      <c r="G523" s="31"/>
      <c r="H523" s="31"/>
      <c r="I523" s="31"/>
      <c r="J523" s="31"/>
      <c r="K523" s="31"/>
      <c r="L523" s="31"/>
      <c r="M523" s="31"/>
      <c r="N523" s="31"/>
      <c r="O523" s="31"/>
      <c r="P523" s="31"/>
      <c r="Q523" s="31"/>
      <c r="R523" s="31"/>
      <c r="S523" s="31"/>
      <c r="T523" s="31"/>
      <c r="U523" s="31"/>
      <c r="V523" s="31"/>
      <c r="W523" s="31"/>
      <c r="X523" s="31"/>
      <c r="Y523" s="31"/>
      <c r="Z523" s="31"/>
      <c r="AA523" s="31"/>
      <c r="AQ523" s="3"/>
    </row>
    <row r="524" spans="3:43" x14ac:dyDescent="0.3">
      <c r="C524" s="32"/>
      <c r="AQ524" s="3"/>
    </row>
    <row r="525" spans="3:43" x14ac:dyDescent="0.3">
      <c r="D525" s="32" t="s">
        <v>1135</v>
      </c>
      <c r="AQ525" s="3"/>
    </row>
    <row r="526" spans="3:43" x14ac:dyDescent="0.3">
      <c r="E526" s="78" t="s">
        <v>247</v>
      </c>
      <c r="F526" s="23"/>
      <c r="G526" s="23"/>
      <c r="H526" s="23"/>
      <c r="I526" s="23"/>
      <c r="J526" s="23"/>
      <c r="K526" s="23"/>
      <c r="L526" s="23"/>
      <c r="M526" s="23"/>
      <c r="N526" s="23"/>
      <c r="O526" s="23"/>
      <c r="P526" s="23"/>
      <c r="Q526" s="23"/>
      <c r="R526" s="23"/>
      <c r="S526" s="23"/>
      <c r="T526" s="23"/>
      <c r="U526" s="23"/>
      <c r="V526" s="23"/>
      <c r="W526" s="23"/>
      <c r="X526" s="23"/>
      <c r="Y526" s="23"/>
      <c r="AQ526" s="3"/>
    </row>
    <row r="527" spans="3:43" x14ac:dyDescent="0.3">
      <c r="E527" s="352"/>
      <c r="F527" s="2" t="s">
        <v>983</v>
      </c>
      <c r="G527" t="s">
        <v>207</v>
      </c>
      <c r="J527" s="131">
        <f>J58</f>
        <v>0</v>
      </c>
      <c r="K527" s="131">
        <f t="shared" ref="K527:Y527" si="151">K58</f>
        <v>79.092618502232185</v>
      </c>
      <c r="L527" s="131">
        <f t="shared" si="151"/>
        <v>0</v>
      </c>
      <c r="M527" s="131">
        <f t="shared" si="151"/>
        <v>127.63198085068298</v>
      </c>
      <c r="N527" s="131">
        <f t="shared" si="151"/>
        <v>0</v>
      </c>
      <c r="O527" s="131">
        <f t="shared" si="151"/>
        <v>0</v>
      </c>
      <c r="P527" s="131">
        <f t="shared" si="151"/>
        <v>0</v>
      </c>
      <c r="Q527" s="131">
        <f t="shared" si="151"/>
        <v>0</v>
      </c>
      <c r="R527" s="131">
        <f t="shared" si="151"/>
        <v>124.04293104575001</v>
      </c>
      <c r="S527" s="131">
        <f t="shared" si="151"/>
        <v>0</v>
      </c>
      <c r="T527" s="131">
        <f t="shared" si="151"/>
        <v>4277.9371551869754</v>
      </c>
      <c r="U527" s="131">
        <f t="shared" si="151"/>
        <v>0</v>
      </c>
      <c r="V527" s="131">
        <f t="shared" si="151"/>
        <v>907.20921076491038</v>
      </c>
      <c r="W527" s="131">
        <f t="shared" si="151"/>
        <v>0</v>
      </c>
      <c r="X527" s="131">
        <f t="shared" si="151"/>
        <v>81186.840431867386</v>
      </c>
      <c r="Y527" s="131">
        <f t="shared" si="151"/>
        <v>0</v>
      </c>
      <c r="AQ527" s="3"/>
    </row>
    <row r="528" spans="3:43" x14ac:dyDescent="0.3">
      <c r="E528" s="352"/>
      <c r="F528" s="2" t="s">
        <v>984</v>
      </c>
      <c r="G528" t="s">
        <v>207</v>
      </c>
      <c r="J528" s="364">
        <f>J67</f>
        <v>908173.56228729698</v>
      </c>
      <c r="K528" s="364">
        <f t="shared" ref="K528:Y528" si="152">K67</f>
        <v>0</v>
      </c>
      <c r="L528" s="364">
        <f t="shared" si="152"/>
        <v>10542.196730826568</v>
      </c>
      <c r="M528" s="364">
        <f t="shared" si="152"/>
        <v>0</v>
      </c>
      <c r="N528" s="364">
        <f t="shared" si="152"/>
        <v>62012.489288938974</v>
      </c>
      <c r="O528" s="364">
        <f t="shared" si="152"/>
        <v>165.27685456335206</v>
      </c>
      <c r="P528" s="364">
        <f t="shared" si="152"/>
        <v>95716.204981290939</v>
      </c>
      <c r="Q528" s="364">
        <f t="shared" si="152"/>
        <v>9658.0802606626021</v>
      </c>
      <c r="R528" s="364">
        <f t="shared" si="152"/>
        <v>0</v>
      </c>
      <c r="S528" s="364">
        <f t="shared" si="152"/>
        <v>0</v>
      </c>
      <c r="T528" s="364">
        <f t="shared" si="152"/>
        <v>0</v>
      </c>
      <c r="U528" s="364">
        <f t="shared" si="152"/>
        <v>0</v>
      </c>
      <c r="V528" s="364">
        <f t="shared" si="152"/>
        <v>0</v>
      </c>
      <c r="W528" s="364">
        <f t="shared" si="152"/>
        <v>0</v>
      </c>
      <c r="X528" s="364">
        <f t="shared" si="152"/>
        <v>0</v>
      </c>
      <c r="Y528" s="364">
        <f t="shared" si="152"/>
        <v>0</v>
      </c>
      <c r="AQ528" s="3"/>
    </row>
    <row r="529" spans="5:43" x14ac:dyDescent="0.3">
      <c r="E529" s="352"/>
      <c r="F529" s="2" t="s">
        <v>985</v>
      </c>
      <c r="G529" t="s">
        <v>207</v>
      </c>
      <c r="J529" s="364">
        <f>J76</f>
        <v>0</v>
      </c>
      <c r="K529" s="364">
        <f t="shared" ref="K529:Y529" si="153">K76</f>
        <v>0</v>
      </c>
      <c r="L529" s="364">
        <f t="shared" si="153"/>
        <v>44248.438611225938</v>
      </c>
      <c r="M529" s="364">
        <f t="shared" si="153"/>
        <v>0</v>
      </c>
      <c r="N529" s="364">
        <f t="shared" si="153"/>
        <v>92669.987736650684</v>
      </c>
      <c r="O529" s="364">
        <f t="shared" si="153"/>
        <v>848.43683032169793</v>
      </c>
      <c r="P529" s="364">
        <f t="shared" si="153"/>
        <v>170744.01178947199</v>
      </c>
      <c r="Q529" s="364">
        <f t="shared" si="153"/>
        <v>0</v>
      </c>
      <c r="R529" s="364">
        <f t="shared" si="153"/>
        <v>0</v>
      </c>
      <c r="S529" s="364">
        <f t="shared" si="153"/>
        <v>0</v>
      </c>
      <c r="T529" s="364">
        <f t="shared" si="153"/>
        <v>0</v>
      </c>
      <c r="U529" s="364">
        <f t="shared" si="153"/>
        <v>0</v>
      </c>
      <c r="V529" s="364">
        <f t="shared" si="153"/>
        <v>0</v>
      </c>
      <c r="W529" s="364">
        <f t="shared" si="153"/>
        <v>0</v>
      </c>
      <c r="X529" s="364">
        <f t="shared" si="153"/>
        <v>0</v>
      </c>
      <c r="Y529" s="364">
        <f t="shared" si="153"/>
        <v>0</v>
      </c>
      <c r="AQ529" s="3"/>
    </row>
    <row r="530" spans="5:43" x14ac:dyDescent="0.3">
      <c r="E530" s="352"/>
      <c r="F530" s="2" t="s">
        <v>987</v>
      </c>
      <c r="G530" t="s">
        <v>207</v>
      </c>
      <c r="J530" s="101">
        <f>J85</f>
        <v>0</v>
      </c>
      <c r="K530" s="101">
        <f t="shared" ref="K530:Y530" si="154">K85</f>
        <v>0</v>
      </c>
      <c r="L530" s="101">
        <f t="shared" si="154"/>
        <v>56137.558818578182</v>
      </c>
      <c r="M530" s="101">
        <f t="shared" si="154"/>
        <v>0</v>
      </c>
      <c r="N530" s="101">
        <f t="shared" si="154"/>
        <v>50034.646144910752</v>
      </c>
      <c r="O530" s="101">
        <f t="shared" si="154"/>
        <v>1529.592604563642</v>
      </c>
      <c r="P530" s="101">
        <f t="shared" si="154"/>
        <v>93417.07755487453</v>
      </c>
      <c r="Q530" s="101">
        <f t="shared" si="154"/>
        <v>0</v>
      </c>
      <c r="R530" s="101">
        <f t="shared" si="154"/>
        <v>0</v>
      </c>
      <c r="S530" s="101">
        <f t="shared" si="154"/>
        <v>0</v>
      </c>
      <c r="T530" s="101">
        <f t="shared" si="154"/>
        <v>0</v>
      </c>
      <c r="U530" s="101">
        <f t="shared" si="154"/>
        <v>0</v>
      </c>
      <c r="V530" s="101">
        <f t="shared" si="154"/>
        <v>0</v>
      </c>
      <c r="W530" s="101">
        <f t="shared" si="154"/>
        <v>0</v>
      </c>
      <c r="X530" s="101">
        <f t="shared" si="154"/>
        <v>0</v>
      </c>
      <c r="Y530" s="101">
        <f t="shared" si="154"/>
        <v>0</v>
      </c>
      <c r="AQ530" s="3"/>
    </row>
    <row r="531" spans="5:43" x14ac:dyDescent="0.3">
      <c r="E531" s="352"/>
      <c r="F531" s="2" t="s">
        <v>986</v>
      </c>
      <c r="G531" t="s">
        <v>207</v>
      </c>
      <c r="J531" s="101">
        <f>J94</f>
        <v>0</v>
      </c>
      <c r="K531" s="101">
        <f t="shared" ref="K531:Y531" si="155">K94</f>
        <v>0</v>
      </c>
      <c r="L531" s="101">
        <f t="shared" si="155"/>
        <v>180970.16538484537</v>
      </c>
      <c r="M531" s="101">
        <f t="shared" si="155"/>
        <v>0</v>
      </c>
      <c r="N531" s="101">
        <f t="shared" si="155"/>
        <v>49213.927350924445</v>
      </c>
      <c r="O531" s="101">
        <f t="shared" si="155"/>
        <v>17596.149942377655</v>
      </c>
      <c r="P531" s="101">
        <f t="shared" si="155"/>
        <v>296932.42327001889</v>
      </c>
      <c r="Q531" s="101">
        <f t="shared" si="155"/>
        <v>0</v>
      </c>
      <c r="R531" s="101">
        <f t="shared" si="155"/>
        <v>0</v>
      </c>
      <c r="S531" s="101">
        <f t="shared" si="155"/>
        <v>0</v>
      </c>
      <c r="T531" s="101">
        <f t="shared" si="155"/>
        <v>0</v>
      </c>
      <c r="U531" s="101">
        <f t="shared" si="155"/>
        <v>0</v>
      </c>
      <c r="V531" s="101">
        <f t="shared" si="155"/>
        <v>0</v>
      </c>
      <c r="W531" s="101">
        <f t="shared" si="155"/>
        <v>0</v>
      </c>
      <c r="X531" s="101">
        <f t="shared" si="155"/>
        <v>0</v>
      </c>
      <c r="Y531" s="101">
        <f t="shared" si="155"/>
        <v>0</v>
      </c>
      <c r="AQ531" s="3"/>
    </row>
    <row r="532" spans="5:43" x14ac:dyDescent="0.3">
      <c r="E532" s="72" t="s">
        <v>248</v>
      </c>
      <c r="F532" s="2"/>
      <c r="J532" s="26"/>
      <c r="K532" s="26"/>
      <c r="L532" s="26"/>
      <c r="M532" s="26"/>
      <c r="N532" s="26"/>
      <c r="O532" s="26"/>
      <c r="P532" s="26"/>
      <c r="Q532" s="26"/>
      <c r="R532" s="26"/>
      <c r="S532" s="26"/>
      <c r="T532" s="26"/>
      <c r="U532" s="26"/>
      <c r="V532" s="26"/>
      <c r="W532" s="26"/>
      <c r="X532" s="26"/>
      <c r="Y532" s="26"/>
      <c r="AQ532" s="3"/>
    </row>
    <row r="533" spans="5:43" x14ac:dyDescent="0.3">
      <c r="E533" s="352"/>
      <c r="F533" s="2" t="s">
        <v>983</v>
      </c>
      <c r="G533" t="s">
        <v>207</v>
      </c>
      <c r="J533" s="131">
        <f>J59</f>
        <v>0</v>
      </c>
      <c r="K533" s="131">
        <f t="shared" ref="K533:Y533" si="156">K59</f>
        <v>3392.6048671577928</v>
      </c>
      <c r="L533" s="131">
        <f t="shared" si="156"/>
        <v>0</v>
      </c>
      <c r="M533" s="131">
        <f t="shared" si="156"/>
        <v>959.76246317801258</v>
      </c>
      <c r="N533" s="131">
        <f t="shared" si="156"/>
        <v>0</v>
      </c>
      <c r="O533" s="131">
        <f t="shared" si="156"/>
        <v>0</v>
      </c>
      <c r="P533" s="131">
        <f t="shared" si="156"/>
        <v>0</v>
      </c>
      <c r="Q533" s="131">
        <f t="shared" si="156"/>
        <v>0</v>
      </c>
      <c r="R533" s="131">
        <f t="shared" si="156"/>
        <v>667.41170453977281</v>
      </c>
      <c r="S533" s="131">
        <f t="shared" si="156"/>
        <v>0</v>
      </c>
      <c r="T533" s="131">
        <f t="shared" si="156"/>
        <v>21422.814813085839</v>
      </c>
      <c r="U533" s="131">
        <f t="shared" si="156"/>
        <v>0</v>
      </c>
      <c r="V533" s="131">
        <f t="shared" si="156"/>
        <v>3604.4281560365216</v>
      </c>
      <c r="W533" s="131">
        <f t="shared" si="156"/>
        <v>0</v>
      </c>
      <c r="X533" s="131">
        <f t="shared" si="156"/>
        <v>281566.89250858821</v>
      </c>
      <c r="Y533" s="131">
        <f t="shared" si="156"/>
        <v>0</v>
      </c>
      <c r="AQ533" s="3"/>
    </row>
    <row r="534" spans="5:43" x14ac:dyDescent="0.3">
      <c r="E534" s="352"/>
      <c r="F534" s="2" t="s">
        <v>984</v>
      </c>
      <c r="G534" t="s">
        <v>207</v>
      </c>
      <c r="J534" s="364">
        <f>J68</f>
        <v>2700660.7423146009</v>
      </c>
      <c r="K534" s="364">
        <f t="shared" ref="K534:Y534" si="157">K68</f>
        <v>0</v>
      </c>
      <c r="L534" s="364">
        <f t="shared" si="157"/>
        <v>43276.151386902842</v>
      </c>
      <c r="M534" s="364">
        <f t="shared" si="157"/>
        <v>0</v>
      </c>
      <c r="N534" s="364">
        <f t="shared" si="157"/>
        <v>237940.27466714167</v>
      </c>
      <c r="O534" s="364">
        <f t="shared" si="157"/>
        <v>436.69171436386927</v>
      </c>
      <c r="P534" s="364">
        <f t="shared" si="157"/>
        <v>370887.43495112588</v>
      </c>
      <c r="Q534" s="364">
        <f t="shared" si="157"/>
        <v>48862.829823812179</v>
      </c>
      <c r="R534" s="364">
        <f t="shared" si="157"/>
        <v>0</v>
      </c>
      <c r="S534" s="364">
        <f t="shared" si="157"/>
        <v>0</v>
      </c>
      <c r="T534" s="364">
        <f t="shared" si="157"/>
        <v>0</v>
      </c>
      <c r="U534" s="364">
        <f t="shared" si="157"/>
        <v>0</v>
      </c>
      <c r="V534" s="364">
        <f t="shared" si="157"/>
        <v>0</v>
      </c>
      <c r="W534" s="364">
        <f t="shared" si="157"/>
        <v>0</v>
      </c>
      <c r="X534" s="364">
        <f t="shared" si="157"/>
        <v>0</v>
      </c>
      <c r="Y534" s="364">
        <f t="shared" si="157"/>
        <v>0</v>
      </c>
      <c r="AQ534" s="3"/>
    </row>
    <row r="535" spans="5:43" x14ac:dyDescent="0.3">
      <c r="E535" s="352"/>
      <c r="F535" s="2" t="s">
        <v>985</v>
      </c>
      <c r="G535" t="s">
        <v>207</v>
      </c>
      <c r="J535" s="364">
        <f>J77</f>
        <v>0</v>
      </c>
      <c r="K535" s="364">
        <f t="shared" ref="K535:Y535" si="158">K77</f>
        <v>0</v>
      </c>
      <c r="L535" s="364">
        <f t="shared" si="158"/>
        <v>181641.6613032938</v>
      </c>
      <c r="M535" s="364">
        <f t="shared" si="158"/>
        <v>0</v>
      </c>
      <c r="N535" s="364">
        <f t="shared" si="158"/>
        <v>355572.28210466803</v>
      </c>
      <c r="O535" s="364">
        <f t="shared" si="158"/>
        <v>2241.7254668929554</v>
      </c>
      <c r="P535" s="364">
        <f t="shared" si="158"/>
        <v>661610.10644164355</v>
      </c>
      <c r="Q535" s="364">
        <f t="shared" si="158"/>
        <v>0</v>
      </c>
      <c r="R535" s="364">
        <f t="shared" si="158"/>
        <v>0</v>
      </c>
      <c r="S535" s="364">
        <f t="shared" si="158"/>
        <v>0</v>
      </c>
      <c r="T535" s="364">
        <f t="shared" si="158"/>
        <v>0</v>
      </c>
      <c r="U535" s="364">
        <f t="shared" si="158"/>
        <v>0</v>
      </c>
      <c r="V535" s="364">
        <f t="shared" si="158"/>
        <v>0</v>
      </c>
      <c r="W535" s="364">
        <f t="shared" si="158"/>
        <v>0</v>
      </c>
      <c r="X535" s="364">
        <f t="shared" si="158"/>
        <v>0</v>
      </c>
      <c r="Y535" s="364">
        <f t="shared" si="158"/>
        <v>0</v>
      </c>
      <c r="AQ535" s="3"/>
    </row>
    <row r="536" spans="5:43" x14ac:dyDescent="0.3">
      <c r="E536" s="352"/>
      <c r="F536" s="2" t="s">
        <v>987</v>
      </c>
      <c r="G536" t="s">
        <v>207</v>
      </c>
      <c r="J536" s="101">
        <f>J86</f>
        <v>0</v>
      </c>
      <c r="K536" s="101">
        <f t="shared" ref="K536:Y536" si="159">K86</f>
        <v>0</v>
      </c>
      <c r="L536" s="101">
        <f t="shared" si="159"/>
        <v>230446.9889866561</v>
      </c>
      <c r="M536" s="101">
        <f t="shared" si="159"/>
        <v>0</v>
      </c>
      <c r="N536" s="101">
        <f t="shared" si="159"/>
        <v>191981.60859375176</v>
      </c>
      <c r="O536" s="101">
        <f t="shared" si="159"/>
        <v>4041.4637520171209</v>
      </c>
      <c r="P536" s="101">
        <f t="shared" si="159"/>
        <v>361978.6250586313</v>
      </c>
      <c r="Q536" s="101">
        <f t="shared" si="159"/>
        <v>0</v>
      </c>
      <c r="R536" s="101">
        <f t="shared" si="159"/>
        <v>0</v>
      </c>
      <c r="S536" s="101">
        <f t="shared" si="159"/>
        <v>0</v>
      </c>
      <c r="T536" s="101">
        <f t="shared" si="159"/>
        <v>0</v>
      </c>
      <c r="U536" s="101">
        <f t="shared" si="159"/>
        <v>0</v>
      </c>
      <c r="V536" s="101">
        <f t="shared" si="159"/>
        <v>0</v>
      </c>
      <c r="W536" s="101">
        <f t="shared" si="159"/>
        <v>0</v>
      </c>
      <c r="X536" s="101">
        <f t="shared" si="159"/>
        <v>0</v>
      </c>
      <c r="Y536" s="101">
        <f t="shared" si="159"/>
        <v>0</v>
      </c>
      <c r="AQ536" s="3"/>
    </row>
    <row r="537" spans="5:43" x14ac:dyDescent="0.3">
      <c r="E537" s="352"/>
      <c r="F537" s="2" t="s">
        <v>986</v>
      </c>
      <c r="G537" t="s">
        <v>207</v>
      </c>
      <c r="J537" s="101">
        <f>J95</f>
        <v>0</v>
      </c>
      <c r="K537" s="101">
        <f t="shared" ref="K537:Y537" si="160">K95</f>
        <v>0</v>
      </c>
      <c r="L537" s="101">
        <f t="shared" si="160"/>
        <v>742889.9757492349</v>
      </c>
      <c r="M537" s="101">
        <f t="shared" si="160"/>
        <v>0</v>
      </c>
      <c r="N537" s="101">
        <f t="shared" si="160"/>
        <v>188832.53237531945</v>
      </c>
      <c r="O537" s="101">
        <f t="shared" si="160"/>
        <v>46492.250259973443</v>
      </c>
      <c r="P537" s="101">
        <f t="shared" si="160"/>
        <v>1150573.2476748892</v>
      </c>
      <c r="Q537" s="101">
        <f t="shared" si="160"/>
        <v>0</v>
      </c>
      <c r="R537" s="101">
        <f t="shared" si="160"/>
        <v>0</v>
      </c>
      <c r="S537" s="101">
        <f t="shared" si="160"/>
        <v>0</v>
      </c>
      <c r="T537" s="101">
        <f t="shared" si="160"/>
        <v>0</v>
      </c>
      <c r="U537" s="101">
        <f t="shared" si="160"/>
        <v>0</v>
      </c>
      <c r="V537" s="101">
        <f t="shared" si="160"/>
        <v>0</v>
      </c>
      <c r="W537" s="101">
        <f t="shared" si="160"/>
        <v>0</v>
      </c>
      <c r="X537" s="101">
        <f t="shared" si="160"/>
        <v>0</v>
      </c>
      <c r="Y537" s="101">
        <f t="shared" si="160"/>
        <v>0</v>
      </c>
      <c r="AQ537" s="3"/>
    </row>
    <row r="538" spans="5:43" x14ac:dyDescent="0.3">
      <c r="E538" s="72" t="s">
        <v>249</v>
      </c>
      <c r="F538" s="2"/>
      <c r="J538" s="26"/>
      <c r="K538" s="26"/>
      <c r="L538" s="26"/>
      <c r="M538" s="26"/>
      <c r="N538" s="26"/>
      <c r="O538" s="26"/>
      <c r="P538" s="26"/>
      <c r="Q538" s="26"/>
      <c r="R538" s="26"/>
      <c r="S538" s="26"/>
      <c r="T538" s="26"/>
      <c r="U538" s="26"/>
      <c r="V538" s="26"/>
      <c r="W538" s="26"/>
      <c r="X538" s="26"/>
      <c r="Y538" s="26"/>
      <c r="AQ538" s="3"/>
    </row>
    <row r="539" spans="5:43" x14ac:dyDescent="0.3">
      <c r="E539" s="352"/>
      <c r="F539" s="2" t="s">
        <v>983</v>
      </c>
      <c r="G539" t="s">
        <v>207</v>
      </c>
      <c r="J539" s="131">
        <f>J60</f>
        <v>0</v>
      </c>
      <c r="K539" s="131">
        <f t="shared" ref="K539:Y539" si="161">K60</f>
        <v>13095.75106613846</v>
      </c>
      <c r="L539" s="131">
        <f t="shared" si="161"/>
        <v>0</v>
      </c>
      <c r="M539" s="131">
        <f t="shared" si="161"/>
        <v>2930.5689204763953</v>
      </c>
      <c r="N539" s="131">
        <f t="shared" si="161"/>
        <v>0</v>
      </c>
      <c r="O539" s="131">
        <f t="shared" si="161"/>
        <v>0</v>
      </c>
      <c r="P539" s="131">
        <f t="shared" si="161"/>
        <v>0</v>
      </c>
      <c r="Q539" s="131">
        <f t="shared" si="161"/>
        <v>0</v>
      </c>
      <c r="R539" s="131">
        <f t="shared" si="161"/>
        <v>329.05439631479078</v>
      </c>
      <c r="S539" s="131">
        <f t="shared" si="161"/>
        <v>0</v>
      </c>
      <c r="T539" s="131">
        <f t="shared" si="161"/>
        <v>21453.635266692032</v>
      </c>
      <c r="U539" s="131">
        <f t="shared" si="161"/>
        <v>0</v>
      </c>
      <c r="V539" s="131">
        <f t="shared" si="161"/>
        <v>5426.3333985064392</v>
      </c>
      <c r="W539" s="131">
        <f t="shared" si="161"/>
        <v>0</v>
      </c>
      <c r="X539" s="131">
        <f t="shared" si="161"/>
        <v>341773.46231736481</v>
      </c>
      <c r="Y539" s="131">
        <f t="shared" si="161"/>
        <v>0</v>
      </c>
      <c r="AQ539" s="3"/>
    </row>
    <row r="540" spans="5:43" x14ac:dyDescent="0.3">
      <c r="E540" s="352"/>
      <c r="F540" s="2" t="s">
        <v>984</v>
      </c>
      <c r="G540" t="s">
        <v>207</v>
      </c>
      <c r="J540" s="364">
        <f>J69</f>
        <v>4472740.9997048797</v>
      </c>
      <c r="K540" s="364">
        <f t="shared" ref="K540:Y540" si="162">K69</f>
        <v>0</v>
      </c>
      <c r="L540" s="364">
        <f t="shared" si="162"/>
        <v>44337.155401507771</v>
      </c>
      <c r="M540" s="364">
        <f t="shared" si="162"/>
        <v>0</v>
      </c>
      <c r="N540" s="364">
        <f t="shared" si="162"/>
        <v>253902.53763430205</v>
      </c>
      <c r="O540" s="364">
        <f t="shared" si="162"/>
        <v>450.15459635774067</v>
      </c>
      <c r="P540" s="364">
        <f t="shared" si="162"/>
        <v>489370.31514945655</v>
      </c>
      <c r="Q540" s="364">
        <f t="shared" si="162"/>
        <v>187359.28019489619</v>
      </c>
      <c r="R540" s="364">
        <f t="shared" si="162"/>
        <v>0</v>
      </c>
      <c r="S540" s="364">
        <f t="shared" si="162"/>
        <v>0</v>
      </c>
      <c r="T540" s="364">
        <f t="shared" si="162"/>
        <v>0</v>
      </c>
      <c r="U540" s="364">
        <f t="shared" si="162"/>
        <v>0</v>
      </c>
      <c r="V540" s="364">
        <f t="shared" si="162"/>
        <v>0</v>
      </c>
      <c r="W540" s="364">
        <f t="shared" si="162"/>
        <v>0</v>
      </c>
      <c r="X540" s="364">
        <f t="shared" si="162"/>
        <v>0</v>
      </c>
      <c r="Y540" s="364">
        <f t="shared" si="162"/>
        <v>0</v>
      </c>
      <c r="AQ540" s="3"/>
    </row>
    <row r="541" spans="5:43" x14ac:dyDescent="0.3">
      <c r="E541" s="352"/>
      <c r="F541" s="2" t="s">
        <v>985</v>
      </c>
      <c r="G541" t="s">
        <v>207</v>
      </c>
      <c r="J541" s="364">
        <f>J78</f>
        <v>0</v>
      </c>
      <c r="K541" s="364">
        <f t="shared" ref="K541:Y541" si="163">K78</f>
        <v>0</v>
      </c>
      <c r="L541" s="364">
        <f t="shared" si="163"/>
        <v>186094.98087275602</v>
      </c>
      <c r="M541" s="364">
        <f t="shared" si="163"/>
        <v>0</v>
      </c>
      <c r="N541" s="364">
        <f t="shared" si="163"/>
        <v>379425.90788839856</v>
      </c>
      <c r="O541" s="364">
        <f t="shared" si="163"/>
        <v>2310.8362020654781</v>
      </c>
      <c r="P541" s="364">
        <f t="shared" si="163"/>
        <v>872966.60869106569</v>
      </c>
      <c r="Q541" s="364">
        <f t="shared" si="163"/>
        <v>0</v>
      </c>
      <c r="R541" s="364">
        <f t="shared" si="163"/>
        <v>0</v>
      </c>
      <c r="S541" s="364">
        <f t="shared" si="163"/>
        <v>0</v>
      </c>
      <c r="T541" s="364">
        <f t="shared" si="163"/>
        <v>0</v>
      </c>
      <c r="U541" s="364">
        <f t="shared" si="163"/>
        <v>0</v>
      </c>
      <c r="V541" s="364">
        <f t="shared" si="163"/>
        <v>0</v>
      </c>
      <c r="W541" s="364">
        <f t="shared" si="163"/>
        <v>0</v>
      </c>
      <c r="X541" s="364">
        <f t="shared" si="163"/>
        <v>0</v>
      </c>
      <c r="Y541" s="364">
        <f t="shared" si="163"/>
        <v>0</v>
      </c>
      <c r="AQ541" s="3"/>
    </row>
    <row r="542" spans="5:43" x14ac:dyDescent="0.3">
      <c r="E542" s="352"/>
      <c r="F542" s="2" t="s">
        <v>987</v>
      </c>
      <c r="G542" t="s">
        <v>207</v>
      </c>
      <c r="J542" s="101">
        <f>J87</f>
        <v>0</v>
      </c>
      <c r="K542" s="101">
        <f t="shared" ref="K542:Y542" si="164">K87</f>
        <v>0</v>
      </c>
      <c r="L542" s="101">
        <f t="shared" si="164"/>
        <v>236096.87171958454</v>
      </c>
      <c r="M542" s="101">
        <f t="shared" si="164"/>
        <v>0</v>
      </c>
      <c r="N542" s="101">
        <f t="shared" si="164"/>
        <v>204860.72679061376</v>
      </c>
      <c r="O542" s="101">
        <f t="shared" si="164"/>
        <v>4166.0590850317949</v>
      </c>
      <c r="P542" s="101">
        <f t="shared" si="164"/>
        <v>477615.51653981599</v>
      </c>
      <c r="Q542" s="101">
        <f t="shared" si="164"/>
        <v>0</v>
      </c>
      <c r="R542" s="101">
        <f t="shared" si="164"/>
        <v>0</v>
      </c>
      <c r="S542" s="101">
        <f t="shared" si="164"/>
        <v>0</v>
      </c>
      <c r="T542" s="101">
        <f t="shared" si="164"/>
        <v>0</v>
      </c>
      <c r="U542" s="101">
        <f t="shared" si="164"/>
        <v>0</v>
      </c>
      <c r="V542" s="101">
        <f t="shared" si="164"/>
        <v>0</v>
      </c>
      <c r="W542" s="101">
        <f t="shared" si="164"/>
        <v>0</v>
      </c>
      <c r="X542" s="101">
        <f t="shared" si="164"/>
        <v>0</v>
      </c>
      <c r="Y542" s="101">
        <f t="shared" si="164"/>
        <v>0</v>
      </c>
      <c r="AQ542" s="3"/>
    </row>
    <row r="543" spans="5:43" x14ac:dyDescent="0.3">
      <c r="E543" s="352"/>
      <c r="F543" s="2" t="s">
        <v>986</v>
      </c>
      <c r="G543" t="s">
        <v>207</v>
      </c>
      <c r="J543" s="101">
        <f>J96</f>
        <v>0</v>
      </c>
      <c r="K543" s="101">
        <f t="shared" ref="K543:Y543" si="165">K96</f>
        <v>0</v>
      </c>
      <c r="L543" s="101">
        <f t="shared" si="165"/>
        <v>761103.45410669909</v>
      </c>
      <c r="M543" s="101">
        <f t="shared" si="165"/>
        <v>0</v>
      </c>
      <c r="N543" s="101">
        <f t="shared" si="165"/>
        <v>201500.39426942827</v>
      </c>
      <c r="O543" s="101">
        <f t="shared" si="165"/>
        <v>47925.571887775201</v>
      </c>
      <c r="P543" s="101">
        <f t="shared" si="165"/>
        <v>1518132.8342692214</v>
      </c>
      <c r="Q543" s="101">
        <f t="shared" si="165"/>
        <v>0</v>
      </c>
      <c r="R543" s="101">
        <f t="shared" si="165"/>
        <v>0</v>
      </c>
      <c r="S543" s="101">
        <f t="shared" si="165"/>
        <v>0</v>
      </c>
      <c r="T543" s="101">
        <f t="shared" si="165"/>
        <v>0</v>
      </c>
      <c r="U543" s="101">
        <f t="shared" si="165"/>
        <v>0</v>
      </c>
      <c r="V543" s="101">
        <f t="shared" si="165"/>
        <v>0</v>
      </c>
      <c r="W543" s="101">
        <f t="shared" si="165"/>
        <v>0</v>
      </c>
      <c r="X543" s="101">
        <f t="shared" si="165"/>
        <v>0</v>
      </c>
      <c r="Y543" s="101">
        <f t="shared" si="165"/>
        <v>0</v>
      </c>
      <c r="AQ543" s="3"/>
    </row>
    <row r="544" spans="5:43" x14ac:dyDescent="0.3">
      <c r="E544" s="72" t="s">
        <v>212</v>
      </c>
      <c r="F544" s="2"/>
      <c r="J544" s="26"/>
      <c r="K544" s="26"/>
      <c r="L544" s="26"/>
      <c r="M544" s="26"/>
      <c r="N544" s="26"/>
      <c r="O544" s="26"/>
      <c r="P544" s="26"/>
      <c r="Q544" s="26"/>
      <c r="R544" s="26"/>
      <c r="S544" s="26"/>
      <c r="T544" s="26"/>
      <c r="U544" s="26"/>
      <c r="V544" s="26"/>
      <c r="W544" s="26"/>
      <c r="X544" s="26"/>
      <c r="Y544" s="26"/>
      <c r="AQ544" s="3"/>
    </row>
    <row r="545" spans="5:43" x14ac:dyDescent="0.3">
      <c r="E545" s="352"/>
      <c r="F545" s="2" t="s">
        <v>983</v>
      </c>
      <c r="G545" t="s">
        <v>212</v>
      </c>
      <c r="J545" s="131">
        <f>J61</f>
        <v>0</v>
      </c>
      <c r="K545" s="131">
        <f t="shared" ref="K545:Y545" si="166">K61</f>
        <v>0</v>
      </c>
      <c r="L545" s="131">
        <f t="shared" si="166"/>
        <v>0</v>
      </c>
      <c r="M545" s="131">
        <f t="shared" si="166"/>
        <v>0</v>
      </c>
      <c r="N545" s="131">
        <f t="shared" si="166"/>
        <v>0</v>
      </c>
      <c r="O545" s="131">
        <f t="shared" si="166"/>
        <v>0</v>
      </c>
      <c r="P545" s="131">
        <f t="shared" si="166"/>
        <v>0</v>
      </c>
      <c r="Q545" s="131">
        <f t="shared" si="166"/>
        <v>0</v>
      </c>
      <c r="R545" s="131">
        <f t="shared" si="166"/>
        <v>0</v>
      </c>
      <c r="S545" s="131">
        <f t="shared" si="166"/>
        <v>0</v>
      </c>
      <c r="T545" s="131">
        <f t="shared" si="166"/>
        <v>654.93140614185506</v>
      </c>
      <c r="U545" s="131">
        <f t="shared" si="166"/>
        <v>0</v>
      </c>
      <c r="V545" s="131">
        <f t="shared" si="166"/>
        <v>27.058064434890188</v>
      </c>
      <c r="W545" s="131">
        <f t="shared" si="166"/>
        <v>0</v>
      </c>
      <c r="X545" s="131">
        <f t="shared" si="166"/>
        <v>316.31557457887271</v>
      </c>
      <c r="Y545" s="131">
        <f t="shared" si="166"/>
        <v>0</v>
      </c>
      <c r="AQ545" s="3"/>
    </row>
    <row r="546" spans="5:43" x14ac:dyDescent="0.3">
      <c r="E546" s="352"/>
      <c r="F546" s="2" t="s">
        <v>984</v>
      </c>
      <c r="G546" t="s">
        <v>212</v>
      </c>
      <c r="J546" s="364">
        <f>J70</f>
        <v>2316983.3909131573</v>
      </c>
      <c r="K546" s="364">
        <f t="shared" ref="K546:Y546" si="167">K70</f>
        <v>0</v>
      </c>
      <c r="L546" s="364">
        <f t="shared" si="167"/>
        <v>73254.274695125219</v>
      </c>
      <c r="M546" s="364">
        <f t="shared" si="167"/>
        <v>0</v>
      </c>
      <c r="N546" s="364">
        <f t="shared" si="167"/>
        <v>6461.3791307301226</v>
      </c>
      <c r="O546" s="364">
        <f t="shared" si="167"/>
        <v>14.227203377601226</v>
      </c>
      <c r="P546" s="364">
        <f t="shared" si="167"/>
        <v>2261.2124841732189</v>
      </c>
      <c r="Q546" s="364">
        <f t="shared" si="167"/>
        <v>29.475632524712577</v>
      </c>
      <c r="R546" s="364">
        <f t="shared" si="167"/>
        <v>0</v>
      </c>
      <c r="S546" s="364">
        <f t="shared" si="167"/>
        <v>0</v>
      </c>
      <c r="T546" s="364">
        <f t="shared" si="167"/>
        <v>0</v>
      </c>
      <c r="U546" s="364">
        <f t="shared" si="167"/>
        <v>0</v>
      </c>
      <c r="V546" s="364">
        <f t="shared" si="167"/>
        <v>0</v>
      </c>
      <c r="W546" s="364">
        <f t="shared" si="167"/>
        <v>0</v>
      </c>
      <c r="X546" s="364">
        <f t="shared" si="167"/>
        <v>0</v>
      </c>
      <c r="Y546" s="364">
        <f t="shared" si="167"/>
        <v>0</v>
      </c>
      <c r="AQ546" s="3"/>
    </row>
    <row r="547" spans="5:43" x14ac:dyDescent="0.3">
      <c r="E547" s="352"/>
      <c r="F547" s="2" t="s">
        <v>985</v>
      </c>
      <c r="G547" t="s">
        <v>212</v>
      </c>
      <c r="J547" s="364">
        <f>J79</f>
        <v>0</v>
      </c>
      <c r="K547" s="364">
        <f t="shared" ref="K547:Y547" si="168">K79</f>
        <v>0</v>
      </c>
      <c r="L547" s="364">
        <f t="shared" si="168"/>
        <v>55284.145014072637</v>
      </c>
      <c r="M547" s="364">
        <f t="shared" si="168"/>
        <v>0</v>
      </c>
      <c r="N547" s="364">
        <f t="shared" si="168"/>
        <v>5226.3128944582313</v>
      </c>
      <c r="O547" s="364">
        <f t="shared" si="168"/>
        <v>34.145288106242944</v>
      </c>
      <c r="P547" s="364">
        <f t="shared" si="168"/>
        <v>1220.6903562725615</v>
      </c>
      <c r="Q547" s="364">
        <f t="shared" si="168"/>
        <v>0</v>
      </c>
      <c r="R547" s="364">
        <f t="shared" si="168"/>
        <v>0</v>
      </c>
      <c r="S547" s="364">
        <f t="shared" si="168"/>
        <v>0</v>
      </c>
      <c r="T547" s="364">
        <f t="shared" si="168"/>
        <v>0</v>
      </c>
      <c r="U547" s="364">
        <f t="shared" si="168"/>
        <v>0</v>
      </c>
      <c r="V547" s="364">
        <f t="shared" si="168"/>
        <v>0</v>
      </c>
      <c r="W547" s="364">
        <f t="shared" si="168"/>
        <v>0</v>
      </c>
      <c r="X547" s="364">
        <f t="shared" si="168"/>
        <v>0</v>
      </c>
      <c r="Y547" s="364">
        <f t="shared" si="168"/>
        <v>0</v>
      </c>
      <c r="AQ547" s="3"/>
    </row>
    <row r="548" spans="5:43" x14ac:dyDescent="0.3">
      <c r="E548" s="352"/>
      <c r="F548" s="2" t="s">
        <v>987</v>
      </c>
      <c r="G548" t="s">
        <v>212</v>
      </c>
      <c r="J548" s="101">
        <f>J88</f>
        <v>0</v>
      </c>
      <c r="K548" s="101">
        <f t="shared" ref="K548:Y548" si="169">K88</f>
        <v>0</v>
      </c>
      <c r="L548" s="101">
        <f t="shared" si="169"/>
        <v>28602.568054592724</v>
      </c>
      <c r="M548" s="101">
        <f t="shared" si="169"/>
        <v>0</v>
      </c>
      <c r="N548" s="101">
        <f t="shared" si="169"/>
        <v>1821.6194320933253</v>
      </c>
      <c r="O548" s="101">
        <f t="shared" si="169"/>
        <v>38.413449119523314</v>
      </c>
      <c r="P548" s="101">
        <f t="shared" si="169"/>
        <v>299.60559324766018</v>
      </c>
      <c r="Q548" s="101">
        <f t="shared" si="169"/>
        <v>0</v>
      </c>
      <c r="R548" s="101">
        <f t="shared" si="169"/>
        <v>0</v>
      </c>
      <c r="S548" s="101">
        <f t="shared" si="169"/>
        <v>0</v>
      </c>
      <c r="T548" s="101">
        <f t="shared" si="169"/>
        <v>0</v>
      </c>
      <c r="U548" s="101">
        <f t="shared" si="169"/>
        <v>0</v>
      </c>
      <c r="V548" s="101">
        <f t="shared" si="169"/>
        <v>0</v>
      </c>
      <c r="W548" s="101">
        <f t="shared" si="169"/>
        <v>0</v>
      </c>
      <c r="X548" s="101">
        <f t="shared" si="169"/>
        <v>0</v>
      </c>
      <c r="Y548" s="101">
        <f t="shared" si="169"/>
        <v>0</v>
      </c>
      <c r="AQ548" s="3"/>
    </row>
    <row r="549" spans="5:43" x14ac:dyDescent="0.3">
      <c r="E549" s="352"/>
      <c r="F549" s="2" t="s">
        <v>986</v>
      </c>
      <c r="G549" t="s">
        <v>212</v>
      </c>
      <c r="J549" s="101">
        <f>J97</f>
        <v>0</v>
      </c>
      <c r="K549" s="101">
        <f t="shared" ref="K549:Y549" si="170">K97</f>
        <v>0</v>
      </c>
      <c r="L549" s="101">
        <f t="shared" si="170"/>
        <v>28594.323457617986</v>
      </c>
      <c r="M549" s="101">
        <f t="shared" si="170"/>
        <v>0</v>
      </c>
      <c r="N549" s="101">
        <f t="shared" si="170"/>
        <v>1148.3224537912572</v>
      </c>
      <c r="O549" s="101">
        <f t="shared" si="170"/>
        <v>294.50310991634535</v>
      </c>
      <c r="P549" s="101">
        <f t="shared" si="170"/>
        <v>308.71522277208226</v>
      </c>
      <c r="Q549" s="101">
        <f t="shared" si="170"/>
        <v>0</v>
      </c>
      <c r="R549" s="101">
        <f t="shared" si="170"/>
        <v>0</v>
      </c>
      <c r="S549" s="101">
        <f t="shared" si="170"/>
        <v>0</v>
      </c>
      <c r="T549" s="101">
        <f t="shared" si="170"/>
        <v>0</v>
      </c>
      <c r="U549" s="101">
        <f t="shared" si="170"/>
        <v>0</v>
      </c>
      <c r="V549" s="101">
        <f t="shared" si="170"/>
        <v>0</v>
      </c>
      <c r="W549" s="101">
        <f t="shared" si="170"/>
        <v>0</v>
      </c>
      <c r="X549" s="101">
        <f t="shared" si="170"/>
        <v>0</v>
      </c>
      <c r="Y549" s="101">
        <f t="shared" si="170"/>
        <v>0</v>
      </c>
      <c r="AQ549" s="3"/>
    </row>
    <row r="550" spans="5:43" x14ac:dyDescent="0.3">
      <c r="E550" s="72" t="s">
        <v>250</v>
      </c>
      <c r="F550" s="2"/>
      <c r="J550" s="26"/>
      <c r="K550" s="26"/>
      <c r="L550" s="26"/>
      <c r="M550" s="26"/>
      <c r="N550" s="26"/>
      <c r="O550" s="26"/>
      <c r="P550" s="26"/>
      <c r="Q550" s="26"/>
      <c r="R550" s="26"/>
      <c r="S550" s="26"/>
      <c r="T550" s="26"/>
      <c r="U550" s="26"/>
      <c r="V550" s="26"/>
      <c r="W550" s="26"/>
      <c r="X550" s="26"/>
      <c r="Y550" s="26"/>
      <c r="AQ550" s="3"/>
    </row>
    <row r="551" spans="5:43" x14ac:dyDescent="0.3">
      <c r="E551" s="352"/>
      <c r="F551" s="2" t="s">
        <v>983</v>
      </c>
      <c r="G551" t="s">
        <v>251</v>
      </c>
      <c r="J551" s="131">
        <f>J62</f>
        <v>0</v>
      </c>
      <c r="K551" s="131">
        <f t="shared" ref="K551:Y551" si="171">K62</f>
        <v>0</v>
      </c>
      <c r="L551" s="131">
        <f t="shared" si="171"/>
        <v>0</v>
      </c>
      <c r="M551" s="131">
        <f t="shared" si="171"/>
        <v>0</v>
      </c>
      <c r="N551" s="131">
        <f t="shared" si="171"/>
        <v>0</v>
      </c>
      <c r="O551" s="131">
        <f t="shared" si="171"/>
        <v>0</v>
      </c>
      <c r="P551" s="131">
        <f t="shared" si="171"/>
        <v>0</v>
      </c>
      <c r="Q551" s="131">
        <f t="shared" si="171"/>
        <v>0</v>
      </c>
      <c r="R551" s="131">
        <f t="shared" si="171"/>
        <v>0</v>
      </c>
      <c r="S551" s="131">
        <f t="shared" si="171"/>
        <v>0</v>
      </c>
      <c r="T551" s="131">
        <f t="shared" si="171"/>
        <v>0</v>
      </c>
      <c r="U551" s="131">
        <f t="shared" si="171"/>
        <v>0</v>
      </c>
      <c r="V551" s="131">
        <f t="shared" si="171"/>
        <v>0</v>
      </c>
      <c r="W551" s="131">
        <f t="shared" si="171"/>
        <v>0</v>
      </c>
      <c r="X551" s="131">
        <f t="shared" si="171"/>
        <v>0</v>
      </c>
      <c r="Y551" s="131">
        <f t="shared" si="171"/>
        <v>0</v>
      </c>
      <c r="AQ551" s="3"/>
    </row>
    <row r="552" spans="5:43" x14ac:dyDescent="0.3">
      <c r="E552" s="352"/>
      <c r="F552" s="2" t="s">
        <v>984</v>
      </c>
      <c r="G552" t="s">
        <v>251</v>
      </c>
      <c r="J552" s="364">
        <f>J71</f>
        <v>0</v>
      </c>
      <c r="K552" s="364">
        <f t="shared" ref="K552:Y552" si="172">K71</f>
        <v>0</v>
      </c>
      <c r="L552" s="364">
        <f t="shared" si="172"/>
        <v>0</v>
      </c>
      <c r="M552" s="364">
        <f t="shared" si="172"/>
        <v>0</v>
      </c>
      <c r="N552" s="364">
        <f t="shared" si="172"/>
        <v>280097.44685078936</v>
      </c>
      <c r="O552" s="364">
        <f t="shared" si="172"/>
        <v>437.55551930884275</v>
      </c>
      <c r="P552" s="364">
        <f t="shared" si="172"/>
        <v>472871.2108175414</v>
      </c>
      <c r="Q552" s="364">
        <f t="shared" si="172"/>
        <v>0</v>
      </c>
      <c r="R552" s="364">
        <f t="shared" si="172"/>
        <v>0</v>
      </c>
      <c r="S552" s="364">
        <f t="shared" si="172"/>
        <v>0</v>
      </c>
      <c r="T552" s="364">
        <f t="shared" si="172"/>
        <v>0</v>
      </c>
      <c r="U552" s="364">
        <f t="shared" si="172"/>
        <v>0</v>
      </c>
      <c r="V552" s="364">
        <f t="shared" si="172"/>
        <v>0</v>
      </c>
      <c r="W552" s="364">
        <f t="shared" si="172"/>
        <v>0</v>
      </c>
      <c r="X552" s="364">
        <f t="shared" si="172"/>
        <v>0</v>
      </c>
      <c r="Y552" s="364">
        <f t="shared" si="172"/>
        <v>0</v>
      </c>
      <c r="AQ552" s="3"/>
    </row>
    <row r="553" spans="5:43" x14ac:dyDescent="0.3">
      <c r="E553" s="352"/>
      <c r="F553" s="2" t="s">
        <v>985</v>
      </c>
      <c r="G553" t="s">
        <v>251</v>
      </c>
      <c r="J553" s="364">
        <f>J80</f>
        <v>0</v>
      </c>
      <c r="K553" s="364">
        <f t="shared" ref="K553:Y553" si="173">K80</f>
        <v>0</v>
      </c>
      <c r="L553" s="364">
        <f t="shared" si="173"/>
        <v>0</v>
      </c>
      <c r="M553" s="364">
        <f t="shared" si="173"/>
        <v>0</v>
      </c>
      <c r="N553" s="364">
        <f t="shared" si="173"/>
        <v>590737.67677829985</v>
      </c>
      <c r="O553" s="364">
        <f t="shared" si="173"/>
        <v>4357.8646747951016</v>
      </c>
      <c r="P553" s="364">
        <f t="shared" si="173"/>
        <v>782731.24384929566</v>
      </c>
      <c r="Q553" s="364">
        <f t="shared" si="173"/>
        <v>0</v>
      </c>
      <c r="R553" s="364">
        <f t="shared" si="173"/>
        <v>0</v>
      </c>
      <c r="S553" s="364">
        <f t="shared" si="173"/>
        <v>0</v>
      </c>
      <c r="T553" s="364">
        <f t="shared" si="173"/>
        <v>0</v>
      </c>
      <c r="U553" s="364">
        <f t="shared" si="173"/>
        <v>0</v>
      </c>
      <c r="V553" s="364">
        <f t="shared" si="173"/>
        <v>0</v>
      </c>
      <c r="W553" s="364">
        <f t="shared" si="173"/>
        <v>0</v>
      </c>
      <c r="X553" s="364">
        <f t="shared" si="173"/>
        <v>0</v>
      </c>
      <c r="Y553" s="364">
        <f t="shared" si="173"/>
        <v>0</v>
      </c>
      <c r="AQ553" s="3"/>
    </row>
    <row r="554" spans="5:43" x14ac:dyDescent="0.3">
      <c r="E554" s="352"/>
      <c r="F554" s="2" t="s">
        <v>987</v>
      </c>
      <c r="G554" t="s">
        <v>251</v>
      </c>
      <c r="J554" s="101">
        <f>J89</f>
        <v>0</v>
      </c>
      <c r="K554" s="101">
        <f t="shared" ref="K554:Y554" si="174">K89</f>
        <v>0</v>
      </c>
      <c r="L554" s="101">
        <f t="shared" si="174"/>
        <v>0</v>
      </c>
      <c r="M554" s="101">
        <f t="shared" si="174"/>
        <v>0</v>
      </c>
      <c r="N554" s="101">
        <f t="shared" si="174"/>
        <v>328231.20060753607</v>
      </c>
      <c r="O554" s="101">
        <f t="shared" si="174"/>
        <v>7959.9748765133081</v>
      </c>
      <c r="P554" s="101">
        <f t="shared" si="174"/>
        <v>409021.37951980095</v>
      </c>
      <c r="Q554" s="101">
        <f t="shared" si="174"/>
        <v>0</v>
      </c>
      <c r="R554" s="101">
        <f t="shared" si="174"/>
        <v>0</v>
      </c>
      <c r="S554" s="101">
        <f t="shared" si="174"/>
        <v>0</v>
      </c>
      <c r="T554" s="101">
        <f t="shared" si="174"/>
        <v>0</v>
      </c>
      <c r="U554" s="101">
        <f t="shared" si="174"/>
        <v>0</v>
      </c>
      <c r="V554" s="101">
        <f t="shared" si="174"/>
        <v>0</v>
      </c>
      <c r="W554" s="101">
        <f t="shared" si="174"/>
        <v>0</v>
      </c>
      <c r="X554" s="101">
        <f t="shared" si="174"/>
        <v>0</v>
      </c>
      <c r="Y554" s="101">
        <f t="shared" si="174"/>
        <v>0</v>
      </c>
      <c r="AQ554" s="3"/>
    </row>
    <row r="555" spans="5:43" x14ac:dyDescent="0.3">
      <c r="E555" s="352"/>
      <c r="F555" s="2" t="s">
        <v>986</v>
      </c>
      <c r="G555" t="s">
        <v>251</v>
      </c>
      <c r="J555" s="101">
        <f>J98</f>
        <v>0</v>
      </c>
      <c r="K555" s="101">
        <f t="shared" ref="K555:Y555" si="175">K98</f>
        <v>0</v>
      </c>
      <c r="L555" s="101">
        <f t="shared" si="175"/>
        <v>0</v>
      </c>
      <c r="M555" s="101">
        <f t="shared" si="175"/>
        <v>0</v>
      </c>
      <c r="N555" s="101">
        <f t="shared" si="175"/>
        <v>336818.43192775827</v>
      </c>
      <c r="O555" s="101">
        <f t="shared" si="175"/>
        <v>151572.09873412279</v>
      </c>
      <c r="P555" s="101">
        <f t="shared" si="175"/>
        <v>1246221.8227586662</v>
      </c>
      <c r="Q555" s="101">
        <f t="shared" si="175"/>
        <v>0</v>
      </c>
      <c r="R555" s="101">
        <f t="shared" si="175"/>
        <v>0</v>
      </c>
      <c r="S555" s="101">
        <f t="shared" si="175"/>
        <v>0</v>
      </c>
      <c r="T555" s="101">
        <f t="shared" si="175"/>
        <v>0</v>
      </c>
      <c r="U555" s="101">
        <f t="shared" si="175"/>
        <v>0</v>
      </c>
      <c r="V555" s="101">
        <f t="shared" si="175"/>
        <v>0</v>
      </c>
      <c r="W555" s="101">
        <f t="shared" si="175"/>
        <v>0</v>
      </c>
      <c r="X555" s="101">
        <f t="shared" si="175"/>
        <v>0</v>
      </c>
      <c r="Y555" s="101">
        <f t="shared" si="175"/>
        <v>0</v>
      </c>
      <c r="AQ555" s="3"/>
    </row>
    <row r="556" spans="5:43" x14ac:dyDescent="0.3">
      <c r="E556" s="72" t="s">
        <v>252</v>
      </c>
      <c r="F556" s="2"/>
      <c r="J556" s="26"/>
      <c r="K556" s="26"/>
      <c r="L556" s="26"/>
      <c r="M556" s="26"/>
      <c r="N556" s="26"/>
      <c r="O556" s="26"/>
      <c r="P556" s="26"/>
      <c r="Q556" s="26"/>
      <c r="R556" s="26"/>
      <c r="S556" s="26"/>
      <c r="T556" s="26"/>
      <c r="U556" s="26"/>
      <c r="V556" s="26"/>
      <c r="W556" s="26"/>
      <c r="X556" s="26"/>
      <c r="Y556" s="26"/>
      <c r="AQ556" s="3"/>
    </row>
    <row r="557" spans="5:43" x14ac:dyDescent="0.3">
      <c r="E557" s="352"/>
      <c r="F557" s="2" t="s">
        <v>983</v>
      </c>
      <c r="G557" t="s">
        <v>251</v>
      </c>
      <c r="J557" s="131">
        <f>J63</f>
        <v>0</v>
      </c>
      <c r="K557" s="131">
        <f t="shared" ref="K557:Y557" si="176">K63</f>
        <v>0</v>
      </c>
      <c r="L557" s="131">
        <f t="shared" si="176"/>
        <v>0</v>
      </c>
      <c r="M557" s="131">
        <f t="shared" si="176"/>
        <v>0</v>
      </c>
      <c r="N557" s="131">
        <f t="shared" si="176"/>
        <v>0</v>
      </c>
      <c r="O557" s="131">
        <f t="shared" si="176"/>
        <v>0</v>
      </c>
      <c r="P557" s="131">
        <f t="shared" si="176"/>
        <v>0</v>
      </c>
      <c r="Q557" s="131">
        <f t="shared" si="176"/>
        <v>0</v>
      </c>
      <c r="R557" s="131">
        <f t="shared" si="176"/>
        <v>0</v>
      </c>
      <c r="S557" s="131">
        <f t="shared" si="176"/>
        <v>0</v>
      </c>
      <c r="T557" s="131">
        <f t="shared" si="176"/>
        <v>0</v>
      </c>
      <c r="U557" s="131">
        <f t="shared" si="176"/>
        <v>0</v>
      </c>
      <c r="V557" s="131">
        <f t="shared" si="176"/>
        <v>0</v>
      </c>
      <c r="W557" s="131">
        <f t="shared" si="176"/>
        <v>0</v>
      </c>
      <c r="X557" s="131">
        <f t="shared" si="176"/>
        <v>0</v>
      </c>
      <c r="Y557" s="131">
        <f t="shared" si="176"/>
        <v>0</v>
      </c>
      <c r="AQ557" s="3"/>
    </row>
    <row r="558" spans="5:43" x14ac:dyDescent="0.3">
      <c r="E558" s="352"/>
      <c r="F558" s="2" t="s">
        <v>984</v>
      </c>
      <c r="G558" t="s">
        <v>251</v>
      </c>
      <c r="J558" s="364">
        <f>J72</f>
        <v>0</v>
      </c>
      <c r="K558" s="364">
        <f t="shared" ref="K558:Y558" si="177">K72</f>
        <v>0</v>
      </c>
      <c r="L558" s="364">
        <f t="shared" si="177"/>
        <v>0</v>
      </c>
      <c r="M558" s="364">
        <f t="shared" si="177"/>
        <v>0</v>
      </c>
      <c r="N558" s="364">
        <f t="shared" si="177"/>
        <v>5805.3349058088652</v>
      </c>
      <c r="O558" s="364">
        <f t="shared" si="177"/>
        <v>0.84134381716200657</v>
      </c>
      <c r="P558" s="364">
        <f t="shared" si="177"/>
        <v>6132.593033999502</v>
      </c>
      <c r="Q558" s="364">
        <f t="shared" si="177"/>
        <v>0</v>
      </c>
      <c r="R558" s="364">
        <f t="shared" si="177"/>
        <v>0</v>
      </c>
      <c r="S558" s="364">
        <f t="shared" si="177"/>
        <v>0</v>
      </c>
      <c r="T558" s="364">
        <f t="shared" si="177"/>
        <v>0</v>
      </c>
      <c r="U558" s="364">
        <f t="shared" si="177"/>
        <v>0</v>
      </c>
      <c r="V558" s="364">
        <f t="shared" si="177"/>
        <v>0</v>
      </c>
      <c r="W558" s="364">
        <f t="shared" si="177"/>
        <v>0</v>
      </c>
      <c r="X558" s="364">
        <f t="shared" si="177"/>
        <v>0</v>
      </c>
      <c r="Y558" s="364">
        <f t="shared" si="177"/>
        <v>0</v>
      </c>
      <c r="AQ558" s="3"/>
    </row>
    <row r="559" spans="5:43" x14ac:dyDescent="0.3">
      <c r="E559" s="352"/>
      <c r="F559" s="2" t="s">
        <v>985</v>
      </c>
      <c r="G559" t="s">
        <v>251</v>
      </c>
      <c r="J559" s="364">
        <f>J81</f>
        <v>0</v>
      </c>
      <c r="K559" s="364">
        <f t="shared" ref="K559:Y559" si="178">K81</f>
        <v>0</v>
      </c>
      <c r="L559" s="364">
        <f t="shared" si="178"/>
        <v>0</v>
      </c>
      <c r="M559" s="364">
        <f t="shared" si="178"/>
        <v>0</v>
      </c>
      <c r="N559" s="364">
        <f t="shared" si="178"/>
        <v>12243.703374434506</v>
      </c>
      <c r="O559" s="364">
        <f t="shared" si="178"/>
        <v>8.3794223552683675</v>
      </c>
      <c r="P559" s="364">
        <f t="shared" si="178"/>
        <v>10151.119509316282</v>
      </c>
      <c r="Q559" s="364">
        <f t="shared" si="178"/>
        <v>0</v>
      </c>
      <c r="R559" s="364">
        <f t="shared" si="178"/>
        <v>0</v>
      </c>
      <c r="S559" s="364">
        <f t="shared" si="178"/>
        <v>0</v>
      </c>
      <c r="T559" s="364">
        <f t="shared" si="178"/>
        <v>0</v>
      </c>
      <c r="U559" s="364">
        <f t="shared" si="178"/>
        <v>0</v>
      </c>
      <c r="V559" s="364">
        <f t="shared" si="178"/>
        <v>0</v>
      </c>
      <c r="W559" s="364">
        <f t="shared" si="178"/>
        <v>0</v>
      </c>
      <c r="X559" s="364">
        <f t="shared" si="178"/>
        <v>0</v>
      </c>
      <c r="Y559" s="364">
        <f t="shared" si="178"/>
        <v>0</v>
      </c>
      <c r="AQ559" s="3"/>
    </row>
    <row r="560" spans="5:43" x14ac:dyDescent="0.3">
      <c r="E560" s="352"/>
      <c r="F560" s="2" t="s">
        <v>987</v>
      </c>
      <c r="G560" t="s">
        <v>251</v>
      </c>
      <c r="J560" s="101">
        <f>J90</f>
        <v>0</v>
      </c>
      <c r="K560" s="101">
        <f t="shared" ref="K560:Y560" si="179">K90</f>
        <v>0</v>
      </c>
      <c r="L560" s="101">
        <f t="shared" si="179"/>
        <v>0</v>
      </c>
      <c r="M560" s="101">
        <f t="shared" si="179"/>
        <v>0</v>
      </c>
      <c r="N560" s="101">
        <f t="shared" si="179"/>
        <v>6802.9611390122927</v>
      </c>
      <c r="O560" s="101">
        <f t="shared" si="179"/>
        <v>15.305659171430394</v>
      </c>
      <c r="P560" s="101">
        <f t="shared" si="179"/>
        <v>5304.5345231808924</v>
      </c>
      <c r="Q560" s="101">
        <f t="shared" si="179"/>
        <v>0</v>
      </c>
      <c r="R560" s="101">
        <f t="shared" si="179"/>
        <v>0</v>
      </c>
      <c r="S560" s="101">
        <f t="shared" si="179"/>
        <v>0</v>
      </c>
      <c r="T560" s="101">
        <f t="shared" si="179"/>
        <v>0</v>
      </c>
      <c r="U560" s="101">
        <f t="shared" si="179"/>
        <v>0</v>
      </c>
      <c r="V560" s="101">
        <f t="shared" si="179"/>
        <v>0</v>
      </c>
      <c r="W560" s="101">
        <f t="shared" si="179"/>
        <v>0</v>
      </c>
      <c r="X560" s="101">
        <f t="shared" si="179"/>
        <v>0</v>
      </c>
      <c r="Y560" s="101">
        <f t="shared" si="179"/>
        <v>0</v>
      </c>
      <c r="AQ560" s="3"/>
    </row>
    <row r="561" spans="4:43" x14ac:dyDescent="0.3">
      <c r="E561" s="352"/>
      <c r="F561" s="2" t="s">
        <v>986</v>
      </c>
      <c r="G561" t="s">
        <v>251</v>
      </c>
      <c r="J561" s="101">
        <f>J99</f>
        <v>0</v>
      </c>
      <c r="K561" s="101">
        <f t="shared" ref="K561:Y561" si="180">K99</f>
        <v>0</v>
      </c>
      <c r="L561" s="101">
        <f t="shared" si="180"/>
        <v>0</v>
      </c>
      <c r="M561" s="101">
        <f t="shared" si="180"/>
        <v>0</v>
      </c>
      <c r="N561" s="101">
        <f t="shared" si="180"/>
        <v>6980.9411752034039</v>
      </c>
      <c r="O561" s="101">
        <f t="shared" si="180"/>
        <v>291.44701071456973</v>
      </c>
      <c r="P561" s="101">
        <f t="shared" si="180"/>
        <v>16162.056590112155</v>
      </c>
      <c r="Q561" s="101">
        <f t="shared" si="180"/>
        <v>0</v>
      </c>
      <c r="R561" s="101">
        <f t="shared" si="180"/>
        <v>0</v>
      </c>
      <c r="S561" s="101">
        <f t="shared" si="180"/>
        <v>0</v>
      </c>
      <c r="T561" s="101">
        <f t="shared" si="180"/>
        <v>0</v>
      </c>
      <c r="U561" s="101">
        <f t="shared" si="180"/>
        <v>0</v>
      </c>
      <c r="V561" s="101">
        <f t="shared" si="180"/>
        <v>0</v>
      </c>
      <c r="W561" s="101">
        <f t="shared" si="180"/>
        <v>0</v>
      </c>
      <c r="X561" s="101">
        <f t="shared" si="180"/>
        <v>0</v>
      </c>
      <c r="Y561" s="101">
        <f t="shared" si="180"/>
        <v>0</v>
      </c>
      <c r="AQ561" s="3"/>
    </row>
    <row r="562" spans="4:43" x14ac:dyDescent="0.3">
      <c r="E562" s="352" t="s">
        <v>253</v>
      </c>
      <c r="F562" s="353"/>
      <c r="J562" s="26"/>
      <c r="K562" s="26"/>
      <c r="L562" s="26"/>
      <c r="M562" s="26"/>
      <c r="N562" s="26"/>
      <c r="O562" s="26"/>
      <c r="P562" s="26"/>
      <c r="Q562" s="26"/>
      <c r="R562" s="26"/>
      <c r="S562" s="26"/>
      <c r="T562" s="26"/>
      <c r="U562" s="26"/>
      <c r="V562" s="26"/>
      <c r="W562" s="26"/>
      <c r="X562" s="26"/>
      <c r="Y562" s="26"/>
      <c r="AQ562" s="3"/>
    </row>
    <row r="563" spans="4:43" x14ac:dyDescent="0.3">
      <c r="E563" s="352"/>
      <c r="F563" s="353" t="s">
        <v>983</v>
      </c>
      <c r="G563" t="s">
        <v>254</v>
      </c>
      <c r="J563" s="131">
        <f>J64</f>
        <v>0</v>
      </c>
      <c r="K563" s="131">
        <f t="shared" ref="K563:Y563" si="181">K64</f>
        <v>0</v>
      </c>
      <c r="L563" s="131">
        <f t="shared" si="181"/>
        <v>0</v>
      </c>
      <c r="M563" s="131">
        <f t="shared" si="181"/>
        <v>0</v>
      </c>
      <c r="N563" s="131">
        <f t="shared" si="181"/>
        <v>0</v>
      </c>
      <c r="O563" s="131">
        <f t="shared" si="181"/>
        <v>0</v>
      </c>
      <c r="P563" s="131">
        <f t="shared" si="181"/>
        <v>0</v>
      </c>
      <c r="Q563" s="131">
        <f t="shared" si="181"/>
        <v>0</v>
      </c>
      <c r="R563" s="131">
        <f t="shared" si="181"/>
        <v>0</v>
      </c>
      <c r="S563" s="131">
        <f t="shared" si="181"/>
        <v>0</v>
      </c>
      <c r="T563" s="131">
        <f t="shared" si="181"/>
        <v>3604.9287740861882</v>
      </c>
      <c r="U563" s="131">
        <f t="shared" si="181"/>
        <v>0</v>
      </c>
      <c r="V563" s="131">
        <f t="shared" si="181"/>
        <v>199.32917063675237</v>
      </c>
      <c r="W563" s="131">
        <f t="shared" si="181"/>
        <v>0</v>
      </c>
      <c r="X563" s="131">
        <f t="shared" si="181"/>
        <v>26105.589426777409</v>
      </c>
      <c r="Y563" s="131">
        <f t="shared" si="181"/>
        <v>0</v>
      </c>
      <c r="AQ563" s="3"/>
    </row>
    <row r="564" spans="4:43" x14ac:dyDescent="0.3">
      <c r="E564" s="352"/>
      <c r="F564" s="353" t="s">
        <v>984</v>
      </c>
      <c r="G564" t="s">
        <v>254</v>
      </c>
      <c r="J564" s="364">
        <f>J73</f>
        <v>0</v>
      </c>
      <c r="K564" s="364">
        <f t="shared" ref="K564:Y564" si="182">K73</f>
        <v>0</v>
      </c>
      <c r="L564" s="364">
        <f t="shared" si="182"/>
        <v>0</v>
      </c>
      <c r="M564" s="364">
        <f t="shared" si="182"/>
        <v>0</v>
      </c>
      <c r="N564" s="364">
        <f t="shared" si="182"/>
        <v>70388.252001957808</v>
      </c>
      <c r="O564" s="364">
        <f t="shared" si="182"/>
        <v>120.35421296383187</v>
      </c>
      <c r="P564" s="364">
        <f t="shared" si="182"/>
        <v>106158.57836800472</v>
      </c>
      <c r="Q564" s="364">
        <f t="shared" si="182"/>
        <v>0</v>
      </c>
      <c r="R564" s="364">
        <f t="shared" si="182"/>
        <v>0</v>
      </c>
      <c r="S564" s="364">
        <f t="shared" si="182"/>
        <v>0</v>
      </c>
      <c r="T564" s="364">
        <f t="shared" si="182"/>
        <v>0</v>
      </c>
      <c r="U564" s="364">
        <f t="shared" si="182"/>
        <v>0</v>
      </c>
      <c r="V564" s="364">
        <f t="shared" si="182"/>
        <v>0</v>
      </c>
      <c r="W564" s="364">
        <f t="shared" si="182"/>
        <v>0</v>
      </c>
      <c r="X564" s="364">
        <f t="shared" si="182"/>
        <v>0</v>
      </c>
      <c r="Y564" s="364">
        <f t="shared" si="182"/>
        <v>0</v>
      </c>
      <c r="AQ564" s="3"/>
    </row>
    <row r="565" spans="4:43" x14ac:dyDescent="0.3">
      <c r="E565" s="352"/>
      <c r="F565" s="353" t="s">
        <v>985</v>
      </c>
      <c r="G565" t="s">
        <v>254</v>
      </c>
      <c r="J565" s="364">
        <f>J82</f>
        <v>0</v>
      </c>
      <c r="K565" s="364">
        <f t="shared" ref="K565:Y565" si="183">K82</f>
        <v>0</v>
      </c>
      <c r="L565" s="364">
        <f t="shared" si="183"/>
        <v>0</v>
      </c>
      <c r="M565" s="364">
        <f t="shared" si="183"/>
        <v>0</v>
      </c>
      <c r="N565" s="364">
        <f t="shared" si="183"/>
        <v>105186.52814327805</v>
      </c>
      <c r="O565" s="364">
        <f t="shared" si="183"/>
        <v>617.82968481987496</v>
      </c>
      <c r="P565" s="364">
        <f t="shared" si="183"/>
        <v>189371.71150865365</v>
      </c>
      <c r="Q565" s="364">
        <f t="shared" si="183"/>
        <v>0</v>
      </c>
      <c r="R565" s="364">
        <f t="shared" si="183"/>
        <v>0</v>
      </c>
      <c r="S565" s="364">
        <f t="shared" si="183"/>
        <v>0</v>
      </c>
      <c r="T565" s="364">
        <f t="shared" si="183"/>
        <v>0</v>
      </c>
      <c r="U565" s="364">
        <f t="shared" si="183"/>
        <v>0</v>
      </c>
      <c r="V565" s="364">
        <f t="shared" si="183"/>
        <v>0</v>
      </c>
      <c r="W565" s="364">
        <f t="shared" si="183"/>
        <v>0</v>
      </c>
      <c r="X565" s="364">
        <f t="shared" si="183"/>
        <v>0</v>
      </c>
      <c r="Y565" s="364">
        <f t="shared" si="183"/>
        <v>0</v>
      </c>
      <c r="AQ565" s="3"/>
    </row>
    <row r="566" spans="4:43" x14ac:dyDescent="0.3">
      <c r="E566" s="352"/>
      <c r="F566" s="353" t="s">
        <v>987</v>
      </c>
      <c r="G566" t="s">
        <v>254</v>
      </c>
      <c r="J566" s="101">
        <f>J91</f>
        <v>0</v>
      </c>
      <c r="K566" s="101">
        <f t="shared" ref="K566:Y566" si="184">K91</f>
        <v>0</v>
      </c>
      <c r="L566" s="101">
        <f t="shared" si="184"/>
        <v>0</v>
      </c>
      <c r="M566" s="101">
        <f t="shared" si="184"/>
        <v>0</v>
      </c>
      <c r="N566" s="101">
        <f t="shared" si="184"/>
        <v>56792.612618196406</v>
      </c>
      <c r="O566" s="101">
        <f t="shared" si="184"/>
        <v>1113.8457018916126</v>
      </c>
      <c r="P566" s="101">
        <f t="shared" si="184"/>
        <v>103608.62249456655</v>
      </c>
      <c r="Q566" s="101">
        <f t="shared" si="184"/>
        <v>0</v>
      </c>
      <c r="R566" s="101">
        <f t="shared" si="184"/>
        <v>0</v>
      </c>
      <c r="S566" s="101">
        <f t="shared" si="184"/>
        <v>0</v>
      </c>
      <c r="T566" s="101">
        <f t="shared" si="184"/>
        <v>0</v>
      </c>
      <c r="U566" s="101">
        <f t="shared" si="184"/>
        <v>0</v>
      </c>
      <c r="V566" s="101">
        <f t="shared" si="184"/>
        <v>0</v>
      </c>
      <c r="W566" s="101">
        <f t="shared" si="184"/>
        <v>0</v>
      </c>
      <c r="X566" s="101">
        <f t="shared" si="184"/>
        <v>0</v>
      </c>
      <c r="Y566" s="101">
        <f t="shared" si="184"/>
        <v>0</v>
      </c>
      <c r="AQ566" s="3"/>
    </row>
    <row r="567" spans="4:43" x14ac:dyDescent="0.3">
      <c r="E567" s="80"/>
      <c r="F567" s="354" t="s">
        <v>986</v>
      </c>
      <c r="G567" s="37" t="s">
        <v>254</v>
      </c>
      <c r="H567" s="37"/>
      <c r="I567" s="37"/>
      <c r="J567" s="364">
        <f>J100</f>
        <v>0</v>
      </c>
      <c r="K567" s="364">
        <f t="shared" ref="K567:Y567" si="185">K100</f>
        <v>0</v>
      </c>
      <c r="L567" s="364">
        <f t="shared" si="185"/>
        <v>0</v>
      </c>
      <c r="M567" s="364">
        <f t="shared" si="185"/>
        <v>0</v>
      </c>
      <c r="N567" s="364">
        <f t="shared" si="185"/>
        <v>55861.042833524734</v>
      </c>
      <c r="O567" s="364">
        <f t="shared" si="185"/>
        <v>12813.474597537663</v>
      </c>
      <c r="P567" s="364">
        <f t="shared" si="185"/>
        <v>329326.9298743431</v>
      </c>
      <c r="Q567" s="364">
        <f t="shared" si="185"/>
        <v>0</v>
      </c>
      <c r="R567" s="364">
        <f t="shared" si="185"/>
        <v>0</v>
      </c>
      <c r="S567" s="364">
        <f t="shared" si="185"/>
        <v>0</v>
      </c>
      <c r="T567" s="364">
        <f t="shared" si="185"/>
        <v>0</v>
      </c>
      <c r="U567" s="364">
        <f t="shared" si="185"/>
        <v>0</v>
      </c>
      <c r="V567" s="364">
        <f t="shared" si="185"/>
        <v>0</v>
      </c>
      <c r="W567" s="364">
        <f t="shared" si="185"/>
        <v>0</v>
      </c>
      <c r="X567" s="364">
        <f t="shared" si="185"/>
        <v>0</v>
      </c>
      <c r="Y567" s="364">
        <f t="shared" si="185"/>
        <v>0</v>
      </c>
      <c r="AQ567" s="3"/>
    </row>
    <row r="568" spans="4:43" x14ac:dyDescent="0.3">
      <c r="AQ568" s="3"/>
    </row>
    <row r="569" spans="4:43" x14ac:dyDescent="0.3">
      <c r="D569" s="32" t="s">
        <v>1136</v>
      </c>
      <c r="AQ569" s="3"/>
    </row>
    <row r="570" spans="4:43" x14ac:dyDescent="0.3">
      <c r="E570" s="78" t="s">
        <v>247</v>
      </c>
      <c r="F570" s="23"/>
      <c r="G570" s="23"/>
      <c r="H570" s="23"/>
      <c r="I570" s="23"/>
      <c r="J570" s="23"/>
      <c r="K570" s="23"/>
      <c r="L570" s="23"/>
      <c r="M570" s="23"/>
      <c r="N570" s="23"/>
      <c r="O570" s="23"/>
      <c r="P570" s="23"/>
      <c r="Q570" s="23"/>
      <c r="R570" s="23"/>
      <c r="S570" s="23"/>
      <c r="T570" s="23"/>
      <c r="U570" s="23"/>
      <c r="V570" s="23"/>
      <c r="W570" s="23"/>
      <c r="X570" s="23"/>
      <c r="Y570" s="23"/>
      <c r="AQ570" s="3"/>
    </row>
    <row r="571" spans="4:43" x14ac:dyDescent="0.3">
      <c r="E571" s="352"/>
      <c r="F571" s="2" t="s">
        <v>983</v>
      </c>
      <c r="G571" t="s">
        <v>207</v>
      </c>
      <c r="J571" s="131">
        <f>J105</f>
        <v>0</v>
      </c>
      <c r="K571" s="131">
        <f t="shared" ref="K571:Y571" si="186">K105</f>
        <v>0</v>
      </c>
      <c r="L571" s="131">
        <f t="shared" si="186"/>
        <v>0</v>
      </c>
      <c r="M571" s="131">
        <f t="shared" si="186"/>
        <v>0</v>
      </c>
      <c r="N571" s="131">
        <f t="shared" si="186"/>
        <v>0</v>
      </c>
      <c r="O571" s="131">
        <f t="shared" si="186"/>
        <v>0</v>
      </c>
      <c r="P571" s="131">
        <f t="shared" si="186"/>
        <v>0</v>
      </c>
      <c r="Q571" s="131">
        <f t="shared" si="186"/>
        <v>0</v>
      </c>
      <c r="R571" s="131">
        <f t="shared" si="186"/>
        <v>1.4162400381651923</v>
      </c>
      <c r="S571" s="131">
        <f t="shared" si="186"/>
        <v>0</v>
      </c>
      <c r="T571" s="131">
        <f t="shared" si="186"/>
        <v>0</v>
      </c>
      <c r="U571" s="131">
        <f t="shared" si="186"/>
        <v>0</v>
      </c>
      <c r="V571" s="131">
        <f t="shared" si="186"/>
        <v>0</v>
      </c>
      <c r="W571" s="131">
        <f t="shared" si="186"/>
        <v>0</v>
      </c>
      <c r="X571" s="131">
        <f t="shared" si="186"/>
        <v>0</v>
      </c>
      <c r="Y571" s="131">
        <f t="shared" si="186"/>
        <v>0</v>
      </c>
      <c r="AQ571" s="3"/>
    </row>
    <row r="572" spans="4:43" x14ac:dyDescent="0.3">
      <c r="E572" s="352"/>
      <c r="F572" s="2" t="s">
        <v>984</v>
      </c>
      <c r="G572" t="s">
        <v>207</v>
      </c>
      <c r="J572" s="364">
        <f>J114</f>
        <v>11244.916691828073</v>
      </c>
      <c r="K572" s="364">
        <f t="shared" ref="K572:Y572" si="187">K114</f>
        <v>0</v>
      </c>
      <c r="L572" s="364">
        <f t="shared" si="187"/>
        <v>25.345746314499099</v>
      </c>
      <c r="M572" s="364">
        <f t="shared" si="187"/>
        <v>0</v>
      </c>
      <c r="N572" s="364">
        <f t="shared" si="187"/>
        <v>554.5724790936348</v>
      </c>
      <c r="O572" s="364">
        <f t="shared" si="187"/>
        <v>0</v>
      </c>
      <c r="P572" s="364">
        <f t="shared" si="187"/>
        <v>0</v>
      </c>
      <c r="Q572" s="364">
        <f t="shared" si="187"/>
        <v>4.4788941885141398</v>
      </c>
      <c r="R572" s="364">
        <f t="shared" si="187"/>
        <v>0</v>
      </c>
      <c r="S572" s="364">
        <f t="shared" si="187"/>
        <v>0</v>
      </c>
      <c r="T572" s="364">
        <f t="shared" si="187"/>
        <v>0</v>
      </c>
      <c r="U572" s="364">
        <f t="shared" si="187"/>
        <v>0</v>
      </c>
      <c r="V572" s="364">
        <f t="shared" si="187"/>
        <v>0</v>
      </c>
      <c r="W572" s="364">
        <f t="shared" si="187"/>
        <v>0</v>
      </c>
      <c r="X572" s="364">
        <f t="shared" si="187"/>
        <v>0</v>
      </c>
      <c r="Y572" s="364">
        <f t="shared" si="187"/>
        <v>0</v>
      </c>
      <c r="AQ572" s="3"/>
    </row>
    <row r="573" spans="4:43" x14ac:dyDescent="0.3">
      <c r="E573" s="352"/>
      <c r="F573" s="2" t="s">
        <v>985</v>
      </c>
      <c r="G573" t="s">
        <v>207</v>
      </c>
      <c r="J573" s="364">
        <f>J123</f>
        <v>0</v>
      </c>
      <c r="K573" s="364">
        <f t="shared" ref="K573:Y573" si="188">K123</f>
        <v>0</v>
      </c>
      <c r="L573" s="364">
        <f t="shared" si="188"/>
        <v>106.38292269517217</v>
      </c>
      <c r="M573" s="364">
        <f t="shared" si="188"/>
        <v>0</v>
      </c>
      <c r="N573" s="364">
        <f t="shared" si="188"/>
        <v>828.73991071759519</v>
      </c>
      <c r="O573" s="364">
        <f t="shared" si="188"/>
        <v>0</v>
      </c>
      <c r="P573" s="364">
        <f t="shared" si="188"/>
        <v>0</v>
      </c>
      <c r="Q573" s="364">
        <f t="shared" si="188"/>
        <v>0</v>
      </c>
      <c r="R573" s="364">
        <f t="shared" si="188"/>
        <v>0</v>
      </c>
      <c r="S573" s="364">
        <f t="shared" si="188"/>
        <v>0</v>
      </c>
      <c r="T573" s="364">
        <f t="shared" si="188"/>
        <v>0</v>
      </c>
      <c r="U573" s="364">
        <f t="shared" si="188"/>
        <v>0</v>
      </c>
      <c r="V573" s="364">
        <f t="shared" si="188"/>
        <v>0</v>
      </c>
      <c r="W573" s="364">
        <f t="shared" si="188"/>
        <v>0</v>
      </c>
      <c r="X573" s="364">
        <f t="shared" si="188"/>
        <v>0</v>
      </c>
      <c r="Y573" s="364">
        <f t="shared" si="188"/>
        <v>0</v>
      </c>
      <c r="AQ573" s="3"/>
    </row>
    <row r="574" spans="4:43" x14ac:dyDescent="0.3">
      <c r="E574" s="352"/>
      <c r="F574" s="2" t="s">
        <v>987</v>
      </c>
      <c r="G574" t="s">
        <v>207</v>
      </c>
      <c r="J574" s="101">
        <f>J132</f>
        <v>0</v>
      </c>
      <c r="K574" s="101">
        <f t="shared" ref="K574:Y574" si="189">K132</f>
        <v>0</v>
      </c>
      <c r="L574" s="101">
        <f t="shared" si="189"/>
        <v>134.96696759323282</v>
      </c>
      <c r="M574" s="101">
        <f t="shared" si="189"/>
        <v>0</v>
      </c>
      <c r="N574" s="101">
        <f t="shared" si="189"/>
        <v>447.45563468462888</v>
      </c>
      <c r="O574" s="101">
        <f t="shared" si="189"/>
        <v>0</v>
      </c>
      <c r="P574" s="101">
        <f t="shared" si="189"/>
        <v>0</v>
      </c>
      <c r="Q574" s="101">
        <f t="shared" si="189"/>
        <v>0</v>
      </c>
      <c r="R574" s="101">
        <f t="shared" si="189"/>
        <v>0</v>
      </c>
      <c r="S574" s="101">
        <f t="shared" si="189"/>
        <v>0</v>
      </c>
      <c r="T574" s="101">
        <f t="shared" si="189"/>
        <v>0</v>
      </c>
      <c r="U574" s="101">
        <f t="shared" si="189"/>
        <v>0</v>
      </c>
      <c r="V574" s="101">
        <f t="shared" si="189"/>
        <v>0</v>
      </c>
      <c r="W574" s="101">
        <f t="shared" si="189"/>
        <v>0</v>
      </c>
      <c r="X574" s="101">
        <f t="shared" si="189"/>
        <v>0</v>
      </c>
      <c r="Y574" s="101">
        <f t="shared" si="189"/>
        <v>0</v>
      </c>
      <c r="AQ574" s="3"/>
    </row>
    <row r="575" spans="4:43" x14ac:dyDescent="0.3">
      <c r="E575" s="352"/>
      <c r="F575" s="2" t="s">
        <v>986</v>
      </c>
      <c r="G575" t="s">
        <v>207</v>
      </c>
      <c r="J575" s="101">
        <f>J141</f>
        <v>0</v>
      </c>
      <c r="K575" s="101">
        <f t="shared" ref="K575:Y575" si="190">K141</f>
        <v>0</v>
      </c>
      <c r="L575" s="101">
        <f t="shared" si="190"/>
        <v>435.09185224411988</v>
      </c>
      <c r="M575" s="101">
        <f t="shared" si="190"/>
        <v>0</v>
      </c>
      <c r="N575" s="101">
        <f t="shared" si="190"/>
        <v>440.11601549761281</v>
      </c>
      <c r="O575" s="101">
        <f t="shared" si="190"/>
        <v>0</v>
      </c>
      <c r="P575" s="101">
        <f t="shared" si="190"/>
        <v>0</v>
      </c>
      <c r="Q575" s="101">
        <f t="shared" si="190"/>
        <v>0</v>
      </c>
      <c r="R575" s="101">
        <f t="shared" si="190"/>
        <v>0</v>
      </c>
      <c r="S575" s="101">
        <f t="shared" si="190"/>
        <v>0</v>
      </c>
      <c r="T575" s="101">
        <f t="shared" si="190"/>
        <v>0</v>
      </c>
      <c r="U575" s="101">
        <f t="shared" si="190"/>
        <v>0</v>
      </c>
      <c r="V575" s="101">
        <f t="shared" si="190"/>
        <v>0</v>
      </c>
      <c r="W575" s="101">
        <f t="shared" si="190"/>
        <v>0</v>
      </c>
      <c r="X575" s="101">
        <f t="shared" si="190"/>
        <v>0</v>
      </c>
      <c r="Y575" s="101">
        <f t="shared" si="190"/>
        <v>0</v>
      </c>
      <c r="AQ575" s="3"/>
    </row>
    <row r="576" spans="4:43" x14ac:dyDescent="0.3">
      <c r="E576" s="72" t="s">
        <v>248</v>
      </c>
      <c r="F576" s="2"/>
      <c r="J576" s="26"/>
      <c r="K576" s="26"/>
      <c r="L576" s="26"/>
      <c r="M576" s="26"/>
      <c r="N576" s="26"/>
      <c r="O576" s="26"/>
      <c r="P576" s="26"/>
      <c r="Q576" s="26"/>
      <c r="R576" s="26"/>
      <c r="S576" s="26"/>
      <c r="T576" s="26"/>
      <c r="U576" s="26"/>
      <c r="V576" s="26"/>
      <c r="W576" s="26"/>
      <c r="X576" s="26"/>
      <c r="Y576" s="26"/>
      <c r="AQ576" s="3"/>
    </row>
    <row r="577" spans="5:43" x14ac:dyDescent="0.3">
      <c r="E577" s="352"/>
      <c r="F577" s="2" t="s">
        <v>983</v>
      </c>
      <c r="G577" t="s">
        <v>207</v>
      </c>
      <c r="J577" s="131">
        <f>J106</f>
        <v>0</v>
      </c>
      <c r="K577" s="131">
        <f t="shared" ref="K577:Y577" si="191">K106</f>
        <v>0</v>
      </c>
      <c r="L577" s="131">
        <f t="shared" si="191"/>
        <v>0</v>
      </c>
      <c r="M577" s="131">
        <f t="shared" si="191"/>
        <v>0</v>
      </c>
      <c r="N577" s="131">
        <f t="shared" si="191"/>
        <v>0</v>
      </c>
      <c r="O577" s="131">
        <f t="shared" si="191"/>
        <v>0</v>
      </c>
      <c r="P577" s="131">
        <f t="shared" si="191"/>
        <v>0</v>
      </c>
      <c r="Q577" s="131">
        <f t="shared" si="191"/>
        <v>0</v>
      </c>
      <c r="R577" s="131">
        <f t="shared" si="191"/>
        <v>7.6951102681025541</v>
      </c>
      <c r="S577" s="131">
        <f t="shared" si="191"/>
        <v>0</v>
      </c>
      <c r="T577" s="131">
        <f t="shared" si="191"/>
        <v>0</v>
      </c>
      <c r="U577" s="131">
        <f t="shared" si="191"/>
        <v>0</v>
      </c>
      <c r="V577" s="131">
        <f t="shared" si="191"/>
        <v>0</v>
      </c>
      <c r="W577" s="131">
        <f t="shared" si="191"/>
        <v>0</v>
      </c>
      <c r="X577" s="131">
        <f t="shared" si="191"/>
        <v>0</v>
      </c>
      <c r="Y577" s="131">
        <f t="shared" si="191"/>
        <v>0</v>
      </c>
      <c r="AQ577" s="3"/>
    </row>
    <row r="578" spans="5:43" x14ac:dyDescent="0.3">
      <c r="E578" s="352"/>
      <c r="F578" s="2" t="s">
        <v>984</v>
      </c>
      <c r="G578" t="s">
        <v>207</v>
      </c>
      <c r="J578" s="364">
        <f>J115</f>
        <v>31905.391196577795</v>
      </c>
      <c r="K578" s="364">
        <f t="shared" ref="K578:Y578" si="192">K115</f>
        <v>0</v>
      </c>
      <c r="L578" s="364">
        <f t="shared" si="192"/>
        <v>108.92045730750806</v>
      </c>
      <c r="M578" s="364">
        <f t="shared" si="192"/>
        <v>0</v>
      </c>
      <c r="N578" s="364">
        <f t="shared" si="192"/>
        <v>2064.9906269954017</v>
      </c>
      <c r="O578" s="364">
        <f t="shared" si="192"/>
        <v>0</v>
      </c>
      <c r="P578" s="364">
        <f t="shared" si="192"/>
        <v>0</v>
      </c>
      <c r="Q578" s="364">
        <f t="shared" si="192"/>
        <v>207.65367753570459</v>
      </c>
      <c r="R578" s="364">
        <f t="shared" si="192"/>
        <v>0</v>
      </c>
      <c r="S578" s="364">
        <f t="shared" si="192"/>
        <v>0</v>
      </c>
      <c r="T578" s="364">
        <f t="shared" si="192"/>
        <v>0</v>
      </c>
      <c r="U578" s="364">
        <f t="shared" si="192"/>
        <v>0</v>
      </c>
      <c r="V578" s="364">
        <f t="shared" si="192"/>
        <v>0</v>
      </c>
      <c r="W578" s="364">
        <f t="shared" si="192"/>
        <v>0</v>
      </c>
      <c r="X578" s="364">
        <f t="shared" si="192"/>
        <v>0</v>
      </c>
      <c r="Y578" s="364">
        <f t="shared" si="192"/>
        <v>0</v>
      </c>
      <c r="AQ578" s="3"/>
    </row>
    <row r="579" spans="5:43" x14ac:dyDescent="0.3">
      <c r="E579" s="352"/>
      <c r="F579" s="2" t="s">
        <v>985</v>
      </c>
      <c r="G579" t="s">
        <v>207</v>
      </c>
      <c r="J579" s="364">
        <f>J124</f>
        <v>0</v>
      </c>
      <c r="K579" s="364">
        <f t="shared" ref="K579:Y579" si="193">K124</f>
        <v>0</v>
      </c>
      <c r="L579" s="364">
        <f t="shared" si="193"/>
        <v>457.16849075534611</v>
      </c>
      <c r="M579" s="364">
        <f t="shared" si="193"/>
        <v>0</v>
      </c>
      <c r="N579" s="364">
        <f t="shared" si="193"/>
        <v>3085.8728342339809</v>
      </c>
      <c r="O579" s="364">
        <f t="shared" si="193"/>
        <v>0</v>
      </c>
      <c r="P579" s="364">
        <f t="shared" si="193"/>
        <v>0</v>
      </c>
      <c r="Q579" s="364">
        <f t="shared" si="193"/>
        <v>0</v>
      </c>
      <c r="R579" s="364">
        <f t="shared" si="193"/>
        <v>0</v>
      </c>
      <c r="S579" s="364">
        <f t="shared" si="193"/>
        <v>0</v>
      </c>
      <c r="T579" s="364">
        <f t="shared" si="193"/>
        <v>0</v>
      </c>
      <c r="U579" s="364">
        <f t="shared" si="193"/>
        <v>0</v>
      </c>
      <c r="V579" s="364">
        <f t="shared" si="193"/>
        <v>0</v>
      </c>
      <c r="W579" s="364">
        <f t="shared" si="193"/>
        <v>0</v>
      </c>
      <c r="X579" s="364">
        <f t="shared" si="193"/>
        <v>0</v>
      </c>
      <c r="Y579" s="364">
        <f t="shared" si="193"/>
        <v>0</v>
      </c>
      <c r="AQ579" s="3"/>
    </row>
    <row r="580" spans="5:43" x14ac:dyDescent="0.3">
      <c r="E580" s="352"/>
      <c r="F580" s="2" t="s">
        <v>987</v>
      </c>
      <c r="G580" t="s">
        <v>207</v>
      </c>
      <c r="J580" s="101">
        <f>J133</f>
        <v>0</v>
      </c>
      <c r="K580" s="101">
        <f t="shared" ref="K580:Y580" si="194">K133</f>
        <v>0</v>
      </c>
      <c r="L580" s="101">
        <f t="shared" si="194"/>
        <v>580.00516730702805</v>
      </c>
      <c r="M580" s="101">
        <f t="shared" si="194"/>
        <v>0</v>
      </c>
      <c r="N580" s="101">
        <f t="shared" si="194"/>
        <v>1666.1333305434889</v>
      </c>
      <c r="O580" s="101">
        <f t="shared" si="194"/>
        <v>0</v>
      </c>
      <c r="P580" s="101">
        <f t="shared" si="194"/>
        <v>0</v>
      </c>
      <c r="Q580" s="101">
        <f t="shared" si="194"/>
        <v>0</v>
      </c>
      <c r="R580" s="101">
        <f t="shared" si="194"/>
        <v>0</v>
      </c>
      <c r="S580" s="101">
        <f t="shared" si="194"/>
        <v>0</v>
      </c>
      <c r="T580" s="101">
        <f t="shared" si="194"/>
        <v>0</v>
      </c>
      <c r="U580" s="101">
        <f t="shared" si="194"/>
        <v>0</v>
      </c>
      <c r="V580" s="101">
        <f t="shared" si="194"/>
        <v>0</v>
      </c>
      <c r="W580" s="101">
        <f t="shared" si="194"/>
        <v>0</v>
      </c>
      <c r="X580" s="101">
        <f t="shared" si="194"/>
        <v>0</v>
      </c>
      <c r="Y580" s="101">
        <f t="shared" si="194"/>
        <v>0</v>
      </c>
      <c r="AQ580" s="3"/>
    </row>
    <row r="581" spans="5:43" x14ac:dyDescent="0.3">
      <c r="E581" s="352"/>
      <c r="F581" s="2" t="s">
        <v>986</v>
      </c>
      <c r="G581" t="s">
        <v>207</v>
      </c>
      <c r="J581" s="101">
        <f>J142</f>
        <v>0</v>
      </c>
      <c r="K581" s="101">
        <f t="shared" ref="K581:Y581" si="195">K142</f>
        <v>0</v>
      </c>
      <c r="L581" s="101">
        <f t="shared" si="195"/>
        <v>1869.7576677823238</v>
      </c>
      <c r="M581" s="101">
        <f t="shared" si="195"/>
        <v>0</v>
      </c>
      <c r="N581" s="101">
        <f t="shared" si="195"/>
        <v>1638.8037290968496</v>
      </c>
      <c r="O581" s="101">
        <f t="shared" si="195"/>
        <v>0</v>
      </c>
      <c r="P581" s="101">
        <f t="shared" si="195"/>
        <v>0</v>
      </c>
      <c r="Q581" s="101">
        <f t="shared" si="195"/>
        <v>0</v>
      </c>
      <c r="R581" s="101">
        <f t="shared" si="195"/>
        <v>0</v>
      </c>
      <c r="S581" s="101">
        <f t="shared" si="195"/>
        <v>0</v>
      </c>
      <c r="T581" s="101">
        <f t="shared" si="195"/>
        <v>0</v>
      </c>
      <c r="U581" s="101">
        <f t="shared" si="195"/>
        <v>0</v>
      </c>
      <c r="V581" s="101">
        <f t="shared" si="195"/>
        <v>0</v>
      </c>
      <c r="W581" s="101">
        <f t="shared" si="195"/>
        <v>0</v>
      </c>
      <c r="X581" s="101">
        <f t="shared" si="195"/>
        <v>0</v>
      </c>
      <c r="Y581" s="101">
        <f t="shared" si="195"/>
        <v>0</v>
      </c>
      <c r="AQ581" s="3"/>
    </row>
    <row r="582" spans="5:43" x14ac:dyDescent="0.3">
      <c r="E582" s="72" t="s">
        <v>249</v>
      </c>
      <c r="F582" s="2"/>
      <c r="J582" s="26"/>
      <c r="K582" s="26"/>
      <c r="L582" s="26"/>
      <c r="M582" s="26"/>
      <c r="N582" s="26"/>
      <c r="O582" s="26"/>
      <c r="P582" s="26"/>
      <c r="Q582" s="26"/>
      <c r="R582" s="26"/>
      <c r="S582" s="26"/>
      <c r="T582" s="26"/>
      <c r="U582" s="26"/>
      <c r="V582" s="26"/>
      <c r="W582" s="26"/>
      <c r="X582" s="26"/>
      <c r="Y582" s="26"/>
      <c r="AQ582" s="3"/>
    </row>
    <row r="583" spans="5:43" x14ac:dyDescent="0.3">
      <c r="E583" s="352"/>
      <c r="F583" s="2" t="s">
        <v>983</v>
      </c>
      <c r="G583" t="s">
        <v>207</v>
      </c>
      <c r="J583" s="131">
        <f>J107</f>
        <v>0</v>
      </c>
      <c r="K583" s="131">
        <f t="shared" ref="K583:Y583" si="196">K107</f>
        <v>0</v>
      </c>
      <c r="L583" s="131">
        <f t="shared" si="196"/>
        <v>0</v>
      </c>
      <c r="M583" s="131">
        <f t="shared" si="196"/>
        <v>0</v>
      </c>
      <c r="N583" s="131">
        <f t="shared" si="196"/>
        <v>0</v>
      </c>
      <c r="O583" s="131">
        <f t="shared" si="196"/>
        <v>0</v>
      </c>
      <c r="P583" s="131">
        <f t="shared" si="196"/>
        <v>0</v>
      </c>
      <c r="Q583" s="131">
        <f t="shared" si="196"/>
        <v>0</v>
      </c>
      <c r="R583" s="131">
        <f t="shared" si="196"/>
        <v>3.9412575596031192</v>
      </c>
      <c r="S583" s="131">
        <f t="shared" si="196"/>
        <v>0</v>
      </c>
      <c r="T583" s="131">
        <f t="shared" si="196"/>
        <v>0</v>
      </c>
      <c r="U583" s="131">
        <f t="shared" si="196"/>
        <v>0</v>
      </c>
      <c r="V583" s="131">
        <f t="shared" si="196"/>
        <v>0</v>
      </c>
      <c r="W583" s="131">
        <f t="shared" si="196"/>
        <v>0</v>
      </c>
      <c r="X583" s="131">
        <f t="shared" si="196"/>
        <v>0</v>
      </c>
      <c r="Y583" s="131">
        <f t="shared" si="196"/>
        <v>0</v>
      </c>
      <c r="AQ583" s="3"/>
    </row>
    <row r="584" spans="5:43" x14ac:dyDescent="0.3">
      <c r="E584" s="352"/>
      <c r="F584" s="2" t="s">
        <v>984</v>
      </c>
      <c r="G584" t="s">
        <v>207</v>
      </c>
      <c r="J584" s="364">
        <f>J116</f>
        <v>49515.527633638289</v>
      </c>
      <c r="K584" s="364">
        <f t="shared" ref="K584:Y584" si="197">K116</f>
        <v>0</v>
      </c>
      <c r="L584" s="364">
        <f t="shared" si="197"/>
        <v>107.1605759851722</v>
      </c>
      <c r="M584" s="364">
        <f t="shared" si="197"/>
        <v>0</v>
      </c>
      <c r="N584" s="364">
        <f t="shared" si="197"/>
        <v>2862.7335648077615</v>
      </c>
      <c r="O584" s="364">
        <f t="shared" si="197"/>
        <v>0</v>
      </c>
      <c r="P584" s="364">
        <f t="shared" si="197"/>
        <v>0</v>
      </c>
      <c r="Q584" s="364">
        <f t="shared" si="197"/>
        <v>324.70153315126709</v>
      </c>
      <c r="R584" s="364">
        <f t="shared" si="197"/>
        <v>0</v>
      </c>
      <c r="S584" s="364">
        <f t="shared" si="197"/>
        <v>0</v>
      </c>
      <c r="T584" s="364">
        <f t="shared" si="197"/>
        <v>0</v>
      </c>
      <c r="U584" s="364">
        <f t="shared" si="197"/>
        <v>0</v>
      </c>
      <c r="V584" s="364">
        <f t="shared" si="197"/>
        <v>0</v>
      </c>
      <c r="W584" s="364">
        <f t="shared" si="197"/>
        <v>0</v>
      </c>
      <c r="X584" s="364">
        <f t="shared" si="197"/>
        <v>0</v>
      </c>
      <c r="Y584" s="364">
        <f t="shared" si="197"/>
        <v>0</v>
      </c>
      <c r="AQ584" s="3"/>
    </row>
    <row r="585" spans="5:43" x14ac:dyDescent="0.3">
      <c r="E585" s="352"/>
      <c r="F585" s="2" t="s">
        <v>985</v>
      </c>
      <c r="G585" t="s">
        <v>207</v>
      </c>
      <c r="J585" s="364">
        <f>J125</f>
        <v>0</v>
      </c>
      <c r="K585" s="364">
        <f t="shared" ref="K585:Y585" si="198">K125</f>
        <v>0</v>
      </c>
      <c r="L585" s="364">
        <f t="shared" si="198"/>
        <v>449.78179492308999</v>
      </c>
      <c r="M585" s="364">
        <f t="shared" si="198"/>
        <v>0</v>
      </c>
      <c r="N585" s="364">
        <f t="shared" si="198"/>
        <v>4278.0008895942292</v>
      </c>
      <c r="O585" s="364">
        <f t="shared" si="198"/>
        <v>0</v>
      </c>
      <c r="P585" s="364">
        <f t="shared" si="198"/>
        <v>0</v>
      </c>
      <c r="Q585" s="364">
        <f t="shared" si="198"/>
        <v>0</v>
      </c>
      <c r="R585" s="364">
        <f t="shared" si="198"/>
        <v>0</v>
      </c>
      <c r="S585" s="364">
        <f t="shared" si="198"/>
        <v>0</v>
      </c>
      <c r="T585" s="364">
        <f t="shared" si="198"/>
        <v>0</v>
      </c>
      <c r="U585" s="364">
        <f t="shared" si="198"/>
        <v>0</v>
      </c>
      <c r="V585" s="364">
        <f t="shared" si="198"/>
        <v>0</v>
      </c>
      <c r="W585" s="364">
        <f t="shared" si="198"/>
        <v>0</v>
      </c>
      <c r="X585" s="364">
        <f t="shared" si="198"/>
        <v>0</v>
      </c>
      <c r="Y585" s="364">
        <f t="shared" si="198"/>
        <v>0</v>
      </c>
      <c r="AQ585" s="3"/>
    </row>
    <row r="586" spans="5:43" x14ac:dyDescent="0.3">
      <c r="E586" s="352"/>
      <c r="F586" s="2" t="s">
        <v>987</v>
      </c>
      <c r="G586" t="s">
        <v>207</v>
      </c>
      <c r="J586" s="101">
        <f>J134</f>
        <v>0</v>
      </c>
      <c r="K586" s="101">
        <f t="shared" ref="K586:Y586" si="199">K134</f>
        <v>0</v>
      </c>
      <c r="L586" s="101">
        <f t="shared" si="199"/>
        <v>570.63373896349719</v>
      </c>
      <c r="M586" s="101">
        <f t="shared" si="199"/>
        <v>0</v>
      </c>
      <c r="N586" s="101">
        <f t="shared" si="199"/>
        <v>2309.7905367889166</v>
      </c>
      <c r="O586" s="101">
        <f t="shared" si="199"/>
        <v>0</v>
      </c>
      <c r="P586" s="101">
        <f t="shared" si="199"/>
        <v>0</v>
      </c>
      <c r="Q586" s="101">
        <f t="shared" si="199"/>
        <v>0</v>
      </c>
      <c r="R586" s="101">
        <f t="shared" si="199"/>
        <v>0</v>
      </c>
      <c r="S586" s="101">
        <f t="shared" si="199"/>
        <v>0</v>
      </c>
      <c r="T586" s="101">
        <f t="shared" si="199"/>
        <v>0</v>
      </c>
      <c r="U586" s="101">
        <f t="shared" si="199"/>
        <v>0</v>
      </c>
      <c r="V586" s="101">
        <f t="shared" si="199"/>
        <v>0</v>
      </c>
      <c r="W586" s="101">
        <f t="shared" si="199"/>
        <v>0</v>
      </c>
      <c r="X586" s="101">
        <f t="shared" si="199"/>
        <v>0</v>
      </c>
      <c r="Y586" s="101">
        <f t="shared" si="199"/>
        <v>0</v>
      </c>
      <c r="AQ586" s="3"/>
    </row>
    <row r="587" spans="5:43" x14ac:dyDescent="0.3">
      <c r="E587" s="352"/>
      <c r="F587" s="2" t="s">
        <v>986</v>
      </c>
      <c r="G587" t="s">
        <v>207</v>
      </c>
      <c r="J587" s="101">
        <f>J143</f>
        <v>0</v>
      </c>
      <c r="K587" s="101">
        <f t="shared" ref="K587:Y587" si="200">K143</f>
        <v>0</v>
      </c>
      <c r="L587" s="101">
        <f t="shared" si="200"/>
        <v>1839.54707485822</v>
      </c>
      <c r="M587" s="101">
        <f t="shared" si="200"/>
        <v>0</v>
      </c>
      <c r="N587" s="101">
        <f t="shared" si="200"/>
        <v>2271.9030198426772</v>
      </c>
      <c r="O587" s="101">
        <f t="shared" si="200"/>
        <v>0</v>
      </c>
      <c r="P587" s="101">
        <f t="shared" si="200"/>
        <v>0</v>
      </c>
      <c r="Q587" s="101">
        <f t="shared" si="200"/>
        <v>0</v>
      </c>
      <c r="R587" s="101">
        <f t="shared" si="200"/>
        <v>0</v>
      </c>
      <c r="S587" s="101">
        <f t="shared" si="200"/>
        <v>0</v>
      </c>
      <c r="T587" s="101">
        <f t="shared" si="200"/>
        <v>0</v>
      </c>
      <c r="U587" s="101">
        <f t="shared" si="200"/>
        <v>0</v>
      </c>
      <c r="V587" s="101">
        <f t="shared" si="200"/>
        <v>0</v>
      </c>
      <c r="W587" s="101">
        <f t="shared" si="200"/>
        <v>0</v>
      </c>
      <c r="X587" s="101">
        <f t="shared" si="200"/>
        <v>0</v>
      </c>
      <c r="Y587" s="101">
        <f t="shared" si="200"/>
        <v>0</v>
      </c>
      <c r="AQ587" s="3"/>
    </row>
    <row r="588" spans="5:43" x14ac:dyDescent="0.3">
      <c r="E588" s="72" t="s">
        <v>212</v>
      </c>
      <c r="F588" s="2"/>
      <c r="J588" s="26"/>
      <c r="K588" s="26"/>
      <c r="L588" s="26"/>
      <c r="M588" s="26"/>
      <c r="N588" s="26"/>
      <c r="O588" s="26"/>
      <c r="P588" s="26"/>
      <c r="Q588" s="26"/>
      <c r="R588" s="26"/>
      <c r="S588" s="26"/>
      <c r="T588" s="26"/>
      <c r="U588" s="26"/>
      <c r="V588" s="26"/>
      <c r="W588" s="26"/>
      <c r="X588" s="26"/>
      <c r="Y588" s="26"/>
      <c r="AQ588" s="3"/>
    </row>
    <row r="589" spans="5:43" x14ac:dyDescent="0.3">
      <c r="E589" s="352"/>
      <c r="F589" s="2" t="s">
        <v>983</v>
      </c>
      <c r="G589" t="s">
        <v>212</v>
      </c>
      <c r="J589" s="131">
        <f>J108</f>
        <v>0</v>
      </c>
      <c r="K589" s="131">
        <f t="shared" ref="K589:Y589" si="201">K108</f>
        <v>0</v>
      </c>
      <c r="L589" s="131">
        <f t="shared" si="201"/>
        <v>0</v>
      </c>
      <c r="M589" s="131">
        <f t="shared" si="201"/>
        <v>0</v>
      </c>
      <c r="N589" s="131">
        <f t="shared" si="201"/>
        <v>0</v>
      </c>
      <c r="O589" s="131">
        <f t="shared" si="201"/>
        <v>0</v>
      </c>
      <c r="P589" s="131">
        <f t="shared" si="201"/>
        <v>0</v>
      </c>
      <c r="Q589" s="131">
        <f t="shared" si="201"/>
        <v>0</v>
      </c>
      <c r="R589" s="131">
        <f t="shared" si="201"/>
        <v>0</v>
      </c>
      <c r="S589" s="131">
        <f t="shared" si="201"/>
        <v>0</v>
      </c>
      <c r="T589" s="131">
        <f t="shared" si="201"/>
        <v>0</v>
      </c>
      <c r="U589" s="131">
        <f t="shared" si="201"/>
        <v>0</v>
      </c>
      <c r="V589" s="131">
        <f t="shared" si="201"/>
        <v>0</v>
      </c>
      <c r="W589" s="131">
        <f t="shared" si="201"/>
        <v>0</v>
      </c>
      <c r="X589" s="131">
        <f t="shared" si="201"/>
        <v>0</v>
      </c>
      <c r="Y589" s="131">
        <f t="shared" si="201"/>
        <v>0</v>
      </c>
      <c r="AQ589" s="3"/>
    </row>
    <row r="590" spans="5:43" x14ac:dyDescent="0.3">
      <c r="E590" s="352"/>
      <c r="F590" s="2" t="s">
        <v>984</v>
      </c>
      <c r="G590" t="s">
        <v>212</v>
      </c>
      <c r="J590" s="364">
        <f>J117</f>
        <v>30904.405938754266</v>
      </c>
      <c r="K590" s="364">
        <f t="shared" ref="K590:Y590" si="202">K117</f>
        <v>0</v>
      </c>
      <c r="L590" s="364">
        <f t="shared" si="202"/>
        <v>204.13858265677618</v>
      </c>
      <c r="M590" s="364">
        <f t="shared" si="202"/>
        <v>0</v>
      </c>
      <c r="N590" s="364">
        <f t="shared" si="202"/>
        <v>39.077594674274273</v>
      </c>
      <c r="O590" s="364">
        <f t="shared" si="202"/>
        <v>0</v>
      </c>
      <c r="P590" s="364">
        <f t="shared" si="202"/>
        <v>0</v>
      </c>
      <c r="Q590" s="364">
        <f t="shared" si="202"/>
        <v>0</v>
      </c>
      <c r="R590" s="364">
        <f t="shared" si="202"/>
        <v>0</v>
      </c>
      <c r="S590" s="364">
        <f t="shared" si="202"/>
        <v>0</v>
      </c>
      <c r="T590" s="364">
        <f t="shared" si="202"/>
        <v>0</v>
      </c>
      <c r="U590" s="364">
        <f t="shared" si="202"/>
        <v>0</v>
      </c>
      <c r="V590" s="364">
        <f t="shared" si="202"/>
        <v>0</v>
      </c>
      <c r="W590" s="364">
        <f t="shared" si="202"/>
        <v>0</v>
      </c>
      <c r="X590" s="364">
        <f t="shared" si="202"/>
        <v>0</v>
      </c>
      <c r="Y590" s="364">
        <f t="shared" si="202"/>
        <v>0</v>
      </c>
      <c r="AQ590" s="3"/>
    </row>
    <row r="591" spans="5:43" x14ac:dyDescent="0.3">
      <c r="E591" s="352"/>
      <c r="F591" s="2" t="s">
        <v>985</v>
      </c>
      <c r="G591" t="s">
        <v>212</v>
      </c>
      <c r="J591" s="364">
        <f>J126</f>
        <v>0</v>
      </c>
      <c r="K591" s="364">
        <f t="shared" ref="K591:Y591" si="203">K126</f>
        <v>0</v>
      </c>
      <c r="L591" s="364">
        <f t="shared" si="203"/>
        <v>154.06100263136565</v>
      </c>
      <c r="M591" s="364">
        <f t="shared" si="203"/>
        <v>0</v>
      </c>
      <c r="N591" s="364">
        <f t="shared" si="203"/>
        <v>31.608072022774834</v>
      </c>
      <c r="O591" s="364">
        <f t="shared" si="203"/>
        <v>0</v>
      </c>
      <c r="P591" s="364">
        <f t="shared" si="203"/>
        <v>0</v>
      </c>
      <c r="Q591" s="364">
        <f t="shared" si="203"/>
        <v>0</v>
      </c>
      <c r="R591" s="364">
        <f t="shared" si="203"/>
        <v>0</v>
      </c>
      <c r="S591" s="364">
        <f t="shared" si="203"/>
        <v>0</v>
      </c>
      <c r="T591" s="364">
        <f t="shared" si="203"/>
        <v>0</v>
      </c>
      <c r="U591" s="364">
        <f t="shared" si="203"/>
        <v>0</v>
      </c>
      <c r="V591" s="364">
        <f t="shared" si="203"/>
        <v>0</v>
      </c>
      <c r="W591" s="364">
        <f t="shared" si="203"/>
        <v>0</v>
      </c>
      <c r="X591" s="364">
        <f t="shared" si="203"/>
        <v>0</v>
      </c>
      <c r="Y591" s="364">
        <f t="shared" si="203"/>
        <v>0</v>
      </c>
      <c r="AQ591" s="3"/>
    </row>
    <row r="592" spans="5:43" x14ac:dyDescent="0.3">
      <c r="E592" s="352"/>
      <c r="F592" s="2" t="s">
        <v>987</v>
      </c>
      <c r="G592" t="s">
        <v>212</v>
      </c>
      <c r="J592" s="101">
        <f>J135</f>
        <v>0</v>
      </c>
      <c r="K592" s="101">
        <f t="shared" ref="K592:Y592" si="204">K135</f>
        <v>0</v>
      </c>
      <c r="L592" s="101">
        <f t="shared" si="204"/>
        <v>79.707125997892078</v>
      </c>
      <c r="M592" s="101">
        <f t="shared" si="204"/>
        <v>0</v>
      </c>
      <c r="N592" s="101">
        <f t="shared" si="204"/>
        <v>11.016921368933966</v>
      </c>
      <c r="O592" s="101">
        <f t="shared" si="204"/>
        <v>0</v>
      </c>
      <c r="P592" s="101">
        <f t="shared" si="204"/>
        <v>0</v>
      </c>
      <c r="Q592" s="101">
        <f t="shared" si="204"/>
        <v>0</v>
      </c>
      <c r="R592" s="101">
        <f t="shared" si="204"/>
        <v>0</v>
      </c>
      <c r="S592" s="101">
        <f t="shared" si="204"/>
        <v>0</v>
      </c>
      <c r="T592" s="101">
        <f t="shared" si="204"/>
        <v>0</v>
      </c>
      <c r="U592" s="101">
        <f t="shared" si="204"/>
        <v>0</v>
      </c>
      <c r="V592" s="101">
        <f t="shared" si="204"/>
        <v>0</v>
      </c>
      <c r="W592" s="101">
        <f t="shared" si="204"/>
        <v>0</v>
      </c>
      <c r="X592" s="101">
        <f t="shared" si="204"/>
        <v>0</v>
      </c>
      <c r="Y592" s="101">
        <f t="shared" si="204"/>
        <v>0</v>
      </c>
      <c r="AQ592" s="3"/>
    </row>
    <row r="593" spans="5:43" x14ac:dyDescent="0.3">
      <c r="E593" s="352"/>
      <c r="F593" s="2" t="s">
        <v>986</v>
      </c>
      <c r="G593" t="s">
        <v>212</v>
      </c>
      <c r="J593" s="101">
        <f>J144</f>
        <v>0</v>
      </c>
      <c r="K593" s="101">
        <f t="shared" ref="K593:Y593" si="205">K144</f>
        <v>0</v>
      </c>
      <c r="L593" s="101">
        <f t="shared" si="205"/>
        <v>79.68415067873147</v>
      </c>
      <c r="M593" s="101">
        <f t="shared" si="205"/>
        <v>0</v>
      </c>
      <c r="N593" s="101">
        <f t="shared" si="205"/>
        <v>6.9449073482168764</v>
      </c>
      <c r="O593" s="101">
        <f t="shared" si="205"/>
        <v>0</v>
      </c>
      <c r="P593" s="101">
        <f t="shared" si="205"/>
        <v>0</v>
      </c>
      <c r="Q593" s="101">
        <f t="shared" si="205"/>
        <v>0</v>
      </c>
      <c r="R593" s="101">
        <f t="shared" si="205"/>
        <v>0</v>
      </c>
      <c r="S593" s="101">
        <f t="shared" si="205"/>
        <v>0</v>
      </c>
      <c r="T593" s="101">
        <f t="shared" si="205"/>
        <v>0</v>
      </c>
      <c r="U593" s="101">
        <f t="shared" si="205"/>
        <v>0</v>
      </c>
      <c r="V593" s="101">
        <f t="shared" si="205"/>
        <v>0</v>
      </c>
      <c r="W593" s="101">
        <f t="shared" si="205"/>
        <v>0</v>
      </c>
      <c r="X593" s="101">
        <f t="shared" si="205"/>
        <v>0</v>
      </c>
      <c r="Y593" s="101">
        <f t="shared" si="205"/>
        <v>0</v>
      </c>
      <c r="AQ593" s="3"/>
    </row>
    <row r="594" spans="5:43" x14ac:dyDescent="0.3">
      <c r="E594" s="72" t="s">
        <v>250</v>
      </c>
      <c r="F594" s="2"/>
      <c r="J594" s="26"/>
      <c r="K594" s="26"/>
      <c r="L594" s="26"/>
      <c r="M594" s="26"/>
      <c r="N594" s="26"/>
      <c r="O594" s="26"/>
      <c r="P594" s="26"/>
      <c r="Q594" s="26"/>
      <c r="R594" s="26"/>
      <c r="S594" s="26"/>
      <c r="T594" s="26"/>
      <c r="U594" s="26"/>
      <c r="V594" s="26"/>
      <c r="W594" s="26"/>
      <c r="X594" s="26"/>
      <c r="Y594" s="26"/>
      <c r="AQ594" s="3"/>
    </row>
    <row r="595" spans="5:43" x14ac:dyDescent="0.3">
      <c r="E595" s="352"/>
      <c r="F595" s="2" t="s">
        <v>983</v>
      </c>
      <c r="G595" t="s">
        <v>251</v>
      </c>
      <c r="J595" s="131">
        <f>J109</f>
        <v>0</v>
      </c>
      <c r="K595" s="131">
        <f t="shared" ref="K595:Y595" si="206">K109</f>
        <v>0</v>
      </c>
      <c r="L595" s="131">
        <f t="shared" si="206"/>
        <v>0</v>
      </c>
      <c r="M595" s="131">
        <f t="shared" si="206"/>
        <v>0</v>
      </c>
      <c r="N595" s="131">
        <f t="shared" si="206"/>
        <v>0</v>
      </c>
      <c r="O595" s="131">
        <f t="shared" si="206"/>
        <v>0</v>
      </c>
      <c r="P595" s="131">
        <f t="shared" si="206"/>
        <v>0</v>
      </c>
      <c r="Q595" s="131">
        <f t="shared" si="206"/>
        <v>0</v>
      </c>
      <c r="R595" s="131">
        <f t="shared" si="206"/>
        <v>0</v>
      </c>
      <c r="S595" s="131">
        <f t="shared" si="206"/>
        <v>0</v>
      </c>
      <c r="T595" s="131">
        <f t="shared" si="206"/>
        <v>0</v>
      </c>
      <c r="U595" s="131">
        <f t="shared" si="206"/>
        <v>0</v>
      </c>
      <c r="V595" s="131">
        <f t="shared" si="206"/>
        <v>0</v>
      </c>
      <c r="W595" s="131">
        <f t="shared" si="206"/>
        <v>0</v>
      </c>
      <c r="X595" s="131">
        <f t="shared" si="206"/>
        <v>0</v>
      </c>
      <c r="Y595" s="131">
        <f t="shared" si="206"/>
        <v>0</v>
      </c>
      <c r="AQ595" s="3"/>
    </row>
    <row r="596" spans="5:43" x14ac:dyDescent="0.3">
      <c r="E596" s="352"/>
      <c r="F596" s="2" t="s">
        <v>984</v>
      </c>
      <c r="G596" t="s">
        <v>251</v>
      </c>
      <c r="J596" s="364">
        <f>J118</f>
        <v>0</v>
      </c>
      <c r="K596" s="364">
        <f t="shared" ref="K596:Y596" si="207">K118</f>
        <v>0</v>
      </c>
      <c r="L596" s="364">
        <f t="shared" si="207"/>
        <v>0</v>
      </c>
      <c r="M596" s="364">
        <f t="shared" si="207"/>
        <v>0</v>
      </c>
      <c r="N596" s="364">
        <f t="shared" si="207"/>
        <v>3191.8406087588619</v>
      </c>
      <c r="O596" s="364">
        <f t="shared" si="207"/>
        <v>0</v>
      </c>
      <c r="P596" s="364">
        <f t="shared" si="207"/>
        <v>0</v>
      </c>
      <c r="Q596" s="364">
        <f t="shared" si="207"/>
        <v>0</v>
      </c>
      <c r="R596" s="364">
        <f t="shared" si="207"/>
        <v>0</v>
      </c>
      <c r="S596" s="364">
        <f t="shared" si="207"/>
        <v>0</v>
      </c>
      <c r="T596" s="364">
        <f t="shared" si="207"/>
        <v>0</v>
      </c>
      <c r="U596" s="364">
        <f t="shared" si="207"/>
        <v>0</v>
      </c>
      <c r="V596" s="364">
        <f t="shared" si="207"/>
        <v>0</v>
      </c>
      <c r="W596" s="364">
        <f t="shared" si="207"/>
        <v>0</v>
      </c>
      <c r="X596" s="364">
        <f t="shared" si="207"/>
        <v>0</v>
      </c>
      <c r="Y596" s="364">
        <f t="shared" si="207"/>
        <v>0</v>
      </c>
      <c r="AQ596" s="3"/>
    </row>
    <row r="597" spans="5:43" x14ac:dyDescent="0.3">
      <c r="E597" s="352"/>
      <c r="F597" s="2" t="s">
        <v>985</v>
      </c>
      <c r="G597" t="s">
        <v>251</v>
      </c>
      <c r="J597" s="364">
        <f>J127</f>
        <v>0</v>
      </c>
      <c r="K597" s="364">
        <f t="shared" ref="K597:Y597" si="208">K127</f>
        <v>0</v>
      </c>
      <c r="L597" s="364">
        <f t="shared" si="208"/>
        <v>0</v>
      </c>
      <c r="M597" s="364">
        <f t="shared" si="208"/>
        <v>0</v>
      </c>
      <c r="N597" s="364">
        <f t="shared" si="208"/>
        <v>6731.7304283365711</v>
      </c>
      <c r="O597" s="364">
        <f t="shared" si="208"/>
        <v>0</v>
      </c>
      <c r="P597" s="364">
        <f t="shared" si="208"/>
        <v>0</v>
      </c>
      <c r="Q597" s="364">
        <f t="shared" si="208"/>
        <v>0</v>
      </c>
      <c r="R597" s="364">
        <f t="shared" si="208"/>
        <v>0</v>
      </c>
      <c r="S597" s="364">
        <f t="shared" si="208"/>
        <v>0</v>
      </c>
      <c r="T597" s="364">
        <f t="shared" si="208"/>
        <v>0</v>
      </c>
      <c r="U597" s="364">
        <f t="shared" si="208"/>
        <v>0</v>
      </c>
      <c r="V597" s="364">
        <f t="shared" si="208"/>
        <v>0</v>
      </c>
      <c r="W597" s="364">
        <f t="shared" si="208"/>
        <v>0</v>
      </c>
      <c r="X597" s="364">
        <f t="shared" si="208"/>
        <v>0</v>
      </c>
      <c r="Y597" s="364">
        <f t="shared" si="208"/>
        <v>0</v>
      </c>
      <c r="AQ597" s="3"/>
    </row>
    <row r="598" spans="5:43" x14ac:dyDescent="0.3">
      <c r="E598" s="352"/>
      <c r="F598" s="2" t="s">
        <v>987</v>
      </c>
      <c r="G598" t="s">
        <v>251</v>
      </c>
      <c r="J598" s="101">
        <f>J136</f>
        <v>0</v>
      </c>
      <c r="K598" s="101">
        <f t="shared" ref="K598:Y598" si="209">K136</f>
        <v>0</v>
      </c>
      <c r="L598" s="101">
        <f t="shared" si="209"/>
        <v>0</v>
      </c>
      <c r="M598" s="101">
        <f t="shared" si="209"/>
        <v>0</v>
      </c>
      <c r="N598" s="101">
        <f t="shared" si="209"/>
        <v>3740.3471075511425</v>
      </c>
      <c r="O598" s="101">
        <f t="shared" si="209"/>
        <v>0</v>
      </c>
      <c r="P598" s="101">
        <f t="shared" si="209"/>
        <v>0</v>
      </c>
      <c r="Q598" s="101">
        <f t="shared" si="209"/>
        <v>0</v>
      </c>
      <c r="R598" s="101">
        <f t="shared" si="209"/>
        <v>0</v>
      </c>
      <c r="S598" s="101">
        <f t="shared" si="209"/>
        <v>0</v>
      </c>
      <c r="T598" s="101">
        <f t="shared" si="209"/>
        <v>0</v>
      </c>
      <c r="U598" s="101">
        <f t="shared" si="209"/>
        <v>0</v>
      </c>
      <c r="V598" s="101">
        <f t="shared" si="209"/>
        <v>0</v>
      </c>
      <c r="W598" s="101">
        <f t="shared" si="209"/>
        <v>0</v>
      </c>
      <c r="X598" s="101">
        <f t="shared" si="209"/>
        <v>0</v>
      </c>
      <c r="Y598" s="101">
        <f t="shared" si="209"/>
        <v>0</v>
      </c>
      <c r="AQ598" s="3"/>
    </row>
    <row r="599" spans="5:43" x14ac:dyDescent="0.3">
      <c r="E599" s="352"/>
      <c r="F599" s="2" t="s">
        <v>986</v>
      </c>
      <c r="G599" t="s">
        <v>251</v>
      </c>
      <c r="J599" s="101">
        <f>J145</f>
        <v>0</v>
      </c>
      <c r="K599" s="101">
        <f t="shared" ref="K599:Y599" si="210">K145</f>
        <v>0</v>
      </c>
      <c r="L599" s="101">
        <f t="shared" si="210"/>
        <v>0</v>
      </c>
      <c r="M599" s="101">
        <f t="shared" si="210"/>
        <v>0</v>
      </c>
      <c r="N599" s="101">
        <f t="shared" si="210"/>
        <v>3838.2026001765089</v>
      </c>
      <c r="O599" s="101">
        <f t="shared" si="210"/>
        <v>0</v>
      </c>
      <c r="P599" s="101">
        <f t="shared" si="210"/>
        <v>0</v>
      </c>
      <c r="Q599" s="101">
        <f t="shared" si="210"/>
        <v>0</v>
      </c>
      <c r="R599" s="101">
        <f t="shared" si="210"/>
        <v>0</v>
      </c>
      <c r="S599" s="101">
        <f t="shared" si="210"/>
        <v>0</v>
      </c>
      <c r="T599" s="101">
        <f t="shared" si="210"/>
        <v>0</v>
      </c>
      <c r="U599" s="101">
        <f t="shared" si="210"/>
        <v>0</v>
      </c>
      <c r="V599" s="101">
        <f t="shared" si="210"/>
        <v>0</v>
      </c>
      <c r="W599" s="101">
        <f t="shared" si="210"/>
        <v>0</v>
      </c>
      <c r="X599" s="101">
        <f t="shared" si="210"/>
        <v>0</v>
      </c>
      <c r="Y599" s="101">
        <f t="shared" si="210"/>
        <v>0</v>
      </c>
      <c r="AQ599" s="3"/>
    </row>
    <row r="600" spans="5:43" x14ac:dyDescent="0.3">
      <c r="E600" s="72" t="s">
        <v>252</v>
      </c>
      <c r="F600" s="2"/>
      <c r="J600" s="26"/>
      <c r="K600" s="26"/>
      <c r="L600" s="26"/>
      <c r="M600" s="26"/>
      <c r="N600" s="26"/>
      <c r="O600" s="26"/>
      <c r="P600" s="26"/>
      <c r="Q600" s="26"/>
      <c r="R600" s="26"/>
      <c r="S600" s="26"/>
      <c r="T600" s="26"/>
      <c r="U600" s="26"/>
      <c r="V600" s="26"/>
      <c r="W600" s="26"/>
      <c r="X600" s="26"/>
      <c r="Y600" s="26"/>
      <c r="AQ600" s="3"/>
    </row>
    <row r="601" spans="5:43" x14ac:dyDescent="0.3">
      <c r="E601" s="352"/>
      <c r="F601" s="2" t="s">
        <v>983</v>
      </c>
      <c r="G601" t="s">
        <v>251</v>
      </c>
      <c r="J601" s="131">
        <f>J110</f>
        <v>0</v>
      </c>
      <c r="K601" s="131">
        <f t="shared" ref="K601:Y601" si="211">K110</f>
        <v>0</v>
      </c>
      <c r="L601" s="131">
        <f t="shared" si="211"/>
        <v>0</v>
      </c>
      <c r="M601" s="131">
        <f t="shared" si="211"/>
        <v>0</v>
      </c>
      <c r="N601" s="131">
        <f t="shared" si="211"/>
        <v>0</v>
      </c>
      <c r="O601" s="131">
        <f t="shared" si="211"/>
        <v>0</v>
      </c>
      <c r="P601" s="131">
        <f t="shared" si="211"/>
        <v>0</v>
      </c>
      <c r="Q601" s="131">
        <f t="shared" si="211"/>
        <v>0</v>
      </c>
      <c r="R601" s="131">
        <f t="shared" si="211"/>
        <v>0</v>
      </c>
      <c r="S601" s="131">
        <f t="shared" si="211"/>
        <v>0</v>
      </c>
      <c r="T601" s="131">
        <f t="shared" si="211"/>
        <v>0</v>
      </c>
      <c r="U601" s="131">
        <f t="shared" si="211"/>
        <v>0</v>
      </c>
      <c r="V601" s="131">
        <f t="shared" si="211"/>
        <v>0</v>
      </c>
      <c r="W601" s="131">
        <f t="shared" si="211"/>
        <v>0</v>
      </c>
      <c r="X601" s="131">
        <f t="shared" si="211"/>
        <v>0</v>
      </c>
      <c r="Y601" s="131">
        <f t="shared" si="211"/>
        <v>0</v>
      </c>
      <c r="AQ601" s="3"/>
    </row>
    <row r="602" spans="5:43" x14ac:dyDescent="0.3">
      <c r="E602" s="352"/>
      <c r="F602" s="2" t="s">
        <v>984</v>
      </c>
      <c r="G602" t="s">
        <v>251</v>
      </c>
      <c r="J602" s="364">
        <f>J119</f>
        <v>0</v>
      </c>
      <c r="K602" s="364">
        <f t="shared" ref="K602:Y602" si="212">K119</f>
        <v>0</v>
      </c>
      <c r="L602" s="364">
        <f t="shared" si="212"/>
        <v>0</v>
      </c>
      <c r="M602" s="364">
        <f t="shared" si="212"/>
        <v>0</v>
      </c>
      <c r="N602" s="364">
        <f t="shared" si="212"/>
        <v>8.6021462198396907</v>
      </c>
      <c r="O602" s="364">
        <f t="shared" si="212"/>
        <v>0</v>
      </c>
      <c r="P602" s="364">
        <f t="shared" si="212"/>
        <v>0</v>
      </c>
      <c r="Q602" s="364">
        <f t="shared" si="212"/>
        <v>0</v>
      </c>
      <c r="R602" s="364">
        <f t="shared" si="212"/>
        <v>0</v>
      </c>
      <c r="S602" s="364">
        <f t="shared" si="212"/>
        <v>0</v>
      </c>
      <c r="T602" s="364">
        <f t="shared" si="212"/>
        <v>0</v>
      </c>
      <c r="U602" s="364">
        <f t="shared" si="212"/>
        <v>0</v>
      </c>
      <c r="V602" s="364">
        <f t="shared" si="212"/>
        <v>0</v>
      </c>
      <c r="W602" s="364">
        <f t="shared" si="212"/>
        <v>0</v>
      </c>
      <c r="X602" s="364">
        <f t="shared" si="212"/>
        <v>0</v>
      </c>
      <c r="Y602" s="364">
        <f t="shared" si="212"/>
        <v>0</v>
      </c>
      <c r="AQ602" s="3"/>
    </row>
    <row r="603" spans="5:43" x14ac:dyDescent="0.3">
      <c r="E603" s="352"/>
      <c r="F603" s="2" t="s">
        <v>985</v>
      </c>
      <c r="G603" t="s">
        <v>251</v>
      </c>
      <c r="J603" s="364">
        <f>J128</f>
        <v>0</v>
      </c>
      <c r="K603" s="364">
        <f t="shared" ref="K603:Y603" si="213">K128</f>
        <v>0</v>
      </c>
      <c r="L603" s="364">
        <f t="shared" si="213"/>
        <v>0</v>
      </c>
      <c r="M603" s="364">
        <f t="shared" si="213"/>
        <v>0</v>
      </c>
      <c r="N603" s="364">
        <f t="shared" si="213"/>
        <v>18.142299868668054</v>
      </c>
      <c r="O603" s="364">
        <f t="shared" si="213"/>
        <v>0</v>
      </c>
      <c r="P603" s="364">
        <f t="shared" si="213"/>
        <v>0</v>
      </c>
      <c r="Q603" s="364">
        <f t="shared" si="213"/>
        <v>0</v>
      </c>
      <c r="R603" s="364">
        <f t="shared" si="213"/>
        <v>0</v>
      </c>
      <c r="S603" s="364">
        <f t="shared" si="213"/>
        <v>0</v>
      </c>
      <c r="T603" s="364">
        <f t="shared" si="213"/>
        <v>0</v>
      </c>
      <c r="U603" s="364">
        <f t="shared" si="213"/>
        <v>0</v>
      </c>
      <c r="V603" s="364">
        <f t="shared" si="213"/>
        <v>0</v>
      </c>
      <c r="W603" s="364">
        <f t="shared" si="213"/>
        <v>0</v>
      </c>
      <c r="X603" s="364">
        <f t="shared" si="213"/>
        <v>0</v>
      </c>
      <c r="Y603" s="364">
        <f t="shared" si="213"/>
        <v>0</v>
      </c>
      <c r="AQ603" s="3"/>
    </row>
    <row r="604" spans="5:43" x14ac:dyDescent="0.3">
      <c r="E604" s="352"/>
      <c r="F604" s="2" t="s">
        <v>987</v>
      </c>
      <c r="G604" t="s">
        <v>251</v>
      </c>
      <c r="J604" s="101">
        <f>J137</f>
        <v>0</v>
      </c>
      <c r="K604" s="101">
        <f t="shared" ref="K604:Y604" si="214">K137</f>
        <v>0</v>
      </c>
      <c r="L604" s="101">
        <f t="shared" si="214"/>
        <v>0</v>
      </c>
      <c r="M604" s="101">
        <f t="shared" si="214"/>
        <v>0</v>
      </c>
      <c r="N604" s="101">
        <f t="shared" si="214"/>
        <v>10.080394567265232</v>
      </c>
      <c r="O604" s="101">
        <f t="shared" si="214"/>
        <v>0</v>
      </c>
      <c r="P604" s="101">
        <f t="shared" si="214"/>
        <v>0</v>
      </c>
      <c r="Q604" s="101">
        <f t="shared" si="214"/>
        <v>0</v>
      </c>
      <c r="R604" s="101">
        <f t="shared" si="214"/>
        <v>0</v>
      </c>
      <c r="S604" s="101">
        <f t="shared" si="214"/>
        <v>0</v>
      </c>
      <c r="T604" s="101">
        <f t="shared" si="214"/>
        <v>0</v>
      </c>
      <c r="U604" s="101">
        <f t="shared" si="214"/>
        <v>0</v>
      </c>
      <c r="V604" s="101">
        <f t="shared" si="214"/>
        <v>0</v>
      </c>
      <c r="W604" s="101">
        <f t="shared" si="214"/>
        <v>0</v>
      </c>
      <c r="X604" s="101">
        <f t="shared" si="214"/>
        <v>0</v>
      </c>
      <c r="Y604" s="101">
        <f t="shared" si="214"/>
        <v>0</v>
      </c>
      <c r="AQ604" s="3"/>
    </row>
    <row r="605" spans="5:43" x14ac:dyDescent="0.3">
      <c r="E605" s="352"/>
      <c r="F605" s="2" t="s">
        <v>986</v>
      </c>
      <c r="G605" t="s">
        <v>251</v>
      </c>
      <c r="J605" s="101">
        <f>J146</f>
        <v>0</v>
      </c>
      <c r="K605" s="101">
        <f t="shared" ref="K605:Y605" si="215">K146</f>
        <v>0</v>
      </c>
      <c r="L605" s="101">
        <f t="shared" si="215"/>
        <v>0</v>
      </c>
      <c r="M605" s="101">
        <f t="shared" si="215"/>
        <v>0</v>
      </c>
      <c r="N605" s="101">
        <f t="shared" si="215"/>
        <v>10.344119282612207</v>
      </c>
      <c r="O605" s="101">
        <f t="shared" si="215"/>
        <v>0</v>
      </c>
      <c r="P605" s="101">
        <f t="shared" si="215"/>
        <v>0</v>
      </c>
      <c r="Q605" s="101">
        <f t="shared" si="215"/>
        <v>0</v>
      </c>
      <c r="R605" s="101">
        <f t="shared" si="215"/>
        <v>0</v>
      </c>
      <c r="S605" s="101">
        <f t="shared" si="215"/>
        <v>0</v>
      </c>
      <c r="T605" s="101">
        <f t="shared" si="215"/>
        <v>0</v>
      </c>
      <c r="U605" s="101">
        <f t="shared" si="215"/>
        <v>0</v>
      </c>
      <c r="V605" s="101">
        <f t="shared" si="215"/>
        <v>0</v>
      </c>
      <c r="W605" s="101">
        <f t="shared" si="215"/>
        <v>0</v>
      </c>
      <c r="X605" s="101">
        <f t="shared" si="215"/>
        <v>0</v>
      </c>
      <c r="Y605" s="101">
        <f t="shared" si="215"/>
        <v>0</v>
      </c>
      <c r="AQ605" s="3"/>
    </row>
    <row r="606" spans="5:43" x14ac:dyDescent="0.3">
      <c r="E606" s="352" t="s">
        <v>253</v>
      </c>
      <c r="F606" s="353"/>
      <c r="J606" s="26"/>
      <c r="K606" s="26"/>
      <c r="L606" s="26"/>
      <c r="M606" s="26"/>
      <c r="N606" s="26"/>
      <c r="O606" s="26"/>
      <c r="P606" s="26"/>
      <c r="Q606" s="26"/>
      <c r="R606" s="26"/>
      <c r="S606" s="26"/>
      <c r="T606" s="26"/>
      <c r="U606" s="26"/>
      <c r="V606" s="26"/>
      <c r="W606" s="26"/>
      <c r="X606" s="26"/>
      <c r="Y606" s="26"/>
      <c r="AQ606" s="3"/>
    </row>
    <row r="607" spans="5:43" x14ac:dyDescent="0.3">
      <c r="E607" s="352"/>
      <c r="F607" s="353" t="s">
        <v>983</v>
      </c>
      <c r="G607" t="s">
        <v>254</v>
      </c>
      <c r="J607" s="131">
        <f>J111</f>
        <v>0</v>
      </c>
      <c r="K607" s="131">
        <f t="shared" ref="K607:Y607" si="216">K111</f>
        <v>0</v>
      </c>
      <c r="L607" s="131">
        <f t="shared" si="216"/>
        <v>0</v>
      </c>
      <c r="M607" s="131">
        <f t="shared" si="216"/>
        <v>0</v>
      </c>
      <c r="N607" s="131">
        <f t="shared" si="216"/>
        <v>0</v>
      </c>
      <c r="O607" s="131">
        <f t="shared" si="216"/>
        <v>0</v>
      </c>
      <c r="P607" s="131">
        <f t="shared" si="216"/>
        <v>0</v>
      </c>
      <c r="Q607" s="131">
        <f t="shared" si="216"/>
        <v>0</v>
      </c>
      <c r="R607" s="131">
        <f t="shared" si="216"/>
        <v>0</v>
      </c>
      <c r="S607" s="131">
        <f t="shared" si="216"/>
        <v>0</v>
      </c>
      <c r="T607" s="131">
        <f t="shared" si="216"/>
        <v>0</v>
      </c>
      <c r="U607" s="131">
        <f t="shared" si="216"/>
        <v>0</v>
      </c>
      <c r="V607" s="131">
        <f t="shared" si="216"/>
        <v>0</v>
      </c>
      <c r="W607" s="131">
        <f t="shared" si="216"/>
        <v>0</v>
      </c>
      <c r="X607" s="131">
        <f t="shared" si="216"/>
        <v>0</v>
      </c>
      <c r="Y607" s="131">
        <f t="shared" si="216"/>
        <v>0</v>
      </c>
      <c r="AQ607" s="3"/>
    </row>
    <row r="608" spans="5:43" x14ac:dyDescent="0.3">
      <c r="E608" s="352"/>
      <c r="F608" s="353" t="s">
        <v>984</v>
      </c>
      <c r="G608" t="s">
        <v>254</v>
      </c>
      <c r="J608" s="364">
        <f>J120</f>
        <v>0</v>
      </c>
      <c r="K608" s="364">
        <f t="shared" ref="K608:Y608" si="217">K120</f>
        <v>0</v>
      </c>
      <c r="L608" s="364">
        <f t="shared" si="217"/>
        <v>0</v>
      </c>
      <c r="M608" s="364">
        <f t="shared" si="217"/>
        <v>0</v>
      </c>
      <c r="N608" s="364">
        <f t="shared" si="217"/>
        <v>741.93247749313116</v>
      </c>
      <c r="O608" s="364">
        <f t="shared" si="217"/>
        <v>0</v>
      </c>
      <c r="P608" s="364">
        <f t="shared" si="217"/>
        <v>0</v>
      </c>
      <c r="Q608" s="364">
        <f t="shared" si="217"/>
        <v>0</v>
      </c>
      <c r="R608" s="364">
        <f t="shared" si="217"/>
        <v>0</v>
      </c>
      <c r="S608" s="364">
        <f t="shared" si="217"/>
        <v>0</v>
      </c>
      <c r="T608" s="364">
        <f t="shared" si="217"/>
        <v>0</v>
      </c>
      <c r="U608" s="364">
        <f t="shared" si="217"/>
        <v>0</v>
      </c>
      <c r="V608" s="364">
        <f t="shared" si="217"/>
        <v>0</v>
      </c>
      <c r="W608" s="364">
        <f t="shared" si="217"/>
        <v>0</v>
      </c>
      <c r="X608" s="364">
        <f t="shared" si="217"/>
        <v>0</v>
      </c>
      <c r="Y608" s="364">
        <f t="shared" si="217"/>
        <v>0</v>
      </c>
      <c r="AQ608" s="3"/>
    </row>
    <row r="609" spans="4:43" x14ac:dyDescent="0.3">
      <c r="E609" s="352"/>
      <c r="F609" s="353" t="s">
        <v>985</v>
      </c>
      <c r="G609" t="s">
        <v>254</v>
      </c>
      <c r="J609" s="364">
        <f>J129</f>
        <v>0</v>
      </c>
      <c r="K609" s="364">
        <f t="shared" ref="K609:Y609" si="218">K129</f>
        <v>0</v>
      </c>
      <c r="L609" s="364">
        <f t="shared" si="218"/>
        <v>0</v>
      </c>
      <c r="M609" s="364">
        <f t="shared" si="218"/>
        <v>0</v>
      </c>
      <c r="N609" s="364">
        <f t="shared" si="218"/>
        <v>1108.7262320716898</v>
      </c>
      <c r="O609" s="364">
        <f t="shared" si="218"/>
        <v>0</v>
      </c>
      <c r="P609" s="364">
        <f t="shared" si="218"/>
        <v>0</v>
      </c>
      <c r="Q609" s="364">
        <f t="shared" si="218"/>
        <v>0</v>
      </c>
      <c r="R609" s="364">
        <f t="shared" si="218"/>
        <v>0</v>
      </c>
      <c r="S609" s="364">
        <f t="shared" si="218"/>
        <v>0</v>
      </c>
      <c r="T609" s="364">
        <f t="shared" si="218"/>
        <v>0</v>
      </c>
      <c r="U609" s="364">
        <f t="shared" si="218"/>
        <v>0</v>
      </c>
      <c r="V609" s="364">
        <f t="shared" si="218"/>
        <v>0</v>
      </c>
      <c r="W609" s="364">
        <f t="shared" si="218"/>
        <v>0</v>
      </c>
      <c r="X609" s="364">
        <f t="shared" si="218"/>
        <v>0</v>
      </c>
      <c r="Y609" s="364">
        <f t="shared" si="218"/>
        <v>0</v>
      </c>
      <c r="AQ609" s="3"/>
    </row>
    <row r="610" spans="4:43" x14ac:dyDescent="0.3">
      <c r="E610" s="352"/>
      <c r="F610" s="353" t="s">
        <v>987</v>
      </c>
      <c r="G610" t="s">
        <v>254</v>
      </c>
      <c r="J610" s="101">
        <f>J138</f>
        <v>0</v>
      </c>
      <c r="K610" s="101">
        <f t="shared" ref="K610:Y610" si="219">K138</f>
        <v>0</v>
      </c>
      <c r="L610" s="101">
        <f t="shared" si="219"/>
        <v>0</v>
      </c>
      <c r="M610" s="101">
        <f t="shared" si="219"/>
        <v>0</v>
      </c>
      <c r="N610" s="101">
        <f t="shared" si="219"/>
        <v>598.6266540892949</v>
      </c>
      <c r="O610" s="101">
        <f t="shared" si="219"/>
        <v>0</v>
      </c>
      <c r="P610" s="101">
        <f t="shared" si="219"/>
        <v>0</v>
      </c>
      <c r="Q610" s="101">
        <f t="shared" si="219"/>
        <v>0</v>
      </c>
      <c r="R610" s="101">
        <f t="shared" si="219"/>
        <v>0</v>
      </c>
      <c r="S610" s="101">
        <f t="shared" si="219"/>
        <v>0</v>
      </c>
      <c r="T610" s="101">
        <f t="shared" si="219"/>
        <v>0</v>
      </c>
      <c r="U610" s="101">
        <f t="shared" si="219"/>
        <v>0</v>
      </c>
      <c r="V610" s="101">
        <f t="shared" si="219"/>
        <v>0</v>
      </c>
      <c r="W610" s="101">
        <f t="shared" si="219"/>
        <v>0</v>
      </c>
      <c r="X610" s="101">
        <f t="shared" si="219"/>
        <v>0</v>
      </c>
      <c r="Y610" s="101">
        <f t="shared" si="219"/>
        <v>0</v>
      </c>
      <c r="AQ610" s="3"/>
    </row>
    <row r="611" spans="4:43" x14ac:dyDescent="0.3">
      <c r="E611" s="80"/>
      <c r="F611" s="354" t="s">
        <v>986</v>
      </c>
      <c r="G611" s="37" t="s">
        <v>254</v>
      </c>
      <c r="H611" s="37"/>
      <c r="I611" s="37"/>
      <c r="J611" s="364">
        <f>J147</f>
        <v>0</v>
      </c>
      <c r="K611" s="364">
        <f t="shared" ref="K611:Y611" si="220">K147</f>
        <v>0</v>
      </c>
      <c r="L611" s="364">
        <f t="shared" si="220"/>
        <v>0</v>
      </c>
      <c r="M611" s="364">
        <f t="shared" si="220"/>
        <v>0</v>
      </c>
      <c r="N611" s="364">
        <f t="shared" si="220"/>
        <v>588.80737518065018</v>
      </c>
      <c r="O611" s="364">
        <f t="shared" si="220"/>
        <v>0</v>
      </c>
      <c r="P611" s="364">
        <f t="shared" si="220"/>
        <v>0</v>
      </c>
      <c r="Q611" s="364">
        <f t="shared" si="220"/>
        <v>0</v>
      </c>
      <c r="R611" s="364">
        <f t="shared" si="220"/>
        <v>0</v>
      </c>
      <c r="S611" s="364">
        <f t="shared" si="220"/>
        <v>0</v>
      </c>
      <c r="T611" s="364">
        <f t="shared" si="220"/>
        <v>0</v>
      </c>
      <c r="U611" s="364">
        <f t="shared" si="220"/>
        <v>0</v>
      </c>
      <c r="V611" s="364">
        <f t="shared" si="220"/>
        <v>0</v>
      </c>
      <c r="W611" s="364">
        <f t="shared" si="220"/>
        <v>0</v>
      </c>
      <c r="X611" s="364">
        <f t="shared" si="220"/>
        <v>0</v>
      </c>
      <c r="Y611" s="364">
        <f t="shared" si="220"/>
        <v>0</v>
      </c>
      <c r="AQ611" s="3"/>
    </row>
    <row r="612" spans="4:43" x14ac:dyDescent="0.3">
      <c r="AQ612" s="3"/>
    </row>
    <row r="613" spans="4:43" x14ac:dyDescent="0.3">
      <c r="D613" s="32" t="s">
        <v>1137</v>
      </c>
      <c r="AQ613" s="3"/>
    </row>
    <row r="614" spans="4:43" x14ac:dyDescent="0.3">
      <c r="E614" s="78" t="s">
        <v>247</v>
      </c>
      <c r="F614" s="23"/>
      <c r="G614" s="23"/>
      <c r="H614" s="23"/>
      <c r="I614" s="23"/>
      <c r="J614" s="23"/>
      <c r="K614" s="23"/>
      <c r="L614" s="23"/>
      <c r="M614" s="23"/>
      <c r="N614" s="23"/>
      <c r="O614" s="23"/>
      <c r="P614" s="23"/>
      <c r="Q614" s="23"/>
      <c r="R614" s="23"/>
      <c r="S614" s="23"/>
      <c r="T614" s="23"/>
      <c r="U614" s="23"/>
      <c r="V614" s="23"/>
      <c r="W614" s="23"/>
      <c r="X614" s="23"/>
      <c r="Y614" s="23"/>
      <c r="AQ614" s="3"/>
    </row>
    <row r="615" spans="4:43" x14ac:dyDescent="0.3">
      <c r="E615" s="352"/>
      <c r="F615" s="2" t="s">
        <v>983</v>
      </c>
      <c r="G615" t="s">
        <v>207</v>
      </c>
      <c r="J615" s="131">
        <f>J152</f>
        <v>0</v>
      </c>
      <c r="K615" s="131">
        <f t="shared" ref="K615:Y615" si="221">K152</f>
        <v>0</v>
      </c>
      <c r="L615" s="131">
        <f t="shared" si="221"/>
        <v>0</v>
      </c>
      <c r="M615" s="131">
        <f t="shared" si="221"/>
        <v>0</v>
      </c>
      <c r="N615" s="131">
        <f t="shared" si="221"/>
        <v>0</v>
      </c>
      <c r="O615" s="131">
        <f t="shared" si="221"/>
        <v>0</v>
      </c>
      <c r="P615" s="131">
        <f t="shared" si="221"/>
        <v>0</v>
      </c>
      <c r="Q615" s="131">
        <f t="shared" si="221"/>
        <v>0</v>
      </c>
      <c r="R615" s="131">
        <f t="shared" si="221"/>
        <v>0</v>
      </c>
      <c r="S615" s="131">
        <f t="shared" si="221"/>
        <v>0</v>
      </c>
      <c r="T615" s="131">
        <f t="shared" si="221"/>
        <v>2.405417066698996</v>
      </c>
      <c r="U615" s="131">
        <f t="shared" si="221"/>
        <v>0</v>
      </c>
      <c r="V615" s="131">
        <f t="shared" si="221"/>
        <v>0</v>
      </c>
      <c r="W615" s="131">
        <f t="shared" si="221"/>
        <v>0</v>
      </c>
      <c r="X615" s="131">
        <f t="shared" si="221"/>
        <v>5.5315659252622229</v>
      </c>
      <c r="Y615" s="131">
        <f t="shared" si="221"/>
        <v>0</v>
      </c>
      <c r="AQ615" s="3"/>
    </row>
    <row r="616" spans="4:43" x14ac:dyDescent="0.3">
      <c r="E616" s="352"/>
      <c r="F616" s="2" t="s">
        <v>984</v>
      </c>
      <c r="G616" t="s">
        <v>207</v>
      </c>
      <c r="J616" s="364">
        <f>J161</f>
        <v>23494.309373783628</v>
      </c>
      <c r="K616" s="364">
        <f t="shared" ref="K616:Y616" si="222">K161</f>
        <v>0</v>
      </c>
      <c r="L616" s="364">
        <f t="shared" si="222"/>
        <v>134.22688975140395</v>
      </c>
      <c r="M616" s="364">
        <f t="shared" si="222"/>
        <v>0</v>
      </c>
      <c r="N616" s="364">
        <f t="shared" si="222"/>
        <v>5092.3678206961267</v>
      </c>
      <c r="O616" s="364">
        <f t="shared" si="222"/>
        <v>11.470696027676713</v>
      </c>
      <c r="P616" s="364">
        <f t="shared" si="222"/>
        <v>1505.4198786766365</v>
      </c>
      <c r="Q616" s="364">
        <f t="shared" si="222"/>
        <v>4.7499448082760933</v>
      </c>
      <c r="R616" s="364">
        <f t="shared" si="222"/>
        <v>0</v>
      </c>
      <c r="S616" s="364">
        <f t="shared" si="222"/>
        <v>0</v>
      </c>
      <c r="T616" s="364">
        <f t="shared" si="222"/>
        <v>0</v>
      </c>
      <c r="U616" s="364">
        <f t="shared" si="222"/>
        <v>0</v>
      </c>
      <c r="V616" s="364">
        <f t="shared" si="222"/>
        <v>0</v>
      </c>
      <c r="W616" s="364">
        <f t="shared" si="222"/>
        <v>0</v>
      </c>
      <c r="X616" s="364">
        <f t="shared" si="222"/>
        <v>0</v>
      </c>
      <c r="Y616" s="364">
        <f t="shared" si="222"/>
        <v>0</v>
      </c>
      <c r="AQ616" s="3"/>
    </row>
    <row r="617" spans="4:43" x14ac:dyDescent="0.3">
      <c r="E617" s="352"/>
      <c r="F617" s="2" t="s">
        <v>985</v>
      </c>
      <c r="G617" t="s">
        <v>207</v>
      </c>
      <c r="J617" s="364">
        <f>J170</f>
        <v>0</v>
      </c>
      <c r="K617" s="364">
        <f t="shared" ref="K617:Y617" si="223">K170</f>
        <v>0</v>
      </c>
      <c r="L617" s="364">
        <f t="shared" si="223"/>
        <v>563.38640254867573</v>
      </c>
      <c r="M617" s="364">
        <f t="shared" si="223"/>
        <v>0</v>
      </c>
      <c r="N617" s="364">
        <f t="shared" si="223"/>
        <v>7609.9132433730265</v>
      </c>
      <c r="O617" s="364">
        <f t="shared" si="223"/>
        <v>58.883991984342245</v>
      </c>
      <c r="P617" s="364">
        <f t="shared" si="223"/>
        <v>2685.4536236900685</v>
      </c>
      <c r="Q617" s="364">
        <f t="shared" si="223"/>
        <v>0</v>
      </c>
      <c r="R617" s="364">
        <f t="shared" si="223"/>
        <v>0</v>
      </c>
      <c r="S617" s="364">
        <f t="shared" si="223"/>
        <v>0</v>
      </c>
      <c r="T617" s="364">
        <f t="shared" si="223"/>
        <v>0</v>
      </c>
      <c r="U617" s="364">
        <f t="shared" si="223"/>
        <v>0</v>
      </c>
      <c r="V617" s="364">
        <f t="shared" si="223"/>
        <v>0</v>
      </c>
      <c r="W617" s="364">
        <f t="shared" si="223"/>
        <v>0</v>
      </c>
      <c r="X617" s="364">
        <f t="shared" si="223"/>
        <v>0</v>
      </c>
      <c r="Y617" s="364">
        <f t="shared" si="223"/>
        <v>0</v>
      </c>
      <c r="AQ617" s="3"/>
    </row>
    <row r="618" spans="4:43" x14ac:dyDescent="0.3">
      <c r="E618" s="352"/>
      <c r="F618" s="2" t="s">
        <v>987</v>
      </c>
      <c r="G618" t="s">
        <v>207</v>
      </c>
      <c r="J618" s="101">
        <f>J179</f>
        <v>0</v>
      </c>
      <c r="K618" s="101">
        <f t="shared" ref="K618:Y618" si="224">K179</f>
        <v>0</v>
      </c>
      <c r="L618" s="101">
        <f t="shared" si="224"/>
        <v>714.76278719221432</v>
      </c>
      <c r="M618" s="101">
        <f t="shared" si="224"/>
        <v>0</v>
      </c>
      <c r="N618" s="101">
        <f t="shared" si="224"/>
        <v>4108.7662319291576</v>
      </c>
      <c r="O618" s="101">
        <f t="shared" si="224"/>
        <v>106.1581905069866</v>
      </c>
      <c r="P618" s="101">
        <f t="shared" si="224"/>
        <v>1469.2593128454439</v>
      </c>
      <c r="Q618" s="101">
        <f t="shared" si="224"/>
        <v>0</v>
      </c>
      <c r="R618" s="101">
        <f t="shared" si="224"/>
        <v>0</v>
      </c>
      <c r="S618" s="101">
        <f t="shared" si="224"/>
        <v>0</v>
      </c>
      <c r="T618" s="101">
        <f t="shared" si="224"/>
        <v>0</v>
      </c>
      <c r="U618" s="101">
        <f t="shared" si="224"/>
        <v>0</v>
      </c>
      <c r="V618" s="101">
        <f t="shared" si="224"/>
        <v>0</v>
      </c>
      <c r="W618" s="101">
        <f t="shared" si="224"/>
        <v>0</v>
      </c>
      <c r="X618" s="101">
        <f t="shared" si="224"/>
        <v>0</v>
      </c>
      <c r="Y618" s="101">
        <f t="shared" si="224"/>
        <v>0</v>
      </c>
      <c r="AQ618" s="3"/>
    </row>
    <row r="619" spans="4:43" x14ac:dyDescent="0.3">
      <c r="E619" s="352"/>
      <c r="F619" s="2" t="s">
        <v>986</v>
      </c>
      <c r="G619" t="s">
        <v>207</v>
      </c>
      <c r="J619" s="101">
        <f>J188</f>
        <v>0</v>
      </c>
      <c r="K619" s="101">
        <f t="shared" ref="K619:Y619" si="225">K188</f>
        <v>0</v>
      </c>
      <c r="L619" s="101">
        <f t="shared" si="225"/>
        <v>2304.1746476211338</v>
      </c>
      <c r="M619" s="101">
        <f t="shared" si="225"/>
        <v>0</v>
      </c>
      <c r="N619" s="101">
        <f t="shared" si="225"/>
        <v>4041.3700989201598</v>
      </c>
      <c r="O619" s="101">
        <f t="shared" si="225"/>
        <v>1221.2241561571352</v>
      </c>
      <c r="P619" s="101">
        <f t="shared" si="225"/>
        <v>4670.1389038740672</v>
      </c>
      <c r="Q619" s="101">
        <f t="shared" si="225"/>
        <v>0</v>
      </c>
      <c r="R619" s="101">
        <f t="shared" si="225"/>
        <v>0</v>
      </c>
      <c r="S619" s="101">
        <f t="shared" si="225"/>
        <v>0</v>
      </c>
      <c r="T619" s="101">
        <f t="shared" si="225"/>
        <v>0</v>
      </c>
      <c r="U619" s="101">
        <f t="shared" si="225"/>
        <v>0</v>
      </c>
      <c r="V619" s="101">
        <f t="shared" si="225"/>
        <v>0</v>
      </c>
      <c r="W619" s="101">
        <f t="shared" si="225"/>
        <v>0</v>
      </c>
      <c r="X619" s="101">
        <f t="shared" si="225"/>
        <v>0</v>
      </c>
      <c r="Y619" s="101">
        <f t="shared" si="225"/>
        <v>0</v>
      </c>
      <c r="AQ619" s="3"/>
    </row>
    <row r="620" spans="4:43" x14ac:dyDescent="0.3">
      <c r="E620" s="72" t="s">
        <v>248</v>
      </c>
      <c r="F620" s="2"/>
      <c r="J620" s="26"/>
      <c r="K620" s="26"/>
      <c r="L620" s="26"/>
      <c r="M620" s="26"/>
      <c r="N620" s="26"/>
      <c r="O620" s="26"/>
      <c r="P620" s="26"/>
      <c r="Q620" s="26"/>
      <c r="R620" s="26"/>
      <c r="S620" s="26"/>
      <c r="T620" s="26"/>
      <c r="U620" s="26"/>
      <c r="V620" s="26"/>
      <c r="W620" s="26"/>
      <c r="X620" s="26"/>
      <c r="Y620" s="26"/>
      <c r="AQ620" s="3"/>
    </row>
    <row r="621" spans="4:43" x14ac:dyDescent="0.3">
      <c r="E621" s="352"/>
      <c r="F621" s="2" t="s">
        <v>983</v>
      </c>
      <c r="G621" t="s">
        <v>207</v>
      </c>
      <c r="J621" s="131">
        <f>J153</f>
        <v>0</v>
      </c>
      <c r="K621" s="131">
        <f t="shared" ref="K621:Y621" si="226">K153</f>
        <v>0</v>
      </c>
      <c r="L621" s="131">
        <f t="shared" si="226"/>
        <v>0</v>
      </c>
      <c r="M621" s="131">
        <f t="shared" si="226"/>
        <v>0</v>
      </c>
      <c r="N621" s="131">
        <f t="shared" si="226"/>
        <v>0</v>
      </c>
      <c r="O621" s="131">
        <f t="shared" si="226"/>
        <v>0</v>
      </c>
      <c r="P621" s="131">
        <f t="shared" si="226"/>
        <v>0</v>
      </c>
      <c r="Q621" s="131">
        <f t="shared" si="226"/>
        <v>0</v>
      </c>
      <c r="R621" s="131">
        <f t="shared" si="226"/>
        <v>0</v>
      </c>
      <c r="S621" s="131">
        <f t="shared" si="226"/>
        <v>0</v>
      </c>
      <c r="T621" s="131">
        <f t="shared" si="226"/>
        <v>13.065209505688999</v>
      </c>
      <c r="U621" s="131">
        <f t="shared" si="226"/>
        <v>0</v>
      </c>
      <c r="V621" s="131">
        <f t="shared" si="226"/>
        <v>0</v>
      </c>
      <c r="W621" s="131">
        <f t="shared" si="226"/>
        <v>0</v>
      </c>
      <c r="X621" s="131">
        <f t="shared" si="226"/>
        <v>3.5193669404444461E-2</v>
      </c>
      <c r="Y621" s="131">
        <f t="shared" si="226"/>
        <v>0</v>
      </c>
      <c r="AQ621" s="3"/>
    </row>
    <row r="622" spans="4:43" x14ac:dyDescent="0.3">
      <c r="E622" s="352"/>
      <c r="F622" s="2" t="s">
        <v>984</v>
      </c>
      <c r="G622" t="s">
        <v>207</v>
      </c>
      <c r="J622" s="364">
        <f>J162</f>
        <v>66581.853503650185</v>
      </c>
      <c r="K622" s="364">
        <f t="shared" ref="K622:Y622" si="227">K162</f>
        <v>0</v>
      </c>
      <c r="L622" s="364">
        <f t="shared" si="227"/>
        <v>560.86101090414024</v>
      </c>
      <c r="M622" s="364">
        <f t="shared" si="227"/>
        <v>0</v>
      </c>
      <c r="N622" s="364">
        <f t="shared" si="227"/>
        <v>18174.481136935185</v>
      </c>
      <c r="O622" s="364">
        <f t="shared" si="227"/>
        <v>43.278708143533713</v>
      </c>
      <c r="P622" s="364">
        <f t="shared" si="227"/>
        <v>5500.5249681367704</v>
      </c>
      <c r="Q622" s="364">
        <f t="shared" si="227"/>
        <v>310.64116500904521</v>
      </c>
      <c r="R622" s="364">
        <f t="shared" si="227"/>
        <v>0</v>
      </c>
      <c r="S622" s="364">
        <f t="shared" si="227"/>
        <v>0</v>
      </c>
      <c r="T622" s="364">
        <f t="shared" si="227"/>
        <v>0</v>
      </c>
      <c r="U622" s="364">
        <f t="shared" si="227"/>
        <v>0</v>
      </c>
      <c r="V622" s="364">
        <f t="shared" si="227"/>
        <v>0</v>
      </c>
      <c r="W622" s="364">
        <f t="shared" si="227"/>
        <v>0</v>
      </c>
      <c r="X622" s="364">
        <f t="shared" si="227"/>
        <v>0</v>
      </c>
      <c r="Y622" s="364">
        <f t="shared" si="227"/>
        <v>0</v>
      </c>
      <c r="AQ622" s="3"/>
    </row>
    <row r="623" spans="4:43" x14ac:dyDescent="0.3">
      <c r="E623" s="352"/>
      <c r="F623" s="2" t="s">
        <v>985</v>
      </c>
      <c r="G623" t="s">
        <v>207</v>
      </c>
      <c r="J623" s="364">
        <f>J171</f>
        <v>0</v>
      </c>
      <c r="K623" s="364">
        <f t="shared" ref="K623:Y623" si="228">K171</f>
        <v>0</v>
      </c>
      <c r="L623" s="364">
        <f t="shared" si="228"/>
        <v>2354.0846982919243</v>
      </c>
      <c r="M623" s="364">
        <f t="shared" si="228"/>
        <v>0</v>
      </c>
      <c r="N623" s="364">
        <f t="shared" si="228"/>
        <v>27159.511953025001</v>
      </c>
      <c r="O623" s="364">
        <f t="shared" si="228"/>
        <v>222.16813149504119</v>
      </c>
      <c r="P623" s="364">
        <f t="shared" si="228"/>
        <v>9812.1493658404652</v>
      </c>
      <c r="Q623" s="364">
        <f t="shared" si="228"/>
        <v>0</v>
      </c>
      <c r="R623" s="364">
        <f t="shared" si="228"/>
        <v>0</v>
      </c>
      <c r="S623" s="364">
        <f t="shared" si="228"/>
        <v>0</v>
      </c>
      <c r="T623" s="364">
        <f t="shared" si="228"/>
        <v>0</v>
      </c>
      <c r="U623" s="364">
        <f t="shared" si="228"/>
        <v>0</v>
      </c>
      <c r="V623" s="364">
        <f t="shared" si="228"/>
        <v>0</v>
      </c>
      <c r="W623" s="364">
        <f t="shared" si="228"/>
        <v>0</v>
      </c>
      <c r="X623" s="364">
        <f t="shared" si="228"/>
        <v>0</v>
      </c>
      <c r="Y623" s="364">
        <f t="shared" si="228"/>
        <v>0</v>
      </c>
      <c r="AQ623" s="3"/>
    </row>
    <row r="624" spans="4:43" x14ac:dyDescent="0.3">
      <c r="E624" s="352"/>
      <c r="F624" s="2" t="s">
        <v>987</v>
      </c>
      <c r="G624" t="s">
        <v>207</v>
      </c>
      <c r="J624" s="101">
        <f>J180</f>
        <v>0</v>
      </c>
      <c r="K624" s="101">
        <f t="shared" ref="K624:Y624" si="229">K180</f>
        <v>0</v>
      </c>
      <c r="L624" s="101">
        <f t="shared" si="229"/>
        <v>2986.6041008902475</v>
      </c>
      <c r="M624" s="101">
        <f t="shared" si="229"/>
        <v>0</v>
      </c>
      <c r="N624" s="101">
        <f t="shared" si="229"/>
        <v>14664.04175966706</v>
      </c>
      <c r="O624" s="101">
        <f t="shared" si="229"/>
        <v>400.53274299241258</v>
      </c>
      <c r="P624" s="101">
        <f t="shared" si="229"/>
        <v>5368.4009686906647</v>
      </c>
      <c r="Q624" s="101">
        <f t="shared" si="229"/>
        <v>0</v>
      </c>
      <c r="R624" s="101">
        <f t="shared" si="229"/>
        <v>0</v>
      </c>
      <c r="S624" s="101">
        <f t="shared" si="229"/>
        <v>0</v>
      </c>
      <c r="T624" s="101">
        <f t="shared" si="229"/>
        <v>0</v>
      </c>
      <c r="U624" s="101">
        <f t="shared" si="229"/>
        <v>0</v>
      </c>
      <c r="V624" s="101">
        <f t="shared" si="229"/>
        <v>0</v>
      </c>
      <c r="W624" s="101">
        <f t="shared" si="229"/>
        <v>0</v>
      </c>
      <c r="X624" s="101">
        <f t="shared" si="229"/>
        <v>0</v>
      </c>
      <c r="Y624" s="101">
        <f t="shared" si="229"/>
        <v>0</v>
      </c>
      <c r="AQ624" s="3"/>
    </row>
    <row r="625" spans="5:43" x14ac:dyDescent="0.3">
      <c r="E625" s="352"/>
      <c r="F625" s="2" t="s">
        <v>986</v>
      </c>
      <c r="G625" t="s">
        <v>207</v>
      </c>
      <c r="J625" s="101">
        <f>J189</f>
        <v>0</v>
      </c>
      <c r="K625" s="101">
        <f t="shared" ref="K625:Y625" si="230">K189</f>
        <v>0</v>
      </c>
      <c r="L625" s="101">
        <f t="shared" si="230"/>
        <v>9627.8899448384436</v>
      </c>
      <c r="M625" s="101">
        <f t="shared" si="230"/>
        <v>0</v>
      </c>
      <c r="N625" s="101">
        <f t="shared" si="230"/>
        <v>14423.507338116386</v>
      </c>
      <c r="O625" s="101">
        <f t="shared" si="230"/>
        <v>4607.6544705424303</v>
      </c>
      <c r="P625" s="101">
        <f t="shared" si="230"/>
        <v>17063.821203163487</v>
      </c>
      <c r="Q625" s="101">
        <f t="shared" si="230"/>
        <v>0</v>
      </c>
      <c r="R625" s="101">
        <f t="shared" si="230"/>
        <v>0</v>
      </c>
      <c r="S625" s="101">
        <f t="shared" si="230"/>
        <v>0</v>
      </c>
      <c r="T625" s="101">
        <f t="shared" si="230"/>
        <v>0</v>
      </c>
      <c r="U625" s="101">
        <f t="shared" si="230"/>
        <v>0</v>
      </c>
      <c r="V625" s="101">
        <f t="shared" si="230"/>
        <v>0</v>
      </c>
      <c r="W625" s="101">
        <f t="shared" si="230"/>
        <v>0</v>
      </c>
      <c r="X625" s="101">
        <f t="shared" si="230"/>
        <v>0</v>
      </c>
      <c r="Y625" s="101">
        <f t="shared" si="230"/>
        <v>0</v>
      </c>
      <c r="AQ625" s="3"/>
    </row>
    <row r="626" spans="5:43" x14ac:dyDescent="0.3">
      <c r="E626" s="72" t="s">
        <v>249</v>
      </c>
      <c r="F626" s="2"/>
      <c r="J626" s="26"/>
      <c r="K626" s="26"/>
      <c r="L626" s="26"/>
      <c r="M626" s="26"/>
      <c r="N626" s="26"/>
      <c r="O626" s="26"/>
      <c r="P626" s="26"/>
      <c r="Q626" s="26"/>
      <c r="R626" s="26"/>
      <c r="S626" s="26"/>
      <c r="T626" s="26"/>
      <c r="U626" s="26"/>
      <c r="V626" s="26"/>
      <c r="W626" s="26"/>
      <c r="X626" s="26"/>
      <c r="Y626" s="26"/>
      <c r="AQ626" s="3"/>
    </row>
    <row r="627" spans="5:43" x14ac:dyDescent="0.3">
      <c r="E627" s="352"/>
      <c r="F627" s="2" t="s">
        <v>983</v>
      </c>
      <c r="G627" t="s">
        <v>207</v>
      </c>
      <c r="J627" s="131">
        <f>J154</f>
        <v>0</v>
      </c>
      <c r="K627" s="131">
        <f t="shared" ref="K627:Y627" si="231">K154</f>
        <v>0</v>
      </c>
      <c r="L627" s="131">
        <f t="shared" si="231"/>
        <v>0</v>
      </c>
      <c r="M627" s="131">
        <f t="shared" si="231"/>
        <v>0</v>
      </c>
      <c r="N627" s="131">
        <f t="shared" si="231"/>
        <v>0</v>
      </c>
      <c r="O627" s="131">
        <f t="shared" si="231"/>
        <v>0</v>
      </c>
      <c r="P627" s="131">
        <f t="shared" si="231"/>
        <v>0</v>
      </c>
      <c r="Q627" s="131">
        <f t="shared" si="231"/>
        <v>0</v>
      </c>
      <c r="R627" s="131">
        <f t="shared" si="231"/>
        <v>0</v>
      </c>
      <c r="S627" s="131">
        <f t="shared" si="231"/>
        <v>0</v>
      </c>
      <c r="T627" s="131">
        <f t="shared" si="231"/>
        <v>30.585567519526965</v>
      </c>
      <c r="U627" s="131">
        <f t="shared" si="231"/>
        <v>0</v>
      </c>
      <c r="V627" s="131">
        <f t="shared" si="231"/>
        <v>0</v>
      </c>
      <c r="W627" s="131">
        <f t="shared" si="231"/>
        <v>0</v>
      </c>
      <c r="X627" s="131">
        <f t="shared" si="231"/>
        <v>0</v>
      </c>
      <c r="Y627" s="131">
        <f t="shared" si="231"/>
        <v>0</v>
      </c>
      <c r="AQ627" s="3"/>
    </row>
    <row r="628" spans="5:43" x14ac:dyDescent="0.3">
      <c r="E628" s="352"/>
      <c r="F628" s="2" t="s">
        <v>984</v>
      </c>
      <c r="G628" t="s">
        <v>207</v>
      </c>
      <c r="J628" s="364">
        <f>J163</f>
        <v>103298.46470504548</v>
      </c>
      <c r="K628" s="364">
        <f t="shared" ref="K628:Y628" si="232">K163</f>
        <v>0</v>
      </c>
      <c r="L628" s="364">
        <f t="shared" si="232"/>
        <v>526.97664209102822</v>
      </c>
      <c r="M628" s="364">
        <f t="shared" si="232"/>
        <v>0</v>
      </c>
      <c r="N628" s="364">
        <f t="shared" si="232"/>
        <v>21560.861947820267</v>
      </c>
      <c r="O628" s="364">
        <f t="shared" si="232"/>
        <v>58.722639272901716</v>
      </c>
      <c r="P628" s="364">
        <f t="shared" si="232"/>
        <v>7565.2122379166958</v>
      </c>
      <c r="Q628" s="364">
        <f t="shared" si="232"/>
        <v>517.68074529552484</v>
      </c>
      <c r="R628" s="364">
        <f t="shared" si="232"/>
        <v>0</v>
      </c>
      <c r="S628" s="364">
        <f t="shared" si="232"/>
        <v>0</v>
      </c>
      <c r="T628" s="364">
        <f t="shared" si="232"/>
        <v>0</v>
      </c>
      <c r="U628" s="364">
        <f t="shared" si="232"/>
        <v>0</v>
      </c>
      <c r="V628" s="364">
        <f t="shared" si="232"/>
        <v>0</v>
      </c>
      <c r="W628" s="364">
        <f t="shared" si="232"/>
        <v>0</v>
      </c>
      <c r="X628" s="364">
        <f t="shared" si="232"/>
        <v>0</v>
      </c>
      <c r="Y628" s="364">
        <f t="shared" si="232"/>
        <v>0</v>
      </c>
      <c r="AQ628" s="3"/>
    </row>
    <row r="629" spans="5:43" x14ac:dyDescent="0.3">
      <c r="E629" s="352"/>
      <c r="F629" s="2" t="s">
        <v>985</v>
      </c>
      <c r="G629" t="s">
        <v>207</v>
      </c>
      <c r="J629" s="364">
        <f>J172</f>
        <v>0</v>
      </c>
      <c r="K629" s="364">
        <f t="shared" ref="K629:Y629" si="233">K172</f>
        <v>0</v>
      </c>
      <c r="L629" s="364">
        <f t="shared" si="233"/>
        <v>2211.862877585153</v>
      </c>
      <c r="M629" s="364">
        <f t="shared" si="233"/>
        <v>0</v>
      </c>
      <c r="N629" s="364">
        <f t="shared" si="233"/>
        <v>32220.03882131707</v>
      </c>
      <c r="O629" s="364">
        <f t="shared" si="233"/>
        <v>301.44843973738506</v>
      </c>
      <c r="P629" s="364">
        <f t="shared" si="233"/>
        <v>13495.255978788438</v>
      </c>
      <c r="Q629" s="364">
        <f t="shared" si="233"/>
        <v>0</v>
      </c>
      <c r="R629" s="364">
        <f t="shared" si="233"/>
        <v>0</v>
      </c>
      <c r="S629" s="364">
        <f t="shared" si="233"/>
        <v>0</v>
      </c>
      <c r="T629" s="364">
        <f t="shared" si="233"/>
        <v>0</v>
      </c>
      <c r="U629" s="364">
        <f t="shared" si="233"/>
        <v>0</v>
      </c>
      <c r="V629" s="364">
        <f t="shared" si="233"/>
        <v>0</v>
      </c>
      <c r="W629" s="364">
        <f t="shared" si="233"/>
        <v>0</v>
      </c>
      <c r="X629" s="364">
        <f t="shared" si="233"/>
        <v>0</v>
      </c>
      <c r="Y629" s="364">
        <f t="shared" si="233"/>
        <v>0</v>
      </c>
      <c r="AQ629" s="3"/>
    </row>
    <row r="630" spans="5:43" x14ac:dyDescent="0.3">
      <c r="E630" s="352"/>
      <c r="F630" s="2" t="s">
        <v>987</v>
      </c>
      <c r="G630" t="s">
        <v>207</v>
      </c>
      <c r="J630" s="101">
        <f>J181</f>
        <v>0</v>
      </c>
      <c r="K630" s="101">
        <f t="shared" ref="K630:Y630" si="234">K181</f>
        <v>0</v>
      </c>
      <c r="L630" s="101">
        <f t="shared" si="234"/>
        <v>2806.1686759171712</v>
      </c>
      <c r="M630" s="101">
        <f t="shared" si="234"/>
        <v>0</v>
      </c>
      <c r="N630" s="101">
        <f t="shared" si="234"/>
        <v>17396.335972129404</v>
      </c>
      <c r="O630" s="101">
        <f t="shared" si="234"/>
        <v>543.46215015762846</v>
      </c>
      <c r="P630" s="101">
        <f t="shared" si="234"/>
        <v>7383.4939286058006</v>
      </c>
      <c r="Q630" s="101">
        <f t="shared" si="234"/>
        <v>0</v>
      </c>
      <c r="R630" s="101">
        <f t="shared" si="234"/>
        <v>0</v>
      </c>
      <c r="S630" s="101">
        <f t="shared" si="234"/>
        <v>0</v>
      </c>
      <c r="T630" s="101">
        <f t="shared" si="234"/>
        <v>0</v>
      </c>
      <c r="U630" s="101">
        <f t="shared" si="234"/>
        <v>0</v>
      </c>
      <c r="V630" s="101">
        <f t="shared" si="234"/>
        <v>0</v>
      </c>
      <c r="W630" s="101">
        <f t="shared" si="234"/>
        <v>0</v>
      </c>
      <c r="X630" s="101">
        <f t="shared" si="234"/>
        <v>0</v>
      </c>
      <c r="Y630" s="101">
        <f t="shared" si="234"/>
        <v>0</v>
      </c>
      <c r="AQ630" s="3"/>
    </row>
    <row r="631" spans="5:43" x14ac:dyDescent="0.3">
      <c r="E631" s="352"/>
      <c r="F631" s="2" t="s">
        <v>986</v>
      </c>
      <c r="G631" t="s">
        <v>207</v>
      </c>
      <c r="J631" s="101">
        <f>J190</f>
        <v>0</v>
      </c>
      <c r="K631" s="101">
        <f t="shared" ref="K631:Y631" si="235">K190</f>
        <v>0</v>
      </c>
      <c r="L631" s="101">
        <f t="shared" si="235"/>
        <v>9046.2218177260784</v>
      </c>
      <c r="M631" s="101">
        <f t="shared" si="235"/>
        <v>0</v>
      </c>
      <c r="N631" s="101">
        <f t="shared" si="235"/>
        <v>17110.983701675126</v>
      </c>
      <c r="O631" s="101">
        <f t="shared" si="235"/>
        <v>6251.8878907031922</v>
      </c>
      <c r="P631" s="101">
        <f t="shared" si="235"/>
        <v>23468.928827628395</v>
      </c>
      <c r="Q631" s="101">
        <f t="shared" si="235"/>
        <v>0</v>
      </c>
      <c r="R631" s="101">
        <f t="shared" si="235"/>
        <v>0</v>
      </c>
      <c r="S631" s="101">
        <f t="shared" si="235"/>
        <v>0</v>
      </c>
      <c r="T631" s="101">
        <f t="shared" si="235"/>
        <v>0</v>
      </c>
      <c r="U631" s="101">
        <f t="shared" si="235"/>
        <v>0</v>
      </c>
      <c r="V631" s="101">
        <f t="shared" si="235"/>
        <v>0</v>
      </c>
      <c r="W631" s="101">
        <f t="shared" si="235"/>
        <v>0</v>
      </c>
      <c r="X631" s="101">
        <f t="shared" si="235"/>
        <v>0</v>
      </c>
      <c r="Y631" s="101">
        <f t="shared" si="235"/>
        <v>0</v>
      </c>
      <c r="AQ631" s="3"/>
    </row>
    <row r="632" spans="5:43" x14ac:dyDescent="0.3">
      <c r="E632" s="72" t="s">
        <v>212</v>
      </c>
      <c r="F632" s="2"/>
      <c r="J632" s="26"/>
      <c r="K632" s="26"/>
      <c r="L632" s="26"/>
      <c r="M632" s="26"/>
      <c r="N632" s="26"/>
      <c r="O632" s="26"/>
      <c r="P632" s="26"/>
      <c r="Q632" s="26"/>
      <c r="R632" s="26"/>
      <c r="S632" s="26"/>
      <c r="T632" s="26"/>
      <c r="U632" s="26"/>
      <c r="V632" s="26"/>
      <c r="W632" s="26"/>
      <c r="X632" s="26"/>
      <c r="Y632" s="26"/>
      <c r="AQ632" s="3"/>
    </row>
    <row r="633" spans="5:43" x14ac:dyDescent="0.3">
      <c r="E633" s="352"/>
      <c r="F633" s="2" t="s">
        <v>983</v>
      </c>
      <c r="G633" t="s">
        <v>212</v>
      </c>
      <c r="J633" s="131">
        <f>J155</f>
        <v>0</v>
      </c>
      <c r="K633" s="131">
        <f t="shared" ref="K633:Y633" si="236">K155</f>
        <v>0</v>
      </c>
      <c r="L633" s="131">
        <f t="shared" si="236"/>
        <v>0</v>
      </c>
      <c r="M633" s="131">
        <f t="shared" si="236"/>
        <v>0</v>
      </c>
      <c r="N633" s="131">
        <f t="shared" si="236"/>
        <v>0</v>
      </c>
      <c r="O633" s="131">
        <f t="shared" si="236"/>
        <v>0</v>
      </c>
      <c r="P633" s="131">
        <f t="shared" si="236"/>
        <v>0</v>
      </c>
      <c r="Q633" s="131">
        <f t="shared" si="236"/>
        <v>0</v>
      </c>
      <c r="R633" s="131">
        <f t="shared" si="236"/>
        <v>0</v>
      </c>
      <c r="S633" s="131">
        <f t="shared" si="236"/>
        <v>0</v>
      </c>
      <c r="T633" s="131">
        <f t="shared" si="236"/>
        <v>2.7440506140904959</v>
      </c>
      <c r="U633" s="131">
        <f t="shared" si="236"/>
        <v>0</v>
      </c>
      <c r="V633" s="131">
        <f t="shared" si="236"/>
        <v>0</v>
      </c>
      <c r="W633" s="131">
        <f t="shared" si="236"/>
        <v>0</v>
      </c>
      <c r="X633" s="131">
        <f t="shared" si="236"/>
        <v>0.33569155719989663</v>
      </c>
      <c r="Y633" s="131">
        <f t="shared" si="236"/>
        <v>0</v>
      </c>
      <c r="AQ633" s="3"/>
    </row>
    <row r="634" spans="5:43" x14ac:dyDescent="0.3">
      <c r="E634" s="352"/>
      <c r="F634" s="2" t="s">
        <v>984</v>
      </c>
      <c r="G634" t="s">
        <v>212</v>
      </c>
      <c r="J634" s="364">
        <f>J164</f>
        <v>65699.326539455738</v>
      </c>
      <c r="K634" s="364">
        <f t="shared" ref="K634:Y634" si="237">K164</f>
        <v>0</v>
      </c>
      <c r="L634" s="364">
        <f t="shared" si="237"/>
        <v>674.38476219834467</v>
      </c>
      <c r="M634" s="364">
        <f t="shared" si="237"/>
        <v>0</v>
      </c>
      <c r="N634" s="364">
        <f t="shared" si="237"/>
        <v>278.94771546863126</v>
      </c>
      <c r="O634" s="364">
        <f t="shared" si="237"/>
        <v>0.86358747870005459</v>
      </c>
      <c r="P634" s="364">
        <f t="shared" si="237"/>
        <v>27.560496628623962</v>
      </c>
      <c r="Q634" s="364">
        <f t="shared" si="237"/>
        <v>0</v>
      </c>
      <c r="R634" s="364">
        <f t="shared" si="237"/>
        <v>0</v>
      </c>
      <c r="S634" s="364">
        <f t="shared" si="237"/>
        <v>0</v>
      </c>
      <c r="T634" s="364">
        <f t="shared" si="237"/>
        <v>0</v>
      </c>
      <c r="U634" s="364">
        <f t="shared" si="237"/>
        <v>0</v>
      </c>
      <c r="V634" s="364">
        <f t="shared" si="237"/>
        <v>0</v>
      </c>
      <c r="W634" s="364">
        <f t="shared" si="237"/>
        <v>0</v>
      </c>
      <c r="X634" s="364">
        <f t="shared" si="237"/>
        <v>0</v>
      </c>
      <c r="Y634" s="364">
        <f t="shared" si="237"/>
        <v>0</v>
      </c>
      <c r="AQ634" s="3"/>
    </row>
    <row r="635" spans="5:43" x14ac:dyDescent="0.3">
      <c r="E635" s="352"/>
      <c r="F635" s="2" t="s">
        <v>985</v>
      </c>
      <c r="G635" t="s">
        <v>212</v>
      </c>
      <c r="J635" s="364">
        <f>J173</f>
        <v>0</v>
      </c>
      <c r="K635" s="364">
        <f t="shared" ref="K635:Y635" si="238">K173</f>
        <v>0</v>
      </c>
      <c r="L635" s="364">
        <f t="shared" si="238"/>
        <v>508.95029872072712</v>
      </c>
      <c r="M635" s="364">
        <f t="shared" si="238"/>
        <v>0</v>
      </c>
      <c r="N635" s="364">
        <f t="shared" si="238"/>
        <v>225.62799871931324</v>
      </c>
      <c r="O635" s="364">
        <f t="shared" si="238"/>
        <v>2.0726099488801308</v>
      </c>
      <c r="P635" s="364">
        <f t="shared" si="238"/>
        <v>14.878226917690466</v>
      </c>
      <c r="Q635" s="364">
        <f t="shared" si="238"/>
        <v>0</v>
      </c>
      <c r="R635" s="364">
        <f t="shared" si="238"/>
        <v>0</v>
      </c>
      <c r="S635" s="364">
        <f t="shared" si="238"/>
        <v>0</v>
      </c>
      <c r="T635" s="364">
        <f t="shared" si="238"/>
        <v>0</v>
      </c>
      <c r="U635" s="364">
        <f t="shared" si="238"/>
        <v>0</v>
      </c>
      <c r="V635" s="364">
        <f t="shared" si="238"/>
        <v>0</v>
      </c>
      <c r="W635" s="364">
        <f t="shared" si="238"/>
        <v>0</v>
      </c>
      <c r="X635" s="364">
        <f t="shared" si="238"/>
        <v>0</v>
      </c>
      <c r="Y635" s="364">
        <f t="shared" si="238"/>
        <v>0</v>
      </c>
      <c r="AQ635" s="3"/>
    </row>
    <row r="636" spans="5:43" x14ac:dyDescent="0.3">
      <c r="E636" s="352"/>
      <c r="F636" s="2" t="s">
        <v>987</v>
      </c>
      <c r="G636" t="s">
        <v>212</v>
      </c>
      <c r="J636" s="101">
        <f>J182</f>
        <v>0</v>
      </c>
      <c r="K636" s="101">
        <f t="shared" ref="K636:Y636" si="239">K182</f>
        <v>0</v>
      </c>
      <c r="L636" s="101">
        <f t="shared" si="239"/>
        <v>263.31754885346095</v>
      </c>
      <c r="M636" s="101">
        <f t="shared" si="239"/>
        <v>0</v>
      </c>
      <c r="N636" s="101">
        <f t="shared" si="239"/>
        <v>78.642124034947344</v>
      </c>
      <c r="O636" s="101">
        <f t="shared" si="239"/>
        <v>2.3316861924901473</v>
      </c>
      <c r="P636" s="101">
        <f t="shared" si="239"/>
        <v>3.6517041191014741</v>
      </c>
      <c r="Q636" s="101">
        <f t="shared" si="239"/>
        <v>0</v>
      </c>
      <c r="R636" s="101">
        <f t="shared" si="239"/>
        <v>0</v>
      </c>
      <c r="S636" s="101">
        <f t="shared" si="239"/>
        <v>0</v>
      </c>
      <c r="T636" s="101">
        <f t="shared" si="239"/>
        <v>0</v>
      </c>
      <c r="U636" s="101">
        <f t="shared" si="239"/>
        <v>0</v>
      </c>
      <c r="V636" s="101">
        <f t="shared" si="239"/>
        <v>0</v>
      </c>
      <c r="W636" s="101">
        <f t="shared" si="239"/>
        <v>0</v>
      </c>
      <c r="X636" s="101">
        <f t="shared" si="239"/>
        <v>0</v>
      </c>
      <c r="Y636" s="101">
        <f t="shared" si="239"/>
        <v>0</v>
      </c>
      <c r="AQ636" s="3"/>
    </row>
    <row r="637" spans="5:43" x14ac:dyDescent="0.3">
      <c r="E637" s="352"/>
      <c r="F637" s="2" t="s">
        <v>986</v>
      </c>
      <c r="G637" t="s">
        <v>212</v>
      </c>
      <c r="J637" s="101">
        <f>J191</f>
        <v>0</v>
      </c>
      <c r="K637" s="101">
        <f t="shared" ref="K637:Y637" si="240">K191</f>
        <v>0</v>
      </c>
      <c r="L637" s="101">
        <f t="shared" si="240"/>
        <v>263.24164842862751</v>
      </c>
      <c r="M637" s="101">
        <f t="shared" si="240"/>
        <v>0</v>
      </c>
      <c r="N637" s="101">
        <f t="shared" si="240"/>
        <v>49.574853700034836</v>
      </c>
      <c r="O637" s="101">
        <f t="shared" si="240"/>
        <v>17.876260809091129</v>
      </c>
      <c r="P637" s="101">
        <f t="shared" si="240"/>
        <v>3.7627356632633431</v>
      </c>
      <c r="Q637" s="101">
        <f t="shared" si="240"/>
        <v>0</v>
      </c>
      <c r="R637" s="101">
        <f t="shared" si="240"/>
        <v>0</v>
      </c>
      <c r="S637" s="101">
        <f t="shared" si="240"/>
        <v>0</v>
      </c>
      <c r="T637" s="101">
        <f t="shared" si="240"/>
        <v>0</v>
      </c>
      <c r="U637" s="101">
        <f t="shared" si="240"/>
        <v>0</v>
      </c>
      <c r="V637" s="101">
        <f t="shared" si="240"/>
        <v>0</v>
      </c>
      <c r="W637" s="101">
        <f t="shared" si="240"/>
        <v>0</v>
      </c>
      <c r="X637" s="101">
        <f t="shared" si="240"/>
        <v>0</v>
      </c>
      <c r="Y637" s="101">
        <f t="shared" si="240"/>
        <v>0</v>
      </c>
      <c r="AQ637" s="3"/>
    </row>
    <row r="638" spans="5:43" x14ac:dyDescent="0.3">
      <c r="E638" s="72" t="s">
        <v>250</v>
      </c>
      <c r="F638" s="2"/>
      <c r="J638" s="26"/>
      <c r="K638" s="26"/>
      <c r="L638" s="26"/>
      <c r="M638" s="26"/>
      <c r="N638" s="26"/>
      <c r="O638" s="26"/>
      <c r="P638" s="26"/>
      <c r="Q638" s="26"/>
      <c r="R638" s="26"/>
      <c r="S638" s="26"/>
      <c r="T638" s="26"/>
      <c r="U638" s="26"/>
      <c r="V638" s="26"/>
      <c r="W638" s="26"/>
      <c r="X638" s="26"/>
      <c r="Y638" s="26"/>
      <c r="AQ638" s="3"/>
    </row>
    <row r="639" spans="5:43" x14ac:dyDescent="0.3">
      <c r="E639" s="352"/>
      <c r="F639" s="2" t="s">
        <v>983</v>
      </c>
      <c r="G639" t="s">
        <v>251</v>
      </c>
      <c r="J639" s="131">
        <f>J156</f>
        <v>0</v>
      </c>
      <c r="K639" s="131">
        <f t="shared" ref="K639:Y639" si="241">K156</f>
        <v>0</v>
      </c>
      <c r="L639" s="131">
        <f t="shared" si="241"/>
        <v>0</v>
      </c>
      <c r="M639" s="131">
        <f t="shared" si="241"/>
        <v>0</v>
      </c>
      <c r="N639" s="131">
        <f t="shared" si="241"/>
        <v>0</v>
      </c>
      <c r="O639" s="131">
        <f t="shared" si="241"/>
        <v>0</v>
      </c>
      <c r="P639" s="131">
        <f t="shared" si="241"/>
        <v>0</v>
      </c>
      <c r="Q639" s="131">
        <f t="shared" si="241"/>
        <v>0</v>
      </c>
      <c r="R639" s="131">
        <f t="shared" si="241"/>
        <v>0</v>
      </c>
      <c r="S639" s="131">
        <f t="shared" si="241"/>
        <v>0</v>
      </c>
      <c r="T639" s="131">
        <f t="shared" si="241"/>
        <v>0</v>
      </c>
      <c r="U639" s="131">
        <f t="shared" si="241"/>
        <v>0</v>
      </c>
      <c r="V639" s="131">
        <f t="shared" si="241"/>
        <v>0</v>
      </c>
      <c r="W639" s="131">
        <f t="shared" si="241"/>
        <v>0</v>
      </c>
      <c r="X639" s="131">
        <f t="shared" si="241"/>
        <v>0</v>
      </c>
      <c r="Y639" s="131">
        <f t="shared" si="241"/>
        <v>0</v>
      </c>
      <c r="AQ639" s="3"/>
    </row>
    <row r="640" spans="5:43" x14ac:dyDescent="0.3">
      <c r="E640" s="352"/>
      <c r="F640" s="2" t="s">
        <v>984</v>
      </c>
      <c r="G640" t="s">
        <v>251</v>
      </c>
      <c r="J640" s="364">
        <f>J165</f>
        <v>0</v>
      </c>
      <c r="K640" s="364">
        <f t="shared" ref="K640:Y640" si="242">K165</f>
        <v>0</v>
      </c>
      <c r="L640" s="364">
        <f t="shared" si="242"/>
        <v>0</v>
      </c>
      <c r="M640" s="364">
        <f t="shared" si="242"/>
        <v>0</v>
      </c>
      <c r="N640" s="364">
        <f t="shared" si="242"/>
        <v>23790.983588386411</v>
      </c>
      <c r="O640" s="364">
        <f t="shared" si="242"/>
        <v>39.604595471054651</v>
      </c>
      <c r="P640" s="364">
        <f t="shared" si="242"/>
        <v>9724.219148420696</v>
      </c>
      <c r="Q640" s="364">
        <f t="shared" si="242"/>
        <v>0</v>
      </c>
      <c r="R640" s="364">
        <f t="shared" si="242"/>
        <v>0</v>
      </c>
      <c r="S640" s="364">
        <f t="shared" si="242"/>
        <v>0</v>
      </c>
      <c r="T640" s="364">
        <f t="shared" si="242"/>
        <v>0</v>
      </c>
      <c r="U640" s="364">
        <f t="shared" si="242"/>
        <v>0</v>
      </c>
      <c r="V640" s="364">
        <f t="shared" si="242"/>
        <v>0</v>
      </c>
      <c r="W640" s="364">
        <f t="shared" si="242"/>
        <v>0</v>
      </c>
      <c r="X640" s="364">
        <f t="shared" si="242"/>
        <v>0</v>
      </c>
      <c r="Y640" s="364">
        <f t="shared" si="242"/>
        <v>0</v>
      </c>
      <c r="AQ640" s="3"/>
    </row>
    <row r="641" spans="5:43" x14ac:dyDescent="0.3">
      <c r="E641" s="352"/>
      <c r="F641" s="2" t="s">
        <v>985</v>
      </c>
      <c r="G641" t="s">
        <v>251</v>
      </c>
      <c r="J641" s="364">
        <f>J174</f>
        <v>0</v>
      </c>
      <c r="K641" s="364">
        <f t="shared" ref="K641:Y641" si="243">K174</f>
        <v>0</v>
      </c>
      <c r="L641" s="364">
        <f t="shared" si="243"/>
        <v>0</v>
      </c>
      <c r="M641" s="364">
        <f t="shared" si="243"/>
        <v>0</v>
      </c>
      <c r="N641" s="364">
        <f t="shared" si="243"/>
        <v>50176.217353244472</v>
      </c>
      <c r="O641" s="364">
        <f t="shared" si="243"/>
        <v>394.4447274610601</v>
      </c>
      <c r="P641" s="364">
        <f t="shared" si="243"/>
        <v>16096.243491641466</v>
      </c>
      <c r="Q641" s="364">
        <f t="shared" si="243"/>
        <v>0</v>
      </c>
      <c r="R641" s="364">
        <f t="shared" si="243"/>
        <v>0</v>
      </c>
      <c r="S641" s="364">
        <f t="shared" si="243"/>
        <v>0</v>
      </c>
      <c r="T641" s="364">
        <f t="shared" si="243"/>
        <v>0</v>
      </c>
      <c r="U641" s="364">
        <f t="shared" si="243"/>
        <v>0</v>
      </c>
      <c r="V641" s="364">
        <f t="shared" si="243"/>
        <v>0</v>
      </c>
      <c r="W641" s="364">
        <f t="shared" si="243"/>
        <v>0</v>
      </c>
      <c r="X641" s="364">
        <f t="shared" si="243"/>
        <v>0</v>
      </c>
      <c r="Y641" s="364">
        <f t="shared" si="243"/>
        <v>0</v>
      </c>
      <c r="AQ641" s="3"/>
    </row>
    <row r="642" spans="5:43" x14ac:dyDescent="0.3">
      <c r="E642" s="352"/>
      <c r="F642" s="2" t="s">
        <v>987</v>
      </c>
      <c r="G642" t="s">
        <v>251</v>
      </c>
      <c r="J642" s="101">
        <f>J183</f>
        <v>0</v>
      </c>
      <c r="K642" s="101">
        <f t="shared" ref="K642:Y642" si="244">K183</f>
        <v>0</v>
      </c>
      <c r="L642" s="101">
        <f t="shared" si="244"/>
        <v>0</v>
      </c>
      <c r="M642" s="101">
        <f t="shared" si="244"/>
        <v>0</v>
      </c>
      <c r="N642" s="101">
        <f t="shared" si="244"/>
        <v>27879.379818160778</v>
      </c>
      <c r="O642" s="101">
        <f t="shared" si="244"/>
        <v>720.48362100890699</v>
      </c>
      <c r="P642" s="101">
        <f t="shared" si="244"/>
        <v>8411.1983133069025</v>
      </c>
      <c r="Q642" s="101">
        <f t="shared" si="244"/>
        <v>0</v>
      </c>
      <c r="R642" s="101">
        <f t="shared" si="244"/>
        <v>0</v>
      </c>
      <c r="S642" s="101">
        <f t="shared" si="244"/>
        <v>0</v>
      </c>
      <c r="T642" s="101">
        <f t="shared" si="244"/>
        <v>0</v>
      </c>
      <c r="U642" s="101">
        <f t="shared" si="244"/>
        <v>0</v>
      </c>
      <c r="V642" s="101">
        <f t="shared" si="244"/>
        <v>0</v>
      </c>
      <c r="W642" s="101">
        <f t="shared" si="244"/>
        <v>0</v>
      </c>
      <c r="X642" s="101">
        <f t="shared" si="244"/>
        <v>0</v>
      </c>
      <c r="Y642" s="101">
        <f t="shared" si="244"/>
        <v>0</v>
      </c>
      <c r="AQ642" s="3"/>
    </row>
    <row r="643" spans="5:43" x14ac:dyDescent="0.3">
      <c r="E643" s="352"/>
      <c r="F643" s="2" t="s">
        <v>986</v>
      </c>
      <c r="G643" t="s">
        <v>251</v>
      </c>
      <c r="J643" s="101">
        <f>J192</f>
        <v>0</v>
      </c>
      <c r="K643" s="101">
        <f t="shared" ref="K643:Y643" si="245">K192</f>
        <v>0</v>
      </c>
      <c r="L643" s="101">
        <f t="shared" si="245"/>
        <v>0</v>
      </c>
      <c r="M643" s="101">
        <f t="shared" si="245"/>
        <v>0</v>
      </c>
      <c r="N643" s="101">
        <f t="shared" si="245"/>
        <v>28608.764115326172</v>
      </c>
      <c r="O643" s="101">
        <f t="shared" si="245"/>
        <v>13719.291358833447</v>
      </c>
      <c r="P643" s="101">
        <f t="shared" si="245"/>
        <v>25627.557429639197</v>
      </c>
      <c r="Q643" s="101">
        <f t="shared" si="245"/>
        <v>0</v>
      </c>
      <c r="R643" s="101">
        <f t="shared" si="245"/>
        <v>0</v>
      </c>
      <c r="S643" s="101">
        <f t="shared" si="245"/>
        <v>0</v>
      </c>
      <c r="T643" s="101">
        <f t="shared" si="245"/>
        <v>0</v>
      </c>
      <c r="U643" s="101">
        <f t="shared" si="245"/>
        <v>0</v>
      </c>
      <c r="V643" s="101">
        <f t="shared" si="245"/>
        <v>0</v>
      </c>
      <c r="W643" s="101">
        <f t="shared" si="245"/>
        <v>0</v>
      </c>
      <c r="X643" s="101">
        <f t="shared" si="245"/>
        <v>0</v>
      </c>
      <c r="Y643" s="101">
        <f t="shared" si="245"/>
        <v>0</v>
      </c>
      <c r="AQ643" s="3"/>
    </row>
    <row r="644" spans="5:43" x14ac:dyDescent="0.3">
      <c r="E644" s="72" t="s">
        <v>252</v>
      </c>
      <c r="F644" s="2"/>
      <c r="J644" s="26"/>
      <c r="K644" s="26"/>
      <c r="L644" s="26"/>
      <c r="M644" s="26"/>
      <c r="N644" s="26"/>
      <c r="O644" s="26"/>
      <c r="P644" s="26"/>
      <c r="Q644" s="26"/>
      <c r="R644" s="26"/>
      <c r="S644" s="26"/>
      <c r="T644" s="26"/>
      <c r="U644" s="26"/>
      <c r="V644" s="26"/>
      <c r="W644" s="26"/>
      <c r="X644" s="26"/>
      <c r="Y644" s="26"/>
      <c r="AQ644" s="3"/>
    </row>
    <row r="645" spans="5:43" x14ac:dyDescent="0.3">
      <c r="E645" s="352"/>
      <c r="F645" s="2" t="s">
        <v>983</v>
      </c>
      <c r="G645" t="s">
        <v>251</v>
      </c>
      <c r="J645" s="131">
        <f>J157</f>
        <v>0</v>
      </c>
      <c r="K645" s="131">
        <f t="shared" ref="K645:Y645" si="246">K157</f>
        <v>0</v>
      </c>
      <c r="L645" s="131">
        <f t="shared" si="246"/>
        <v>0</v>
      </c>
      <c r="M645" s="131">
        <f t="shared" si="246"/>
        <v>0</v>
      </c>
      <c r="N645" s="131">
        <f t="shared" si="246"/>
        <v>0</v>
      </c>
      <c r="O645" s="131">
        <f t="shared" si="246"/>
        <v>0</v>
      </c>
      <c r="P645" s="131">
        <f t="shared" si="246"/>
        <v>0</v>
      </c>
      <c r="Q645" s="131">
        <f t="shared" si="246"/>
        <v>0</v>
      </c>
      <c r="R645" s="131">
        <f t="shared" si="246"/>
        <v>0</v>
      </c>
      <c r="S645" s="131">
        <f t="shared" si="246"/>
        <v>0</v>
      </c>
      <c r="T645" s="131">
        <f t="shared" si="246"/>
        <v>0</v>
      </c>
      <c r="U645" s="131">
        <f t="shared" si="246"/>
        <v>0</v>
      </c>
      <c r="V645" s="131">
        <f t="shared" si="246"/>
        <v>0</v>
      </c>
      <c r="W645" s="131">
        <f t="shared" si="246"/>
        <v>0</v>
      </c>
      <c r="X645" s="131">
        <f t="shared" si="246"/>
        <v>0</v>
      </c>
      <c r="Y645" s="131">
        <f t="shared" si="246"/>
        <v>0</v>
      </c>
      <c r="AQ645" s="3"/>
    </row>
    <row r="646" spans="5:43" x14ac:dyDescent="0.3">
      <c r="E646" s="352"/>
      <c r="F646" s="2" t="s">
        <v>984</v>
      </c>
      <c r="G646" t="s">
        <v>251</v>
      </c>
      <c r="J646" s="364">
        <f>J166</f>
        <v>0</v>
      </c>
      <c r="K646" s="364">
        <f t="shared" ref="K646:Y646" si="247">K166</f>
        <v>0</v>
      </c>
      <c r="L646" s="364">
        <f t="shared" si="247"/>
        <v>0</v>
      </c>
      <c r="M646" s="364">
        <f t="shared" si="247"/>
        <v>0</v>
      </c>
      <c r="N646" s="364">
        <f t="shared" si="247"/>
        <v>110.86359894209711</v>
      </c>
      <c r="O646" s="364">
        <f t="shared" si="247"/>
        <v>0</v>
      </c>
      <c r="P646" s="364">
        <f t="shared" si="247"/>
        <v>105.26931210608977</v>
      </c>
      <c r="Q646" s="364">
        <f t="shared" si="247"/>
        <v>0</v>
      </c>
      <c r="R646" s="364">
        <f t="shared" si="247"/>
        <v>0</v>
      </c>
      <c r="S646" s="364">
        <f t="shared" si="247"/>
        <v>0</v>
      </c>
      <c r="T646" s="364">
        <f t="shared" si="247"/>
        <v>0</v>
      </c>
      <c r="U646" s="364">
        <f t="shared" si="247"/>
        <v>0</v>
      </c>
      <c r="V646" s="364">
        <f t="shared" si="247"/>
        <v>0</v>
      </c>
      <c r="W646" s="364">
        <f t="shared" si="247"/>
        <v>0</v>
      </c>
      <c r="X646" s="364">
        <f t="shared" si="247"/>
        <v>0</v>
      </c>
      <c r="Y646" s="364">
        <f t="shared" si="247"/>
        <v>0</v>
      </c>
      <c r="AQ646" s="3"/>
    </row>
    <row r="647" spans="5:43" x14ac:dyDescent="0.3">
      <c r="E647" s="352"/>
      <c r="F647" s="2" t="s">
        <v>985</v>
      </c>
      <c r="G647" t="s">
        <v>251</v>
      </c>
      <c r="J647" s="364">
        <f>J175</f>
        <v>0</v>
      </c>
      <c r="K647" s="364">
        <f t="shared" ref="K647:Y647" si="248">K175</f>
        <v>0</v>
      </c>
      <c r="L647" s="364">
        <f t="shared" si="248"/>
        <v>0</v>
      </c>
      <c r="M647" s="364">
        <f t="shared" si="248"/>
        <v>0</v>
      </c>
      <c r="N647" s="364">
        <f t="shared" si="248"/>
        <v>233.81614368382117</v>
      </c>
      <c r="O647" s="364">
        <f t="shared" si="248"/>
        <v>0</v>
      </c>
      <c r="P647" s="364">
        <f t="shared" si="248"/>
        <v>174.24951597603749</v>
      </c>
      <c r="Q647" s="364">
        <f t="shared" si="248"/>
        <v>0</v>
      </c>
      <c r="R647" s="364">
        <f t="shared" si="248"/>
        <v>0</v>
      </c>
      <c r="S647" s="364">
        <f t="shared" si="248"/>
        <v>0</v>
      </c>
      <c r="T647" s="364">
        <f t="shared" si="248"/>
        <v>0</v>
      </c>
      <c r="U647" s="364">
        <f t="shared" si="248"/>
        <v>0</v>
      </c>
      <c r="V647" s="364">
        <f t="shared" si="248"/>
        <v>0</v>
      </c>
      <c r="W647" s="364">
        <f t="shared" si="248"/>
        <v>0</v>
      </c>
      <c r="X647" s="364">
        <f t="shared" si="248"/>
        <v>0</v>
      </c>
      <c r="Y647" s="364">
        <f t="shared" si="248"/>
        <v>0</v>
      </c>
      <c r="AQ647" s="3"/>
    </row>
    <row r="648" spans="5:43" x14ac:dyDescent="0.3">
      <c r="E648" s="352"/>
      <c r="F648" s="2" t="s">
        <v>987</v>
      </c>
      <c r="G648" t="s">
        <v>251</v>
      </c>
      <c r="J648" s="101">
        <f>J184</f>
        <v>0</v>
      </c>
      <c r="K648" s="101">
        <f t="shared" ref="K648:Y648" si="249">K184</f>
        <v>0</v>
      </c>
      <c r="L648" s="101">
        <f t="shared" si="249"/>
        <v>0</v>
      </c>
      <c r="M648" s="101">
        <f t="shared" si="249"/>
        <v>0</v>
      </c>
      <c r="N648" s="101">
        <f t="shared" si="249"/>
        <v>129.91511559125925</v>
      </c>
      <c r="O648" s="101">
        <f t="shared" si="249"/>
        <v>0</v>
      </c>
      <c r="P648" s="101">
        <f t="shared" si="249"/>
        <v>91.055235069802407</v>
      </c>
      <c r="Q648" s="101">
        <f t="shared" si="249"/>
        <v>0</v>
      </c>
      <c r="R648" s="101">
        <f t="shared" si="249"/>
        <v>0</v>
      </c>
      <c r="S648" s="101">
        <f t="shared" si="249"/>
        <v>0</v>
      </c>
      <c r="T648" s="101">
        <f t="shared" si="249"/>
        <v>0</v>
      </c>
      <c r="U648" s="101">
        <f t="shared" si="249"/>
        <v>0</v>
      </c>
      <c r="V648" s="101">
        <f t="shared" si="249"/>
        <v>0</v>
      </c>
      <c r="W648" s="101">
        <f t="shared" si="249"/>
        <v>0</v>
      </c>
      <c r="X648" s="101">
        <f t="shared" si="249"/>
        <v>0</v>
      </c>
      <c r="Y648" s="101">
        <f t="shared" si="249"/>
        <v>0</v>
      </c>
      <c r="AQ648" s="3"/>
    </row>
    <row r="649" spans="5:43" x14ac:dyDescent="0.3">
      <c r="E649" s="352"/>
      <c r="F649" s="2" t="s">
        <v>986</v>
      </c>
      <c r="G649" t="s">
        <v>251</v>
      </c>
      <c r="J649" s="101">
        <f>J193</f>
        <v>0</v>
      </c>
      <c r="K649" s="101">
        <f t="shared" ref="K649:Y649" si="250">K193</f>
        <v>0</v>
      </c>
      <c r="L649" s="101">
        <f t="shared" si="250"/>
        <v>0</v>
      </c>
      <c r="M649" s="101">
        <f t="shared" si="250"/>
        <v>0</v>
      </c>
      <c r="N649" s="101">
        <f t="shared" si="250"/>
        <v>133.31397330957071</v>
      </c>
      <c r="O649" s="101">
        <f t="shared" si="250"/>
        <v>0</v>
      </c>
      <c r="P649" s="101">
        <f t="shared" si="250"/>
        <v>277.43053713629803</v>
      </c>
      <c r="Q649" s="101">
        <f t="shared" si="250"/>
        <v>0</v>
      </c>
      <c r="R649" s="101">
        <f t="shared" si="250"/>
        <v>0</v>
      </c>
      <c r="S649" s="101">
        <f t="shared" si="250"/>
        <v>0</v>
      </c>
      <c r="T649" s="101">
        <f t="shared" si="250"/>
        <v>0</v>
      </c>
      <c r="U649" s="101">
        <f t="shared" si="250"/>
        <v>0</v>
      </c>
      <c r="V649" s="101">
        <f t="shared" si="250"/>
        <v>0</v>
      </c>
      <c r="W649" s="101">
        <f t="shared" si="250"/>
        <v>0</v>
      </c>
      <c r="X649" s="101">
        <f t="shared" si="250"/>
        <v>0</v>
      </c>
      <c r="Y649" s="101">
        <f t="shared" si="250"/>
        <v>0</v>
      </c>
      <c r="AQ649" s="3"/>
    </row>
    <row r="650" spans="5:43" x14ac:dyDescent="0.3">
      <c r="E650" s="352" t="s">
        <v>253</v>
      </c>
      <c r="F650" s="353"/>
      <c r="J650" s="26"/>
      <c r="K650" s="26"/>
      <c r="L650" s="26"/>
      <c r="M650" s="26"/>
      <c r="N650" s="26"/>
      <c r="O650" s="26"/>
      <c r="P650" s="26"/>
      <c r="Q650" s="26"/>
      <c r="R650" s="26"/>
      <c r="S650" s="26"/>
      <c r="T650" s="26"/>
      <c r="U650" s="26"/>
      <c r="V650" s="26"/>
      <c r="W650" s="26"/>
      <c r="X650" s="26"/>
      <c r="Y650" s="26"/>
      <c r="AQ650" s="3"/>
    </row>
    <row r="651" spans="5:43" x14ac:dyDescent="0.3">
      <c r="E651" s="352"/>
      <c r="F651" s="353" t="s">
        <v>983</v>
      </c>
      <c r="G651" t="s">
        <v>254</v>
      </c>
      <c r="J651" s="131">
        <f>J158</f>
        <v>0</v>
      </c>
      <c r="K651" s="131">
        <f t="shared" ref="K651:Y651" si="251">K158</f>
        <v>0</v>
      </c>
      <c r="L651" s="131">
        <f t="shared" si="251"/>
        <v>0</v>
      </c>
      <c r="M651" s="131">
        <f t="shared" si="251"/>
        <v>0</v>
      </c>
      <c r="N651" s="131">
        <f t="shared" si="251"/>
        <v>0</v>
      </c>
      <c r="O651" s="131">
        <f t="shared" si="251"/>
        <v>0</v>
      </c>
      <c r="P651" s="131">
        <f t="shared" si="251"/>
        <v>0</v>
      </c>
      <c r="Q651" s="131">
        <f t="shared" si="251"/>
        <v>0</v>
      </c>
      <c r="R651" s="131">
        <f t="shared" si="251"/>
        <v>0</v>
      </c>
      <c r="S651" s="131">
        <f t="shared" si="251"/>
        <v>0</v>
      </c>
      <c r="T651" s="131">
        <f t="shared" si="251"/>
        <v>6.2683321206657237</v>
      </c>
      <c r="U651" s="131">
        <f t="shared" si="251"/>
        <v>0</v>
      </c>
      <c r="V651" s="131">
        <f t="shared" si="251"/>
        <v>0</v>
      </c>
      <c r="W651" s="131">
        <f t="shared" si="251"/>
        <v>0</v>
      </c>
      <c r="X651" s="131">
        <f t="shared" si="251"/>
        <v>2.5011575186284043</v>
      </c>
      <c r="Y651" s="131">
        <f t="shared" si="251"/>
        <v>0</v>
      </c>
      <c r="AQ651" s="3"/>
    </row>
    <row r="652" spans="5:43" x14ac:dyDescent="0.3">
      <c r="E652" s="352"/>
      <c r="F652" s="353" t="s">
        <v>984</v>
      </c>
      <c r="G652" t="s">
        <v>254</v>
      </c>
      <c r="J652" s="364">
        <f>J167</f>
        <v>0</v>
      </c>
      <c r="K652" s="364">
        <f t="shared" ref="K652:Y652" si="252">K167</f>
        <v>0</v>
      </c>
      <c r="L652" s="364">
        <f t="shared" si="252"/>
        <v>0</v>
      </c>
      <c r="M652" s="364">
        <f t="shared" si="252"/>
        <v>0</v>
      </c>
      <c r="N652" s="364">
        <f t="shared" si="252"/>
        <v>2042.4897222182178</v>
      </c>
      <c r="O652" s="364">
        <f t="shared" si="252"/>
        <v>14.235001373728778</v>
      </c>
      <c r="P652" s="364">
        <f t="shared" si="252"/>
        <v>261.04167046155914</v>
      </c>
      <c r="Q652" s="364">
        <f t="shared" si="252"/>
        <v>0</v>
      </c>
      <c r="R652" s="364">
        <f t="shared" si="252"/>
        <v>0</v>
      </c>
      <c r="S652" s="364">
        <f t="shared" si="252"/>
        <v>0</v>
      </c>
      <c r="T652" s="364">
        <f t="shared" si="252"/>
        <v>0</v>
      </c>
      <c r="U652" s="364">
        <f t="shared" si="252"/>
        <v>0</v>
      </c>
      <c r="V652" s="364">
        <f t="shared" si="252"/>
        <v>0</v>
      </c>
      <c r="W652" s="364">
        <f t="shared" si="252"/>
        <v>0</v>
      </c>
      <c r="X652" s="364">
        <f t="shared" si="252"/>
        <v>0</v>
      </c>
      <c r="Y652" s="364">
        <f t="shared" si="252"/>
        <v>0</v>
      </c>
      <c r="AQ652" s="3"/>
    </row>
    <row r="653" spans="5:43" x14ac:dyDescent="0.3">
      <c r="E653" s="352"/>
      <c r="F653" s="353" t="s">
        <v>985</v>
      </c>
      <c r="G653" t="s">
        <v>254</v>
      </c>
      <c r="J653" s="364">
        <f>J176</f>
        <v>0</v>
      </c>
      <c r="K653" s="364">
        <f t="shared" ref="K653:Y653" si="253">K176</f>
        <v>0</v>
      </c>
      <c r="L653" s="364">
        <f t="shared" si="253"/>
        <v>0</v>
      </c>
      <c r="M653" s="364">
        <f t="shared" si="253"/>
        <v>0</v>
      </c>
      <c r="N653" s="364">
        <f t="shared" si="253"/>
        <v>3052.248017786932</v>
      </c>
      <c r="O653" s="364">
        <f t="shared" si="253"/>
        <v>73.074354404064792</v>
      </c>
      <c r="P653" s="364">
        <f t="shared" si="253"/>
        <v>465.66098256344367</v>
      </c>
      <c r="Q653" s="364">
        <f t="shared" si="253"/>
        <v>0</v>
      </c>
      <c r="R653" s="364">
        <f t="shared" si="253"/>
        <v>0</v>
      </c>
      <c r="S653" s="364">
        <f t="shared" si="253"/>
        <v>0</v>
      </c>
      <c r="T653" s="364">
        <f t="shared" si="253"/>
        <v>0</v>
      </c>
      <c r="U653" s="364">
        <f t="shared" si="253"/>
        <v>0</v>
      </c>
      <c r="V653" s="364">
        <f t="shared" si="253"/>
        <v>0</v>
      </c>
      <c r="W653" s="364">
        <f t="shared" si="253"/>
        <v>0</v>
      </c>
      <c r="X653" s="364">
        <f t="shared" si="253"/>
        <v>0</v>
      </c>
      <c r="Y653" s="364">
        <f t="shared" si="253"/>
        <v>0</v>
      </c>
      <c r="AQ653" s="3"/>
    </row>
    <row r="654" spans="5:43" x14ac:dyDescent="0.3">
      <c r="E654" s="352"/>
      <c r="F654" s="353" t="s">
        <v>987</v>
      </c>
      <c r="G654" t="s">
        <v>254</v>
      </c>
      <c r="J654" s="101">
        <f>J185</f>
        <v>0</v>
      </c>
      <c r="K654" s="101">
        <f t="shared" ref="K654:Y654" si="254">K185</f>
        <v>0</v>
      </c>
      <c r="L654" s="101">
        <f t="shared" si="254"/>
        <v>0</v>
      </c>
      <c r="M654" s="101">
        <f t="shared" si="254"/>
        <v>0</v>
      </c>
      <c r="N654" s="101">
        <f t="shared" si="254"/>
        <v>1647.9785229978493</v>
      </c>
      <c r="O654" s="101">
        <f t="shared" si="254"/>
        <v>131.74108912426547</v>
      </c>
      <c r="P654" s="101">
        <f t="shared" si="254"/>
        <v>254.77138358471282</v>
      </c>
      <c r="Q654" s="101">
        <f t="shared" si="254"/>
        <v>0</v>
      </c>
      <c r="R654" s="101">
        <f t="shared" si="254"/>
        <v>0</v>
      </c>
      <c r="S654" s="101">
        <f t="shared" si="254"/>
        <v>0</v>
      </c>
      <c r="T654" s="101">
        <f t="shared" si="254"/>
        <v>0</v>
      </c>
      <c r="U654" s="101">
        <f t="shared" si="254"/>
        <v>0</v>
      </c>
      <c r="V654" s="101">
        <f t="shared" si="254"/>
        <v>0</v>
      </c>
      <c r="W654" s="101">
        <f t="shared" si="254"/>
        <v>0</v>
      </c>
      <c r="X654" s="101">
        <f t="shared" si="254"/>
        <v>0</v>
      </c>
      <c r="Y654" s="101">
        <f t="shared" si="254"/>
        <v>0</v>
      </c>
      <c r="AQ654" s="3"/>
    </row>
    <row r="655" spans="5:43" x14ac:dyDescent="0.3">
      <c r="E655" s="80"/>
      <c r="F655" s="354" t="s">
        <v>986</v>
      </c>
      <c r="G655" s="37" t="s">
        <v>254</v>
      </c>
      <c r="H655" s="37"/>
      <c r="I655" s="37"/>
      <c r="J655" s="364">
        <f>J194</f>
        <v>0</v>
      </c>
      <c r="K655" s="364">
        <f t="shared" ref="K655:Y655" si="255">K194</f>
        <v>0</v>
      </c>
      <c r="L655" s="364">
        <f t="shared" si="255"/>
        <v>0</v>
      </c>
      <c r="M655" s="364">
        <f t="shared" si="255"/>
        <v>0</v>
      </c>
      <c r="N655" s="364">
        <f t="shared" si="255"/>
        <v>1620.9467150383618</v>
      </c>
      <c r="O655" s="364">
        <f t="shared" si="255"/>
        <v>1515.5250822254236</v>
      </c>
      <c r="P655" s="364">
        <f t="shared" si="255"/>
        <v>809.80786690984269</v>
      </c>
      <c r="Q655" s="364">
        <f t="shared" si="255"/>
        <v>0</v>
      </c>
      <c r="R655" s="364">
        <f t="shared" si="255"/>
        <v>0</v>
      </c>
      <c r="S655" s="364">
        <f t="shared" si="255"/>
        <v>0</v>
      </c>
      <c r="T655" s="364">
        <f t="shared" si="255"/>
        <v>0</v>
      </c>
      <c r="U655" s="364">
        <f t="shared" si="255"/>
        <v>0</v>
      </c>
      <c r="V655" s="364">
        <f t="shared" si="255"/>
        <v>0</v>
      </c>
      <c r="W655" s="364">
        <f t="shared" si="255"/>
        <v>0</v>
      </c>
      <c r="X655" s="364">
        <f t="shared" si="255"/>
        <v>0</v>
      </c>
      <c r="Y655" s="364">
        <f t="shared" si="255"/>
        <v>0</v>
      </c>
      <c r="AQ655" s="3"/>
    </row>
    <row r="656" spans="5:43" x14ac:dyDescent="0.3">
      <c r="AQ656" s="3"/>
    </row>
    <row r="657" spans="3:43" x14ac:dyDescent="0.3">
      <c r="C657" s="31" t="str">
        <f ca="1">INDEX('Version control'!$H$34:$H$57,MATCH($A$1,'Version control'!$F$34:$F$57,0),1)&amp;"-K: Non-domestic aggregated (related MPAN) distribution across bands"</f>
        <v>Section 104-K: Non-domestic aggregated (related MPAN) distribution across bands</v>
      </c>
      <c r="D657" s="31"/>
      <c r="E657" s="31"/>
      <c r="F657" s="31"/>
      <c r="G657" s="31"/>
      <c r="H657" s="31"/>
      <c r="I657" s="31"/>
      <c r="J657" s="31"/>
      <c r="K657" s="31"/>
      <c r="L657" s="31"/>
      <c r="M657" s="31"/>
      <c r="N657" s="31"/>
      <c r="O657" s="31"/>
      <c r="P657" s="31"/>
      <c r="Q657" s="31"/>
      <c r="R657" s="31"/>
      <c r="S657" s="31"/>
      <c r="T657" s="31"/>
      <c r="U657" s="31"/>
      <c r="V657" s="31"/>
      <c r="W657" s="31"/>
      <c r="X657" s="31"/>
      <c r="Y657" s="31"/>
      <c r="Z657" s="31"/>
      <c r="AA657" s="31"/>
      <c r="AQ657" s="3"/>
    </row>
    <row r="658" spans="3:43" x14ac:dyDescent="0.3">
      <c r="AQ658" s="3"/>
    </row>
    <row r="659" spans="3:43" x14ac:dyDescent="0.3">
      <c r="D659" s="29" t="s">
        <v>1114</v>
      </c>
      <c r="I659" t="s">
        <v>154</v>
      </c>
      <c r="AA659" t="s">
        <v>1145</v>
      </c>
      <c r="AQ659" s="3"/>
    </row>
    <row r="660" spans="3:43" x14ac:dyDescent="0.3">
      <c r="D660" s="29" t="s">
        <v>1115</v>
      </c>
      <c r="AQ660" s="3"/>
    </row>
    <row r="661" spans="3:43" x14ac:dyDescent="0.3">
      <c r="D661" s="29" t="s">
        <v>1116</v>
      </c>
      <c r="AQ661" s="3"/>
    </row>
    <row r="662" spans="3:43" x14ac:dyDescent="0.3">
      <c r="D662" s="29" t="s">
        <v>1117</v>
      </c>
      <c r="AQ662" s="3"/>
    </row>
    <row r="663" spans="3:43" x14ac:dyDescent="0.3">
      <c r="AQ663" s="3"/>
    </row>
    <row r="664" spans="3:43" x14ac:dyDescent="0.3">
      <c r="E664" s="32" t="s">
        <v>992</v>
      </c>
      <c r="J664" s="386" t="s">
        <v>983</v>
      </c>
      <c r="K664" s="386" t="s">
        <v>988</v>
      </c>
      <c r="L664" s="386" t="s">
        <v>989</v>
      </c>
      <c r="M664" s="386" t="s">
        <v>990</v>
      </c>
      <c r="N664" s="386" t="s">
        <v>991</v>
      </c>
      <c r="AQ664" s="3"/>
    </row>
    <row r="665" spans="3:43" x14ac:dyDescent="0.3">
      <c r="E665" s="32"/>
      <c r="F665" s="23" t="s">
        <v>247</v>
      </c>
      <c r="G665" s="23" t="s">
        <v>167</v>
      </c>
      <c r="H665" s="23"/>
      <c r="I665" s="23"/>
      <c r="J665" s="343">
        <f>'Inputs by customer type'!J169</f>
        <v>0</v>
      </c>
      <c r="K665" s="343">
        <f>'Inputs by customer type'!K169</f>
        <v>3.6115984849117162E-2</v>
      </c>
      <c r="L665" s="343">
        <f>'Inputs by customer type'!L169</f>
        <v>0.15158851416680294</v>
      </c>
      <c r="M665" s="343">
        <f>'Inputs by customer type'!M169</f>
        <v>0.19231885683082187</v>
      </c>
      <c r="N665" s="343">
        <f>'Inputs by customer type'!N169</f>
        <v>0.61997664415325793</v>
      </c>
      <c r="AQ665" s="3"/>
    </row>
    <row r="666" spans="3:43" x14ac:dyDescent="0.3">
      <c r="E666" s="32"/>
      <c r="F666" s="311" t="s">
        <v>248</v>
      </c>
      <c r="G666" s="311" t="s">
        <v>167</v>
      </c>
      <c r="H666" s="311"/>
      <c r="I666" s="311"/>
      <c r="J666" s="344">
        <f>'Inputs by customer type'!J170</f>
        <v>0</v>
      </c>
      <c r="K666" s="344">
        <f>'Inputs by customer type'!K170</f>
        <v>3.6115984849117162E-2</v>
      </c>
      <c r="L666" s="344">
        <f>'Inputs by customer type'!L170</f>
        <v>0.15158851416680294</v>
      </c>
      <c r="M666" s="344">
        <f>'Inputs by customer type'!M170</f>
        <v>0.19231885683082187</v>
      </c>
      <c r="N666" s="344">
        <f>'Inputs by customer type'!N170</f>
        <v>0.61997664415325793</v>
      </c>
      <c r="AQ666" s="3"/>
    </row>
    <row r="667" spans="3:43" x14ac:dyDescent="0.3">
      <c r="E667" s="32"/>
      <c r="F667" s="37" t="s">
        <v>249</v>
      </c>
      <c r="G667" s="37" t="s">
        <v>167</v>
      </c>
      <c r="H667" s="37"/>
      <c r="I667" s="37"/>
      <c r="J667" s="345">
        <f>'Inputs by customer type'!J171</f>
        <v>0</v>
      </c>
      <c r="K667" s="345">
        <f>'Inputs by customer type'!K171</f>
        <v>3.6115984849117162E-2</v>
      </c>
      <c r="L667" s="345">
        <f>'Inputs by customer type'!L171</f>
        <v>0.15158851416680294</v>
      </c>
      <c r="M667" s="345">
        <f>'Inputs by customer type'!M171</f>
        <v>0.19231885683082187</v>
      </c>
      <c r="N667" s="345">
        <f>'Inputs by customer type'!N171</f>
        <v>0.61997664415325793</v>
      </c>
      <c r="AQ667" s="3"/>
    </row>
    <row r="668" spans="3:43" x14ac:dyDescent="0.3">
      <c r="E668" s="32"/>
      <c r="AQ668" s="3"/>
    </row>
    <row r="669" spans="3:43" x14ac:dyDescent="0.3">
      <c r="E669" s="32" t="s">
        <v>993</v>
      </c>
      <c r="J669" s="386" t="s">
        <v>983</v>
      </c>
      <c r="K669" s="386" t="s">
        <v>988</v>
      </c>
      <c r="L669" s="386" t="s">
        <v>989</v>
      </c>
      <c r="M669" s="386" t="s">
        <v>990</v>
      </c>
      <c r="N669" s="386" t="s">
        <v>991</v>
      </c>
      <c r="AQ669" s="3"/>
    </row>
    <row r="670" spans="3:43" x14ac:dyDescent="0.3">
      <c r="E670" s="32"/>
      <c r="F670" s="23" t="s">
        <v>247</v>
      </c>
      <c r="G670" s="23" t="s">
        <v>167</v>
      </c>
      <c r="H670" s="23"/>
      <c r="I670" s="23"/>
      <c r="J670" s="343">
        <f>'Inputs by customer type'!J174</f>
        <v>0</v>
      </c>
      <c r="K670" s="343">
        <f>'Inputs by customer type'!K174</f>
        <v>3.6115984849117162E-2</v>
      </c>
      <c r="L670" s="343">
        <f>'Inputs by customer type'!L174</f>
        <v>0.15158851416680294</v>
      </c>
      <c r="M670" s="343">
        <f>'Inputs by customer type'!M174</f>
        <v>0.19231885683082187</v>
      </c>
      <c r="N670" s="343">
        <f>'Inputs by customer type'!N174</f>
        <v>0.61997664415325793</v>
      </c>
      <c r="AQ670" s="3"/>
    </row>
    <row r="671" spans="3:43" x14ac:dyDescent="0.3">
      <c r="E671" s="32"/>
      <c r="F671" s="311" t="s">
        <v>248</v>
      </c>
      <c r="G671" s="311" t="s">
        <v>167</v>
      </c>
      <c r="H671" s="311"/>
      <c r="I671" s="311"/>
      <c r="J671" s="344">
        <f>'Inputs by customer type'!J175</f>
        <v>0</v>
      </c>
      <c r="K671" s="344">
        <f>'Inputs by customer type'!K175</f>
        <v>3.6115984849117162E-2</v>
      </c>
      <c r="L671" s="344">
        <f>'Inputs by customer type'!L175</f>
        <v>0.15158851416680294</v>
      </c>
      <c r="M671" s="344">
        <f>'Inputs by customer type'!M175</f>
        <v>0.19231885683082187</v>
      </c>
      <c r="N671" s="344">
        <f>'Inputs by customer type'!N175</f>
        <v>0.61997664415325793</v>
      </c>
      <c r="AQ671" s="3"/>
    </row>
    <row r="672" spans="3:43" x14ac:dyDescent="0.3">
      <c r="E672" s="32"/>
      <c r="F672" s="37" t="s">
        <v>249</v>
      </c>
      <c r="G672" s="37" t="s">
        <v>167</v>
      </c>
      <c r="H672" s="37"/>
      <c r="I672" s="37"/>
      <c r="J672" s="345">
        <f>'Inputs by customer type'!J176</f>
        <v>0</v>
      </c>
      <c r="K672" s="345">
        <f>'Inputs by customer type'!K176</f>
        <v>3.6115984849117162E-2</v>
      </c>
      <c r="L672" s="345">
        <f>'Inputs by customer type'!L176</f>
        <v>0.15158851416680294</v>
      </c>
      <c r="M672" s="345">
        <f>'Inputs by customer type'!M176</f>
        <v>0.19231885683082187</v>
      </c>
      <c r="N672" s="345">
        <f>'Inputs by customer type'!N176</f>
        <v>0.61997664415325793</v>
      </c>
      <c r="AQ672" s="3"/>
    </row>
    <row r="673" spans="5:43" x14ac:dyDescent="0.3">
      <c r="E673" s="32"/>
      <c r="AQ673" s="3"/>
    </row>
    <row r="674" spans="5:43" x14ac:dyDescent="0.3">
      <c r="E674" s="32" t="s">
        <v>994</v>
      </c>
      <c r="J674" s="386" t="s">
        <v>983</v>
      </c>
      <c r="K674" s="386" t="s">
        <v>988</v>
      </c>
      <c r="L674" s="386" t="s">
        <v>989</v>
      </c>
      <c r="M674" s="386" t="s">
        <v>990</v>
      </c>
      <c r="N674" s="386" t="s">
        <v>991</v>
      </c>
      <c r="AQ674" s="3"/>
    </row>
    <row r="675" spans="5:43" x14ac:dyDescent="0.3">
      <c r="F675" s="23" t="s">
        <v>247</v>
      </c>
      <c r="G675" s="23" t="s">
        <v>167</v>
      </c>
      <c r="H675" s="23"/>
      <c r="I675" s="23"/>
      <c r="J675" s="343">
        <f>'Inputs by customer type'!J179</f>
        <v>0</v>
      </c>
      <c r="K675" s="343">
        <f>'Inputs by customer type'!K179</f>
        <v>3.6115984849117162E-2</v>
      </c>
      <c r="L675" s="343">
        <f>'Inputs by customer type'!L179</f>
        <v>0.15158851416680294</v>
      </c>
      <c r="M675" s="343">
        <f>'Inputs by customer type'!M179</f>
        <v>0.19231885683082187</v>
      </c>
      <c r="N675" s="343">
        <f>'Inputs by customer type'!N179</f>
        <v>0.61997664415325793</v>
      </c>
      <c r="AQ675" s="3"/>
    </row>
    <row r="676" spans="5:43" x14ac:dyDescent="0.3">
      <c r="F676" s="311" t="s">
        <v>248</v>
      </c>
      <c r="G676" s="311" t="s">
        <v>167</v>
      </c>
      <c r="H676" s="311"/>
      <c r="I676" s="311"/>
      <c r="J676" s="344">
        <f>'Inputs by customer type'!J180</f>
        <v>0</v>
      </c>
      <c r="K676" s="344">
        <f>'Inputs by customer type'!K180</f>
        <v>3.6115984849117162E-2</v>
      </c>
      <c r="L676" s="344">
        <f>'Inputs by customer type'!L180</f>
        <v>0.15158851416680294</v>
      </c>
      <c r="M676" s="344">
        <f>'Inputs by customer type'!M180</f>
        <v>0.19231885683082187</v>
      </c>
      <c r="N676" s="344">
        <f>'Inputs by customer type'!N180</f>
        <v>0.61997664415325793</v>
      </c>
      <c r="AQ676" s="3"/>
    </row>
    <row r="677" spans="5:43" x14ac:dyDescent="0.3">
      <c r="F677" s="37" t="s">
        <v>249</v>
      </c>
      <c r="G677" s="37" t="s">
        <v>167</v>
      </c>
      <c r="H677" s="37"/>
      <c r="I677" s="37"/>
      <c r="J677" s="345">
        <f>'Inputs by customer type'!J181</f>
        <v>0</v>
      </c>
      <c r="K677" s="345">
        <f>'Inputs by customer type'!K181</f>
        <v>3.6115984849117162E-2</v>
      </c>
      <c r="L677" s="345">
        <f>'Inputs by customer type'!L181</f>
        <v>0.15158851416680294</v>
      </c>
      <c r="M677" s="345">
        <f>'Inputs by customer type'!M181</f>
        <v>0.19231885683082187</v>
      </c>
      <c r="N677" s="345">
        <f>'Inputs by customer type'!N181</f>
        <v>0.61997664415325793</v>
      </c>
      <c r="AQ677" s="3"/>
    </row>
    <row r="678" spans="5:43" x14ac:dyDescent="0.3">
      <c r="AQ678" s="3"/>
    </row>
    <row r="679" spans="5:43" x14ac:dyDescent="0.3">
      <c r="E679" s="32" t="s">
        <v>996</v>
      </c>
      <c r="J679" s="386" t="s">
        <v>983</v>
      </c>
      <c r="K679" s="386" t="s">
        <v>988</v>
      </c>
      <c r="L679" s="386" t="s">
        <v>989</v>
      </c>
      <c r="M679" s="386" t="s">
        <v>990</v>
      </c>
      <c r="N679" s="386" t="s">
        <v>991</v>
      </c>
      <c r="AQ679" s="3"/>
    </row>
    <row r="680" spans="5:43" x14ac:dyDescent="0.3">
      <c r="F680" s="23" t="s">
        <v>247</v>
      </c>
      <c r="G680" s="23" t="s">
        <v>207</v>
      </c>
      <c r="H680" s="23"/>
      <c r="I680" s="23"/>
      <c r="J680" s="367">
        <f t="shared" ref="J680:N682" si="256" xml:space="preserve"> $M58 * J665  + $M105 * J670 + $M152 * J675</f>
        <v>0</v>
      </c>
      <c r="K680" s="367">
        <f t="shared" si="256"/>
        <v>4.6095546866660779</v>
      </c>
      <c r="L680" s="367">
        <f t="shared" si="256"/>
        <v>19.347542337320878</v>
      </c>
      <c r="M680" s="367">
        <f t="shared" si="256"/>
        <v>24.546036652256699</v>
      </c>
      <c r="N680" s="367">
        <f t="shared" si="256"/>
        <v>79.128847174439315</v>
      </c>
      <c r="AQ680" s="3"/>
    </row>
    <row r="681" spans="5:43" x14ac:dyDescent="0.3">
      <c r="F681" s="311" t="s">
        <v>248</v>
      </c>
      <c r="G681" s="311" t="s">
        <v>207</v>
      </c>
      <c r="H681" s="311"/>
      <c r="I681" s="311"/>
      <c r="J681" s="366">
        <f t="shared" si="256"/>
        <v>0</v>
      </c>
      <c r="K681" s="366">
        <f t="shared" si="256"/>
        <v>34.662766578888473</v>
      </c>
      <c r="L681" s="366">
        <f t="shared" si="256"/>
        <v>145.48896574622586</v>
      </c>
      <c r="M681" s="366">
        <f t="shared" si="256"/>
        <v>184.58041974752913</v>
      </c>
      <c r="N681" s="366">
        <f t="shared" si="256"/>
        <v>595.03031110536904</v>
      </c>
      <c r="AQ681" s="3"/>
    </row>
    <row r="682" spans="5:43" x14ac:dyDescent="0.3">
      <c r="F682" s="37" t="s">
        <v>249</v>
      </c>
      <c r="G682" s="37" t="s">
        <v>207</v>
      </c>
      <c r="H682" s="37"/>
      <c r="I682" s="37"/>
      <c r="J682" s="368">
        <f t="shared" si="256"/>
        <v>0</v>
      </c>
      <c r="K682" s="368">
        <f t="shared" si="256"/>
        <v>105.84038273121914</v>
      </c>
      <c r="L682" s="368">
        <f t="shared" si="256"/>
        <v>444.24058831842842</v>
      </c>
      <c r="M682" s="368">
        <f t="shared" si="256"/>
        <v>563.60366464995604</v>
      </c>
      <c r="N682" s="368">
        <f t="shared" si="256"/>
        <v>1816.8842847767914</v>
      </c>
      <c r="AQ682" s="3"/>
    </row>
    <row r="683" spans="5:43" x14ac:dyDescent="0.3">
      <c r="J683" s="89"/>
      <c r="K683" s="89"/>
      <c r="L683" s="89"/>
      <c r="M683" s="89"/>
      <c r="N683" s="89"/>
      <c r="AQ683" s="3"/>
    </row>
    <row r="684" spans="5:43" x14ac:dyDescent="0.3">
      <c r="J684" s="387" t="s">
        <v>983</v>
      </c>
      <c r="K684" s="387" t="s">
        <v>988</v>
      </c>
      <c r="L684" s="387" t="s">
        <v>989</v>
      </c>
      <c r="M684" s="387" t="s">
        <v>990</v>
      </c>
      <c r="N684" s="387" t="s">
        <v>991</v>
      </c>
      <c r="AQ684" s="3"/>
    </row>
    <row r="685" spans="5:43" x14ac:dyDescent="0.3">
      <c r="E685" s="24" t="s">
        <v>997</v>
      </c>
      <c r="G685" t="s">
        <v>207</v>
      </c>
      <c r="J685" s="89">
        <f>SUM(J680:J682)</f>
        <v>0</v>
      </c>
      <c r="K685" s="89">
        <f>SUM(K680:K682)</f>
        <v>145.11270399677369</v>
      </c>
      <c r="L685" s="89">
        <f t="shared" ref="L685:N685" si="257">SUM(L680:L682)</f>
        <v>609.07709640197515</v>
      </c>
      <c r="M685" s="89">
        <f t="shared" si="257"/>
        <v>772.73012104974191</v>
      </c>
      <c r="N685" s="89">
        <f t="shared" si="257"/>
        <v>2491.0434430565997</v>
      </c>
      <c r="AQ685" s="3"/>
    </row>
    <row r="686" spans="5:43" x14ac:dyDescent="0.3">
      <c r="J686" s="89"/>
      <c r="K686" s="89"/>
      <c r="L686" s="89"/>
      <c r="M686" s="89"/>
      <c r="N686" s="89"/>
      <c r="AQ686" s="3"/>
    </row>
    <row r="687" spans="5:43" x14ac:dyDescent="0.3">
      <c r="E687" t="s">
        <v>1041</v>
      </c>
      <c r="G687" t="s">
        <v>207</v>
      </c>
      <c r="H687" s="89">
        <f>SUM(J685:N685)</f>
        <v>4017.9633645050903</v>
      </c>
      <c r="AQ687" s="3"/>
    </row>
    <row r="688" spans="5:43" x14ac:dyDescent="0.3">
      <c r="J688" s="387" t="s">
        <v>983</v>
      </c>
      <c r="K688" s="387" t="s">
        <v>988</v>
      </c>
      <c r="L688" s="387" t="s">
        <v>989</v>
      </c>
      <c r="M688" s="387" t="s">
        <v>990</v>
      </c>
      <c r="N688" s="387" t="s">
        <v>991</v>
      </c>
      <c r="AQ688" s="3"/>
    </row>
    <row r="689" spans="2:43" x14ac:dyDescent="0.3">
      <c r="E689" s="24" t="s">
        <v>996</v>
      </c>
      <c r="G689" t="s">
        <v>167</v>
      </c>
      <c r="J689" s="111">
        <f>IF($H687 &lt;&gt; 0, J685/$H687, 0)</f>
        <v>0</v>
      </c>
      <c r="K689" s="111">
        <f>IF($H687 &lt;&gt; 0, K685/$H687, 0)</f>
        <v>3.6115984849117169E-2</v>
      </c>
      <c r="L689" s="111">
        <f>IF($H687 &lt;&gt; 0, L685/$H687, 0)</f>
        <v>0.15158851416680297</v>
      </c>
      <c r="M689" s="111">
        <f>IF($H687 &lt;&gt; 0, M685/$H687, 0)</f>
        <v>0.19231885683082189</v>
      </c>
      <c r="N689" s="111">
        <f>IF($H687 &lt;&gt; 0, N685/$H687, 0)</f>
        <v>0.61997664415325804</v>
      </c>
      <c r="AQ689" s="3"/>
    </row>
    <row r="690" spans="2:43" x14ac:dyDescent="0.3">
      <c r="AQ690" s="3"/>
    </row>
    <row r="691" spans="2:43" x14ac:dyDescent="0.3">
      <c r="B691" s="30" t="s">
        <v>231</v>
      </c>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c r="AA691" s="30"/>
      <c r="AC691" s="30"/>
      <c r="AD691" s="30"/>
      <c r="AE691" s="30"/>
      <c r="AF691" s="30"/>
      <c r="AG691" s="30"/>
      <c r="AH691" s="30"/>
      <c r="AI691" s="30"/>
      <c r="AJ691" s="30"/>
      <c r="AK691" s="30"/>
      <c r="AL691" s="30"/>
      <c r="AM691" s="30"/>
      <c r="AN691" s="30"/>
      <c r="AO691" s="30"/>
      <c r="AQ691" s="30"/>
    </row>
    <row r="693" spans="2:43" x14ac:dyDescent="0.3">
      <c r="E693" t="s">
        <v>232</v>
      </c>
      <c r="G693" s="6" t="s">
        <v>55</v>
      </c>
      <c r="H693" s="103">
        <f t="array" ref="H693">SUM(IF(ISERROR(H22:Y309), 1))</f>
        <v>0</v>
      </c>
    </row>
    <row r="695" spans="2:43" x14ac:dyDescent="0.3">
      <c r="B695" s="30" t="s">
        <v>106</v>
      </c>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c r="AA695" s="30"/>
      <c r="AC695" s="30"/>
      <c r="AD695" s="30"/>
      <c r="AE695" s="30"/>
      <c r="AF695" s="30"/>
      <c r="AG695" s="30"/>
      <c r="AH695" s="30"/>
      <c r="AI695" s="30"/>
      <c r="AJ695" s="30"/>
      <c r="AK695" s="30"/>
      <c r="AL695" s="30"/>
      <c r="AM695" s="30"/>
      <c r="AN695" s="30"/>
      <c r="AO695" s="30"/>
      <c r="AQ695" s="30"/>
    </row>
  </sheetData>
  <sheetProtection sheet="1" objects="1" formatCells="0" formatColumns="0" formatRows="0" sort="0" autoFilter="0"/>
  <conditionalFormatting sqref="A4:I4 Z4:XFD4">
    <cfRule type="expression" dxfId="165" priority="10">
      <formula>LEFT($A$4,1) &lt;&gt; "0"</formula>
    </cfRule>
  </conditionalFormatting>
  <conditionalFormatting sqref="N4:P4">
    <cfRule type="expression" dxfId="164" priority="9">
      <formula>LEFT($A$4,1) &lt;&gt; "0"</formula>
    </cfRule>
  </conditionalFormatting>
  <conditionalFormatting sqref="L4:M4">
    <cfRule type="expression" dxfId="163" priority="8">
      <formula>LEFT($A$4,1) &lt;&gt; "0"</formula>
    </cfRule>
  </conditionalFormatting>
  <conditionalFormatting sqref="J4:K4">
    <cfRule type="expression" dxfId="162" priority="7">
      <formula>LEFT($A$4,1) &lt;&gt; "0"</formula>
    </cfRule>
  </conditionalFormatting>
  <conditionalFormatting sqref="Q4">
    <cfRule type="expression" dxfId="161" priority="6">
      <formula>LEFT($A$4,1) &lt;&gt; "0"</formula>
    </cfRule>
  </conditionalFormatting>
  <conditionalFormatting sqref="R4:S4">
    <cfRule type="expression" dxfId="160" priority="5">
      <formula>LEFT($A$4,1) &lt;&gt; "0"</formula>
    </cfRule>
  </conditionalFormatting>
  <conditionalFormatting sqref="T4:U4">
    <cfRule type="expression" dxfId="159" priority="4">
      <formula>LEFT($A$4,1) &lt;&gt; "0"</formula>
    </cfRule>
  </conditionalFormatting>
  <conditionalFormatting sqref="V4:W4">
    <cfRule type="expression" dxfId="158" priority="3">
      <formula>LEFT($A$4,1) &lt;&gt; "0"</formula>
    </cfRule>
  </conditionalFormatting>
  <conditionalFormatting sqref="X4:Y4">
    <cfRule type="expression" dxfId="157" priority="2">
      <formula>LEFT($A$4,1) &lt;&gt; "0"</formula>
    </cfRule>
  </conditionalFormatting>
  <conditionalFormatting sqref="H693">
    <cfRule type="cellIs" dxfId="156" priority="1" operator="greaterThan">
      <formula>0</formula>
    </cfRule>
  </conditionalFormatting>
  <dataValidations count="2">
    <dataValidation type="decimal" operator="greaterThanOrEqual" allowBlank="1" showInputMessage="1" showErrorMessage="1" sqref="Y198:Y223">
      <formula1>0</formula1>
    </dataValidation>
    <dataValidation type="decimal" operator="greaterThanOrEqual" allowBlank="1" showInputMessage="1" showErrorMessage="1" errorTitle="Invalid volume data" error="Invalid volume data (negative number or unused cell)." sqref="Q209:R210 J212:Y223 J199:Y208">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06" width="24.5546875" hidden="1" customWidth="1"/>
    <col min="307" max="16384" width="8.77734375" hidden="1"/>
  </cols>
  <sheetData>
    <row r="1" spans="1:27" s="1" customFormat="1" x14ac:dyDescent="0.3">
      <c r="A1" s="1" t="str">
        <f ca="1">MID(CELL("filename",A1),FIND("]",CELL("filename",A1))+1,255)</f>
        <v>Pseudo-load coefficients</v>
      </c>
    </row>
    <row r="2" spans="1:27" s="1" customFormat="1" x14ac:dyDescent="0.3">
      <c r="A2" s="1" t="str">
        <f>Cover!D21&amp;" - "&amp;Cover!D23</f>
        <v>WPD Mid West - April 22 Pricing</v>
      </c>
    </row>
    <row r="3" spans="1:27" s="5" customFormat="1" x14ac:dyDescent="0.3">
      <c r="A3" s="5" t="str">
        <f>Cover!D2&amp;" - "&amp;Cover!D8&amp;" v"&amp;Cover!D10&amp;" - "&amp;Cover!D19</f>
        <v>CDCM charging model - Release for charge setting v7 - 2022/23</v>
      </c>
    </row>
    <row r="4" spans="1:27" x14ac:dyDescent="0.3">
      <c r="A4" s="12" t="str">
        <f>H306 &amp; IF(H306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0" t="s">
        <v>143</v>
      </c>
      <c r="H5" s="114" t="s">
        <v>144</v>
      </c>
      <c r="I5" s="14"/>
      <c r="J5" s="114" t="s">
        <v>829</v>
      </c>
      <c r="K5" s="114" t="s">
        <v>831</v>
      </c>
      <c r="L5" s="114" t="s">
        <v>830</v>
      </c>
      <c r="M5" s="114" t="s">
        <v>832</v>
      </c>
      <c r="N5" s="114" t="s">
        <v>838</v>
      </c>
      <c r="O5" s="114" t="s">
        <v>839</v>
      </c>
      <c r="P5" s="114" t="s">
        <v>840</v>
      </c>
      <c r="Q5" s="114" t="s">
        <v>841</v>
      </c>
      <c r="R5" s="114" t="s">
        <v>833</v>
      </c>
      <c r="S5" s="114" t="s">
        <v>834</v>
      </c>
      <c r="T5" s="114" t="s">
        <v>835</v>
      </c>
      <c r="U5" s="114" t="s">
        <v>844</v>
      </c>
      <c r="V5" s="114" t="s">
        <v>836</v>
      </c>
      <c r="W5" s="114" t="s">
        <v>843</v>
      </c>
      <c r="X5" s="114" t="s">
        <v>837</v>
      </c>
      <c r="Y5" s="114" t="s">
        <v>842</v>
      </c>
      <c r="AA5" s="60" t="s">
        <v>145</v>
      </c>
    </row>
    <row r="7" spans="1:27" x14ac:dyDescent="0.3">
      <c r="B7" s="30" t="s">
        <v>10</v>
      </c>
      <c r="C7" s="105"/>
      <c r="D7" s="104"/>
      <c r="E7" s="104"/>
      <c r="F7" s="105"/>
      <c r="G7" s="105"/>
      <c r="H7" s="105"/>
      <c r="I7" s="105"/>
      <c r="J7" s="105"/>
      <c r="K7" s="105"/>
      <c r="L7" s="105"/>
      <c r="M7" s="105"/>
      <c r="N7" s="105"/>
      <c r="O7" s="105"/>
      <c r="P7" s="105"/>
      <c r="Q7" s="105"/>
      <c r="R7" s="105"/>
      <c r="S7" s="105"/>
      <c r="T7" s="105"/>
      <c r="U7" s="105"/>
      <c r="V7" s="105"/>
      <c r="W7" s="105"/>
      <c r="X7" s="105"/>
      <c r="Y7" s="105"/>
      <c r="Z7" s="105"/>
      <c r="AA7" s="105"/>
    </row>
    <row r="9" spans="1:27" x14ac:dyDescent="0.3">
      <c r="C9" s="29" t="s">
        <v>864</v>
      </c>
    </row>
    <row r="10" spans="1:27" x14ac:dyDescent="0.3">
      <c r="C10" s="29" t="s">
        <v>456</v>
      </c>
    </row>
    <row r="11" spans="1:27" x14ac:dyDescent="0.3">
      <c r="C11" s="29" t="s">
        <v>457</v>
      </c>
    </row>
    <row r="13" spans="1:27" x14ac:dyDescent="0.3">
      <c r="B13" s="30" t="s">
        <v>458</v>
      </c>
      <c r="C13" s="105"/>
      <c r="D13" s="104"/>
      <c r="E13" s="104"/>
      <c r="F13" s="105"/>
      <c r="G13" s="105"/>
      <c r="H13" s="105"/>
      <c r="I13" s="105"/>
      <c r="J13" s="105"/>
      <c r="K13" s="105"/>
      <c r="L13" s="105"/>
      <c r="M13" s="105"/>
      <c r="N13" s="105"/>
      <c r="O13" s="105"/>
      <c r="P13" s="105"/>
      <c r="Q13" s="105"/>
      <c r="R13" s="105"/>
      <c r="S13" s="105"/>
      <c r="T13" s="105"/>
      <c r="U13" s="105"/>
      <c r="V13" s="105"/>
      <c r="W13" s="105"/>
      <c r="X13" s="105"/>
      <c r="Y13" s="105"/>
      <c r="Z13" s="105"/>
      <c r="AA13" s="105"/>
    </row>
    <row r="15" spans="1:27" x14ac:dyDescent="0.3">
      <c r="C15" s="29" t="s">
        <v>861</v>
      </c>
      <c r="I15" t="s">
        <v>154</v>
      </c>
      <c r="AA15" t="s">
        <v>862</v>
      </c>
    </row>
    <row r="16" spans="1:27" x14ac:dyDescent="0.3">
      <c r="C16" s="29" t="s">
        <v>459</v>
      </c>
    </row>
    <row r="18" spans="3:27" x14ac:dyDescent="0.3">
      <c r="C18" s="31" t="str">
        <f ca="1">INDEX('Version control'!$H$34:$H$57,MATCH($A$1,'Version control'!$F$34:$F$57,0),1)&amp;"-A: Flags and hours in timebands"</f>
        <v>Section 105-A: Flags and hours in timebands</v>
      </c>
      <c r="D18" s="31"/>
      <c r="E18" s="31"/>
      <c r="F18" s="31"/>
      <c r="G18" s="31"/>
      <c r="H18" s="31"/>
      <c r="I18" s="31"/>
      <c r="J18" s="31"/>
      <c r="K18" s="31"/>
      <c r="L18" s="31"/>
      <c r="M18" s="31"/>
      <c r="N18" s="31"/>
      <c r="O18" s="31"/>
      <c r="P18" s="31"/>
      <c r="Q18" s="31"/>
      <c r="R18" s="31"/>
      <c r="S18" s="31"/>
      <c r="T18" s="31"/>
      <c r="U18" s="31"/>
      <c r="V18" s="31"/>
      <c r="W18" s="31"/>
      <c r="X18" s="31"/>
      <c r="Y18" s="31"/>
      <c r="Z18" s="31"/>
      <c r="AA18" s="31"/>
    </row>
    <row r="20" spans="3:27" s="311" customFormat="1" x14ac:dyDescent="0.3">
      <c r="E20" s="312" t="s">
        <v>460</v>
      </c>
      <c r="F20" s="313"/>
      <c r="G20" s="313" t="s">
        <v>461</v>
      </c>
      <c r="J20" s="314" t="b">
        <f>'Fixed inputs'!J127</f>
        <v>0</v>
      </c>
      <c r="K20" s="314" t="b">
        <f>'Fixed inputs'!K127</f>
        <v>0</v>
      </c>
      <c r="L20" s="314" t="b">
        <f>'Fixed inputs'!L127</f>
        <v>0</v>
      </c>
      <c r="M20" s="314" t="b">
        <f>'Fixed inputs'!M127</f>
        <v>0</v>
      </c>
      <c r="N20" s="314" t="b">
        <f>'Fixed inputs'!N127</f>
        <v>0</v>
      </c>
      <c r="O20" s="314" t="b">
        <f>'Fixed inputs'!O127</f>
        <v>0</v>
      </c>
      <c r="P20" s="314" t="b">
        <f>'Fixed inputs'!P127</f>
        <v>0</v>
      </c>
      <c r="Q20" s="314" t="b">
        <f>'Fixed inputs'!Q127</f>
        <v>1</v>
      </c>
      <c r="R20" s="314" t="b">
        <f>'Fixed inputs'!R127</f>
        <v>0</v>
      </c>
      <c r="S20" s="314" t="b">
        <f>'Fixed inputs'!S127</f>
        <v>0</v>
      </c>
      <c r="T20" s="314" t="b">
        <f>'Fixed inputs'!T127</f>
        <v>0</v>
      </c>
      <c r="U20" s="314" t="b">
        <f>'Fixed inputs'!U127</f>
        <v>0</v>
      </c>
      <c r="V20" s="314" t="b">
        <f>'Fixed inputs'!V127</f>
        <v>0</v>
      </c>
      <c r="W20" s="314" t="b">
        <f>'Fixed inputs'!W127</f>
        <v>0</v>
      </c>
      <c r="X20" s="314" t="b">
        <f>'Fixed inputs'!X127</f>
        <v>0</v>
      </c>
      <c r="Y20" s="314" t="b">
        <f>'Fixed inputs'!Y127</f>
        <v>0</v>
      </c>
    </row>
    <row r="22" spans="3:27" x14ac:dyDescent="0.3">
      <c r="E22" s="32" t="s">
        <v>462</v>
      </c>
      <c r="I22" t="s">
        <v>154</v>
      </c>
      <c r="AA22" t="s">
        <v>463</v>
      </c>
    </row>
    <row r="23" spans="3:27" x14ac:dyDescent="0.3">
      <c r="E23" s="29" t="s">
        <v>464</v>
      </c>
      <c r="F23" s="29"/>
    </row>
    <row r="24" spans="3:27" x14ac:dyDescent="0.3">
      <c r="F24" s="64" t="s">
        <v>465</v>
      </c>
      <c r="G24" s="64" t="s">
        <v>147</v>
      </c>
      <c r="H24" s="149"/>
      <c r="I24" s="149"/>
      <c r="J24" s="124">
        <f>IF(J$20, 'General inputs'!$H16, 'General inputs'!$H21)</f>
        <v>783</v>
      </c>
      <c r="K24" s="124">
        <f>IF(K$20, 'General inputs'!$H16, 'General inputs'!$H21)</f>
        <v>783</v>
      </c>
      <c r="L24" s="124">
        <f>IF(L$20, 'General inputs'!$H16, 'General inputs'!$H21)</f>
        <v>783</v>
      </c>
      <c r="M24" s="124">
        <f>IF(M$20, 'General inputs'!$H16, 'General inputs'!$H21)</f>
        <v>783</v>
      </c>
      <c r="N24" s="124">
        <f>IF(N$20, 'General inputs'!$H16, 'General inputs'!$H21)</f>
        <v>783</v>
      </c>
      <c r="O24" s="124">
        <f>IF(O$20, 'General inputs'!$H16, 'General inputs'!$H21)</f>
        <v>783</v>
      </c>
      <c r="P24" s="124">
        <f>IF(P$20, 'General inputs'!$H16, 'General inputs'!$H21)</f>
        <v>783</v>
      </c>
      <c r="Q24" s="124">
        <f>IF(Q$20, 'General inputs'!$H16, 'General inputs'!$H21)</f>
        <v>258</v>
      </c>
      <c r="R24" s="124">
        <f>IF(R$20, 'General inputs'!$H16, 'General inputs'!$H21)</f>
        <v>783</v>
      </c>
      <c r="S24" s="124">
        <f>IF(S$20, 'General inputs'!$H16, 'General inputs'!$H21)</f>
        <v>783</v>
      </c>
      <c r="T24" s="124">
        <f>IF(T$20, 'General inputs'!$H16, 'General inputs'!$H21)</f>
        <v>783</v>
      </c>
      <c r="U24" s="124">
        <f>IF(U$20, 'General inputs'!$H16, 'General inputs'!$H21)</f>
        <v>783</v>
      </c>
      <c r="V24" s="124">
        <f>IF(V$20, 'General inputs'!$H16, 'General inputs'!$H21)</f>
        <v>783</v>
      </c>
      <c r="W24" s="124">
        <f>IF(W$20, 'General inputs'!$H16, 'General inputs'!$H21)</f>
        <v>783</v>
      </c>
      <c r="X24" s="124">
        <f>IF(X$20, 'General inputs'!$H16, 'General inputs'!$H21)</f>
        <v>783</v>
      </c>
      <c r="Y24" s="124">
        <f>IF(Y$20, 'General inputs'!$H16, 'General inputs'!$H21)</f>
        <v>783</v>
      </c>
    </row>
    <row r="25" spans="3:27" x14ac:dyDescent="0.3">
      <c r="F25" s="28" t="s">
        <v>466</v>
      </c>
      <c r="G25" t="s">
        <v>147</v>
      </c>
      <c r="H25" s="150"/>
      <c r="I25" s="150"/>
      <c r="J25" s="120">
        <f>IF(J$20, 'General inputs'!$H17, 'General inputs'!$H22)</f>
        <v>2740.5</v>
      </c>
      <c r="K25" s="120">
        <f>IF(K$20, 'General inputs'!$H17, 'General inputs'!$H22)</f>
        <v>2740.5</v>
      </c>
      <c r="L25" s="120">
        <f>IF(L$20, 'General inputs'!$H17, 'General inputs'!$H22)</f>
        <v>2740.5</v>
      </c>
      <c r="M25" s="120">
        <f>IF(M$20, 'General inputs'!$H17, 'General inputs'!$H22)</f>
        <v>2740.5</v>
      </c>
      <c r="N25" s="120">
        <f>IF(N$20, 'General inputs'!$H17, 'General inputs'!$H22)</f>
        <v>2740.5</v>
      </c>
      <c r="O25" s="120">
        <f>IF(O$20, 'General inputs'!$H17, 'General inputs'!$H22)</f>
        <v>2740.5</v>
      </c>
      <c r="P25" s="120">
        <f>IF(P$20, 'General inputs'!$H17, 'General inputs'!$H22)</f>
        <v>2740.5</v>
      </c>
      <c r="Q25" s="120">
        <f>IF(Q$20, 'General inputs'!$H17, 'General inputs'!$H22)</f>
        <v>3265.5</v>
      </c>
      <c r="R25" s="120">
        <f>IF(R$20, 'General inputs'!$H17, 'General inputs'!$H22)</f>
        <v>2740.5</v>
      </c>
      <c r="S25" s="120">
        <f>IF(S$20, 'General inputs'!$H17, 'General inputs'!$H22)</f>
        <v>2740.5</v>
      </c>
      <c r="T25" s="120">
        <f>IF(T$20, 'General inputs'!$H17, 'General inputs'!$H22)</f>
        <v>2740.5</v>
      </c>
      <c r="U25" s="120">
        <f>IF(U$20, 'General inputs'!$H17, 'General inputs'!$H22)</f>
        <v>2740.5</v>
      </c>
      <c r="V25" s="120">
        <f>IF(V$20, 'General inputs'!$H17, 'General inputs'!$H22)</f>
        <v>2740.5</v>
      </c>
      <c r="W25" s="120">
        <f>IF(W$20, 'General inputs'!$H17, 'General inputs'!$H22)</f>
        <v>2740.5</v>
      </c>
      <c r="X25" s="120">
        <f>IF(X$20, 'General inputs'!$H17, 'General inputs'!$H22)</f>
        <v>2740.5</v>
      </c>
      <c r="Y25" s="120">
        <f>IF(Y$20, 'General inputs'!$H17, 'General inputs'!$H22)</f>
        <v>2740.5</v>
      </c>
    </row>
    <row r="26" spans="3:27" x14ac:dyDescent="0.3">
      <c r="F26" s="67" t="s">
        <v>257</v>
      </c>
      <c r="G26" s="37" t="s">
        <v>147</v>
      </c>
      <c r="H26" s="151"/>
      <c r="I26" s="151"/>
      <c r="J26" s="125">
        <f>IF(J$20, 'General inputs'!$H18, 'General inputs'!$H23)</f>
        <v>5236.5</v>
      </c>
      <c r="K26" s="125">
        <f>IF(K$20, 'General inputs'!$H18, 'General inputs'!$H23)</f>
        <v>5236.5</v>
      </c>
      <c r="L26" s="125">
        <f>IF(L$20, 'General inputs'!$H18, 'General inputs'!$H23)</f>
        <v>5236.5</v>
      </c>
      <c r="M26" s="125">
        <f>IF(M$20, 'General inputs'!$H18, 'General inputs'!$H23)</f>
        <v>5236.5</v>
      </c>
      <c r="N26" s="125">
        <f>IF(N$20, 'General inputs'!$H18, 'General inputs'!$H23)</f>
        <v>5236.5</v>
      </c>
      <c r="O26" s="125">
        <f>IF(O$20, 'General inputs'!$H18, 'General inputs'!$H23)</f>
        <v>5236.5</v>
      </c>
      <c r="P26" s="125">
        <f>IF(P$20, 'General inputs'!$H18, 'General inputs'!$H23)</f>
        <v>5236.5</v>
      </c>
      <c r="Q26" s="125">
        <f>IF(Q$20, 'General inputs'!$H18, 'General inputs'!$H23)</f>
        <v>5236.5</v>
      </c>
      <c r="R26" s="125">
        <f>IF(R$20, 'General inputs'!$H18, 'General inputs'!$H23)</f>
        <v>5236.5</v>
      </c>
      <c r="S26" s="125">
        <f>IF(S$20, 'General inputs'!$H18, 'General inputs'!$H23)</f>
        <v>5236.5</v>
      </c>
      <c r="T26" s="125">
        <f>IF(T$20, 'General inputs'!$H18, 'General inputs'!$H23)</f>
        <v>5236.5</v>
      </c>
      <c r="U26" s="125">
        <f>IF(U$20, 'General inputs'!$H18, 'General inputs'!$H23)</f>
        <v>5236.5</v>
      </c>
      <c r="V26" s="125">
        <f>IF(V$20, 'General inputs'!$H18, 'General inputs'!$H23)</f>
        <v>5236.5</v>
      </c>
      <c r="W26" s="125">
        <f>IF(W$20, 'General inputs'!$H18, 'General inputs'!$H23)</f>
        <v>5236.5</v>
      </c>
      <c r="X26" s="125">
        <f>IF(X$20, 'General inputs'!$H18, 'General inputs'!$H23)</f>
        <v>5236.5</v>
      </c>
      <c r="Y26" s="125">
        <f>IF(Y$20, 'General inputs'!$H18, 'General inputs'!$H23)</f>
        <v>5236.5</v>
      </c>
    </row>
    <row r="27" spans="3:27" x14ac:dyDescent="0.3">
      <c r="J27" s="89"/>
      <c r="K27" s="89"/>
      <c r="L27" s="89"/>
      <c r="M27" s="89"/>
      <c r="N27" s="89"/>
      <c r="O27" s="89"/>
      <c r="P27" s="89"/>
      <c r="Q27" s="89"/>
      <c r="R27" s="89"/>
      <c r="S27" s="89"/>
      <c r="T27" s="89"/>
      <c r="U27" s="89"/>
      <c r="V27" s="89"/>
      <c r="W27" s="89"/>
      <c r="X27" s="89"/>
      <c r="Y27" s="89"/>
    </row>
    <row r="28" spans="3:27" x14ac:dyDescent="0.3">
      <c r="C28" s="31" t="str">
        <f ca="1">INDEX('Version control'!$H$34:$H$57,MATCH($A$1,'Version control'!$F$34:$F$57,0),1)&amp;"-B: Average load by timeband"</f>
        <v>Section 105-B: Average load by timeband</v>
      </c>
      <c r="D28" s="31"/>
      <c r="E28" s="31"/>
      <c r="F28" s="31"/>
      <c r="G28" s="31"/>
      <c r="H28" s="31"/>
      <c r="I28" s="31"/>
      <c r="J28" s="90"/>
      <c r="K28" s="90"/>
      <c r="L28" s="90"/>
      <c r="M28" s="90"/>
      <c r="N28" s="90"/>
      <c r="O28" s="90"/>
      <c r="P28" s="90"/>
      <c r="Q28" s="90"/>
      <c r="R28" s="90"/>
      <c r="S28" s="90"/>
      <c r="T28" s="90"/>
      <c r="U28" s="90"/>
      <c r="V28" s="90"/>
      <c r="W28" s="90"/>
      <c r="X28" s="90"/>
      <c r="Y28" s="90"/>
      <c r="Z28" s="31"/>
      <c r="AA28" s="31"/>
    </row>
    <row r="29" spans="3:27" x14ac:dyDescent="0.3">
      <c r="J29" s="89"/>
      <c r="K29" s="89"/>
      <c r="L29" s="89"/>
      <c r="M29" s="89"/>
      <c r="N29" s="89"/>
      <c r="O29" s="89"/>
      <c r="P29" s="89"/>
      <c r="Q29" s="89"/>
      <c r="R29" s="89"/>
      <c r="S29" s="89"/>
      <c r="T29" s="89"/>
      <c r="U29" s="89"/>
      <c r="V29" s="89"/>
      <c r="W29" s="89"/>
      <c r="X29" s="89"/>
      <c r="Y29" s="89"/>
    </row>
    <row r="30" spans="3:27" x14ac:dyDescent="0.3">
      <c r="E30" s="32" t="s">
        <v>467</v>
      </c>
      <c r="J30" s="89"/>
      <c r="K30" s="89"/>
      <c r="L30" s="89"/>
      <c r="M30" s="89"/>
      <c r="N30" s="89"/>
      <c r="O30" s="89"/>
      <c r="P30" s="89"/>
      <c r="Q30" s="89"/>
      <c r="R30" s="89"/>
      <c r="S30" s="89"/>
      <c r="T30" s="89"/>
      <c r="U30" s="89"/>
      <c r="V30" s="89"/>
      <c r="W30" s="89"/>
      <c r="X30" s="89"/>
      <c r="Y30" s="89"/>
    </row>
    <row r="31" spans="3:27" x14ac:dyDescent="0.3">
      <c r="F31" s="64" t="s">
        <v>156</v>
      </c>
      <c r="G31" s="64" t="s">
        <v>207</v>
      </c>
      <c r="H31" s="23"/>
      <c r="I31" s="23"/>
      <c r="J31" s="124">
        <f>'Volume adjustments'!J238</f>
        <v>927789.68137948948</v>
      </c>
      <c r="K31" s="124">
        <f>'Volume adjustments'!K238</f>
        <v>79.092618502232185</v>
      </c>
      <c r="L31" s="124">
        <f>'Volume adjustments'!L238</f>
        <v>294287.74014607188</v>
      </c>
      <c r="M31" s="124">
        <f>'Volume adjustments'!M238</f>
        <v>127.63198085068298</v>
      </c>
      <c r="N31" s="124">
        <f>'Volume adjustments'!N238</f>
        <v>266232.76364198484</v>
      </c>
      <c r="O31" s="124">
        <f>'Volume adjustments'!O238</f>
        <v>21261.117060932753</v>
      </c>
      <c r="P31" s="124">
        <f>'Volume adjustments'!P238</f>
        <v>666327.2095287157</v>
      </c>
      <c r="Q31" s="124">
        <f>'Volume adjustments'!Q238</f>
        <v>9663.5075463692192</v>
      </c>
      <c r="R31" s="124">
        <f>'Volume adjustments'!R238</f>
        <v>125.45917108391521</v>
      </c>
      <c r="S31" s="124">
        <f>'Volume adjustments'!S238</f>
        <v>0</v>
      </c>
      <c r="T31" s="124">
        <f>'Volume adjustments'!T238</f>
        <v>4280.342572253674</v>
      </c>
      <c r="U31" s="124">
        <f>'Volume adjustments'!U238</f>
        <v>0</v>
      </c>
      <c r="V31" s="124">
        <f>'Volume adjustments'!V238</f>
        <v>907.20921076491038</v>
      </c>
      <c r="W31" s="124">
        <f>'Volume adjustments'!W238</f>
        <v>0</v>
      </c>
      <c r="X31" s="124">
        <f>'Volume adjustments'!X238</f>
        <v>81192.371997792652</v>
      </c>
      <c r="Y31" s="124">
        <f>'Volume adjustments'!Y238</f>
        <v>0</v>
      </c>
    </row>
    <row r="32" spans="3:27" x14ac:dyDescent="0.3">
      <c r="F32" s="28" t="s">
        <v>157</v>
      </c>
      <c r="G32" s="28" t="s">
        <v>207</v>
      </c>
      <c r="J32" s="120">
        <f>'Volume adjustments'!J249</f>
        <v>2756277.0104804309</v>
      </c>
      <c r="K32" s="120">
        <f>'Volume adjustments'!K249</f>
        <v>3392.6048671577928</v>
      </c>
      <c r="L32" s="120">
        <f>'Volume adjustments'!L249</f>
        <v>1208294.0028481451</v>
      </c>
      <c r="M32" s="120">
        <f>'Volume adjustments'!M249</f>
        <v>959.76246317801258</v>
      </c>
      <c r="N32" s="120">
        <f>'Volume adjustments'!N249</f>
        <v>1018463.7253702636</v>
      </c>
      <c r="O32" s="120">
        <f>'Volume adjustments'!O249</f>
        <v>57444.135209551379</v>
      </c>
      <c r="P32" s="120">
        <f>'Volume adjustments'!P249</f>
        <v>2579824.5640717344</v>
      </c>
      <c r="Q32" s="120">
        <f>'Volume adjustments'!Q249</f>
        <v>49161.271548488345</v>
      </c>
      <c r="R32" s="120">
        <f>'Volume adjustments'!R249</f>
        <v>675.10681480787537</v>
      </c>
      <c r="S32" s="120">
        <f>'Volume adjustments'!S249</f>
        <v>0</v>
      </c>
      <c r="T32" s="120">
        <f>'Volume adjustments'!T249</f>
        <v>21435.880022591529</v>
      </c>
      <c r="U32" s="120">
        <f>'Volume adjustments'!U249</f>
        <v>0</v>
      </c>
      <c r="V32" s="120">
        <f>'Volume adjustments'!V249</f>
        <v>3604.4281560365216</v>
      </c>
      <c r="W32" s="120">
        <f>'Volume adjustments'!W249</f>
        <v>0</v>
      </c>
      <c r="X32" s="120">
        <f>'Volume adjustments'!X249</f>
        <v>281566.92770225758</v>
      </c>
      <c r="Y32" s="120">
        <f>'Volume adjustments'!Y249</f>
        <v>0</v>
      </c>
    </row>
    <row r="33" spans="3:27" x14ac:dyDescent="0.3">
      <c r="F33" s="28" t="s">
        <v>158</v>
      </c>
      <c r="G33" s="28" t="s">
        <v>207</v>
      </c>
      <c r="J33" s="120">
        <f>'Volume adjustments'!J260</f>
        <v>4559037.4253185689</v>
      </c>
      <c r="K33" s="120">
        <f>'Volume adjustments'!K260</f>
        <v>13095.75106613846</v>
      </c>
      <c r="L33" s="120">
        <f>'Volume adjustments'!L260</f>
        <v>1237153.6127393793</v>
      </c>
      <c r="M33" s="120">
        <f>'Volume adjustments'!M260</f>
        <v>2930.5689204763953</v>
      </c>
      <c r="N33" s="120">
        <f>'Volume adjustments'!N260</f>
        <v>1093171.0483201107</v>
      </c>
      <c r="O33" s="120">
        <f>'Volume adjustments'!O260</f>
        <v>60594.809001650618</v>
      </c>
      <c r="P33" s="120">
        <f>'Volume adjustments'!P260</f>
        <v>3405913.6894766232</v>
      </c>
      <c r="Q33" s="120">
        <f>'Volume adjustments'!Q260</f>
        <v>187842.48249019182</v>
      </c>
      <c r="R33" s="120">
        <f>'Volume adjustments'!R260</f>
        <v>332.99565387439389</v>
      </c>
      <c r="S33" s="120">
        <f>'Volume adjustments'!S260</f>
        <v>0</v>
      </c>
      <c r="T33" s="120">
        <f>'Volume adjustments'!T260</f>
        <v>21484.220834211559</v>
      </c>
      <c r="U33" s="120">
        <f>'Volume adjustments'!U260</f>
        <v>0</v>
      </c>
      <c r="V33" s="120">
        <f>'Volume adjustments'!V260</f>
        <v>5426.3333985064392</v>
      </c>
      <c r="W33" s="120">
        <f>'Volume adjustments'!W260</f>
        <v>0</v>
      </c>
      <c r="X33" s="120">
        <f>'Volume adjustments'!X260</f>
        <v>341773.46231736481</v>
      </c>
      <c r="Y33" s="120">
        <f>'Volume adjustments'!Y260</f>
        <v>0</v>
      </c>
    </row>
    <row r="34" spans="3:27" x14ac:dyDescent="0.3">
      <c r="F34" s="152" t="s">
        <v>455</v>
      </c>
      <c r="G34" s="152" t="s">
        <v>207</v>
      </c>
      <c r="H34" s="108"/>
      <c r="I34" s="108"/>
      <c r="J34" s="153">
        <f t="shared" ref="J34:Y34" si="0">SUM(J31:J33)</f>
        <v>8243104.1171784895</v>
      </c>
      <c r="K34" s="153">
        <f t="shared" si="0"/>
        <v>16567.448551798487</v>
      </c>
      <c r="L34" s="153">
        <f t="shared" si="0"/>
        <v>2739735.3557335963</v>
      </c>
      <c r="M34" s="153">
        <f t="shared" si="0"/>
        <v>4017.9633645050908</v>
      </c>
      <c r="N34" s="153">
        <f t="shared" si="0"/>
        <v>2377867.5373323588</v>
      </c>
      <c r="O34" s="153">
        <f t="shared" si="0"/>
        <v>139300.06127213477</v>
      </c>
      <c r="P34" s="153">
        <f t="shared" si="0"/>
        <v>6652065.4630770739</v>
      </c>
      <c r="Q34" s="153">
        <f t="shared" si="0"/>
        <v>246667.26158504939</v>
      </c>
      <c r="R34" s="153">
        <f t="shared" si="0"/>
        <v>1133.5616397661845</v>
      </c>
      <c r="S34" s="153">
        <f t="shared" si="0"/>
        <v>0</v>
      </c>
      <c r="T34" s="153">
        <f t="shared" si="0"/>
        <v>47200.443429056759</v>
      </c>
      <c r="U34" s="153">
        <f t="shared" si="0"/>
        <v>0</v>
      </c>
      <c r="V34" s="153">
        <f t="shared" si="0"/>
        <v>9937.9707653078713</v>
      </c>
      <c r="W34" s="153">
        <f t="shared" si="0"/>
        <v>0</v>
      </c>
      <c r="X34" s="153">
        <f t="shared" si="0"/>
        <v>704532.76201741514</v>
      </c>
      <c r="Y34" s="153">
        <f t="shared" si="0"/>
        <v>0</v>
      </c>
    </row>
    <row r="35" spans="3:27" x14ac:dyDescent="0.3">
      <c r="F35" s="28"/>
      <c r="G35" s="28"/>
      <c r="J35" s="25"/>
      <c r="K35" s="25"/>
      <c r="L35" s="25"/>
      <c r="M35" s="25"/>
      <c r="N35" s="25"/>
      <c r="O35" s="25"/>
      <c r="P35" s="25"/>
      <c r="Q35" s="25"/>
      <c r="R35" s="25"/>
      <c r="S35" s="25"/>
      <c r="T35" s="25"/>
      <c r="U35" s="25"/>
      <c r="V35" s="25"/>
      <c r="W35" s="25"/>
      <c r="X35" s="25"/>
      <c r="Y35" s="25"/>
      <c r="Z35" s="25"/>
    </row>
    <row r="36" spans="3:27" x14ac:dyDescent="0.3">
      <c r="C36" s="31" t="str">
        <f ca="1">INDEX('Version control'!$H$34:$H$57,MATCH($A$1,'Version control'!$F$34:$F$57,0),1)&amp;"-C: Aggregated groups for pseudo-load coefficients"</f>
        <v>Section 105-C: Aggregated groups for pseudo-load coefficients</v>
      </c>
      <c r="D36" s="31"/>
      <c r="E36" s="31"/>
      <c r="F36" s="31"/>
      <c r="G36" s="31"/>
      <c r="H36" s="31"/>
      <c r="I36" s="31"/>
      <c r="J36" s="90"/>
      <c r="K36" s="90"/>
      <c r="L36" s="90"/>
      <c r="M36" s="90"/>
      <c r="N36" s="90"/>
      <c r="O36" s="90"/>
      <c r="P36" s="90"/>
      <c r="Q36" s="90"/>
      <c r="R36" s="90"/>
      <c r="S36" s="90"/>
      <c r="T36" s="90"/>
      <c r="U36" s="90"/>
      <c r="V36" s="90"/>
      <c r="W36" s="90"/>
      <c r="X36" s="90"/>
      <c r="Y36" s="90"/>
      <c r="Z36" s="31"/>
      <c r="AA36" s="31"/>
    </row>
    <row r="37" spans="3:27" x14ac:dyDescent="0.3">
      <c r="J37" s="89"/>
      <c r="K37" s="89"/>
      <c r="L37" s="89"/>
      <c r="M37" s="89"/>
      <c r="N37" s="89"/>
      <c r="O37" s="89"/>
      <c r="P37" s="89"/>
      <c r="Q37" s="89"/>
      <c r="R37" s="89"/>
      <c r="S37" s="89"/>
      <c r="T37" s="89"/>
      <c r="U37" s="89"/>
      <c r="V37" s="89"/>
      <c r="W37" s="89"/>
      <c r="X37" s="89"/>
      <c r="Y37" s="89"/>
    </row>
    <row r="38" spans="3:27" x14ac:dyDescent="0.3">
      <c r="E38" s="28" t="s">
        <v>848</v>
      </c>
      <c r="F38" s="28"/>
      <c r="G38" s="28" t="s">
        <v>149</v>
      </c>
      <c r="I38" s="320" t="s">
        <v>154</v>
      </c>
      <c r="J38" s="315">
        <f>'Fixed inputs'!J149</f>
        <v>1</v>
      </c>
      <c r="K38" s="315">
        <f>'Fixed inputs'!K149</f>
        <v>1</v>
      </c>
      <c r="L38" s="315">
        <f>'Fixed inputs'!L149</f>
        <v>2</v>
      </c>
      <c r="M38" s="315">
        <f>'Fixed inputs'!M149</f>
        <v>2</v>
      </c>
      <c r="N38" s="315">
        <f>'Fixed inputs'!N149</f>
        <v>3</v>
      </c>
      <c r="O38" s="315">
        <f>'Fixed inputs'!O149</f>
        <v>4</v>
      </c>
      <c r="P38" s="315">
        <f>'Fixed inputs'!P149</f>
        <v>5</v>
      </c>
      <c r="Q38" s="316"/>
      <c r="R38" s="316"/>
      <c r="S38" s="316"/>
      <c r="T38" s="316"/>
      <c r="U38" s="316"/>
      <c r="V38" s="316"/>
      <c r="W38" s="316"/>
      <c r="X38" s="316"/>
      <c r="Y38" s="316"/>
      <c r="AA38" s="320" t="s">
        <v>860</v>
      </c>
    </row>
    <row r="39" spans="3:27" x14ac:dyDescent="0.3">
      <c r="J39" s="89"/>
      <c r="K39" s="89"/>
      <c r="L39" s="89"/>
      <c r="M39" s="89"/>
      <c r="N39" s="89"/>
      <c r="O39" s="89"/>
      <c r="P39" s="89"/>
      <c r="Q39" s="89"/>
      <c r="R39" s="89"/>
      <c r="S39" s="89"/>
      <c r="T39" s="89"/>
      <c r="U39" s="89"/>
      <c r="V39" s="89"/>
      <c r="W39" s="89"/>
      <c r="X39" s="89"/>
      <c r="Y39" s="89"/>
    </row>
    <row r="40" spans="3:27" x14ac:dyDescent="0.3">
      <c r="E40" s="32" t="s">
        <v>849</v>
      </c>
      <c r="J40" s="89"/>
      <c r="K40" s="89"/>
      <c r="L40" s="89"/>
      <c r="M40" s="89"/>
      <c r="N40" s="89"/>
      <c r="O40" s="89"/>
      <c r="P40" s="89"/>
      <c r="Q40" s="89"/>
      <c r="R40" s="89"/>
      <c r="S40" s="89"/>
      <c r="T40" s="89"/>
      <c r="U40" s="89"/>
      <c r="V40" s="89"/>
      <c r="W40" s="89"/>
      <c r="X40" s="89"/>
      <c r="Y40" s="89"/>
    </row>
    <row r="41" spans="3:27" x14ac:dyDescent="0.3">
      <c r="E41" s="29" t="s">
        <v>464</v>
      </c>
    </row>
    <row r="42" spans="3:27" x14ac:dyDescent="0.3">
      <c r="F42" s="64" t="s">
        <v>465</v>
      </c>
      <c r="G42" s="64" t="s">
        <v>167</v>
      </c>
      <c r="H42" s="23"/>
      <c r="I42" s="23"/>
      <c r="J42" s="154">
        <f t="shared" ref="J42:P44" si="1">SUMIF($J$38:$Y$38, J$38, $J31:$Y31) / SUMIF($J$38:$Y$38, J$38, $J$34:$Y$34)</f>
        <v>0.11233724811138458</v>
      </c>
      <c r="K42" s="154">
        <f t="shared" si="1"/>
        <v>0.11233724811138458</v>
      </c>
      <c r="L42" s="154">
        <f t="shared" si="1"/>
        <v>0.10730387825961694</v>
      </c>
      <c r="M42" s="154">
        <f t="shared" si="1"/>
        <v>0.10730387825961694</v>
      </c>
      <c r="N42" s="154">
        <f t="shared" si="1"/>
        <v>0.11196282360650817</v>
      </c>
      <c r="O42" s="154">
        <f t="shared" si="1"/>
        <v>0.15262819604506356</v>
      </c>
      <c r="P42" s="154">
        <f t="shared" si="1"/>
        <v>0.10016846845949257</v>
      </c>
      <c r="Q42" s="317"/>
      <c r="R42" s="317"/>
      <c r="S42" s="317"/>
      <c r="T42" s="317"/>
      <c r="U42" s="317"/>
      <c r="V42" s="317"/>
      <c r="W42" s="317"/>
      <c r="X42" s="317"/>
      <c r="Y42" s="317"/>
    </row>
    <row r="43" spans="3:27" x14ac:dyDescent="0.3">
      <c r="F43" s="28" t="s">
        <v>466</v>
      </c>
      <c r="G43" s="28" t="s">
        <v>167</v>
      </c>
      <c r="J43" s="145">
        <f t="shared" si="1"/>
        <v>0.33411372272931167</v>
      </c>
      <c r="K43" s="145">
        <f t="shared" si="1"/>
        <v>0.33411372272931167</v>
      </c>
      <c r="L43" s="145">
        <f t="shared" si="1"/>
        <v>0.44072976855981233</v>
      </c>
      <c r="M43" s="145">
        <f t="shared" si="1"/>
        <v>0.44072976855981233</v>
      </c>
      <c r="N43" s="145">
        <f t="shared" si="1"/>
        <v>0.42830969739922525</v>
      </c>
      <c r="O43" s="145">
        <f t="shared" si="1"/>
        <v>0.41237695579565664</v>
      </c>
      <c r="P43" s="145">
        <f t="shared" si="1"/>
        <v>0.38782308718867808</v>
      </c>
      <c r="Q43" s="70"/>
      <c r="R43" s="70"/>
      <c r="S43" s="70"/>
      <c r="T43" s="70"/>
      <c r="U43" s="70"/>
      <c r="V43" s="70"/>
      <c r="W43" s="70"/>
      <c r="X43" s="70"/>
      <c r="Y43" s="70"/>
    </row>
    <row r="44" spans="3:27" x14ac:dyDescent="0.3">
      <c r="F44" s="67" t="s">
        <v>257</v>
      </c>
      <c r="G44" s="67" t="s">
        <v>167</v>
      </c>
      <c r="H44" s="37"/>
      <c r="I44" s="37"/>
      <c r="J44" s="155">
        <f t="shared" si="1"/>
        <v>0.55354902915930371</v>
      </c>
      <c r="K44" s="155">
        <f t="shared" si="1"/>
        <v>0.55354902915930371</v>
      </c>
      <c r="L44" s="155">
        <f t="shared" si="1"/>
        <v>0.45196635318057071</v>
      </c>
      <c r="M44" s="155">
        <f t="shared" si="1"/>
        <v>0.45196635318057071</v>
      </c>
      <c r="N44" s="155">
        <f t="shared" si="1"/>
        <v>0.45972747899426669</v>
      </c>
      <c r="O44" s="155">
        <f t="shared" si="1"/>
        <v>0.43499484815927963</v>
      </c>
      <c r="P44" s="155">
        <f t="shared" si="1"/>
        <v>0.51200844435182924</v>
      </c>
      <c r="Q44" s="71"/>
      <c r="R44" s="71"/>
      <c r="S44" s="71"/>
      <c r="T44" s="71"/>
      <c r="U44" s="71"/>
      <c r="V44" s="71"/>
      <c r="W44" s="71"/>
      <c r="X44" s="71"/>
      <c r="Y44" s="71"/>
    </row>
    <row r="45" spans="3:27" x14ac:dyDescent="0.3">
      <c r="J45" s="89"/>
      <c r="K45" s="89"/>
      <c r="L45" s="89"/>
      <c r="M45" s="89"/>
      <c r="N45" s="89"/>
      <c r="O45" s="89"/>
      <c r="P45" s="89"/>
      <c r="Q45" s="89"/>
      <c r="R45" s="89"/>
      <c r="S45" s="89"/>
      <c r="T45" s="89"/>
      <c r="U45" s="89"/>
      <c r="V45" s="89"/>
      <c r="W45" s="89"/>
      <c r="X45" s="89"/>
      <c r="Y45" s="89"/>
    </row>
    <row r="46" spans="3:27" x14ac:dyDescent="0.3">
      <c r="E46" s="32" t="s">
        <v>850</v>
      </c>
      <c r="F46" s="28"/>
      <c r="G46" s="28"/>
    </row>
    <row r="47" spans="3:27" x14ac:dyDescent="0.3">
      <c r="E47" s="29" t="s">
        <v>464</v>
      </c>
    </row>
    <row r="48" spans="3:27" x14ac:dyDescent="0.3">
      <c r="F48" s="64" t="s">
        <v>465</v>
      </c>
      <c r="G48" s="64" t="s">
        <v>167</v>
      </c>
      <c r="H48" s="23"/>
      <c r="I48" s="23"/>
      <c r="J48" s="154">
        <f>IF(ISNUMBER(J$38), J42, IF(J$34 = 0, 0, J31 / J$34))</f>
        <v>0.11233724811138458</v>
      </c>
      <c r="K48" s="154">
        <f t="shared" ref="K48:Y48" si="2">IF(ISNUMBER(K$38), K42, IF(K$34 = 0, 0, K31 / K$34))</f>
        <v>0.11233724811138458</v>
      </c>
      <c r="L48" s="154">
        <f t="shared" si="2"/>
        <v>0.10730387825961694</v>
      </c>
      <c r="M48" s="154">
        <f t="shared" si="2"/>
        <v>0.10730387825961694</v>
      </c>
      <c r="N48" s="154">
        <f t="shared" si="2"/>
        <v>0.11196282360650817</v>
      </c>
      <c r="O48" s="154">
        <f t="shared" si="2"/>
        <v>0.15262819604506356</v>
      </c>
      <c r="P48" s="154">
        <f t="shared" si="2"/>
        <v>0.10016846845949257</v>
      </c>
      <c r="Q48" s="154">
        <f t="shared" si="2"/>
        <v>3.9176287458144499E-2</v>
      </c>
      <c r="R48" s="154">
        <f t="shared" si="2"/>
        <v>0.11067697307558255</v>
      </c>
      <c r="S48" s="154">
        <f t="shared" si="2"/>
        <v>0</v>
      </c>
      <c r="T48" s="154">
        <f t="shared" si="2"/>
        <v>9.0684372037460145E-2</v>
      </c>
      <c r="U48" s="154">
        <f t="shared" si="2"/>
        <v>0</v>
      </c>
      <c r="V48" s="154">
        <f t="shared" si="2"/>
        <v>9.1287168395771154E-2</v>
      </c>
      <c r="W48" s="154">
        <f t="shared" si="2"/>
        <v>0</v>
      </c>
      <c r="X48" s="154">
        <f t="shared" si="2"/>
        <v>0.11524286218471935</v>
      </c>
      <c r="Y48" s="154">
        <f t="shared" si="2"/>
        <v>0</v>
      </c>
    </row>
    <row r="49" spans="2:27" x14ac:dyDescent="0.3">
      <c r="F49" s="28" t="s">
        <v>466</v>
      </c>
      <c r="G49" s="28" t="s">
        <v>167</v>
      </c>
      <c r="J49" s="145">
        <f t="shared" ref="J49:Y49" si="3">IF(ISNUMBER(J$38), J43, IF(J$34 = 0, 0, J32 / J$34))</f>
        <v>0.33411372272931167</v>
      </c>
      <c r="K49" s="145">
        <f t="shared" si="3"/>
        <v>0.33411372272931167</v>
      </c>
      <c r="L49" s="145">
        <f t="shared" si="3"/>
        <v>0.44072976855981233</v>
      </c>
      <c r="M49" s="145">
        <f t="shared" si="3"/>
        <v>0.44072976855981233</v>
      </c>
      <c r="N49" s="145">
        <f t="shared" si="3"/>
        <v>0.42830969739922525</v>
      </c>
      <c r="O49" s="145">
        <f t="shared" si="3"/>
        <v>0.41237695579565664</v>
      </c>
      <c r="P49" s="145">
        <f t="shared" si="3"/>
        <v>0.38782308718867808</v>
      </c>
      <c r="Q49" s="145">
        <f t="shared" si="3"/>
        <v>0.19930197154087201</v>
      </c>
      <c r="R49" s="145">
        <f t="shared" si="3"/>
        <v>0.59556250946100042</v>
      </c>
      <c r="S49" s="145">
        <f t="shared" si="3"/>
        <v>0</v>
      </c>
      <c r="T49" s="145">
        <f t="shared" si="3"/>
        <v>0.45414573392324376</v>
      </c>
      <c r="U49" s="145">
        <f t="shared" si="3"/>
        <v>0</v>
      </c>
      <c r="V49" s="145">
        <f t="shared" si="3"/>
        <v>0.36269256985732934</v>
      </c>
      <c r="W49" s="145">
        <f t="shared" si="3"/>
        <v>0</v>
      </c>
      <c r="X49" s="145">
        <f t="shared" si="3"/>
        <v>0.39965058104039969</v>
      </c>
      <c r="Y49" s="145">
        <f t="shared" si="3"/>
        <v>0</v>
      </c>
    </row>
    <row r="50" spans="2:27" x14ac:dyDescent="0.3">
      <c r="F50" s="67" t="s">
        <v>257</v>
      </c>
      <c r="G50" s="67" t="s">
        <v>167</v>
      </c>
      <c r="H50" s="37"/>
      <c r="I50" s="37"/>
      <c r="J50" s="155">
        <f t="shared" ref="J50:Y50" si="4">IF(ISNUMBER(J$38), J44, IF(J$34 = 0, 0, J33 / J$34))</f>
        <v>0.55354902915930371</v>
      </c>
      <c r="K50" s="155">
        <f t="shared" si="4"/>
        <v>0.55354902915930371</v>
      </c>
      <c r="L50" s="155">
        <f t="shared" si="4"/>
        <v>0.45196635318057071</v>
      </c>
      <c r="M50" s="155">
        <f t="shared" si="4"/>
        <v>0.45196635318057071</v>
      </c>
      <c r="N50" s="155">
        <f t="shared" si="4"/>
        <v>0.45972747899426669</v>
      </c>
      <c r="O50" s="155">
        <f t="shared" si="4"/>
        <v>0.43499484815927963</v>
      </c>
      <c r="P50" s="155">
        <f t="shared" si="4"/>
        <v>0.51200844435182924</v>
      </c>
      <c r="Q50" s="155">
        <f t="shared" si="4"/>
        <v>0.76152174100098347</v>
      </c>
      <c r="R50" s="155">
        <f t="shared" si="4"/>
        <v>0.29376051746341703</v>
      </c>
      <c r="S50" s="155">
        <f t="shared" si="4"/>
        <v>0</v>
      </c>
      <c r="T50" s="155">
        <f t="shared" si="4"/>
        <v>0.4551698940392962</v>
      </c>
      <c r="U50" s="155">
        <f t="shared" si="4"/>
        <v>0</v>
      </c>
      <c r="V50" s="155">
        <f t="shared" si="4"/>
        <v>0.54602026174689955</v>
      </c>
      <c r="W50" s="155">
        <f t="shared" si="4"/>
        <v>0</v>
      </c>
      <c r="X50" s="155">
        <f t="shared" si="4"/>
        <v>0.48510655677488085</v>
      </c>
      <c r="Y50" s="155">
        <f t="shared" si="4"/>
        <v>0</v>
      </c>
    </row>
    <row r="52" spans="2:27" x14ac:dyDescent="0.3">
      <c r="C52" s="31" t="str">
        <f ca="1">INDEX('Version control'!$H$34:$H$57,MATCH($A$1,'Version control'!$F$34:$F$57,0),1)&amp;"-D: Ratio of coincidence to load factor assuming units evenly spread within time bands, and peak falls in Red period"</f>
        <v>Section 105-D: Ratio of coincidence to load factor assuming units evenly spread within time bands, and peak falls in Red period</v>
      </c>
      <c r="D52" s="31"/>
      <c r="E52" s="31"/>
      <c r="F52" s="31"/>
      <c r="G52" s="31"/>
      <c r="H52" s="31"/>
      <c r="I52" s="31"/>
      <c r="J52" s="31"/>
      <c r="K52" s="31"/>
      <c r="L52" s="31"/>
      <c r="M52" s="31"/>
      <c r="N52" s="31"/>
      <c r="O52" s="31"/>
      <c r="P52" s="31"/>
      <c r="Q52" s="31"/>
      <c r="R52" s="31"/>
      <c r="S52" s="31"/>
      <c r="T52" s="31"/>
      <c r="U52" s="31"/>
      <c r="V52" s="31"/>
      <c r="W52" s="31"/>
      <c r="X52" s="31"/>
      <c r="Y52" s="31"/>
      <c r="Z52" s="31"/>
      <c r="AA52" s="31"/>
    </row>
    <row r="54" spans="2:27" x14ac:dyDescent="0.3">
      <c r="E54" t="s">
        <v>468</v>
      </c>
      <c r="G54" t="s">
        <v>283</v>
      </c>
      <c r="H54" s="89"/>
      <c r="I54" s="89"/>
      <c r="J54" s="89">
        <f t="shared" ref="J54:Y54" si="5">J48 * hours_in_year / J24</f>
        <v>1.2567998639281339</v>
      </c>
      <c r="K54" s="89">
        <f t="shared" si="5"/>
        <v>1.2567998639281339</v>
      </c>
      <c r="L54" s="89">
        <f t="shared" si="5"/>
        <v>1.200487833402611</v>
      </c>
      <c r="M54" s="89">
        <f t="shared" si="5"/>
        <v>1.200487833402611</v>
      </c>
      <c r="N54" s="89">
        <f t="shared" si="5"/>
        <v>1.2526109001187886</v>
      </c>
      <c r="O54" s="89">
        <f t="shared" si="5"/>
        <v>1.7075644921516691</v>
      </c>
      <c r="P54" s="89">
        <f t="shared" si="5"/>
        <v>1.1206587275927904</v>
      </c>
      <c r="Q54" s="89">
        <f t="shared" si="5"/>
        <v>1.330171620671883</v>
      </c>
      <c r="R54" s="89">
        <f t="shared" si="5"/>
        <v>1.2382251393896593</v>
      </c>
      <c r="S54" s="89">
        <f t="shared" si="5"/>
        <v>0</v>
      </c>
      <c r="T54" s="89">
        <f t="shared" si="5"/>
        <v>1.0145531277754163</v>
      </c>
      <c r="U54" s="89">
        <f t="shared" si="5"/>
        <v>0</v>
      </c>
      <c r="V54" s="89">
        <f t="shared" si="5"/>
        <v>1.0212970563818076</v>
      </c>
      <c r="W54" s="89">
        <f t="shared" si="5"/>
        <v>0</v>
      </c>
      <c r="X54" s="89">
        <f t="shared" si="5"/>
        <v>1.2893071171623776</v>
      </c>
      <c r="Y54" s="89">
        <f t="shared" si="5"/>
        <v>0</v>
      </c>
    </row>
    <row r="55" spans="2:27" x14ac:dyDescent="0.3">
      <c r="J55" s="63"/>
      <c r="K55" s="63"/>
      <c r="L55" s="63"/>
      <c r="M55" s="63"/>
      <c r="N55" s="63"/>
      <c r="O55" s="63"/>
      <c r="P55" s="63"/>
      <c r="Q55" s="63"/>
      <c r="R55" s="63"/>
      <c r="S55" s="63"/>
      <c r="T55" s="63"/>
      <c r="U55" s="63"/>
      <c r="V55" s="63"/>
      <c r="W55" s="63"/>
      <c r="X55" s="63"/>
      <c r="Y55" s="63"/>
    </row>
    <row r="56" spans="2:27" x14ac:dyDescent="0.3">
      <c r="B56" s="30" t="s">
        <v>469</v>
      </c>
      <c r="C56" s="105"/>
      <c r="D56" s="104"/>
      <c r="E56" s="104"/>
      <c r="F56" s="105"/>
      <c r="G56" s="105"/>
      <c r="H56" s="105"/>
      <c r="I56" s="105"/>
      <c r="J56" s="105"/>
      <c r="K56" s="105"/>
      <c r="L56" s="105"/>
      <c r="M56" s="105"/>
      <c r="N56" s="105"/>
      <c r="O56" s="105"/>
      <c r="P56" s="105"/>
      <c r="Q56" s="105"/>
      <c r="R56" s="105"/>
      <c r="S56" s="105"/>
      <c r="T56" s="105"/>
      <c r="U56" s="105"/>
      <c r="V56" s="105"/>
      <c r="W56" s="105"/>
      <c r="X56" s="105"/>
      <c r="Y56" s="105"/>
      <c r="Z56" s="105"/>
      <c r="AA56" s="105"/>
    </row>
    <row r="57" spans="2:27" x14ac:dyDescent="0.3">
      <c r="F57" s="28"/>
      <c r="G57" s="28"/>
    </row>
    <row r="58" spans="2:27" x14ac:dyDescent="0.3">
      <c r="C58" s="29" t="s">
        <v>470</v>
      </c>
      <c r="F58" s="28"/>
      <c r="G58" s="28"/>
    </row>
    <row r="59" spans="2:27" x14ac:dyDescent="0.3">
      <c r="F59" s="28"/>
      <c r="G59" s="28"/>
    </row>
    <row r="60" spans="2:27" x14ac:dyDescent="0.3">
      <c r="C60" s="31" t="str">
        <f ca="1">INDEX('Version control'!$H$34:$H$57,MATCH($A$1,'Version control'!$F$34:$F$57,0),1)&amp;"-E: Load characteristics for all customers"</f>
        <v>Section 105-E: Load characteristics for all customers</v>
      </c>
      <c r="D60" s="31"/>
      <c r="E60" s="31"/>
      <c r="F60" s="31"/>
      <c r="G60" s="31"/>
      <c r="H60" s="31"/>
      <c r="I60" s="31"/>
      <c r="J60" s="31"/>
      <c r="K60" s="31"/>
      <c r="L60" s="31"/>
      <c r="M60" s="31"/>
      <c r="N60" s="31"/>
      <c r="O60" s="31"/>
      <c r="P60" s="31"/>
      <c r="Q60" s="31"/>
      <c r="R60" s="31"/>
      <c r="S60" s="31"/>
      <c r="T60" s="31"/>
      <c r="U60" s="31"/>
      <c r="V60" s="31"/>
      <c r="W60" s="31"/>
      <c r="X60" s="31"/>
      <c r="Y60" s="31"/>
      <c r="Z60" s="31"/>
      <c r="AA60" s="31"/>
    </row>
    <row r="61" spans="2:27" x14ac:dyDescent="0.3">
      <c r="D61" s="32"/>
      <c r="J61" s="25"/>
      <c r="K61" s="25"/>
      <c r="L61" s="25"/>
      <c r="M61" s="25"/>
      <c r="N61" s="25"/>
      <c r="O61" s="25"/>
      <c r="P61" s="25"/>
      <c r="Q61" s="25"/>
      <c r="R61" s="25"/>
      <c r="S61" s="25"/>
      <c r="T61" s="25"/>
      <c r="U61" s="25"/>
      <c r="V61" s="25"/>
      <c r="W61" s="25"/>
      <c r="X61" s="25"/>
      <c r="Y61" s="25"/>
    </row>
    <row r="62" spans="2:27" x14ac:dyDescent="0.3">
      <c r="E62" s="28" t="s">
        <v>241</v>
      </c>
      <c r="G62" s="28" t="s">
        <v>167</v>
      </c>
      <c r="J62" s="25">
        <f>'Inputs by customer type'!J15</f>
        <v>0.4454000851757805</v>
      </c>
      <c r="K62" s="25">
        <f>'Inputs by customer type'!K15</f>
        <v>0.17235133349412979</v>
      </c>
      <c r="L62" s="25">
        <f>'Inputs by customer type'!L15</f>
        <v>0.42631761647328226</v>
      </c>
      <c r="M62" s="25">
        <f>'Inputs by customer type'!M15</f>
        <v>0.22423880040220068</v>
      </c>
      <c r="N62" s="25">
        <f>'Inputs by customer type'!N15</f>
        <v>0.51368112238457309</v>
      </c>
      <c r="O62" s="25">
        <f>'Inputs by customer type'!O15</f>
        <v>0.53489695823059702</v>
      </c>
      <c r="P62" s="25">
        <f>'Inputs by customer type'!P15</f>
        <v>0.66792120955326817</v>
      </c>
      <c r="Q62" s="25">
        <f>'Inputs by customer type'!Q15</f>
        <v>0.52082016691902244</v>
      </c>
      <c r="R62" s="25">
        <f>'Inputs by customer type'!R15</f>
        <v>0</v>
      </c>
      <c r="S62" s="25">
        <f>'Inputs by customer type'!S15</f>
        <v>0</v>
      </c>
      <c r="T62" s="25">
        <f>'Inputs by customer type'!T15</f>
        <v>0</v>
      </c>
      <c r="U62" s="25">
        <f>'Inputs by customer type'!U15</f>
        <v>0</v>
      </c>
      <c r="V62" s="25">
        <f>'Inputs by customer type'!V15</f>
        <v>0</v>
      </c>
      <c r="W62" s="25">
        <f>'Inputs by customer type'!W15</f>
        <v>0</v>
      </c>
      <c r="X62" s="25">
        <f>'Inputs by customer type'!X15</f>
        <v>0</v>
      </c>
      <c r="Y62" s="25">
        <f>'Inputs by customer type'!Y15</f>
        <v>0</v>
      </c>
    </row>
    <row r="63" spans="2:27" x14ac:dyDescent="0.3">
      <c r="E63" s="28" t="s">
        <v>243</v>
      </c>
      <c r="G63" s="28" t="s">
        <v>167</v>
      </c>
      <c r="J63" s="25">
        <f>'Inputs by customer type'!J16</f>
        <v>0.80373443818124723</v>
      </c>
      <c r="K63" s="25">
        <f>'Inputs by customer type'!K16</f>
        <v>0</v>
      </c>
      <c r="L63" s="25">
        <f>'Inputs by customer type'!L16</f>
        <v>0.83607866834868372</v>
      </c>
      <c r="M63" s="25">
        <f>'Inputs by customer type'!M16</f>
        <v>0</v>
      </c>
      <c r="N63" s="25">
        <f>'Inputs by customer type'!N16</f>
        <v>0.84438109464534994</v>
      </c>
      <c r="O63" s="25">
        <f>'Inputs by customer type'!O16</f>
        <v>0.89602122406344564</v>
      </c>
      <c r="P63" s="25">
        <f>'Inputs by customer type'!P16</f>
        <v>0.83810413824810015</v>
      </c>
      <c r="Q63" s="25">
        <f>'Inputs by customer type'!Q16</f>
        <v>0.67762207968518728</v>
      </c>
      <c r="R63" s="25">
        <f>'Inputs by customer type'!R16</f>
        <v>0</v>
      </c>
      <c r="S63" s="25">
        <f>'Inputs by customer type'!S16</f>
        <v>0</v>
      </c>
      <c r="T63" s="25">
        <f>'Inputs by customer type'!T16</f>
        <v>0</v>
      </c>
      <c r="U63" s="25">
        <f>'Inputs by customer type'!U16</f>
        <v>0</v>
      </c>
      <c r="V63" s="25">
        <f>'Inputs by customer type'!V16</f>
        <v>0</v>
      </c>
      <c r="W63" s="25">
        <f>'Inputs by customer type'!W16</f>
        <v>0</v>
      </c>
      <c r="X63" s="25">
        <f>'Inputs by customer type'!X16</f>
        <v>0</v>
      </c>
      <c r="Y63" s="25">
        <f>'Inputs by customer type'!Y16</f>
        <v>0</v>
      </c>
    </row>
    <row r="64" spans="2:27" x14ac:dyDescent="0.3">
      <c r="F64" s="28"/>
      <c r="G64" s="28"/>
      <c r="J64" s="25"/>
      <c r="K64" s="25"/>
      <c r="L64" s="25"/>
      <c r="M64" s="25"/>
      <c r="N64" s="25"/>
      <c r="O64" s="25"/>
      <c r="P64" s="25"/>
      <c r="Q64" s="25"/>
      <c r="R64" s="25"/>
      <c r="S64" s="25"/>
      <c r="T64" s="25"/>
      <c r="U64" s="25"/>
      <c r="V64" s="25"/>
      <c r="W64" s="25"/>
      <c r="X64" s="25"/>
      <c r="Y64" s="25"/>
    </row>
    <row r="65" spans="3:27" x14ac:dyDescent="0.3">
      <c r="C65" s="31" t="str">
        <f ca="1">INDEX('Version control'!$H$34:$H$57,MATCH($A$1,'Version control'!$F$34:$F$57,0),1)&amp;"-F: Aggregated load characteristics for grouped customers"</f>
        <v>Section 105-F: Aggregated load characteristics for grouped customers</v>
      </c>
      <c r="D65" s="31"/>
      <c r="E65" s="31"/>
      <c r="F65" s="31"/>
      <c r="G65" s="31"/>
      <c r="H65" s="31"/>
      <c r="I65" s="31"/>
      <c r="J65" s="31"/>
      <c r="K65" s="31"/>
      <c r="L65" s="31"/>
      <c r="M65" s="31"/>
      <c r="N65" s="31"/>
      <c r="O65" s="31"/>
      <c r="P65" s="31"/>
      <c r="Q65" s="31"/>
      <c r="R65" s="31"/>
      <c r="S65" s="31"/>
      <c r="T65" s="31"/>
      <c r="U65" s="31"/>
      <c r="V65" s="31"/>
      <c r="W65" s="31"/>
      <c r="X65" s="31"/>
      <c r="Y65" s="31"/>
      <c r="Z65" s="31"/>
      <c r="AA65" s="31"/>
    </row>
    <row r="67" spans="3:27" x14ac:dyDescent="0.3">
      <c r="D67" s="32" t="s">
        <v>851</v>
      </c>
      <c r="E67" s="28"/>
      <c r="F67" s="28"/>
      <c r="G67" s="28"/>
    </row>
    <row r="68" spans="3:27" x14ac:dyDescent="0.3">
      <c r="D68" s="32"/>
      <c r="E68" s="28"/>
      <c r="F68" s="28"/>
      <c r="G68" s="28"/>
    </row>
    <row r="69" spans="3:27" x14ac:dyDescent="0.3">
      <c r="D69" s="32"/>
      <c r="E69" s="28" t="s">
        <v>852</v>
      </c>
      <c r="F69" s="28"/>
      <c r="G69" s="28" t="s">
        <v>172</v>
      </c>
      <c r="J69" s="89">
        <f t="shared" ref="J69:P69" si="6">J34 / hours_in_year</f>
        <v>940.99362068247592</v>
      </c>
      <c r="K69" s="89">
        <f t="shared" si="6"/>
        <v>1.8912612502053068</v>
      </c>
      <c r="L69" s="89">
        <f t="shared" si="6"/>
        <v>312.75517759515941</v>
      </c>
      <c r="M69" s="89">
        <f t="shared" si="6"/>
        <v>0.45867161695263592</v>
      </c>
      <c r="N69" s="89">
        <f t="shared" si="6"/>
        <v>271.44606590552041</v>
      </c>
      <c r="O69" s="89">
        <f t="shared" si="6"/>
        <v>15.901833478554197</v>
      </c>
      <c r="P69" s="89">
        <f t="shared" si="6"/>
        <v>759.36820354761119</v>
      </c>
      <c r="Q69" s="316"/>
      <c r="R69" s="316"/>
      <c r="S69" s="316"/>
      <c r="T69" s="316"/>
      <c r="U69" s="316"/>
      <c r="V69" s="316"/>
      <c r="W69" s="316"/>
      <c r="X69" s="316"/>
      <c r="Y69" s="316"/>
    </row>
    <row r="70" spans="3:27" x14ac:dyDescent="0.3">
      <c r="D70" s="32"/>
      <c r="E70" s="28"/>
      <c r="F70" s="28"/>
      <c r="G70" s="28"/>
    </row>
    <row r="71" spans="3:27" x14ac:dyDescent="0.3">
      <c r="D71" s="32"/>
      <c r="E71" s="28" t="s">
        <v>471</v>
      </c>
      <c r="F71" s="28"/>
      <c r="G71" s="28" t="s">
        <v>172</v>
      </c>
      <c r="J71" s="89">
        <f t="shared" ref="J71:P71" si="7">IF(J62 = 0, 0, J34 / (J62 * hours_in_year))</f>
        <v>2112.6929518010884</v>
      </c>
      <c r="K71" s="89">
        <f t="shared" si="7"/>
        <v>10.973290498328069</v>
      </c>
      <c r="L71" s="89">
        <f t="shared" si="7"/>
        <v>733.62011211835545</v>
      </c>
      <c r="M71" s="89">
        <f t="shared" si="7"/>
        <v>2.0454605364011504</v>
      </c>
      <c r="N71" s="89">
        <f t="shared" si="7"/>
        <v>528.43301822234241</v>
      </c>
      <c r="O71" s="89">
        <f t="shared" si="7"/>
        <v>29.728779036538903</v>
      </c>
      <c r="P71" s="89">
        <f t="shared" si="7"/>
        <v>1136.9128464351452</v>
      </c>
      <c r="Q71" s="316"/>
      <c r="R71" s="316"/>
      <c r="S71" s="316"/>
      <c r="T71" s="316"/>
      <c r="U71" s="316"/>
      <c r="V71" s="316"/>
      <c r="W71" s="316"/>
      <c r="X71" s="316"/>
      <c r="Y71" s="316"/>
    </row>
    <row r="72" spans="3:27" x14ac:dyDescent="0.3">
      <c r="D72" s="32"/>
      <c r="E72" s="28"/>
      <c r="F72" s="28"/>
      <c r="G72" s="28"/>
    </row>
    <row r="73" spans="3:27" x14ac:dyDescent="0.3">
      <c r="D73" s="32"/>
      <c r="E73" s="28" t="s">
        <v>853</v>
      </c>
      <c r="F73" s="28"/>
      <c r="G73" s="28" t="s">
        <v>172</v>
      </c>
      <c r="J73" s="89">
        <f>J71 * J63</f>
        <v>1698.0440826653287</v>
      </c>
      <c r="K73" s="89">
        <f t="shared" ref="K73:M73" si="8">K71 * K63</f>
        <v>0</v>
      </c>
      <c r="L73" s="89">
        <f t="shared" si="8"/>
        <v>613.36412641372669</v>
      </c>
      <c r="M73" s="89">
        <f t="shared" si="8"/>
        <v>0</v>
      </c>
      <c r="N73" s="89">
        <f t="shared" ref="N73:P73" si="9">N71 * N63</f>
        <v>446.19885037332762</v>
      </c>
      <c r="O73" s="89">
        <f t="shared" si="9"/>
        <v>26.63761698223129</v>
      </c>
      <c r="P73" s="89">
        <f t="shared" si="9"/>
        <v>952.85136142472197</v>
      </c>
      <c r="Q73" s="316"/>
      <c r="R73" s="316"/>
      <c r="S73" s="316"/>
      <c r="T73" s="316"/>
      <c r="U73" s="316"/>
      <c r="V73" s="316"/>
      <c r="W73" s="316"/>
      <c r="X73" s="316"/>
      <c r="Y73" s="316"/>
    </row>
    <row r="74" spans="3:27" x14ac:dyDescent="0.3">
      <c r="D74" s="32"/>
      <c r="E74" s="28"/>
      <c r="F74" s="28"/>
      <c r="G74" s="28"/>
    </row>
    <row r="75" spans="3:27" x14ac:dyDescent="0.3">
      <c r="D75" s="32" t="s">
        <v>854</v>
      </c>
      <c r="E75" s="28"/>
      <c r="F75" s="28"/>
      <c r="G75" s="28"/>
    </row>
    <row r="76" spans="3:27" x14ac:dyDescent="0.3">
      <c r="D76" s="32"/>
      <c r="E76" s="28"/>
      <c r="F76" s="28"/>
      <c r="G76" s="28"/>
    </row>
    <row r="77" spans="3:27" x14ac:dyDescent="0.3">
      <c r="D77" s="32"/>
      <c r="E77" s="28" t="s">
        <v>241</v>
      </c>
      <c r="F77" s="28"/>
      <c r="G77" s="28" t="s">
        <v>167</v>
      </c>
      <c r="J77" s="145">
        <f t="shared" ref="J77:P77" si="10">SUMIF($J$38:$Y$38, J$38, $J$69:$Y$69) / SUMIF($J$38:$Y$38, J$38, $J$71:$Y$71)</f>
        <v>0.44398920280041987</v>
      </c>
      <c r="K77" s="145">
        <f t="shared" si="10"/>
        <v>0.44398920280041987</v>
      </c>
      <c r="L77" s="145">
        <f t="shared" si="10"/>
        <v>0.42575575214405392</v>
      </c>
      <c r="M77" s="145">
        <f t="shared" si="10"/>
        <v>0.42575575214405392</v>
      </c>
      <c r="N77" s="145">
        <f t="shared" si="10"/>
        <v>0.51368112238457309</v>
      </c>
      <c r="O77" s="145">
        <f t="shared" si="10"/>
        <v>0.53489695823059702</v>
      </c>
      <c r="P77" s="145">
        <f t="shared" si="10"/>
        <v>0.66792120955326817</v>
      </c>
      <c r="Q77" s="316"/>
      <c r="R77" s="316"/>
      <c r="S77" s="316"/>
      <c r="T77" s="316"/>
      <c r="U77" s="316"/>
      <c r="V77" s="316"/>
      <c r="W77" s="316"/>
      <c r="X77" s="316"/>
      <c r="Y77" s="316"/>
    </row>
    <row r="78" spans="3:27" x14ac:dyDescent="0.3">
      <c r="D78" s="32"/>
      <c r="E78" s="28"/>
      <c r="F78" s="28"/>
      <c r="G78" s="28"/>
    </row>
    <row r="79" spans="3:27" x14ac:dyDescent="0.3">
      <c r="D79" s="32"/>
      <c r="E79" s="28" t="s">
        <v>243</v>
      </c>
      <c r="F79" s="28"/>
      <c r="G79" s="28" t="s">
        <v>167</v>
      </c>
      <c r="J79" s="145">
        <f t="shared" ref="J79:P79" si="11">SUMIF($J$38:$Y$38, J$38, $J$73:$Y$73) / SUMIF($J$38:$Y$38, J$38, $J$71:$Y$71)</f>
        <v>0.79958142614102967</v>
      </c>
      <c r="K79" s="145">
        <f t="shared" si="11"/>
        <v>0.79958142614102967</v>
      </c>
      <c r="L79" s="145">
        <f t="shared" si="11"/>
        <v>0.8337540170601061</v>
      </c>
      <c r="M79" s="145">
        <f t="shared" si="11"/>
        <v>0.8337540170601061</v>
      </c>
      <c r="N79" s="145">
        <f t="shared" si="11"/>
        <v>0.84438109464534994</v>
      </c>
      <c r="O79" s="145">
        <f t="shared" si="11"/>
        <v>0.89602122406344564</v>
      </c>
      <c r="P79" s="145">
        <f t="shared" si="11"/>
        <v>0.83810413824810015</v>
      </c>
      <c r="Q79" s="316"/>
      <c r="R79" s="316"/>
      <c r="S79" s="316"/>
      <c r="T79" s="316"/>
      <c r="U79" s="316"/>
      <c r="V79" s="316"/>
      <c r="W79" s="316"/>
      <c r="X79" s="316"/>
      <c r="Y79" s="316"/>
    </row>
    <row r="80" spans="3:27" x14ac:dyDescent="0.3">
      <c r="D80" s="32"/>
      <c r="E80" s="28"/>
      <c r="F80" s="28"/>
      <c r="G80" s="28"/>
    </row>
    <row r="81" spans="2:27" x14ac:dyDescent="0.3">
      <c r="D81" s="32" t="s">
        <v>855</v>
      </c>
      <c r="E81" s="28"/>
      <c r="F81" s="28"/>
      <c r="G81" s="28"/>
    </row>
    <row r="82" spans="2:27" x14ac:dyDescent="0.3">
      <c r="D82" s="28"/>
      <c r="E82" s="28"/>
      <c r="F82" s="28"/>
      <c r="G82" s="28"/>
    </row>
    <row r="83" spans="2:27" x14ac:dyDescent="0.3">
      <c r="D83" s="28"/>
      <c r="E83" s="28" t="s">
        <v>241</v>
      </c>
      <c r="F83" s="28"/>
      <c r="G83" s="28" t="s">
        <v>167</v>
      </c>
      <c r="J83" s="145">
        <f>IF(J$38 = 0, J62, J77)</f>
        <v>0.44398920280041987</v>
      </c>
      <c r="K83" s="145">
        <f t="shared" ref="K83:Y83" si="12">IF(K$38 = 0, K62, K77)</f>
        <v>0.44398920280041987</v>
      </c>
      <c r="L83" s="145">
        <f t="shared" si="12"/>
        <v>0.42575575214405392</v>
      </c>
      <c r="M83" s="145">
        <f>IF(M$38 = 0, M62, M77)</f>
        <v>0.42575575214405392</v>
      </c>
      <c r="N83" s="145">
        <f t="shared" si="12"/>
        <v>0.51368112238457309</v>
      </c>
      <c r="O83" s="145">
        <f t="shared" si="12"/>
        <v>0.53489695823059702</v>
      </c>
      <c r="P83" s="145">
        <f t="shared" si="12"/>
        <v>0.66792120955326817</v>
      </c>
      <c r="Q83" s="145">
        <f t="shared" si="12"/>
        <v>0.52082016691902244</v>
      </c>
      <c r="R83" s="145">
        <f t="shared" si="12"/>
        <v>0</v>
      </c>
      <c r="S83" s="145">
        <f t="shared" si="12"/>
        <v>0</v>
      </c>
      <c r="T83" s="145">
        <f t="shared" si="12"/>
        <v>0</v>
      </c>
      <c r="U83" s="145">
        <f t="shared" si="12"/>
        <v>0</v>
      </c>
      <c r="V83" s="145">
        <f t="shared" si="12"/>
        <v>0</v>
      </c>
      <c r="W83" s="145">
        <f t="shared" si="12"/>
        <v>0</v>
      </c>
      <c r="X83" s="145">
        <f t="shared" si="12"/>
        <v>0</v>
      </c>
      <c r="Y83" s="145">
        <f t="shared" si="12"/>
        <v>0</v>
      </c>
    </row>
    <row r="84" spans="2:27" x14ac:dyDescent="0.3">
      <c r="D84" s="28"/>
      <c r="E84" s="28"/>
      <c r="F84" s="28"/>
      <c r="G84" s="28"/>
    </row>
    <row r="85" spans="2:27" x14ac:dyDescent="0.3">
      <c r="D85" s="28"/>
      <c r="E85" s="28" t="s">
        <v>243</v>
      </c>
      <c r="F85" s="28"/>
      <c r="G85" s="28" t="s">
        <v>167</v>
      </c>
      <c r="J85" s="145">
        <f>IF(J38 = 0, J63, J79)</f>
        <v>0.79958142614102967</v>
      </c>
      <c r="K85" s="145">
        <f t="shared" ref="K85:Y85" si="13">IF(K38 = 0, K63, K79)</f>
        <v>0.79958142614102967</v>
      </c>
      <c r="L85" s="145">
        <f t="shared" si="13"/>
        <v>0.8337540170601061</v>
      </c>
      <c r="M85" s="145">
        <f t="shared" si="13"/>
        <v>0.8337540170601061</v>
      </c>
      <c r="N85" s="145">
        <f t="shared" si="13"/>
        <v>0.84438109464534994</v>
      </c>
      <c r="O85" s="145">
        <f t="shared" si="13"/>
        <v>0.89602122406344564</v>
      </c>
      <c r="P85" s="145">
        <f t="shared" si="13"/>
        <v>0.83810413824810015</v>
      </c>
      <c r="Q85" s="145">
        <f t="shared" si="13"/>
        <v>0.67762207968518728</v>
      </c>
      <c r="R85" s="145">
        <f t="shared" si="13"/>
        <v>0</v>
      </c>
      <c r="S85" s="145">
        <f t="shared" si="13"/>
        <v>0</v>
      </c>
      <c r="T85" s="145">
        <f t="shared" si="13"/>
        <v>0</v>
      </c>
      <c r="U85" s="145">
        <f t="shared" si="13"/>
        <v>0</v>
      </c>
      <c r="V85" s="145">
        <f t="shared" si="13"/>
        <v>0</v>
      </c>
      <c r="W85" s="145">
        <f t="shared" si="13"/>
        <v>0</v>
      </c>
      <c r="X85" s="145">
        <f t="shared" si="13"/>
        <v>0</v>
      </c>
      <c r="Y85" s="145">
        <f t="shared" si="13"/>
        <v>0</v>
      </c>
    </row>
    <row r="87" spans="2:27" x14ac:dyDescent="0.3">
      <c r="C87" s="31" t="str">
        <f ca="1">INDEX('Version control'!$H$34:$H$57,MATCH($A$1,'Version control'!$F$34:$F$57,0),1)&amp;"-G: Calculation of correction factor"</f>
        <v>Section 105-G: Calculation of correction factor</v>
      </c>
      <c r="D87" s="31"/>
      <c r="E87" s="31"/>
      <c r="F87" s="31"/>
      <c r="G87" s="31"/>
      <c r="H87" s="31"/>
      <c r="I87" s="31"/>
      <c r="J87" s="31"/>
      <c r="K87" s="31"/>
      <c r="L87" s="31"/>
      <c r="M87" s="31"/>
      <c r="N87" s="31"/>
      <c r="O87" s="31"/>
      <c r="P87" s="31"/>
      <c r="Q87" s="31"/>
      <c r="R87" s="31"/>
      <c r="S87" s="31"/>
      <c r="T87" s="31"/>
      <c r="U87" s="31"/>
      <c r="V87" s="31"/>
      <c r="W87" s="31"/>
      <c r="X87" s="31"/>
      <c r="Y87" s="31"/>
      <c r="Z87" s="31"/>
      <c r="AA87" s="31"/>
    </row>
    <row r="89" spans="2:27" x14ac:dyDescent="0.3">
      <c r="E89" s="28" t="s">
        <v>472</v>
      </c>
      <c r="G89" s="28" t="s">
        <v>283</v>
      </c>
      <c r="J89" s="89">
        <f t="shared" ref="J89:Y89" si="14">IF(AND(J62 = 0, J63 = 0), 1, J63 / J62)</f>
        <v>1.8045224168828962</v>
      </c>
      <c r="K89" s="89">
        <f t="shared" si="14"/>
        <v>0</v>
      </c>
      <c r="L89" s="89">
        <f t="shared" si="14"/>
        <v>1.9611637803409459</v>
      </c>
      <c r="M89" s="89">
        <f t="shared" si="14"/>
        <v>0</v>
      </c>
      <c r="N89" s="89">
        <f t="shared" si="14"/>
        <v>1.6437845539770384</v>
      </c>
      <c r="O89" s="89">
        <f t="shared" si="14"/>
        <v>1.6751286584755001</v>
      </c>
      <c r="P89" s="89">
        <f t="shared" si="14"/>
        <v>1.2547949163175354</v>
      </c>
      <c r="Q89" s="89">
        <f t="shared" si="14"/>
        <v>1.3010672833460855</v>
      </c>
      <c r="R89" s="89">
        <f t="shared" si="14"/>
        <v>1</v>
      </c>
      <c r="S89" s="89">
        <f t="shared" si="14"/>
        <v>1</v>
      </c>
      <c r="T89" s="89">
        <f t="shared" si="14"/>
        <v>1</v>
      </c>
      <c r="U89" s="89">
        <f t="shared" si="14"/>
        <v>1</v>
      </c>
      <c r="V89" s="89">
        <f t="shared" si="14"/>
        <v>1</v>
      </c>
      <c r="W89" s="89">
        <f t="shared" si="14"/>
        <v>1</v>
      </c>
      <c r="X89" s="89">
        <f t="shared" si="14"/>
        <v>1</v>
      </c>
      <c r="Y89" s="89">
        <f t="shared" si="14"/>
        <v>1</v>
      </c>
    </row>
    <row r="90" spans="2:27" x14ac:dyDescent="0.3">
      <c r="D90" s="32"/>
      <c r="J90" s="120"/>
      <c r="K90" s="120"/>
      <c r="L90" s="120"/>
      <c r="M90" s="120"/>
      <c r="N90" s="120"/>
      <c r="O90" s="120"/>
      <c r="P90" s="120"/>
      <c r="Q90" s="120"/>
      <c r="R90" s="120"/>
      <c r="S90" s="120"/>
      <c r="T90" s="120"/>
      <c r="U90" s="120"/>
      <c r="V90" s="120"/>
      <c r="W90" s="120"/>
      <c r="X90" s="120"/>
      <c r="Y90" s="120"/>
    </row>
    <row r="91" spans="2:27" x14ac:dyDescent="0.3">
      <c r="E91" s="28" t="s">
        <v>856</v>
      </c>
      <c r="G91" s="28" t="s">
        <v>283</v>
      </c>
      <c r="I91" s="320" t="s">
        <v>154</v>
      </c>
      <c r="J91" s="89">
        <f>IF(AND(J83 = 0, J85 = 0), 1, J85 / J83)</f>
        <v>1.8009028622717524</v>
      </c>
      <c r="K91" s="89">
        <f t="shared" ref="K91:Y91" si="15">IF(AND(K83 = 0, K85 = 0), 1, K85 / K83)</f>
        <v>1.8009028622717524</v>
      </c>
      <c r="L91" s="89">
        <f t="shared" si="15"/>
        <v>1.9582918442356276</v>
      </c>
      <c r="M91" s="89">
        <f t="shared" si="15"/>
        <v>1.9582918442356276</v>
      </c>
      <c r="N91" s="89">
        <f>IF(AND(N83 = 0, N85 = 0), 1, N85 / N83)</f>
        <v>1.6437845539770384</v>
      </c>
      <c r="O91" s="89">
        <f t="shared" si="15"/>
        <v>1.6751286584755001</v>
      </c>
      <c r="P91" s="89">
        <f t="shared" si="15"/>
        <v>1.2547949163175354</v>
      </c>
      <c r="Q91" s="89">
        <f t="shared" si="15"/>
        <v>1.3010672833460855</v>
      </c>
      <c r="R91" s="89">
        <f t="shared" si="15"/>
        <v>1</v>
      </c>
      <c r="S91" s="89">
        <f t="shared" si="15"/>
        <v>1</v>
      </c>
      <c r="T91" s="89">
        <f t="shared" si="15"/>
        <v>1</v>
      </c>
      <c r="U91" s="89">
        <f t="shared" si="15"/>
        <v>1</v>
      </c>
      <c r="V91" s="89">
        <f t="shared" si="15"/>
        <v>1</v>
      </c>
      <c r="W91" s="89">
        <f t="shared" si="15"/>
        <v>1</v>
      </c>
      <c r="X91" s="89">
        <f t="shared" si="15"/>
        <v>1</v>
      </c>
      <c r="Y91" s="89">
        <f t="shared" si="15"/>
        <v>1</v>
      </c>
      <c r="Z91" s="89"/>
      <c r="AA91" s="320" t="s">
        <v>860</v>
      </c>
    </row>
    <row r="92" spans="2:27" x14ac:dyDescent="0.3">
      <c r="D92" s="32"/>
      <c r="J92" s="120"/>
      <c r="K92" s="120"/>
      <c r="L92" s="120"/>
      <c r="M92" s="120"/>
      <c r="N92" s="120"/>
      <c r="O92" s="120"/>
      <c r="P92" s="120"/>
      <c r="Q92" s="120"/>
      <c r="R92" s="120"/>
      <c r="S92" s="120"/>
      <c r="T92" s="120"/>
      <c r="U92" s="120"/>
      <c r="V92" s="120"/>
      <c r="W92" s="120"/>
      <c r="X92" s="120"/>
      <c r="Y92" s="120"/>
    </row>
    <row r="93" spans="2:27" x14ac:dyDescent="0.3">
      <c r="E93" s="28" t="s">
        <v>473</v>
      </c>
      <c r="G93" s="28" t="s">
        <v>283</v>
      </c>
      <c r="I93" t="s">
        <v>154</v>
      </c>
      <c r="J93" s="89">
        <f>IF(OR(J54 = 0, J85 = 0), 1, J91 / J54)</f>
        <v>1.432927321175085</v>
      </c>
      <c r="K93" s="89">
        <f t="shared" ref="K93:Y93" si="16">IF(OR(K54 = 0, K85 = 0), 1, K91 / K54)</f>
        <v>1.432927321175085</v>
      </c>
      <c r="L93" s="89">
        <f t="shared" si="16"/>
        <v>1.631246722996875</v>
      </c>
      <c r="M93" s="89">
        <f t="shared" si="16"/>
        <v>1.631246722996875</v>
      </c>
      <c r="N93" s="89">
        <f>IF(OR(N54 = 0, N85 = 0), 1, N91 / N54)</f>
        <v>1.312286643698497</v>
      </c>
      <c r="O93" s="89">
        <f t="shared" si="16"/>
        <v>0.9810046215968703</v>
      </c>
      <c r="P93" s="89">
        <f t="shared" si="16"/>
        <v>1.119694056202885</v>
      </c>
      <c r="Q93" s="89">
        <f t="shared" si="16"/>
        <v>0.97811986297595443</v>
      </c>
      <c r="R93" s="89">
        <f t="shared" si="16"/>
        <v>1</v>
      </c>
      <c r="S93" s="89">
        <f t="shared" si="16"/>
        <v>1</v>
      </c>
      <c r="T93" s="89">
        <f t="shared" si="16"/>
        <v>1</v>
      </c>
      <c r="U93" s="89">
        <f t="shared" si="16"/>
        <v>1</v>
      </c>
      <c r="V93" s="89">
        <f t="shared" si="16"/>
        <v>1</v>
      </c>
      <c r="W93" s="89">
        <f t="shared" si="16"/>
        <v>1</v>
      </c>
      <c r="X93" s="89">
        <f t="shared" si="16"/>
        <v>1</v>
      </c>
      <c r="Y93" s="89">
        <f t="shared" si="16"/>
        <v>1</v>
      </c>
      <c r="AA93" t="s">
        <v>474</v>
      </c>
    </row>
    <row r="94" spans="2:27" x14ac:dyDescent="0.3">
      <c r="F94" s="28"/>
      <c r="G94" s="28"/>
    </row>
    <row r="95" spans="2:27" x14ac:dyDescent="0.3">
      <c r="B95" s="30" t="s">
        <v>475</v>
      </c>
      <c r="C95" s="105"/>
      <c r="D95" s="104"/>
      <c r="E95" s="104"/>
      <c r="F95" s="105"/>
      <c r="G95" s="105"/>
      <c r="H95" s="105"/>
      <c r="I95" s="105"/>
      <c r="J95" s="105"/>
      <c r="K95" s="105"/>
      <c r="L95" s="105"/>
      <c r="M95" s="105"/>
      <c r="N95" s="105"/>
      <c r="O95" s="105"/>
      <c r="P95" s="105"/>
      <c r="Q95" s="105"/>
      <c r="R95" s="105"/>
      <c r="S95" s="105"/>
      <c r="T95" s="105"/>
      <c r="U95" s="105"/>
      <c r="V95" s="105"/>
      <c r="W95" s="105"/>
      <c r="X95" s="105"/>
      <c r="Y95" s="105"/>
      <c r="Z95" s="105"/>
      <c r="AA95" s="105"/>
    </row>
    <row r="97" spans="3:27" x14ac:dyDescent="0.3">
      <c r="C97" s="29" t="s">
        <v>477</v>
      </c>
      <c r="I97" t="s">
        <v>154</v>
      </c>
      <c r="AA97" t="s">
        <v>476</v>
      </c>
    </row>
    <row r="98" spans="3:27" x14ac:dyDescent="0.3">
      <c r="C98" s="29" t="s">
        <v>478</v>
      </c>
    </row>
    <row r="100" spans="3:27" x14ac:dyDescent="0.3">
      <c r="C100" s="31" t="str">
        <f ca="1">INDEX('Version control'!$H$34:$H$57,MATCH($A$1,'Version control'!$F$34:$F$57,0),1)&amp;"-H: Peaking probabilities, by network level"</f>
        <v>Section 105-H: Peaking probabilities, by network level</v>
      </c>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row>
    <row r="102" spans="3:27" x14ac:dyDescent="0.3">
      <c r="E102" s="32" t="s">
        <v>479</v>
      </c>
      <c r="G102" s="28"/>
    </row>
    <row r="103" spans="3:27" x14ac:dyDescent="0.3">
      <c r="F103" s="78" t="s">
        <v>294</v>
      </c>
      <c r="G103" s="64" t="s">
        <v>167</v>
      </c>
      <c r="H103" s="107">
        <f>'Inputs by network level'!K40</f>
        <v>0.67962169758696023</v>
      </c>
    </row>
    <row r="104" spans="3:27" x14ac:dyDescent="0.3">
      <c r="F104" s="72" t="s">
        <v>295</v>
      </c>
      <c r="G104" s="28" t="s">
        <v>167</v>
      </c>
      <c r="H104" s="25">
        <f>'Inputs by network level'!K41</f>
        <v>0.32037830241303972</v>
      </c>
    </row>
    <row r="105" spans="3:27" x14ac:dyDescent="0.3">
      <c r="F105" s="80" t="s">
        <v>257</v>
      </c>
      <c r="G105" s="67" t="s">
        <v>167</v>
      </c>
      <c r="H105" s="141">
        <f>'Inputs by network level'!K42</f>
        <v>0</v>
      </c>
    </row>
    <row r="106" spans="3:27" x14ac:dyDescent="0.3">
      <c r="F106" s="78" t="s">
        <v>296</v>
      </c>
      <c r="G106" s="64" t="s">
        <v>167</v>
      </c>
      <c r="H106" s="107">
        <f>'Inputs by network level'!K43</f>
        <v>0.52112302627959961</v>
      </c>
    </row>
    <row r="107" spans="3:27" x14ac:dyDescent="0.3">
      <c r="F107" s="72" t="s">
        <v>305</v>
      </c>
      <c r="G107" s="28" t="s">
        <v>167</v>
      </c>
      <c r="H107" s="156">
        <f>SUM(H103:H104) - H106</f>
        <v>0.47887697372040039</v>
      </c>
    </row>
    <row r="108" spans="3:27" x14ac:dyDescent="0.3">
      <c r="F108" s="80" t="s">
        <v>257</v>
      </c>
      <c r="G108" s="67" t="s">
        <v>167</v>
      </c>
      <c r="H108" s="157">
        <f>H105</f>
        <v>0</v>
      </c>
    </row>
    <row r="109" spans="3:27" x14ac:dyDescent="0.3">
      <c r="F109" s="29"/>
      <c r="G109" s="28"/>
    </row>
    <row r="110" spans="3:27" x14ac:dyDescent="0.3">
      <c r="E110" s="32" t="s">
        <v>480</v>
      </c>
      <c r="G110" s="28"/>
    </row>
    <row r="111" spans="3:27" x14ac:dyDescent="0.3">
      <c r="F111" s="78" t="s">
        <v>465</v>
      </c>
      <c r="G111" s="64" t="s">
        <v>167</v>
      </c>
      <c r="H111" s="107">
        <f>'Inputs by network level'!L40</f>
        <v>0.57259913549562458</v>
      </c>
    </row>
    <row r="112" spans="3:27" x14ac:dyDescent="0.3">
      <c r="F112" s="72" t="s">
        <v>466</v>
      </c>
      <c r="G112" s="28" t="s">
        <v>167</v>
      </c>
      <c r="H112" s="25">
        <f>'Inputs by network level'!L41</f>
        <v>0.39711140438484333</v>
      </c>
    </row>
    <row r="113" spans="5:8" x14ac:dyDescent="0.3">
      <c r="F113" s="80" t="s">
        <v>257</v>
      </c>
      <c r="G113" s="67" t="s">
        <v>167</v>
      </c>
      <c r="H113" s="141">
        <f>'Inputs by network level'!L42</f>
        <v>3.0289460119532003E-2</v>
      </c>
    </row>
    <row r="114" spans="5:8" x14ac:dyDescent="0.3">
      <c r="F114" s="78" t="s">
        <v>296</v>
      </c>
      <c r="G114" s="64" t="s">
        <v>167</v>
      </c>
      <c r="H114" s="107">
        <f>'Inputs by network level'!L43</f>
        <v>0.55851896623370301</v>
      </c>
    </row>
    <row r="115" spans="5:8" x14ac:dyDescent="0.3">
      <c r="F115" s="72" t="s">
        <v>305</v>
      </c>
      <c r="G115" s="28" t="s">
        <v>167</v>
      </c>
      <c r="H115" s="156">
        <f>SUM(H111:H112) - H114</f>
        <v>0.41119157364676495</v>
      </c>
    </row>
    <row r="116" spans="5:8" x14ac:dyDescent="0.3">
      <c r="F116" s="80" t="s">
        <v>257</v>
      </c>
      <c r="G116" s="67" t="s">
        <v>167</v>
      </c>
      <c r="H116" s="157">
        <f>H113</f>
        <v>3.0289460119532003E-2</v>
      </c>
    </row>
    <row r="117" spans="5:8" x14ac:dyDescent="0.3">
      <c r="F117" s="29"/>
      <c r="G117" s="28"/>
    </row>
    <row r="118" spans="5:8" x14ac:dyDescent="0.3">
      <c r="E118" s="32" t="s">
        <v>481</v>
      </c>
      <c r="G118" s="28"/>
    </row>
    <row r="119" spans="5:8" x14ac:dyDescent="0.3">
      <c r="F119" s="78" t="s">
        <v>465</v>
      </c>
      <c r="G119" s="64" t="s">
        <v>167</v>
      </c>
      <c r="H119" s="107">
        <f>'Inputs by network level'!M40</f>
        <v>0.57259913549562458</v>
      </c>
    </row>
    <row r="120" spans="5:8" x14ac:dyDescent="0.3">
      <c r="F120" s="72" t="s">
        <v>466</v>
      </c>
      <c r="G120" s="28" t="s">
        <v>167</v>
      </c>
      <c r="H120" s="25">
        <f>'Inputs by network level'!M41</f>
        <v>0.39711140438484333</v>
      </c>
    </row>
    <row r="121" spans="5:8" x14ac:dyDescent="0.3">
      <c r="F121" s="80" t="s">
        <v>257</v>
      </c>
      <c r="G121" s="67" t="s">
        <v>167</v>
      </c>
      <c r="H121" s="141">
        <f>'Inputs by network level'!M42</f>
        <v>3.0289460119532003E-2</v>
      </c>
    </row>
    <row r="122" spans="5:8" x14ac:dyDescent="0.3">
      <c r="F122" s="78" t="s">
        <v>296</v>
      </c>
      <c r="G122" s="64" t="s">
        <v>167</v>
      </c>
      <c r="H122" s="107">
        <f>'Inputs by network level'!M43</f>
        <v>0.55851896623370301</v>
      </c>
    </row>
    <row r="123" spans="5:8" x14ac:dyDescent="0.3">
      <c r="F123" s="72" t="s">
        <v>305</v>
      </c>
      <c r="G123" s="28" t="s">
        <v>167</v>
      </c>
      <c r="H123" s="156">
        <f>SUM(H119:H120) - H122</f>
        <v>0.41119157364676495</v>
      </c>
    </row>
    <row r="124" spans="5:8" x14ac:dyDescent="0.3">
      <c r="F124" s="80" t="s">
        <v>257</v>
      </c>
      <c r="G124" s="67" t="s">
        <v>167</v>
      </c>
      <c r="H124" s="157">
        <f>H121</f>
        <v>3.0289460119532003E-2</v>
      </c>
    </row>
    <row r="125" spans="5:8" x14ac:dyDescent="0.3">
      <c r="F125" s="29"/>
      <c r="G125" s="28"/>
    </row>
    <row r="126" spans="5:8" x14ac:dyDescent="0.3">
      <c r="E126" s="32" t="s">
        <v>482</v>
      </c>
      <c r="G126" s="28"/>
    </row>
    <row r="127" spans="5:8" x14ac:dyDescent="0.3">
      <c r="F127" s="78" t="s">
        <v>465</v>
      </c>
      <c r="G127" s="64" t="s">
        <v>167</v>
      </c>
      <c r="H127" s="107">
        <f>'Inputs by network level'!N40</f>
        <v>0.61149906551342081</v>
      </c>
    </row>
    <row r="128" spans="5:8" x14ac:dyDescent="0.3">
      <c r="F128" s="72" t="s">
        <v>466</v>
      </c>
      <c r="G128" s="28" t="s">
        <v>167</v>
      </c>
      <c r="H128" s="25">
        <f>'Inputs by network level'!N41</f>
        <v>0.30834923604054471</v>
      </c>
    </row>
    <row r="129" spans="5:8" x14ac:dyDescent="0.3">
      <c r="F129" s="80" t="s">
        <v>257</v>
      </c>
      <c r="G129" s="67" t="s">
        <v>167</v>
      </c>
      <c r="H129" s="141">
        <f>'Inputs by network level'!N42</f>
        <v>8.0151698446034286E-2</v>
      </c>
    </row>
    <row r="130" spans="5:8" x14ac:dyDescent="0.3">
      <c r="F130" s="78" t="s">
        <v>296</v>
      </c>
      <c r="G130" s="64" t="s">
        <v>167</v>
      </c>
      <c r="H130" s="107">
        <f>'Inputs by network level'!N43</f>
        <v>0.60075573288312512</v>
      </c>
    </row>
    <row r="131" spans="5:8" x14ac:dyDescent="0.3">
      <c r="F131" s="72" t="s">
        <v>305</v>
      </c>
      <c r="G131" s="28" t="s">
        <v>167</v>
      </c>
      <c r="H131" s="156">
        <f>SUM(H127:H128) - H130</f>
        <v>0.31909256867084046</v>
      </c>
    </row>
    <row r="132" spans="5:8" x14ac:dyDescent="0.3">
      <c r="F132" s="80" t="s">
        <v>257</v>
      </c>
      <c r="G132" s="67" t="s">
        <v>167</v>
      </c>
      <c r="H132" s="157">
        <f>H129</f>
        <v>8.0151698446034286E-2</v>
      </c>
    </row>
    <row r="133" spans="5:8" x14ac:dyDescent="0.3">
      <c r="F133" s="29"/>
      <c r="G133" s="28"/>
    </row>
    <row r="134" spans="5:8" x14ac:dyDescent="0.3">
      <c r="E134" s="32" t="s">
        <v>483</v>
      </c>
      <c r="G134" s="28"/>
    </row>
    <row r="135" spans="5:8" x14ac:dyDescent="0.3">
      <c r="F135" s="78" t="s">
        <v>465</v>
      </c>
      <c r="G135" s="64" t="s">
        <v>167</v>
      </c>
      <c r="H135" s="107">
        <f>'Inputs by network level'!O40</f>
        <v>0.61149906551342081</v>
      </c>
    </row>
    <row r="136" spans="5:8" x14ac:dyDescent="0.3">
      <c r="F136" s="72" t="s">
        <v>466</v>
      </c>
      <c r="G136" s="28" t="s">
        <v>167</v>
      </c>
      <c r="H136" s="25">
        <f>'Inputs by network level'!O41</f>
        <v>0.30834923604054471</v>
      </c>
    </row>
    <row r="137" spans="5:8" x14ac:dyDescent="0.3">
      <c r="F137" s="80" t="s">
        <v>257</v>
      </c>
      <c r="G137" s="67" t="s">
        <v>167</v>
      </c>
      <c r="H137" s="141">
        <f>'Inputs by network level'!O42</f>
        <v>8.0151698446034286E-2</v>
      </c>
    </row>
    <row r="138" spans="5:8" x14ac:dyDescent="0.3">
      <c r="F138" s="78" t="s">
        <v>296</v>
      </c>
      <c r="G138" s="64" t="s">
        <v>167</v>
      </c>
      <c r="H138" s="107">
        <f>'Inputs by network level'!O43</f>
        <v>0.60075573288312512</v>
      </c>
    </row>
    <row r="139" spans="5:8" x14ac:dyDescent="0.3">
      <c r="F139" s="72" t="s">
        <v>305</v>
      </c>
      <c r="G139" s="28" t="s">
        <v>167</v>
      </c>
      <c r="H139" s="156">
        <f>SUM(H135:H136) - H138</f>
        <v>0.31909256867084046</v>
      </c>
    </row>
    <row r="140" spans="5:8" x14ac:dyDescent="0.3">
      <c r="F140" s="80" t="s">
        <v>257</v>
      </c>
      <c r="G140" s="67" t="s">
        <v>167</v>
      </c>
      <c r="H140" s="157">
        <f>H137</f>
        <v>8.0151698446034286E-2</v>
      </c>
    </row>
    <row r="141" spans="5:8" x14ac:dyDescent="0.3">
      <c r="F141" s="29"/>
      <c r="G141" s="28"/>
    </row>
    <row r="142" spans="5:8" x14ac:dyDescent="0.3">
      <c r="E142" s="32" t="s">
        <v>484</v>
      </c>
      <c r="G142" s="28"/>
    </row>
    <row r="143" spans="5:8" x14ac:dyDescent="0.3">
      <c r="F143" s="78" t="s">
        <v>465</v>
      </c>
      <c r="G143" s="64" t="s">
        <v>167</v>
      </c>
      <c r="H143" s="107">
        <f>'Inputs by network level'!P40</f>
        <v>0.57259913549562458</v>
      </c>
    </row>
    <row r="144" spans="5:8" x14ac:dyDescent="0.3">
      <c r="F144" s="72" t="s">
        <v>466</v>
      </c>
      <c r="G144" s="28" t="s">
        <v>167</v>
      </c>
      <c r="H144" s="25">
        <f>'Inputs by network level'!P41</f>
        <v>0.39711140438484333</v>
      </c>
    </row>
    <row r="145" spans="5:8" x14ac:dyDescent="0.3">
      <c r="F145" s="80" t="s">
        <v>257</v>
      </c>
      <c r="G145" s="67" t="s">
        <v>167</v>
      </c>
      <c r="H145" s="141">
        <f>'Inputs by network level'!P42</f>
        <v>3.0289460119532003E-2</v>
      </c>
    </row>
    <row r="146" spans="5:8" x14ac:dyDescent="0.3">
      <c r="F146" s="78" t="s">
        <v>296</v>
      </c>
      <c r="G146" s="64" t="s">
        <v>167</v>
      </c>
      <c r="H146" s="107">
        <f>'Inputs by network level'!P43</f>
        <v>0.55851896623370301</v>
      </c>
    </row>
    <row r="147" spans="5:8" x14ac:dyDescent="0.3">
      <c r="F147" s="72" t="s">
        <v>305</v>
      </c>
      <c r="G147" s="28" t="s">
        <v>167</v>
      </c>
      <c r="H147" s="156">
        <f>SUM(H143:H144) - H146</f>
        <v>0.41119157364676495</v>
      </c>
    </row>
    <row r="148" spans="5:8" x14ac:dyDescent="0.3">
      <c r="F148" s="80" t="s">
        <v>257</v>
      </c>
      <c r="G148" s="67" t="s">
        <v>167</v>
      </c>
      <c r="H148" s="157">
        <f>H145</f>
        <v>3.0289460119532003E-2</v>
      </c>
    </row>
    <row r="149" spans="5:8" x14ac:dyDescent="0.3">
      <c r="F149" s="29"/>
      <c r="G149" s="28"/>
    </row>
    <row r="150" spans="5:8" x14ac:dyDescent="0.3">
      <c r="E150" s="32" t="s">
        <v>485</v>
      </c>
      <c r="G150" s="28"/>
    </row>
    <row r="151" spans="5:8" x14ac:dyDescent="0.3">
      <c r="F151" s="78" t="s">
        <v>465</v>
      </c>
      <c r="G151" s="64" t="s">
        <v>167</v>
      </c>
      <c r="H151" s="107">
        <f>'Inputs by network level'!Q40</f>
        <v>0.61149906551342081</v>
      </c>
    </row>
    <row r="152" spans="5:8" x14ac:dyDescent="0.3">
      <c r="F152" s="72" t="s">
        <v>466</v>
      </c>
      <c r="G152" s="28" t="s">
        <v>167</v>
      </c>
      <c r="H152" s="25">
        <f>'Inputs by network level'!Q41</f>
        <v>0.30834923604054471</v>
      </c>
    </row>
    <row r="153" spans="5:8" x14ac:dyDescent="0.3">
      <c r="F153" s="80" t="s">
        <v>257</v>
      </c>
      <c r="G153" s="67" t="s">
        <v>167</v>
      </c>
      <c r="H153" s="141">
        <f>'Inputs by network level'!Q42</f>
        <v>8.0151698446034286E-2</v>
      </c>
    </row>
    <row r="154" spans="5:8" x14ac:dyDescent="0.3">
      <c r="F154" s="78" t="s">
        <v>296</v>
      </c>
      <c r="G154" s="64" t="s">
        <v>167</v>
      </c>
      <c r="H154" s="107">
        <f>'Inputs by network level'!Q43</f>
        <v>0.60075573288312512</v>
      </c>
    </row>
    <row r="155" spans="5:8" x14ac:dyDescent="0.3">
      <c r="F155" s="72" t="s">
        <v>305</v>
      </c>
      <c r="G155" s="28" t="s">
        <v>167</v>
      </c>
      <c r="H155" s="156">
        <f>SUM(H151:H152) - H154</f>
        <v>0.31909256867084046</v>
      </c>
    </row>
    <row r="156" spans="5:8" x14ac:dyDescent="0.3">
      <c r="F156" s="80" t="s">
        <v>257</v>
      </c>
      <c r="G156" s="67" t="s">
        <v>167</v>
      </c>
      <c r="H156" s="157">
        <f>H153</f>
        <v>8.0151698446034286E-2</v>
      </c>
    </row>
    <row r="157" spans="5:8" x14ac:dyDescent="0.3">
      <c r="F157" s="29"/>
      <c r="G157" s="28"/>
    </row>
    <row r="158" spans="5:8" x14ac:dyDescent="0.3">
      <c r="E158" s="32" t="s">
        <v>486</v>
      </c>
      <c r="G158" s="28"/>
    </row>
    <row r="159" spans="5:8" x14ac:dyDescent="0.3">
      <c r="F159" s="78" t="s">
        <v>465</v>
      </c>
      <c r="G159" s="64" t="s">
        <v>167</v>
      </c>
      <c r="H159" s="107">
        <f>'Inputs by network level'!R40</f>
        <v>0.61149906551342081</v>
      </c>
    </row>
    <row r="160" spans="5:8" x14ac:dyDescent="0.3">
      <c r="F160" s="72" t="s">
        <v>466</v>
      </c>
      <c r="G160" s="28" t="s">
        <v>167</v>
      </c>
      <c r="H160" s="25">
        <f>'Inputs by network level'!R41</f>
        <v>0.30834923604054471</v>
      </c>
    </row>
    <row r="161" spans="3:27" x14ac:dyDescent="0.3">
      <c r="F161" s="80" t="s">
        <v>257</v>
      </c>
      <c r="G161" s="67" t="s">
        <v>167</v>
      </c>
      <c r="H161" s="141">
        <f>'Inputs by network level'!R42</f>
        <v>8.0151698446034286E-2</v>
      </c>
    </row>
    <row r="162" spans="3:27" x14ac:dyDescent="0.3">
      <c r="F162" s="78" t="s">
        <v>296</v>
      </c>
      <c r="G162" s="64" t="s">
        <v>167</v>
      </c>
      <c r="H162" s="107">
        <f>'Inputs by network level'!R43</f>
        <v>0.60075573288312512</v>
      </c>
    </row>
    <row r="163" spans="3:27" x14ac:dyDescent="0.3">
      <c r="F163" s="72" t="s">
        <v>305</v>
      </c>
      <c r="G163" s="28" t="s">
        <v>167</v>
      </c>
      <c r="H163" s="156">
        <f>SUM(H159:H160) - H162</f>
        <v>0.31909256867084046</v>
      </c>
    </row>
    <row r="164" spans="3:27" x14ac:dyDescent="0.3">
      <c r="F164" s="80" t="s">
        <v>257</v>
      </c>
      <c r="G164" s="67" t="s">
        <v>167</v>
      </c>
      <c r="H164" s="157">
        <f>H161</f>
        <v>8.0151698446034286E-2</v>
      </c>
    </row>
    <row r="165" spans="3:27" x14ac:dyDescent="0.3">
      <c r="F165" s="29"/>
      <c r="G165" s="28"/>
    </row>
    <row r="166" spans="3:27" x14ac:dyDescent="0.3">
      <c r="E166" s="32" t="s">
        <v>487</v>
      </c>
      <c r="G166" s="28"/>
    </row>
    <row r="167" spans="3:27" x14ac:dyDescent="0.3">
      <c r="F167" s="78" t="s">
        <v>465</v>
      </c>
      <c r="G167" s="64" t="s">
        <v>167</v>
      </c>
      <c r="H167" s="107">
        <f>'Inputs by network level'!S40</f>
        <v>0.61149906551342081</v>
      </c>
    </row>
    <row r="168" spans="3:27" x14ac:dyDescent="0.3">
      <c r="F168" s="72" t="s">
        <v>466</v>
      </c>
      <c r="G168" s="28" t="s">
        <v>167</v>
      </c>
      <c r="H168" s="25">
        <f>'Inputs by network level'!S41</f>
        <v>0.30834923604054471</v>
      </c>
    </row>
    <row r="169" spans="3:27" x14ac:dyDescent="0.3">
      <c r="F169" s="80" t="s">
        <v>257</v>
      </c>
      <c r="G169" s="67" t="s">
        <v>167</v>
      </c>
      <c r="H169" s="141">
        <f>'Inputs by network level'!S42</f>
        <v>8.0151698446034286E-2</v>
      </c>
    </row>
    <row r="170" spans="3:27" x14ac:dyDescent="0.3">
      <c r="F170" s="78" t="s">
        <v>296</v>
      </c>
      <c r="G170" s="64" t="s">
        <v>167</v>
      </c>
      <c r="H170" s="107">
        <f>'Inputs by network level'!S43</f>
        <v>0.60075573288312512</v>
      </c>
    </row>
    <row r="171" spans="3:27" x14ac:dyDescent="0.3">
      <c r="F171" s="72" t="s">
        <v>305</v>
      </c>
      <c r="G171" s="28" t="s">
        <v>167</v>
      </c>
      <c r="H171" s="156">
        <f>SUM(H167:H168) - H170</f>
        <v>0.31909256867084046</v>
      </c>
    </row>
    <row r="172" spans="3:27" x14ac:dyDescent="0.3">
      <c r="F172" s="80" t="s">
        <v>257</v>
      </c>
      <c r="G172" s="67" t="s">
        <v>167</v>
      </c>
      <c r="H172" s="157">
        <f>H169</f>
        <v>8.0151698446034286E-2</v>
      </c>
    </row>
    <row r="173" spans="3:27" x14ac:dyDescent="0.3">
      <c r="E173" s="29"/>
      <c r="F173" s="28"/>
      <c r="G173" s="28"/>
    </row>
    <row r="174" spans="3:27" x14ac:dyDescent="0.3">
      <c r="C174" s="31" t="str">
        <f ca="1">INDEX('Version control'!$H$34:$H$57,MATCH($A$1,'Version control'!$F$34:$F$57,0),1)&amp;"-I: Peaking probabilities, by network level and customer type"</f>
        <v>Section 105-I: Peaking probabilities, by network level and customer type</v>
      </c>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row>
    <row r="176" spans="3:27" x14ac:dyDescent="0.3">
      <c r="E176" s="32" t="s">
        <v>479</v>
      </c>
      <c r="G176" s="28"/>
    </row>
    <row r="177" spans="5:25" x14ac:dyDescent="0.3">
      <c r="E177" s="29"/>
      <c r="F177" s="78" t="s">
        <v>465</v>
      </c>
      <c r="G177" s="64" t="s">
        <v>167</v>
      </c>
      <c r="H177" s="107"/>
      <c r="I177" s="23"/>
      <c r="J177" s="154">
        <f t="shared" ref="J177:K177" si="17">IF(J$20, $H106, $H103)</f>
        <v>0.67962169758696023</v>
      </c>
      <c r="K177" s="154">
        <f t="shared" si="17"/>
        <v>0.67962169758696023</v>
      </c>
      <c r="L177" s="154">
        <f t="shared" ref="L177:M177" si="18">IF(L$20, $H106, $H103)</f>
        <v>0.67962169758696023</v>
      </c>
      <c r="M177" s="154">
        <f t="shared" si="18"/>
        <v>0.67962169758696023</v>
      </c>
      <c r="N177" s="154">
        <f t="shared" ref="N177:P177" si="19">IF(N$20, $H106, $H103)</f>
        <v>0.67962169758696023</v>
      </c>
      <c r="O177" s="154">
        <f t="shared" si="19"/>
        <v>0.67962169758696023</v>
      </c>
      <c r="P177" s="154">
        <f t="shared" si="19"/>
        <v>0.67962169758696023</v>
      </c>
      <c r="Q177" s="154">
        <f t="shared" ref="Q177:S177" si="20">IF(Q$20, $H106, $H103)</f>
        <v>0.52112302627959961</v>
      </c>
      <c r="R177" s="154">
        <f t="shared" si="20"/>
        <v>0.67962169758696023</v>
      </c>
      <c r="S177" s="154">
        <f t="shared" si="20"/>
        <v>0.67962169758696023</v>
      </c>
      <c r="T177" s="154">
        <f t="shared" ref="T177:U177" si="21">IF(T$20, $H106, $H103)</f>
        <v>0.67962169758696023</v>
      </c>
      <c r="U177" s="154">
        <f t="shared" si="21"/>
        <v>0.67962169758696023</v>
      </c>
      <c r="V177" s="154">
        <f t="shared" ref="V177:W177" si="22">IF(V$20, $H106, $H103)</f>
        <v>0.67962169758696023</v>
      </c>
      <c r="W177" s="154">
        <f t="shared" si="22"/>
        <v>0.67962169758696023</v>
      </c>
      <c r="X177" s="154">
        <f t="shared" ref="X177:Y177" si="23">IF(X$20, $H106, $H103)</f>
        <v>0.67962169758696023</v>
      </c>
      <c r="Y177" s="154">
        <f t="shared" si="23"/>
        <v>0.67962169758696023</v>
      </c>
    </row>
    <row r="178" spans="5:25" x14ac:dyDescent="0.3">
      <c r="E178" s="29"/>
      <c r="F178" s="72" t="s">
        <v>466</v>
      </c>
      <c r="G178" s="28" t="s">
        <v>167</v>
      </c>
      <c r="H178" s="25"/>
      <c r="J178" s="145">
        <f t="shared" ref="J178:K178" si="24">IF(J$20, $H107, $H104)</f>
        <v>0.32037830241303972</v>
      </c>
      <c r="K178" s="145">
        <f t="shared" si="24"/>
        <v>0.32037830241303972</v>
      </c>
      <c r="L178" s="145">
        <f t="shared" ref="L178:M178" si="25">IF(L$20, $H107, $H104)</f>
        <v>0.32037830241303972</v>
      </c>
      <c r="M178" s="145">
        <f t="shared" si="25"/>
        <v>0.32037830241303972</v>
      </c>
      <c r="N178" s="145">
        <f t="shared" ref="N178:P178" si="26">IF(N$20, $H107, $H104)</f>
        <v>0.32037830241303972</v>
      </c>
      <c r="O178" s="145">
        <f t="shared" si="26"/>
        <v>0.32037830241303972</v>
      </c>
      <c r="P178" s="145">
        <f t="shared" si="26"/>
        <v>0.32037830241303972</v>
      </c>
      <c r="Q178" s="145">
        <f t="shared" ref="Q178:S178" si="27">IF(Q$20, $H107, $H104)</f>
        <v>0.47887697372040039</v>
      </c>
      <c r="R178" s="145">
        <f t="shared" si="27"/>
        <v>0.32037830241303972</v>
      </c>
      <c r="S178" s="145">
        <f t="shared" si="27"/>
        <v>0.32037830241303972</v>
      </c>
      <c r="T178" s="145">
        <f t="shared" ref="T178:U178" si="28">IF(T$20, $H107, $H104)</f>
        <v>0.32037830241303972</v>
      </c>
      <c r="U178" s="145">
        <f t="shared" si="28"/>
        <v>0.32037830241303972</v>
      </c>
      <c r="V178" s="145">
        <f t="shared" ref="V178:W178" si="29">IF(V$20, $H107, $H104)</f>
        <v>0.32037830241303972</v>
      </c>
      <c r="W178" s="145">
        <f t="shared" si="29"/>
        <v>0.32037830241303972</v>
      </c>
      <c r="X178" s="145">
        <f t="shared" ref="X178:Y178" si="30">IF(X$20, $H107, $H104)</f>
        <v>0.32037830241303972</v>
      </c>
      <c r="Y178" s="145">
        <f t="shared" si="30"/>
        <v>0.32037830241303972</v>
      </c>
    </row>
    <row r="179" spans="5:25" x14ac:dyDescent="0.3">
      <c r="E179" s="29"/>
      <c r="F179" s="80" t="s">
        <v>257</v>
      </c>
      <c r="G179" s="67" t="s">
        <v>167</v>
      </c>
      <c r="H179" s="141"/>
      <c r="I179" s="37"/>
      <c r="J179" s="155">
        <f t="shared" ref="J179:K179" si="31">IF(J$20, $H108, $H105)</f>
        <v>0</v>
      </c>
      <c r="K179" s="155">
        <f t="shared" si="31"/>
        <v>0</v>
      </c>
      <c r="L179" s="155">
        <f t="shared" ref="L179:M179" si="32">IF(L$20, $H108, $H105)</f>
        <v>0</v>
      </c>
      <c r="M179" s="155">
        <f t="shared" si="32"/>
        <v>0</v>
      </c>
      <c r="N179" s="155">
        <f t="shared" ref="N179:P179" si="33">IF(N$20, $H108, $H105)</f>
        <v>0</v>
      </c>
      <c r="O179" s="155">
        <f t="shared" si="33"/>
        <v>0</v>
      </c>
      <c r="P179" s="155">
        <f t="shared" si="33"/>
        <v>0</v>
      </c>
      <c r="Q179" s="155">
        <f t="shared" ref="Q179:S179" si="34">IF(Q$20, $H108, $H105)</f>
        <v>0</v>
      </c>
      <c r="R179" s="155">
        <f t="shared" si="34"/>
        <v>0</v>
      </c>
      <c r="S179" s="155">
        <f t="shared" si="34"/>
        <v>0</v>
      </c>
      <c r="T179" s="155">
        <f t="shared" ref="T179:U179" si="35">IF(T$20, $H108, $H105)</f>
        <v>0</v>
      </c>
      <c r="U179" s="155">
        <f t="shared" si="35"/>
        <v>0</v>
      </c>
      <c r="V179" s="155">
        <f t="shared" ref="V179:W179" si="36">IF(V$20, $H108, $H105)</f>
        <v>0</v>
      </c>
      <c r="W179" s="155">
        <f t="shared" si="36"/>
        <v>0</v>
      </c>
      <c r="X179" s="155">
        <f t="shared" ref="X179:Y179" si="37">IF(X$20, $H108, $H105)</f>
        <v>0</v>
      </c>
      <c r="Y179" s="155">
        <f t="shared" si="37"/>
        <v>0</v>
      </c>
    </row>
    <row r="180" spans="5:25" x14ac:dyDescent="0.3">
      <c r="E180" s="29"/>
      <c r="F180" s="72"/>
      <c r="G180" s="28"/>
      <c r="H180" s="25"/>
      <c r="J180" s="145"/>
      <c r="K180" s="145"/>
      <c r="L180" s="145"/>
      <c r="M180" s="145"/>
      <c r="N180" s="145"/>
      <c r="O180" s="145"/>
      <c r="P180" s="145"/>
      <c r="Q180" s="145"/>
      <c r="R180" s="145"/>
      <c r="S180" s="145"/>
      <c r="T180" s="145"/>
      <c r="U180" s="145"/>
      <c r="V180" s="145"/>
      <c r="W180" s="145"/>
      <c r="X180" s="145"/>
      <c r="Y180" s="145"/>
    </row>
    <row r="181" spans="5:25" x14ac:dyDescent="0.3">
      <c r="E181" s="32" t="s">
        <v>480</v>
      </c>
      <c r="G181" s="28"/>
    </row>
    <row r="182" spans="5:25" x14ac:dyDescent="0.3">
      <c r="E182" s="29"/>
      <c r="F182" s="78" t="s">
        <v>465</v>
      </c>
      <c r="G182" s="64" t="s">
        <v>167</v>
      </c>
      <c r="H182" s="107"/>
      <c r="I182" s="23"/>
      <c r="J182" s="154">
        <f t="shared" ref="J182:K182" si="38">IF(J$20, $H114, $H111)</f>
        <v>0.57259913549562458</v>
      </c>
      <c r="K182" s="154">
        <f t="shared" si="38"/>
        <v>0.57259913549562458</v>
      </c>
      <c r="L182" s="154">
        <f t="shared" ref="L182:M182" si="39">IF(L$20, $H114, $H111)</f>
        <v>0.57259913549562458</v>
      </c>
      <c r="M182" s="154">
        <f t="shared" si="39"/>
        <v>0.57259913549562458</v>
      </c>
      <c r="N182" s="154">
        <f t="shared" ref="N182:P182" si="40">IF(N$20, $H114, $H111)</f>
        <v>0.57259913549562458</v>
      </c>
      <c r="O182" s="154">
        <f t="shared" si="40"/>
        <v>0.57259913549562458</v>
      </c>
      <c r="P182" s="154">
        <f t="shared" si="40"/>
        <v>0.57259913549562458</v>
      </c>
      <c r="Q182" s="154">
        <f t="shared" ref="Q182:S182" si="41">IF(Q$20, $H114, $H111)</f>
        <v>0.55851896623370301</v>
      </c>
      <c r="R182" s="154">
        <f t="shared" si="41"/>
        <v>0.57259913549562458</v>
      </c>
      <c r="S182" s="154">
        <f t="shared" si="41"/>
        <v>0.57259913549562458</v>
      </c>
      <c r="T182" s="154">
        <f t="shared" ref="T182:U182" si="42">IF(T$20, $H114, $H111)</f>
        <v>0.57259913549562458</v>
      </c>
      <c r="U182" s="154">
        <f t="shared" si="42"/>
        <v>0.57259913549562458</v>
      </c>
      <c r="V182" s="154">
        <f t="shared" ref="V182:W182" si="43">IF(V$20, $H114, $H111)</f>
        <v>0.57259913549562458</v>
      </c>
      <c r="W182" s="154">
        <f t="shared" si="43"/>
        <v>0.57259913549562458</v>
      </c>
      <c r="X182" s="154">
        <f t="shared" ref="X182:Y182" si="44">IF(X$20, $H114, $H111)</f>
        <v>0.57259913549562458</v>
      </c>
      <c r="Y182" s="154">
        <f t="shared" si="44"/>
        <v>0.57259913549562458</v>
      </c>
    </row>
    <row r="183" spans="5:25" x14ac:dyDescent="0.3">
      <c r="E183" s="29"/>
      <c r="F183" s="72" t="s">
        <v>466</v>
      </c>
      <c r="G183" s="28" t="s">
        <v>167</v>
      </c>
      <c r="H183" s="25"/>
      <c r="J183" s="145">
        <f t="shared" ref="J183:K183" si="45">IF(J$20, $H115, $H112)</f>
        <v>0.39711140438484333</v>
      </c>
      <c r="K183" s="145">
        <f t="shared" si="45"/>
        <v>0.39711140438484333</v>
      </c>
      <c r="L183" s="145">
        <f t="shared" ref="L183:M183" si="46">IF(L$20, $H115, $H112)</f>
        <v>0.39711140438484333</v>
      </c>
      <c r="M183" s="145">
        <f t="shared" si="46"/>
        <v>0.39711140438484333</v>
      </c>
      <c r="N183" s="145">
        <f t="shared" ref="N183:P183" si="47">IF(N$20, $H115, $H112)</f>
        <v>0.39711140438484333</v>
      </c>
      <c r="O183" s="145">
        <f t="shared" si="47"/>
        <v>0.39711140438484333</v>
      </c>
      <c r="P183" s="145">
        <f t="shared" si="47"/>
        <v>0.39711140438484333</v>
      </c>
      <c r="Q183" s="145">
        <f t="shared" ref="Q183:S183" si="48">IF(Q$20, $H115, $H112)</f>
        <v>0.41119157364676495</v>
      </c>
      <c r="R183" s="145">
        <f t="shared" si="48"/>
        <v>0.39711140438484333</v>
      </c>
      <c r="S183" s="145">
        <f t="shared" si="48"/>
        <v>0.39711140438484333</v>
      </c>
      <c r="T183" s="145">
        <f t="shared" ref="T183:U183" si="49">IF(T$20, $H115, $H112)</f>
        <v>0.39711140438484333</v>
      </c>
      <c r="U183" s="145">
        <f t="shared" si="49"/>
        <v>0.39711140438484333</v>
      </c>
      <c r="V183" s="145">
        <f t="shared" ref="V183:W183" si="50">IF(V$20, $H115, $H112)</f>
        <v>0.39711140438484333</v>
      </c>
      <c r="W183" s="145">
        <f t="shared" si="50"/>
        <v>0.39711140438484333</v>
      </c>
      <c r="X183" s="145">
        <f t="shared" ref="X183:Y183" si="51">IF(X$20, $H115, $H112)</f>
        <v>0.39711140438484333</v>
      </c>
      <c r="Y183" s="145">
        <f t="shared" si="51"/>
        <v>0.39711140438484333</v>
      </c>
    </row>
    <row r="184" spans="5:25" x14ac:dyDescent="0.3">
      <c r="E184" s="29"/>
      <c r="F184" s="80" t="s">
        <v>257</v>
      </c>
      <c r="G184" s="67" t="s">
        <v>167</v>
      </c>
      <c r="H184" s="141"/>
      <c r="I184" s="37"/>
      <c r="J184" s="155">
        <f t="shared" ref="J184:K184" si="52">IF(J$20, $H116, $H113)</f>
        <v>3.0289460119532003E-2</v>
      </c>
      <c r="K184" s="155">
        <f t="shared" si="52"/>
        <v>3.0289460119532003E-2</v>
      </c>
      <c r="L184" s="155">
        <f t="shared" ref="L184:M184" si="53">IF(L$20, $H116, $H113)</f>
        <v>3.0289460119532003E-2</v>
      </c>
      <c r="M184" s="155">
        <f t="shared" si="53"/>
        <v>3.0289460119532003E-2</v>
      </c>
      <c r="N184" s="155">
        <f t="shared" ref="N184:P184" si="54">IF(N$20, $H116, $H113)</f>
        <v>3.0289460119532003E-2</v>
      </c>
      <c r="O184" s="155">
        <f t="shared" si="54"/>
        <v>3.0289460119532003E-2</v>
      </c>
      <c r="P184" s="155">
        <f t="shared" si="54"/>
        <v>3.0289460119532003E-2</v>
      </c>
      <c r="Q184" s="155">
        <f t="shared" ref="Q184:S184" si="55">IF(Q$20, $H116, $H113)</f>
        <v>3.0289460119532003E-2</v>
      </c>
      <c r="R184" s="155">
        <f t="shared" si="55"/>
        <v>3.0289460119532003E-2</v>
      </c>
      <c r="S184" s="155">
        <f t="shared" si="55"/>
        <v>3.0289460119532003E-2</v>
      </c>
      <c r="T184" s="155">
        <f t="shared" ref="T184:U184" si="56">IF(T$20, $H116, $H113)</f>
        <v>3.0289460119532003E-2</v>
      </c>
      <c r="U184" s="155">
        <f t="shared" si="56"/>
        <v>3.0289460119532003E-2</v>
      </c>
      <c r="V184" s="155">
        <f t="shared" ref="V184:W184" si="57">IF(V$20, $H116, $H113)</f>
        <v>3.0289460119532003E-2</v>
      </c>
      <c r="W184" s="155">
        <f t="shared" si="57"/>
        <v>3.0289460119532003E-2</v>
      </c>
      <c r="X184" s="155">
        <f t="shared" ref="X184:Y184" si="58">IF(X$20, $H116, $H113)</f>
        <v>3.0289460119532003E-2</v>
      </c>
      <c r="Y184" s="155">
        <f t="shared" si="58"/>
        <v>3.0289460119532003E-2</v>
      </c>
    </row>
    <row r="185" spans="5:25" x14ac:dyDescent="0.3">
      <c r="E185" s="29"/>
      <c r="F185" s="72"/>
      <c r="G185" s="28"/>
      <c r="H185" s="25"/>
      <c r="J185" s="145"/>
      <c r="K185" s="145"/>
      <c r="L185" s="145"/>
      <c r="M185" s="145"/>
      <c r="N185" s="145"/>
      <c r="O185" s="145"/>
      <c r="P185" s="145"/>
      <c r="Q185" s="145"/>
      <c r="R185" s="145"/>
      <c r="S185" s="145"/>
      <c r="T185" s="145"/>
      <c r="U185" s="145"/>
      <c r="V185" s="145"/>
      <c r="W185" s="145"/>
      <c r="X185" s="145"/>
      <c r="Y185" s="145"/>
    </row>
    <row r="186" spans="5:25" x14ac:dyDescent="0.3">
      <c r="E186" s="32" t="s">
        <v>481</v>
      </c>
      <c r="G186" s="28"/>
    </row>
    <row r="187" spans="5:25" x14ac:dyDescent="0.3">
      <c r="E187" s="29"/>
      <c r="F187" s="78" t="s">
        <v>465</v>
      </c>
      <c r="G187" s="64" t="s">
        <v>167</v>
      </c>
      <c r="H187" s="107"/>
      <c r="I187" s="23"/>
      <c r="J187" s="154">
        <f t="shared" ref="J187:K187" si="59">IF(J$20, $H122, $H119)</f>
        <v>0.57259913549562458</v>
      </c>
      <c r="K187" s="154">
        <f t="shared" si="59"/>
        <v>0.57259913549562458</v>
      </c>
      <c r="L187" s="154">
        <f t="shared" ref="L187:M187" si="60">IF(L$20, $H122, $H119)</f>
        <v>0.57259913549562458</v>
      </c>
      <c r="M187" s="154">
        <f t="shared" si="60"/>
        <v>0.57259913549562458</v>
      </c>
      <c r="N187" s="154">
        <f t="shared" ref="N187:P187" si="61">IF(N$20, $H122, $H119)</f>
        <v>0.57259913549562458</v>
      </c>
      <c r="O187" s="154">
        <f t="shared" si="61"/>
        <v>0.57259913549562458</v>
      </c>
      <c r="P187" s="154">
        <f t="shared" si="61"/>
        <v>0.57259913549562458</v>
      </c>
      <c r="Q187" s="154">
        <f t="shared" ref="Q187:S187" si="62">IF(Q$20, $H122, $H119)</f>
        <v>0.55851896623370301</v>
      </c>
      <c r="R187" s="154">
        <f t="shared" si="62"/>
        <v>0.57259913549562458</v>
      </c>
      <c r="S187" s="154">
        <f t="shared" si="62"/>
        <v>0.57259913549562458</v>
      </c>
      <c r="T187" s="154">
        <f t="shared" ref="T187:U187" si="63">IF(T$20, $H122, $H119)</f>
        <v>0.57259913549562458</v>
      </c>
      <c r="U187" s="154">
        <f t="shared" si="63"/>
        <v>0.57259913549562458</v>
      </c>
      <c r="V187" s="154">
        <f t="shared" ref="V187:W187" si="64">IF(V$20, $H122, $H119)</f>
        <v>0.57259913549562458</v>
      </c>
      <c r="W187" s="154">
        <f t="shared" si="64"/>
        <v>0.57259913549562458</v>
      </c>
      <c r="X187" s="154">
        <f t="shared" ref="X187:Y187" si="65">IF(X$20, $H122, $H119)</f>
        <v>0.57259913549562458</v>
      </c>
      <c r="Y187" s="154">
        <f t="shared" si="65"/>
        <v>0.57259913549562458</v>
      </c>
    </row>
    <row r="188" spans="5:25" x14ac:dyDescent="0.3">
      <c r="E188" s="29"/>
      <c r="F188" s="72" t="s">
        <v>466</v>
      </c>
      <c r="G188" s="28" t="s">
        <v>167</v>
      </c>
      <c r="H188" s="25"/>
      <c r="J188" s="145">
        <f t="shared" ref="J188:K188" si="66">IF(J$20, $H123, $H120)</f>
        <v>0.39711140438484333</v>
      </c>
      <c r="K188" s="145">
        <f t="shared" si="66"/>
        <v>0.39711140438484333</v>
      </c>
      <c r="L188" s="145">
        <f t="shared" ref="L188:M188" si="67">IF(L$20, $H123, $H120)</f>
        <v>0.39711140438484333</v>
      </c>
      <c r="M188" s="145">
        <f t="shared" si="67"/>
        <v>0.39711140438484333</v>
      </c>
      <c r="N188" s="145">
        <f t="shared" ref="N188:P188" si="68">IF(N$20, $H123, $H120)</f>
        <v>0.39711140438484333</v>
      </c>
      <c r="O188" s="145">
        <f t="shared" si="68"/>
        <v>0.39711140438484333</v>
      </c>
      <c r="P188" s="145">
        <f t="shared" si="68"/>
        <v>0.39711140438484333</v>
      </c>
      <c r="Q188" s="145">
        <f t="shared" ref="Q188:S188" si="69">IF(Q$20, $H123, $H120)</f>
        <v>0.41119157364676495</v>
      </c>
      <c r="R188" s="145">
        <f t="shared" si="69"/>
        <v>0.39711140438484333</v>
      </c>
      <c r="S188" s="145">
        <f t="shared" si="69"/>
        <v>0.39711140438484333</v>
      </c>
      <c r="T188" s="145">
        <f t="shared" ref="T188:U188" si="70">IF(T$20, $H123, $H120)</f>
        <v>0.39711140438484333</v>
      </c>
      <c r="U188" s="145">
        <f t="shared" si="70"/>
        <v>0.39711140438484333</v>
      </c>
      <c r="V188" s="145">
        <f t="shared" ref="V188:W188" si="71">IF(V$20, $H123, $H120)</f>
        <v>0.39711140438484333</v>
      </c>
      <c r="W188" s="145">
        <f t="shared" si="71"/>
        <v>0.39711140438484333</v>
      </c>
      <c r="X188" s="145">
        <f t="shared" ref="X188:Y188" si="72">IF(X$20, $H123, $H120)</f>
        <v>0.39711140438484333</v>
      </c>
      <c r="Y188" s="145">
        <f t="shared" si="72"/>
        <v>0.39711140438484333</v>
      </c>
    </row>
    <row r="189" spans="5:25" x14ac:dyDescent="0.3">
      <c r="E189" s="29"/>
      <c r="F189" s="80" t="s">
        <v>257</v>
      </c>
      <c r="G189" s="67" t="s">
        <v>167</v>
      </c>
      <c r="H189" s="141"/>
      <c r="I189" s="37"/>
      <c r="J189" s="155">
        <f t="shared" ref="J189:K189" si="73">IF(J$20, $H124, $H121)</f>
        <v>3.0289460119532003E-2</v>
      </c>
      <c r="K189" s="155">
        <f t="shared" si="73"/>
        <v>3.0289460119532003E-2</v>
      </c>
      <c r="L189" s="155">
        <f t="shared" ref="L189:M189" si="74">IF(L$20, $H124, $H121)</f>
        <v>3.0289460119532003E-2</v>
      </c>
      <c r="M189" s="155">
        <f t="shared" si="74"/>
        <v>3.0289460119532003E-2</v>
      </c>
      <c r="N189" s="155">
        <f t="shared" ref="N189:P189" si="75">IF(N$20, $H124, $H121)</f>
        <v>3.0289460119532003E-2</v>
      </c>
      <c r="O189" s="155">
        <f t="shared" si="75"/>
        <v>3.0289460119532003E-2</v>
      </c>
      <c r="P189" s="155">
        <f t="shared" si="75"/>
        <v>3.0289460119532003E-2</v>
      </c>
      <c r="Q189" s="155">
        <f t="shared" ref="Q189:S189" si="76">IF(Q$20, $H124, $H121)</f>
        <v>3.0289460119532003E-2</v>
      </c>
      <c r="R189" s="155">
        <f t="shared" si="76"/>
        <v>3.0289460119532003E-2</v>
      </c>
      <c r="S189" s="155">
        <f t="shared" si="76"/>
        <v>3.0289460119532003E-2</v>
      </c>
      <c r="T189" s="155">
        <f t="shared" ref="T189:U189" si="77">IF(T$20, $H124, $H121)</f>
        <v>3.0289460119532003E-2</v>
      </c>
      <c r="U189" s="155">
        <f t="shared" si="77"/>
        <v>3.0289460119532003E-2</v>
      </c>
      <c r="V189" s="155">
        <f t="shared" ref="V189:W189" si="78">IF(V$20, $H124, $H121)</f>
        <v>3.0289460119532003E-2</v>
      </c>
      <c r="W189" s="155">
        <f t="shared" si="78"/>
        <v>3.0289460119532003E-2</v>
      </c>
      <c r="X189" s="155">
        <f t="shared" ref="X189:Y189" si="79">IF(X$20, $H124, $H121)</f>
        <v>3.0289460119532003E-2</v>
      </c>
      <c r="Y189" s="155">
        <f t="shared" si="79"/>
        <v>3.0289460119532003E-2</v>
      </c>
    </row>
    <row r="190" spans="5:25" x14ac:dyDescent="0.3">
      <c r="E190" s="29"/>
      <c r="F190" s="72"/>
      <c r="G190" s="28"/>
      <c r="H190" s="25"/>
      <c r="J190" s="145"/>
      <c r="K190" s="145"/>
      <c r="L190" s="145"/>
      <c r="M190" s="145"/>
      <c r="N190" s="145"/>
      <c r="O190" s="145"/>
      <c r="P190" s="145"/>
      <c r="Q190" s="145"/>
      <c r="R190" s="145"/>
      <c r="S190" s="145"/>
      <c r="T190" s="145"/>
      <c r="U190" s="145"/>
      <c r="V190" s="145"/>
      <c r="W190" s="145"/>
      <c r="X190" s="145"/>
      <c r="Y190" s="145"/>
    </row>
    <row r="191" spans="5:25" x14ac:dyDescent="0.3">
      <c r="E191" s="32" t="s">
        <v>482</v>
      </c>
      <c r="G191" s="28"/>
    </row>
    <row r="192" spans="5:25" x14ac:dyDescent="0.3">
      <c r="E192" s="29"/>
      <c r="F192" s="78" t="s">
        <v>465</v>
      </c>
      <c r="G192" s="64" t="s">
        <v>167</v>
      </c>
      <c r="H192" s="107"/>
      <c r="I192" s="23"/>
      <c r="J192" s="154">
        <f t="shared" ref="J192:K192" si="80">IF(J$20, $H130, $H127)</f>
        <v>0.61149906551342081</v>
      </c>
      <c r="K192" s="154">
        <f t="shared" si="80"/>
        <v>0.61149906551342081</v>
      </c>
      <c r="L192" s="154">
        <f t="shared" ref="L192:M192" si="81">IF(L$20, $H130, $H127)</f>
        <v>0.61149906551342081</v>
      </c>
      <c r="M192" s="154">
        <f t="shared" si="81"/>
        <v>0.61149906551342081</v>
      </c>
      <c r="N192" s="154">
        <f t="shared" ref="N192:P192" si="82">IF(N$20, $H130, $H127)</f>
        <v>0.61149906551342081</v>
      </c>
      <c r="O192" s="154">
        <f t="shared" si="82"/>
        <v>0.61149906551342081</v>
      </c>
      <c r="P192" s="154">
        <f t="shared" si="82"/>
        <v>0.61149906551342081</v>
      </c>
      <c r="Q192" s="154">
        <f t="shared" ref="Q192:S192" si="83">IF(Q$20, $H130, $H127)</f>
        <v>0.60075573288312512</v>
      </c>
      <c r="R192" s="154">
        <f t="shared" si="83"/>
        <v>0.61149906551342081</v>
      </c>
      <c r="S192" s="154">
        <f t="shared" si="83"/>
        <v>0.61149906551342081</v>
      </c>
      <c r="T192" s="154">
        <f t="shared" ref="T192:U192" si="84">IF(T$20, $H130, $H127)</f>
        <v>0.61149906551342081</v>
      </c>
      <c r="U192" s="154">
        <f t="shared" si="84"/>
        <v>0.61149906551342081</v>
      </c>
      <c r="V192" s="154">
        <f t="shared" ref="V192:W192" si="85">IF(V$20, $H130, $H127)</f>
        <v>0.61149906551342081</v>
      </c>
      <c r="W192" s="154">
        <f t="shared" si="85"/>
        <v>0.61149906551342081</v>
      </c>
      <c r="X192" s="154">
        <f t="shared" ref="X192:Y192" si="86">IF(X$20, $H130, $H127)</f>
        <v>0.61149906551342081</v>
      </c>
      <c r="Y192" s="154">
        <f t="shared" si="86"/>
        <v>0.61149906551342081</v>
      </c>
    </row>
    <row r="193" spans="5:25" x14ac:dyDescent="0.3">
      <c r="E193" s="29"/>
      <c r="F193" s="72" t="s">
        <v>466</v>
      </c>
      <c r="G193" s="28" t="s">
        <v>167</v>
      </c>
      <c r="H193" s="25"/>
      <c r="J193" s="145">
        <f t="shared" ref="J193:K193" si="87">IF(J$20, $H131, $H128)</f>
        <v>0.30834923604054471</v>
      </c>
      <c r="K193" s="145">
        <f t="shared" si="87"/>
        <v>0.30834923604054471</v>
      </c>
      <c r="L193" s="145">
        <f t="shared" ref="L193:M193" si="88">IF(L$20, $H131, $H128)</f>
        <v>0.30834923604054471</v>
      </c>
      <c r="M193" s="145">
        <f t="shared" si="88"/>
        <v>0.30834923604054471</v>
      </c>
      <c r="N193" s="145">
        <f t="shared" ref="N193:P193" si="89">IF(N$20, $H131, $H128)</f>
        <v>0.30834923604054471</v>
      </c>
      <c r="O193" s="145">
        <f t="shared" si="89"/>
        <v>0.30834923604054471</v>
      </c>
      <c r="P193" s="145">
        <f t="shared" si="89"/>
        <v>0.30834923604054471</v>
      </c>
      <c r="Q193" s="145">
        <f t="shared" ref="Q193:S193" si="90">IF(Q$20, $H131, $H128)</f>
        <v>0.31909256867084046</v>
      </c>
      <c r="R193" s="145">
        <f t="shared" si="90"/>
        <v>0.30834923604054471</v>
      </c>
      <c r="S193" s="145">
        <f t="shared" si="90"/>
        <v>0.30834923604054471</v>
      </c>
      <c r="T193" s="145">
        <f t="shared" ref="T193:U193" si="91">IF(T$20, $H131, $H128)</f>
        <v>0.30834923604054471</v>
      </c>
      <c r="U193" s="145">
        <f t="shared" si="91"/>
        <v>0.30834923604054471</v>
      </c>
      <c r="V193" s="145">
        <f t="shared" ref="V193:W193" si="92">IF(V$20, $H131, $H128)</f>
        <v>0.30834923604054471</v>
      </c>
      <c r="W193" s="145">
        <f t="shared" si="92"/>
        <v>0.30834923604054471</v>
      </c>
      <c r="X193" s="145">
        <f t="shared" ref="X193:Y193" si="93">IF(X$20, $H131, $H128)</f>
        <v>0.30834923604054471</v>
      </c>
      <c r="Y193" s="145">
        <f t="shared" si="93"/>
        <v>0.30834923604054471</v>
      </c>
    </row>
    <row r="194" spans="5:25" x14ac:dyDescent="0.3">
      <c r="E194" s="29"/>
      <c r="F194" s="80" t="s">
        <v>257</v>
      </c>
      <c r="G194" s="67" t="s">
        <v>167</v>
      </c>
      <c r="H194" s="141"/>
      <c r="I194" s="37"/>
      <c r="J194" s="155">
        <f t="shared" ref="J194:K194" si="94">IF(J$20, $H132, $H129)</f>
        <v>8.0151698446034286E-2</v>
      </c>
      <c r="K194" s="155">
        <f t="shared" si="94"/>
        <v>8.0151698446034286E-2</v>
      </c>
      <c r="L194" s="155">
        <f t="shared" ref="L194:M194" si="95">IF(L$20, $H132, $H129)</f>
        <v>8.0151698446034286E-2</v>
      </c>
      <c r="M194" s="155">
        <f t="shared" si="95"/>
        <v>8.0151698446034286E-2</v>
      </c>
      <c r="N194" s="155">
        <f t="shared" ref="N194:P194" si="96">IF(N$20, $H132, $H129)</f>
        <v>8.0151698446034286E-2</v>
      </c>
      <c r="O194" s="155">
        <f t="shared" si="96"/>
        <v>8.0151698446034286E-2</v>
      </c>
      <c r="P194" s="155">
        <f t="shared" si="96"/>
        <v>8.0151698446034286E-2</v>
      </c>
      <c r="Q194" s="155">
        <f t="shared" ref="Q194:S194" si="97">IF(Q$20, $H132, $H129)</f>
        <v>8.0151698446034286E-2</v>
      </c>
      <c r="R194" s="155">
        <f t="shared" si="97"/>
        <v>8.0151698446034286E-2</v>
      </c>
      <c r="S194" s="155">
        <f t="shared" si="97"/>
        <v>8.0151698446034286E-2</v>
      </c>
      <c r="T194" s="155">
        <f t="shared" ref="T194:U194" si="98">IF(T$20, $H132, $H129)</f>
        <v>8.0151698446034286E-2</v>
      </c>
      <c r="U194" s="155">
        <f t="shared" si="98"/>
        <v>8.0151698446034286E-2</v>
      </c>
      <c r="V194" s="155">
        <f t="shared" ref="V194:W194" si="99">IF(V$20, $H132, $H129)</f>
        <v>8.0151698446034286E-2</v>
      </c>
      <c r="W194" s="155">
        <f t="shared" si="99"/>
        <v>8.0151698446034286E-2</v>
      </c>
      <c r="X194" s="155">
        <f t="shared" ref="X194:Y194" si="100">IF(X$20, $H132, $H129)</f>
        <v>8.0151698446034286E-2</v>
      </c>
      <c r="Y194" s="155">
        <f t="shared" si="100"/>
        <v>8.0151698446034286E-2</v>
      </c>
    </row>
    <row r="195" spans="5:25" x14ac:dyDescent="0.3">
      <c r="E195" s="29"/>
      <c r="F195" s="72"/>
      <c r="G195" s="28"/>
      <c r="H195" s="25"/>
      <c r="J195" s="145"/>
      <c r="K195" s="145"/>
      <c r="L195" s="145"/>
      <c r="M195" s="145"/>
      <c r="N195" s="145"/>
      <c r="O195" s="145"/>
      <c r="P195" s="145"/>
      <c r="Q195" s="145"/>
      <c r="R195" s="145"/>
      <c r="S195" s="145"/>
      <c r="T195" s="145"/>
      <c r="U195" s="145"/>
      <c r="V195" s="145"/>
      <c r="W195" s="145"/>
      <c r="X195" s="145"/>
      <c r="Y195" s="145"/>
    </row>
    <row r="196" spans="5:25" x14ac:dyDescent="0.3">
      <c r="E196" s="32" t="s">
        <v>483</v>
      </c>
      <c r="G196" s="28"/>
    </row>
    <row r="197" spans="5:25" x14ac:dyDescent="0.3">
      <c r="E197" s="29"/>
      <c r="F197" s="78" t="s">
        <v>465</v>
      </c>
      <c r="G197" s="64" t="s">
        <v>167</v>
      </c>
      <c r="H197" s="107"/>
      <c r="I197" s="23"/>
      <c r="J197" s="154">
        <f t="shared" ref="J197:K197" si="101">IF(J$20, $H138, $H135)</f>
        <v>0.61149906551342081</v>
      </c>
      <c r="K197" s="154">
        <f t="shared" si="101"/>
        <v>0.61149906551342081</v>
      </c>
      <c r="L197" s="154">
        <f t="shared" ref="L197:M197" si="102">IF(L$20, $H138, $H135)</f>
        <v>0.61149906551342081</v>
      </c>
      <c r="M197" s="154">
        <f t="shared" si="102"/>
        <v>0.61149906551342081</v>
      </c>
      <c r="N197" s="154">
        <f t="shared" ref="N197:P197" si="103">IF(N$20, $H138, $H135)</f>
        <v>0.61149906551342081</v>
      </c>
      <c r="O197" s="154">
        <f t="shared" si="103"/>
        <v>0.61149906551342081</v>
      </c>
      <c r="P197" s="154">
        <f t="shared" si="103"/>
        <v>0.61149906551342081</v>
      </c>
      <c r="Q197" s="154">
        <f t="shared" ref="Q197:S197" si="104">IF(Q$20, $H138, $H135)</f>
        <v>0.60075573288312512</v>
      </c>
      <c r="R197" s="154">
        <f t="shared" si="104"/>
        <v>0.61149906551342081</v>
      </c>
      <c r="S197" s="154">
        <f t="shared" si="104"/>
        <v>0.61149906551342081</v>
      </c>
      <c r="T197" s="154">
        <f t="shared" ref="T197:U197" si="105">IF(T$20, $H138, $H135)</f>
        <v>0.61149906551342081</v>
      </c>
      <c r="U197" s="154">
        <f t="shared" si="105"/>
        <v>0.61149906551342081</v>
      </c>
      <c r="V197" s="154">
        <f t="shared" ref="V197:W197" si="106">IF(V$20, $H138, $H135)</f>
        <v>0.61149906551342081</v>
      </c>
      <c r="W197" s="154">
        <f t="shared" si="106"/>
        <v>0.61149906551342081</v>
      </c>
      <c r="X197" s="154">
        <f t="shared" ref="X197:Y197" si="107">IF(X$20, $H138, $H135)</f>
        <v>0.61149906551342081</v>
      </c>
      <c r="Y197" s="154">
        <f t="shared" si="107"/>
        <v>0.61149906551342081</v>
      </c>
    </row>
    <row r="198" spans="5:25" x14ac:dyDescent="0.3">
      <c r="E198" s="29"/>
      <c r="F198" s="72" t="s">
        <v>466</v>
      </c>
      <c r="G198" s="28" t="s">
        <v>167</v>
      </c>
      <c r="H198" s="25"/>
      <c r="J198" s="145">
        <f t="shared" ref="J198:K198" si="108">IF(J$20, $H139, $H136)</f>
        <v>0.30834923604054471</v>
      </c>
      <c r="K198" s="145">
        <f t="shared" si="108"/>
        <v>0.30834923604054471</v>
      </c>
      <c r="L198" s="145">
        <f t="shared" ref="L198:M198" si="109">IF(L$20, $H139, $H136)</f>
        <v>0.30834923604054471</v>
      </c>
      <c r="M198" s="145">
        <f t="shared" si="109"/>
        <v>0.30834923604054471</v>
      </c>
      <c r="N198" s="145">
        <f t="shared" ref="N198:P198" si="110">IF(N$20, $H139, $H136)</f>
        <v>0.30834923604054471</v>
      </c>
      <c r="O198" s="145">
        <f t="shared" si="110"/>
        <v>0.30834923604054471</v>
      </c>
      <c r="P198" s="145">
        <f t="shared" si="110"/>
        <v>0.30834923604054471</v>
      </c>
      <c r="Q198" s="145">
        <f t="shared" ref="Q198:S198" si="111">IF(Q$20, $H139, $H136)</f>
        <v>0.31909256867084046</v>
      </c>
      <c r="R198" s="145">
        <f t="shared" si="111"/>
        <v>0.30834923604054471</v>
      </c>
      <c r="S198" s="145">
        <f t="shared" si="111"/>
        <v>0.30834923604054471</v>
      </c>
      <c r="T198" s="145">
        <f t="shared" ref="T198:U198" si="112">IF(T$20, $H139, $H136)</f>
        <v>0.30834923604054471</v>
      </c>
      <c r="U198" s="145">
        <f t="shared" si="112"/>
        <v>0.30834923604054471</v>
      </c>
      <c r="V198" s="145">
        <f t="shared" ref="V198:W198" si="113">IF(V$20, $H139, $H136)</f>
        <v>0.30834923604054471</v>
      </c>
      <c r="W198" s="145">
        <f t="shared" si="113"/>
        <v>0.30834923604054471</v>
      </c>
      <c r="X198" s="145">
        <f t="shared" ref="X198:Y198" si="114">IF(X$20, $H139, $H136)</f>
        <v>0.30834923604054471</v>
      </c>
      <c r="Y198" s="145">
        <f t="shared" si="114"/>
        <v>0.30834923604054471</v>
      </c>
    </row>
    <row r="199" spans="5:25" x14ac:dyDescent="0.3">
      <c r="E199" s="29"/>
      <c r="F199" s="80" t="s">
        <v>257</v>
      </c>
      <c r="G199" s="67" t="s">
        <v>167</v>
      </c>
      <c r="H199" s="141"/>
      <c r="I199" s="37"/>
      <c r="J199" s="155">
        <f t="shared" ref="J199:K199" si="115">IF(J$20, $H140, $H137)</f>
        <v>8.0151698446034286E-2</v>
      </c>
      <c r="K199" s="155">
        <f t="shared" si="115"/>
        <v>8.0151698446034286E-2</v>
      </c>
      <c r="L199" s="155">
        <f t="shared" ref="L199:M199" si="116">IF(L$20, $H140, $H137)</f>
        <v>8.0151698446034286E-2</v>
      </c>
      <c r="M199" s="155">
        <f t="shared" si="116"/>
        <v>8.0151698446034286E-2</v>
      </c>
      <c r="N199" s="155">
        <f t="shared" ref="N199:P199" si="117">IF(N$20, $H140, $H137)</f>
        <v>8.0151698446034286E-2</v>
      </c>
      <c r="O199" s="155">
        <f t="shared" si="117"/>
        <v>8.0151698446034286E-2</v>
      </c>
      <c r="P199" s="155">
        <f t="shared" si="117"/>
        <v>8.0151698446034286E-2</v>
      </c>
      <c r="Q199" s="155">
        <f t="shared" ref="Q199:S199" si="118">IF(Q$20, $H140, $H137)</f>
        <v>8.0151698446034286E-2</v>
      </c>
      <c r="R199" s="155">
        <f t="shared" si="118"/>
        <v>8.0151698446034286E-2</v>
      </c>
      <c r="S199" s="155">
        <f t="shared" si="118"/>
        <v>8.0151698446034286E-2</v>
      </c>
      <c r="T199" s="155">
        <f t="shared" ref="T199:U199" si="119">IF(T$20, $H140, $H137)</f>
        <v>8.0151698446034286E-2</v>
      </c>
      <c r="U199" s="155">
        <f t="shared" si="119"/>
        <v>8.0151698446034286E-2</v>
      </c>
      <c r="V199" s="155">
        <f t="shared" ref="V199:W199" si="120">IF(V$20, $H140, $H137)</f>
        <v>8.0151698446034286E-2</v>
      </c>
      <c r="W199" s="155">
        <f t="shared" si="120"/>
        <v>8.0151698446034286E-2</v>
      </c>
      <c r="X199" s="155">
        <f t="shared" ref="X199:Y199" si="121">IF(X$20, $H140, $H137)</f>
        <v>8.0151698446034286E-2</v>
      </c>
      <c r="Y199" s="155">
        <f t="shared" si="121"/>
        <v>8.0151698446034286E-2</v>
      </c>
    </row>
    <row r="200" spans="5:25" x14ac:dyDescent="0.3">
      <c r="E200" s="29"/>
      <c r="F200" s="72"/>
      <c r="G200" s="28"/>
      <c r="H200" s="25"/>
      <c r="J200" s="145"/>
      <c r="K200" s="145"/>
      <c r="L200" s="145"/>
      <c r="M200" s="145"/>
      <c r="N200" s="145"/>
      <c r="O200" s="145"/>
      <c r="P200" s="145"/>
      <c r="Q200" s="145"/>
      <c r="R200" s="145"/>
      <c r="S200" s="145"/>
      <c r="T200" s="145"/>
      <c r="U200" s="145"/>
      <c r="V200" s="145"/>
      <c r="W200" s="145"/>
      <c r="X200" s="145"/>
      <c r="Y200" s="145"/>
    </row>
    <row r="201" spans="5:25" x14ac:dyDescent="0.3">
      <c r="E201" s="32" t="s">
        <v>484</v>
      </c>
      <c r="G201" s="28"/>
    </row>
    <row r="202" spans="5:25" x14ac:dyDescent="0.3">
      <c r="E202" s="29"/>
      <c r="F202" s="78" t="s">
        <v>465</v>
      </c>
      <c r="G202" s="64" t="s">
        <v>167</v>
      </c>
      <c r="H202" s="107"/>
      <c r="I202" s="23"/>
      <c r="J202" s="154">
        <f t="shared" ref="J202:K202" si="122">IF(J$20, $H146, $H143)</f>
        <v>0.57259913549562458</v>
      </c>
      <c r="K202" s="154">
        <f t="shared" si="122"/>
        <v>0.57259913549562458</v>
      </c>
      <c r="L202" s="154">
        <f t="shared" ref="L202:M202" si="123">IF(L$20, $H146, $H143)</f>
        <v>0.57259913549562458</v>
      </c>
      <c r="M202" s="154">
        <f t="shared" si="123"/>
        <v>0.57259913549562458</v>
      </c>
      <c r="N202" s="154">
        <f t="shared" ref="N202:P202" si="124">IF(N$20, $H146, $H143)</f>
        <v>0.57259913549562458</v>
      </c>
      <c r="O202" s="154">
        <f t="shared" si="124"/>
        <v>0.57259913549562458</v>
      </c>
      <c r="P202" s="154">
        <f t="shared" si="124"/>
        <v>0.57259913549562458</v>
      </c>
      <c r="Q202" s="154">
        <f t="shared" ref="Q202:S202" si="125">IF(Q$20, $H146, $H143)</f>
        <v>0.55851896623370301</v>
      </c>
      <c r="R202" s="154">
        <f t="shared" si="125"/>
        <v>0.57259913549562458</v>
      </c>
      <c r="S202" s="154">
        <f t="shared" si="125"/>
        <v>0.57259913549562458</v>
      </c>
      <c r="T202" s="154">
        <f t="shared" ref="T202:U202" si="126">IF(T$20, $H146, $H143)</f>
        <v>0.57259913549562458</v>
      </c>
      <c r="U202" s="154">
        <f t="shared" si="126"/>
        <v>0.57259913549562458</v>
      </c>
      <c r="V202" s="154">
        <f t="shared" ref="V202:W202" si="127">IF(V$20, $H146, $H143)</f>
        <v>0.57259913549562458</v>
      </c>
      <c r="W202" s="154">
        <f t="shared" si="127"/>
        <v>0.57259913549562458</v>
      </c>
      <c r="X202" s="154">
        <f t="shared" ref="X202:Y202" si="128">IF(X$20, $H146, $H143)</f>
        <v>0.57259913549562458</v>
      </c>
      <c r="Y202" s="154">
        <f t="shared" si="128"/>
        <v>0.57259913549562458</v>
      </c>
    </row>
    <row r="203" spans="5:25" x14ac:dyDescent="0.3">
      <c r="E203" s="29"/>
      <c r="F203" s="72" t="s">
        <v>466</v>
      </c>
      <c r="G203" s="28" t="s">
        <v>167</v>
      </c>
      <c r="H203" s="25"/>
      <c r="J203" s="145">
        <f t="shared" ref="J203:K203" si="129">IF(J$20, $H147, $H144)</f>
        <v>0.39711140438484333</v>
      </c>
      <c r="K203" s="145">
        <f t="shared" si="129"/>
        <v>0.39711140438484333</v>
      </c>
      <c r="L203" s="145">
        <f t="shared" ref="L203:M203" si="130">IF(L$20, $H147, $H144)</f>
        <v>0.39711140438484333</v>
      </c>
      <c r="M203" s="145">
        <f t="shared" si="130"/>
        <v>0.39711140438484333</v>
      </c>
      <c r="N203" s="145">
        <f t="shared" ref="N203:P203" si="131">IF(N$20, $H147, $H144)</f>
        <v>0.39711140438484333</v>
      </c>
      <c r="O203" s="145">
        <f t="shared" si="131"/>
        <v>0.39711140438484333</v>
      </c>
      <c r="P203" s="145">
        <f t="shared" si="131"/>
        <v>0.39711140438484333</v>
      </c>
      <c r="Q203" s="145">
        <f t="shared" ref="Q203:S203" si="132">IF(Q$20, $H147, $H144)</f>
        <v>0.41119157364676495</v>
      </c>
      <c r="R203" s="145">
        <f t="shared" si="132"/>
        <v>0.39711140438484333</v>
      </c>
      <c r="S203" s="145">
        <f t="shared" si="132"/>
        <v>0.39711140438484333</v>
      </c>
      <c r="T203" s="145">
        <f t="shared" ref="T203:U203" si="133">IF(T$20, $H147, $H144)</f>
        <v>0.39711140438484333</v>
      </c>
      <c r="U203" s="145">
        <f t="shared" si="133"/>
        <v>0.39711140438484333</v>
      </c>
      <c r="V203" s="145">
        <f t="shared" ref="V203:W203" si="134">IF(V$20, $H147, $H144)</f>
        <v>0.39711140438484333</v>
      </c>
      <c r="W203" s="145">
        <f t="shared" si="134"/>
        <v>0.39711140438484333</v>
      </c>
      <c r="X203" s="145">
        <f t="shared" ref="X203:Y203" si="135">IF(X$20, $H147, $H144)</f>
        <v>0.39711140438484333</v>
      </c>
      <c r="Y203" s="145">
        <f t="shared" si="135"/>
        <v>0.39711140438484333</v>
      </c>
    </row>
    <row r="204" spans="5:25" x14ac:dyDescent="0.3">
      <c r="E204" s="29"/>
      <c r="F204" s="80" t="s">
        <v>257</v>
      </c>
      <c r="G204" s="67" t="s">
        <v>167</v>
      </c>
      <c r="H204" s="141"/>
      <c r="I204" s="37"/>
      <c r="J204" s="155">
        <f t="shared" ref="J204:K204" si="136">IF(J$20, $H148, $H145)</f>
        <v>3.0289460119532003E-2</v>
      </c>
      <c r="K204" s="155">
        <f t="shared" si="136"/>
        <v>3.0289460119532003E-2</v>
      </c>
      <c r="L204" s="155">
        <f t="shared" ref="L204:M204" si="137">IF(L$20, $H148, $H145)</f>
        <v>3.0289460119532003E-2</v>
      </c>
      <c r="M204" s="155">
        <f t="shared" si="137"/>
        <v>3.0289460119532003E-2</v>
      </c>
      <c r="N204" s="155">
        <f t="shared" ref="N204:P204" si="138">IF(N$20, $H148, $H145)</f>
        <v>3.0289460119532003E-2</v>
      </c>
      <c r="O204" s="155">
        <f t="shared" si="138"/>
        <v>3.0289460119532003E-2</v>
      </c>
      <c r="P204" s="155">
        <f t="shared" si="138"/>
        <v>3.0289460119532003E-2</v>
      </c>
      <c r="Q204" s="155">
        <f t="shared" ref="Q204:S204" si="139">IF(Q$20, $H148, $H145)</f>
        <v>3.0289460119532003E-2</v>
      </c>
      <c r="R204" s="155">
        <f t="shared" si="139"/>
        <v>3.0289460119532003E-2</v>
      </c>
      <c r="S204" s="155">
        <f t="shared" si="139"/>
        <v>3.0289460119532003E-2</v>
      </c>
      <c r="T204" s="155">
        <f t="shared" ref="T204:U204" si="140">IF(T$20, $H148, $H145)</f>
        <v>3.0289460119532003E-2</v>
      </c>
      <c r="U204" s="155">
        <f t="shared" si="140"/>
        <v>3.0289460119532003E-2</v>
      </c>
      <c r="V204" s="155">
        <f t="shared" ref="V204:W204" si="141">IF(V$20, $H148, $H145)</f>
        <v>3.0289460119532003E-2</v>
      </c>
      <c r="W204" s="155">
        <f t="shared" si="141"/>
        <v>3.0289460119532003E-2</v>
      </c>
      <c r="X204" s="155">
        <f t="shared" ref="X204:Y204" si="142">IF(X$20, $H148, $H145)</f>
        <v>3.0289460119532003E-2</v>
      </c>
      <c r="Y204" s="155">
        <f t="shared" si="142"/>
        <v>3.0289460119532003E-2</v>
      </c>
    </row>
    <row r="205" spans="5:25" x14ac:dyDescent="0.3">
      <c r="E205" s="29"/>
      <c r="F205" s="72"/>
      <c r="G205" s="28"/>
      <c r="H205" s="25"/>
      <c r="J205" s="145"/>
      <c r="K205" s="145"/>
      <c r="L205" s="145"/>
      <c r="M205" s="145"/>
      <c r="N205" s="145"/>
      <c r="O205" s="145"/>
      <c r="P205" s="145"/>
      <c r="Q205" s="145"/>
      <c r="R205" s="145"/>
      <c r="S205" s="145"/>
      <c r="T205" s="145"/>
      <c r="U205" s="145"/>
      <c r="V205" s="145"/>
      <c r="W205" s="145"/>
      <c r="X205" s="145"/>
      <c r="Y205" s="145"/>
    </row>
    <row r="206" spans="5:25" x14ac:dyDescent="0.3">
      <c r="E206" s="32" t="s">
        <v>485</v>
      </c>
      <c r="G206" s="28"/>
    </row>
    <row r="207" spans="5:25" x14ac:dyDescent="0.3">
      <c r="E207" s="29"/>
      <c r="F207" s="78" t="s">
        <v>465</v>
      </c>
      <c r="G207" s="64" t="s">
        <v>167</v>
      </c>
      <c r="H207" s="107"/>
      <c r="I207" s="23"/>
      <c r="J207" s="154">
        <f t="shared" ref="J207:K207" si="143">IF(J$20, $H154, $H151)</f>
        <v>0.61149906551342081</v>
      </c>
      <c r="K207" s="154">
        <f t="shared" si="143"/>
        <v>0.61149906551342081</v>
      </c>
      <c r="L207" s="154">
        <f t="shared" ref="L207:M207" si="144">IF(L$20, $H154, $H151)</f>
        <v>0.61149906551342081</v>
      </c>
      <c r="M207" s="154">
        <f t="shared" si="144"/>
        <v>0.61149906551342081</v>
      </c>
      <c r="N207" s="154">
        <f t="shared" ref="N207:P207" si="145">IF(N$20, $H154, $H151)</f>
        <v>0.61149906551342081</v>
      </c>
      <c r="O207" s="154">
        <f t="shared" si="145"/>
        <v>0.61149906551342081</v>
      </c>
      <c r="P207" s="154">
        <f t="shared" si="145"/>
        <v>0.61149906551342081</v>
      </c>
      <c r="Q207" s="154">
        <f t="shared" ref="Q207:S207" si="146">IF(Q$20, $H154, $H151)</f>
        <v>0.60075573288312512</v>
      </c>
      <c r="R207" s="154">
        <f t="shared" si="146"/>
        <v>0.61149906551342081</v>
      </c>
      <c r="S207" s="154">
        <f t="shared" si="146"/>
        <v>0.61149906551342081</v>
      </c>
      <c r="T207" s="154">
        <f t="shared" ref="T207:U207" si="147">IF(T$20, $H154, $H151)</f>
        <v>0.61149906551342081</v>
      </c>
      <c r="U207" s="154">
        <f t="shared" si="147"/>
        <v>0.61149906551342081</v>
      </c>
      <c r="V207" s="154">
        <f t="shared" ref="V207:W207" si="148">IF(V$20, $H154, $H151)</f>
        <v>0.61149906551342081</v>
      </c>
      <c r="W207" s="154">
        <f t="shared" si="148"/>
        <v>0.61149906551342081</v>
      </c>
      <c r="X207" s="154">
        <f t="shared" ref="X207:Y207" si="149">IF(X$20, $H154, $H151)</f>
        <v>0.61149906551342081</v>
      </c>
      <c r="Y207" s="154">
        <f t="shared" si="149"/>
        <v>0.61149906551342081</v>
      </c>
    </row>
    <row r="208" spans="5:25" x14ac:dyDescent="0.3">
      <c r="E208" s="29"/>
      <c r="F208" s="72" t="s">
        <v>466</v>
      </c>
      <c r="G208" s="28" t="s">
        <v>167</v>
      </c>
      <c r="H208" s="25"/>
      <c r="J208" s="145">
        <f t="shared" ref="J208:K208" si="150">IF(J$20, $H155, $H152)</f>
        <v>0.30834923604054471</v>
      </c>
      <c r="K208" s="145">
        <f t="shared" si="150"/>
        <v>0.30834923604054471</v>
      </c>
      <c r="L208" s="145">
        <f t="shared" ref="L208:M208" si="151">IF(L$20, $H155, $H152)</f>
        <v>0.30834923604054471</v>
      </c>
      <c r="M208" s="145">
        <f t="shared" si="151"/>
        <v>0.30834923604054471</v>
      </c>
      <c r="N208" s="145">
        <f t="shared" ref="N208:P208" si="152">IF(N$20, $H155, $H152)</f>
        <v>0.30834923604054471</v>
      </c>
      <c r="O208" s="145">
        <f t="shared" si="152"/>
        <v>0.30834923604054471</v>
      </c>
      <c r="P208" s="145">
        <f t="shared" si="152"/>
        <v>0.30834923604054471</v>
      </c>
      <c r="Q208" s="145">
        <f t="shared" ref="Q208:S208" si="153">IF(Q$20, $H155, $H152)</f>
        <v>0.31909256867084046</v>
      </c>
      <c r="R208" s="145">
        <f t="shared" si="153"/>
        <v>0.30834923604054471</v>
      </c>
      <c r="S208" s="145">
        <f t="shared" si="153"/>
        <v>0.30834923604054471</v>
      </c>
      <c r="T208" s="145">
        <f t="shared" ref="T208:U208" si="154">IF(T$20, $H155, $H152)</f>
        <v>0.30834923604054471</v>
      </c>
      <c r="U208" s="145">
        <f t="shared" si="154"/>
        <v>0.30834923604054471</v>
      </c>
      <c r="V208" s="145">
        <f t="shared" ref="V208:W208" si="155">IF(V$20, $H155, $H152)</f>
        <v>0.30834923604054471</v>
      </c>
      <c r="W208" s="145">
        <f t="shared" si="155"/>
        <v>0.30834923604054471</v>
      </c>
      <c r="X208" s="145">
        <f t="shared" ref="X208:Y208" si="156">IF(X$20, $H155, $H152)</f>
        <v>0.30834923604054471</v>
      </c>
      <c r="Y208" s="145">
        <f t="shared" si="156"/>
        <v>0.30834923604054471</v>
      </c>
    </row>
    <row r="209" spans="3:27" x14ac:dyDescent="0.3">
      <c r="E209" s="29"/>
      <c r="F209" s="80" t="s">
        <v>257</v>
      </c>
      <c r="G209" s="67" t="s">
        <v>167</v>
      </c>
      <c r="H209" s="141"/>
      <c r="I209" s="37"/>
      <c r="J209" s="155">
        <f t="shared" ref="J209:K209" si="157">IF(J$20, $H156, $H153)</f>
        <v>8.0151698446034286E-2</v>
      </c>
      <c r="K209" s="155">
        <f t="shared" si="157"/>
        <v>8.0151698446034286E-2</v>
      </c>
      <c r="L209" s="155">
        <f t="shared" ref="L209:M209" si="158">IF(L$20, $H156, $H153)</f>
        <v>8.0151698446034286E-2</v>
      </c>
      <c r="M209" s="155">
        <f t="shared" si="158"/>
        <v>8.0151698446034286E-2</v>
      </c>
      <c r="N209" s="155">
        <f t="shared" ref="N209:P209" si="159">IF(N$20, $H156, $H153)</f>
        <v>8.0151698446034286E-2</v>
      </c>
      <c r="O209" s="155">
        <f t="shared" si="159"/>
        <v>8.0151698446034286E-2</v>
      </c>
      <c r="P209" s="155">
        <f t="shared" si="159"/>
        <v>8.0151698446034286E-2</v>
      </c>
      <c r="Q209" s="155">
        <f t="shared" ref="Q209:S209" si="160">IF(Q$20, $H156, $H153)</f>
        <v>8.0151698446034286E-2</v>
      </c>
      <c r="R209" s="155">
        <f t="shared" si="160"/>
        <v>8.0151698446034286E-2</v>
      </c>
      <c r="S209" s="155">
        <f t="shared" si="160"/>
        <v>8.0151698446034286E-2</v>
      </c>
      <c r="T209" s="155">
        <f t="shared" ref="T209:U209" si="161">IF(T$20, $H156, $H153)</f>
        <v>8.0151698446034286E-2</v>
      </c>
      <c r="U209" s="155">
        <f t="shared" si="161"/>
        <v>8.0151698446034286E-2</v>
      </c>
      <c r="V209" s="155">
        <f t="shared" ref="V209:W209" si="162">IF(V$20, $H156, $H153)</f>
        <v>8.0151698446034286E-2</v>
      </c>
      <c r="W209" s="155">
        <f t="shared" si="162"/>
        <v>8.0151698446034286E-2</v>
      </c>
      <c r="X209" s="155">
        <f t="shared" ref="X209:Y209" si="163">IF(X$20, $H156, $H153)</f>
        <v>8.0151698446034286E-2</v>
      </c>
      <c r="Y209" s="155">
        <f t="shared" si="163"/>
        <v>8.0151698446034286E-2</v>
      </c>
    </row>
    <row r="210" spans="3:27" x14ac:dyDescent="0.3">
      <c r="E210" s="29"/>
      <c r="F210" s="72"/>
      <c r="G210" s="28"/>
      <c r="H210" s="25"/>
      <c r="J210" s="145"/>
      <c r="K210" s="145"/>
      <c r="L210" s="145"/>
      <c r="M210" s="145"/>
      <c r="N210" s="145"/>
      <c r="O210" s="145"/>
      <c r="P210" s="145"/>
      <c r="Q210" s="145"/>
      <c r="R210" s="145"/>
      <c r="S210" s="145"/>
      <c r="T210" s="145"/>
      <c r="U210" s="145"/>
      <c r="V210" s="145"/>
      <c r="W210" s="145"/>
      <c r="X210" s="145"/>
      <c r="Y210" s="145"/>
    </row>
    <row r="211" spans="3:27" x14ac:dyDescent="0.3">
      <c r="E211" s="32" t="s">
        <v>486</v>
      </c>
      <c r="G211" s="28"/>
    </row>
    <row r="212" spans="3:27" x14ac:dyDescent="0.3">
      <c r="E212" s="29"/>
      <c r="F212" s="78" t="s">
        <v>465</v>
      </c>
      <c r="G212" s="64" t="s">
        <v>167</v>
      </c>
      <c r="H212" s="107"/>
      <c r="I212" s="23"/>
      <c r="J212" s="154">
        <f t="shared" ref="J212:K212" si="164">IF(J$20, $H162, $H159)</f>
        <v>0.61149906551342081</v>
      </c>
      <c r="K212" s="154">
        <f t="shared" si="164"/>
        <v>0.61149906551342081</v>
      </c>
      <c r="L212" s="154">
        <f t="shared" ref="L212:M212" si="165">IF(L$20, $H162, $H159)</f>
        <v>0.61149906551342081</v>
      </c>
      <c r="M212" s="154">
        <f t="shared" si="165"/>
        <v>0.61149906551342081</v>
      </c>
      <c r="N212" s="154">
        <f t="shared" ref="N212:P212" si="166">IF(N$20, $H162, $H159)</f>
        <v>0.61149906551342081</v>
      </c>
      <c r="O212" s="154">
        <f t="shared" si="166"/>
        <v>0.61149906551342081</v>
      </c>
      <c r="P212" s="154">
        <f t="shared" si="166"/>
        <v>0.61149906551342081</v>
      </c>
      <c r="Q212" s="154">
        <f t="shared" ref="Q212:S212" si="167">IF(Q$20, $H162, $H159)</f>
        <v>0.60075573288312512</v>
      </c>
      <c r="R212" s="154">
        <f t="shared" si="167"/>
        <v>0.61149906551342081</v>
      </c>
      <c r="S212" s="154">
        <f t="shared" si="167"/>
        <v>0.61149906551342081</v>
      </c>
      <c r="T212" s="154">
        <f t="shared" ref="T212:U212" si="168">IF(T$20, $H162, $H159)</f>
        <v>0.61149906551342081</v>
      </c>
      <c r="U212" s="154">
        <f t="shared" si="168"/>
        <v>0.61149906551342081</v>
      </c>
      <c r="V212" s="154">
        <f t="shared" ref="V212:W212" si="169">IF(V$20, $H162, $H159)</f>
        <v>0.61149906551342081</v>
      </c>
      <c r="W212" s="154">
        <f t="shared" si="169"/>
        <v>0.61149906551342081</v>
      </c>
      <c r="X212" s="154">
        <f t="shared" ref="X212:Y212" si="170">IF(X$20, $H162, $H159)</f>
        <v>0.61149906551342081</v>
      </c>
      <c r="Y212" s="154">
        <f t="shared" si="170"/>
        <v>0.61149906551342081</v>
      </c>
    </row>
    <row r="213" spans="3:27" x14ac:dyDescent="0.3">
      <c r="E213" s="29"/>
      <c r="F213" s="72" t="s">
        <v>466</v>
      </c>
      <c r="G213" s="28" t="s">
        <v>167</v>
      </c>
      <c r="H213" s="25"/>
      <c r="J213" s="145">
        <f t="shared" ref="J213:K213" si="171">IF(J$20, $H163, $H160)</f>
        <v>0.30834923604054471</v>
      </c>
      <c r="K213" s="145">
        <f t="shared" si="171"/>
        <v>0.30834923604054471</v>
      </c>
      <c r="L213" s="145">
        <f t="shared" ref="L213:M213" si="172">IF(L$20, $H163, $H160)</f>
        <v>0.30834923604054471</v>
      </c>
      <c r="M213" s="145">
        <f t="shared" si="172"/>
        <v>0.30834923604054471</v>
      </c>
      <c r="N213" s="145">
        <f t="shared" ref="N213:P213" si="173">IF(N$20, $H163, $H160)</f>
        <v>0.30834923604054471</v>
      </c>
      <c r="O213" s="145">
        <f t="shared" si="173"/>
        <v>0.30834923604054471</v>
      </c>
      <c r="P213" s="145">
        <f t="shared" si="173"/>
        <v>0.30834923604054471</v>
      </c>
      <c r="Q213" s="145">
        <f t="shared" ref="Q213:S213" si="174">IF(Q$20, $H163, $H160)</f>
        <v>0.31909256867084046</v>
      </c>
      <c r="R213" s="145">
        <f t="shared" si="174"/>
        <v>0.30834923604054471</v>
      </c>
      <c r="S213" s="145">
        <f t="shared" si="174"/>
        <v>0.30834923604054471</v>
      </c>
      <c r="T213" s="145">
        <f t="shared" ref="T213:U213" si="175">IF(T$20, $H163, $H160)</f>
        <v>0.30834923604054471</v>
      </c>
      <c r="U213" s="145">
        <f t="shared" si="175"/>
        <v>0.30834923604054471</v>
      </c>
      <c r="V213" s="145">
        <f t="shared" ref="V213:W213" si="176">IF(V$20, $H163, $H160)</f>
        <v>0.30834923604054471</v>
      </c>
      <c r="W213" s="145">
        <f t="shared" si="176"/>
        <v>0.30834923604054471</v>
      </c>
      <c r="X213" s="145">
        <f t="shared" ref="X213:Y213" si="177">IF(X$20, $H163, $H160)</f>
        <v>0.30834923604054471</v>
      </c>
      <c r="Y213" s="145">
        <f t="shared" si="177"/>
        <v>0.30834923604054471</v>
      </c>
    </row>
    <row r="214" spans="3:27" x14ac:dyDescent="0.3">
      <c r="E214" s="29"/>
      <c r="F214" s="80" t="s">
        <v>257</v>
      </c>
      <c r="G214" s="67" t="s">
        <v>167</v>
      </c>
      <c r="H214" s="141"/>
      <c r="I214" s="37"/>
      <c r="J214" s="155">
        <f t="shared" ref="J214:K214" si="178">IF(J$20, $H164, $H161)</f>
        <v>8.0151698446034286E-2</v>
      </c>
      <c r="K214" s="155">
        <f t="shared" si="178"/>
        <v>8.0151698446034286E-2</v>
      </c>
      <c r="L214" s="155">
        <f t="shared" ref="L214:M214" si="179">IF(L$20, $H164, $H161)</f>
        <v>8.0151698446034286E-2</v>
      </c>
      <c r="M214" s="155">
        <f t="shared" si="179"/>
        <v>8.0151698446034286E-2</v>
      </c>
      <c r="N214" s="155">
        <f t="shared" ref="N214:P214" si="180">IF(N$20, $H164, $H161)</f>
        <v>8.0151698446034286E-2</v>
      </c>
      <c r="O214" s="155">
        <f t="shared" si="180"/>
        <v>8.0151698446034286E-2</v>
      </c>
      <c r="P214" s="155">
        <f t="shared" si="180"/>
        <v>8.0151698446034286E-2</v>
      </c>
      <c r="Q214" s="155">
        <f t="shared" ref="Q214:S214" si="181">IF(Q$20, $H164, $H161)</f>
        <v>8.0151698446034286E-2</v>
      </c>
      <c r="R214" s="155">
        <f t="shared" si="181"/>
        <v>8.0151698446034286E-2</v>
      </c>
      <c r="S214" s="155">
        <f t="shared" si="181"/>
        <v>8.0151698446034286E-2</v>
      </c>
      <c r="T214" s="155">
        <f t="shared" ref="T214:U214" si="182">IF(T$20, $H164, $H161)</f>
        <v>8.0151698446034286E-2</v>
      </c>
      <c r="U214" s="155">
        <f t="shared" si="182"/>
        <v>8.0151698446034286E-2</v>
      </c>
      <c r="V214" s="155">
        <f t="shared" ref="V214:W214" si="183">IF(V$20, $H164, $H161)</f>
        <v>8.0151698446034286E-2</v>
      </c>
      <c r="W214" s="155">
        <f t="shared" si="183"/>
        <v>8.0151698446034286E-2</v>
      </c>
      <c r="X214" s="155">
        <f t="shared" ref="X214:Y214" si="184">IF(X$20, $H164, $H161)</f>
        <v>8.0151698446034286E-2</v>
      </c>
      <c r="Y214" s="155">
        <f t="shared" si="184"/>
        <v>8.0151698446034286E-2</v>
      </c>
    </row>
    <row r="215" spans="3:27" x14ac:dyDescent="0.3">
      <c r="E215" s="29"/>
      <c r="F215" s="72"/>
      <c r="G215" s="28"/>
      <c r="H215" s="25"/>
      <c r="J215" s="145"/>
      <c r="K215" s="145"/>
      <c r="L215" s="145"/>
      <c r="M215" s="145"/>
      <c r="N215" s="145"/>
      <c r="O215" s="145"/>
      <c r="P215" s="145"/>
      <c r="Q215" s="145"/>
      <c r="R215" s="145"/>
      <c r="S215" s="145"/>
      <c r="T215" s="145"/>
      <c r="U215" s="145"/>
      <c r="V215" s="145"/>
      <c r="W215" s="145"/>
      <c r="X215" s="145"/>
      <c r="Y215" s="145"/>
    </row>
    <row r="216" spans="3:27" x14ac:dyDescent="0.3">
      <c r="E216" s="32" t="s">
        <v>487</v>
      </c>
      <c r="G216" s="28"/>
    </row>
    <row r="217" spans="3:27" x14ac:dyDescent="0.3">
      <c r="E217" s="29"/>
      <c r="F217" s="78" t="s">
        <v>465</v>
      </c>
      <c r="G217" s="64" t="s">
        <v>167</v>
      </c>
      <c r="H217" s="107"/>
      <c r="I217" s="23"/>
      <c r="J217" s="154">
        <f t="shared" ref="J217:K217" si="185">IF(J$20, $H170, $H167)</f>
        <v>0.61149906551342081</v>
      </c>
      <c r="K217" s="154">
        <f t="shared" si="185"/>
        <v>0.61149906551342081</v>
      </c>
      <c r="L217" s="154">
        <f t="shared" ref="L217:M217" si="186">IF(L$20, $H170, $H167)</f>
        <v>0.61149906551342081</v>
      </c>
      <c r="M217" s="154">
        <f t="shared" si="186"/>
        <v>0.61149906551342081</v>
      </c>
      <c r="N217" s="154">
        <f t="shared" ref="N217:P217" si="187">IF(N$20, $H170, $H167)</f>
        <v>0.61149906551342081</v>
      </c>
      <c r="O217" s="154">
        <f t="shared" si="187"/>
        <v>0.61149906551342081</v>
      </c>
      <c r="P217" s="154">
        <f t="shared" si="187"/>
        <v>0.61149906551342081</v>
      </c>
      <c r="Q217" s="154">
        <f t="shared" ref="Q217:S217" si="188">IF(Q$20, $H170, $H167)</f>
        <v>0.60075573288312512</v>
      </c>
      <c r="R217" s="154">
        <f t="shared" si="188"/>
        <v>0.61149906551342081</v>
      </c>
      <c r="S217" s="154">
        <f t="shared" si="188"/>
        <v>0.61149906551342081</v>
      </c>
      <c r="T217" s="154">
        <f t="shared" ref="T217:U217" si="189">IF(T$20, $H170, $H167)</f>
        <v>0.61149906551342081</v>
      </c>
      <c r="U217" s="154">
        <f t="shared" si="189"/>
        <v>0.61149906551342081</v>
      </c>
      <c r="V217" s="154">
        <f t="shared" ref="V217:W217" si="190">IF(V$20, $H170, $H167)</f>
        <v>0.61149906551342081</v>
      </c>
      <c r="W217" s="154">
        <f t="shared" si="190"/>
        <v>0.61149906551342081</v>
      </c>
      <c r="X217" s="154">
        <f t="shared" ref="X217:Y217" si="191">IF(X$20, $H170, $H167)</f>
        <v>0.61149906551342081</v>
      </c>
      <c r="Y217" s="154">
        <f t="shared" si="191"/>
        <v>0.61149906551342081</v>
      </c>
    </row>
    <row r="218" spans="3:27" x14ac:dyDescent="0.3">
      <c r="E218" s="29"/>
      <c r="F218" s="72" t="s">
        <v>466</v>
      </c>
      <c r="G218" s="28" t="s">
        <v>167</v>
      </c>
      <c r="H218" s="25"/>
      <c r="J218" s="145">
        <f t="shared" ref="J218:K218" si="192">IF(J$20, $H171, $H168)</f>
        <v>0.30834923604054471</v>
      </c>
      <c r="K218" s="145">
        <f t="shared" si="192"/>
        <v>0.30834923604054471</v>
      </c>
      <c r="L218" s="145">
        <f t="shared" ref="L218:M218" si="193">IF(L$20, $H171, $H168)</f>
        <v>0.30834923604054471</v>
      </c>
      <c r="M218" s="145">
        <f t="shared" si="193"/>
        <v>0.30834923604054471</v>
      </c>
      <c r="N218" s="145">
        <f t="shared" ref="N218:P218" si="194">IF(N$20, $H171, $H168)</f>
        <v>0.30834923604054471</v>
      </c>
      <c r="O218" s="145">
        <f t="shared" si="194"/>
        <v>0.30834923604054471</v>
      </c>
      <c r="P218" s="145">
        <f t="shared" si="194"/>
        <v>0.30834923604054471</v>
      </c>
      <c r="Q218" s="145">
        <f t="shared" ref="Q218:S218" si="195">IF(Q$20, $H171, $H168)</f>
        <v>0.31909256867084046</v>
      </c>
      <c r="R218" s="145">
        <f t="shared" si="195"/>
        <v>0.30834923604054471</v>
      </c>
      <c r="S218" s="145">
        <f t="shared" si="195"/>
        <v>0.30834923604054471</v>
      </c>
      <c r="T218" s="145">
        <f t="shared" ref="T218:U218" si="196">IF(T$20, $H171, $H168)</f>
        <v>0.30834923604054471</v>
      </c>
      <c r="U218" s="145">
        <f t="shared" si="196"/>
        <v>0.30834923604054471</v>
      </c>
      <c r="V218" s="145">
        <f t="shared" ref="V218:W218" si="197">IF(V$20, $H171, $H168)</f>
        <v>0.30834923604054471</v>
      </c>
      <c r="W218" s="145">
        <f t="shared" si="197"/>
        <v>0.30834923604054471</v>
      </c>
      <c r="X218" s="145">
        <f t="shared" ref="X218:Y218" si="198">IF(X$20, $H171, $H168)</f>
        <v>0.30834923604054471</v>
      </c>
      <c r="Y218" s="145">
        <f t="shared" si="198"/>
        <v>0.30834923604054471</v>
      </c>
    </row>
    <row r="219" spans="3:27" x14ac:dyDescent="0.3">
      <c r="E219" s="29"/>
      <c r="F219" s="80" t="s">
        <v>257</v>
      </c>
      <c r="G219" s="67" t="s">
        <v>167</v>
      </c>
      <c r="H219" s="141"/>
      <c r="I219" s="37"/>
      <c r="J219" s="155">
        <f t="shared" ref="J219:K219" si="199">IF(J$20, $H172, $H169)</f>
        <v>8.0151698446034286E-2</v>
      </c>
      <c r="K219" s="155">
        <f t="shared" si="199"/>
        <v>8.0151698446034286E-2</v>
      </c>
      <c r="L219" s="155">
        <f t="shared" ref="L219:M219" si="200">IF(L$20, $H172, $H169)</f>
        <v>8.0151698446034286E-2</v>
      </c>
      <c r="M219" s="155">
        <f t="shared" si="200"/>
        <v>8.0151698446034286E-2</v>
      </c>
      <c r="N219" s="155">
        <f t="shared" ref="N219:P219" si="201">IF(N$20, $H172, $H169)</f>
        <v>8.0151698446034286E-2</v>
      </c>
      <c r="O219" s="155">
        <f t="shared" si="201"/>
        <v>8.0151698446034286E-2</v>
      </c>
      <c r="P219" s="155">
        <f t="shared" si="201"/>
        <v>8.0151698446034286E-2</v>
      </c>
      <c r="Q219" s="155">
        <f t="shared" ref="Q219:S219" si="202">IF(Q$20, $H172, $H169)</f>
        <v>8.0151698446034286E-2</v>
      </c>
      <c r="R219" s="155">
        <f t="shared" si="202"/>
        <v>8.0151698446034286E-2</v>
      </c>
      <c r="S219" s="155">
        <f t="shared" si="202"/>
        <v>8.0151698446034286E-2</v>
      </c>
      <c r="T219" s="155">
        <f t="shared" ref="T219:U219" si="203">IF(T$20, $H172, $H169)</f>
        <v>8.0151698446034286E-2</v>
      </c>
      <c r="U219" s="155">
        <f t="shared" si="203"/>
        <v>8.0151698446034286E-2</v>
      </c>
      <c r="V219" s="155">
        <f t="shared" ref="V219:W219" si="204">IF(V$20, $H172, $H169)</f>
        <v>8.0151698446034286E-2</v>
      </c>
      <c r="W219" s="155">
        <f t="shared" si="204"/>
        <v>8.0151698446034286E-2</v>
      </c>
      <c r="X219" s="155">
        <f t="shared" ref="X219:Y219" si="205">IF(X$20, $H172, $H169)</f>
        <v>8.0151698446034286E-2</v>
      </c>
      <c r="Y219" s="155">
        <f t="shared" si="205"/>
        <v>8.0151698446034286E-2</v>
      </c>
    </row>
    <row r="220" spans="3:27" x14ac:dyDescent="0.3">
      <c r="D220" s="29"/>
      <c r="E220" s="72"/>
      <c r="G220" s="28"/>
      <c r="H220" s="25"/>
      <c r="J220" s="145"/>
      <c r="K220" s="145"/>
      <c r="L220" s="145"/>
      <c r="M220" s="145"/>
      <c r="N220" s="145"/>
      <c r="O220" s="145"/>
      <c r="P220" s="145"/>
      <c r="Q220" s="145"/>
      <c r="R220" s="145"/>
      <c r="S220" s="145"/>
      <c r="T220" s="145"/>
      <c r="U220" s="145"/>
      <c r="V220" s="145"/>
      <c r="W220" s="145"/>
      <c r="X220" s="145"/>
      <c r="Y220" s="145"/>
    </row>
    <row r="221" spans="3:27" x14ac:dyDescent="0.3">
      <c r="C221" s="31" t="str">
        <f ca="1">INDEX('Version control'!$H$34:$H$57,MATCH($A$1,'Version control'!$F$34:$F$57,0),1)&amp;"-J: Ratio of coincidence factor to load factor, based on uniform distribution in timebands and peaking probabilities"</f>
        <v>Section 105-J: Ratio of coincidence factor to load factor, based on uniform distribution in timebands and peaking probabilities</v>
      </c>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row>
    <row r="222" spans="3:27" x14ac:dyDescent="0.3">
      <c r="D222" s="29"/>
      <c r="E222" s="72"/>
      <c r="G222" s="28"/>
      <c r="H222" s="25"/>
      <c r="J222" s="145"/>
      <c r="K222" s="145"/>
      <c r="L222" s="145"/>
      <c r="M222" s="145"/>
      <c r="N222" s="145"/>
      <c r="O222" s="145"/>
      <c r="P222" s="145"/>
      <c r="Q222" s="145"/>
      <c r="R222" s="145"/>
      <c r="S222" s="145"/>
      <c r="T222" s="145"/>
      <c r="U222" s="145"/>
      <c r="V222" s="145"/>
      <c r="W222" s="145"/>
      <c r="X222" s="145"/>
      <c r="Y222" s="145"/>
    </row>
    <row r="223" spans="3:27" x14ac:dyDescent="0.3">
      <c r="E223" s="32" t="s">
        <v>488</v>
      </c>
      <c r="G223" s="28"/>
    </row>
    <row r="224" spans="3:27" x14ac:dyDescent="0.3">
      <c r="F224" s="64" t="s">
        <v>465</v>
      </c>
      <c r="G224" s="64" t="s">
        <v>489</v>
      </c>
      <c r="H224" s="23"/>
      <c r="I224" s="23"/>
      <c r="J224" s="158">
        <f t="shared" ref="J224:Y224" si="206">1 / J24</f>
        <v>1.277139208173691E-3</v>
      </c>
      <c r="K224" s="158">
        <f t="shared" si="206"/>
        <v>1.277139208173691E-3</v>
      </c>
      <c r="L224" s="158">
        <f t="shared" si="206"/>
        <v>1.277139208173691E-3</v>
      </c>
      <c r="M224" s="158">
        <f t="shared" si="206"/>
        <v>1.277139208173691E-3</v>
      </c>
      <c r="N224" s="158">
        <f t="shared" si="206"/>
        <v>1.277139208173691E-3</v>
      </c>
      <c r="O224" s="158">
        <f t="shared" si="206"/>
        <v>1.277139208173691E-3</v>
      </c>
      <c r="P224" s="158">
        <f t="shared" si="206"/>
        <v>1.277139208173691E-3</v>
      </c>
      <c r="Q224" s="158">
        <f t="shared" si="206"/>
        <v>3.875968992248062E-3</v>
      </c>
      <c r="R224" s="158">
        <f t="shared" si="206"/>
        <v>1.277139208173691E-3</v>
      </c>
      <c r="S224" s="158">
        <f t="shared" si="206"/>
        <v>1.277139208173691E-3</v>
      </c>
      <c r="T224" s="158">
        <f t="shared" si="206"/>
        <v>1.277139208173691E-3</v>
      </c>
      <c r="U224" s="158">
        <f t="shared" si="206"/>
        <v>1.277139208173691E-3</v>
      </c>
      <c r="V224" s="158">
        <f t="shared" si="206"/>
        <v>1.277139208173691E-3</v>
      </c>
      <c r="W224" s="158">
        <f t="shared" si="206"/>
        <v>1.277139208173691E-3</v>
      </c>
      <c r="X224" s="158">
        <f t="shared" si="206"/>
        <v>1.277139208173691E-3</v>
      </c>
      <c r="Y224" s="158">
        <f t="shared" si="206"/>
        <v>1.277139208173691E-3</v>
      </c>
    </row>
    <row r="225" spans="5:25" x14ac:dyDescent="0.3">
      <c r="F225" s="28" t="s">
        <v>466</v>
      </c>
      <c r="G225" s="28" t="s">
        <v>489</v>
      </c>
      <c r="J225" s="89">
        <f t="shared" ref="J225:Y225" si="207">1 / J25</f>
        <v>3.6489691662105453E-4</v>
      </c>
      <c r="K225" s="89">
        <f t="shared" si="207"/>
        <v>3.6489691662105453E-4</v>
      </c>
      <c r="L225" s="89">
        <f t="shared" si="207"/>
        <v>3.6489691662105453E-4</v>
      </c>
      <c r="M225" s="89">
        <f t="shared" si="207"/>
        <v>3.6489691662105453E-4</v>
      </c>
      <c r="N225" s="89">
        <f t="shared" si="207"/>
        <v>3.6489691662105453E-4</v>
      </c>
      <c r="O225" s="89">
        <f t="shared" si="207"/>
        <v>3.6489691662105453E-4</v>
      </c>
      <c r="P225" s="89">
        <f t="shared" si="207"/>
        <v>3.6489691662105453E-4</v>
      </c>
      <c r="Q225" s="89">
        <f t="shared" si="207"/>
        <v>3.062318174858368E-4</v>
      </c>
      <c r="R225" s="89">
        <f t="shared" si="207"/>
        <v>3.6489691662105453E-4</v>
      </c>
      <c r="S225" s="89">
        <f t="shared" si="207"/>
        <v>3.6489691662105453E-4</v>
      </c>
      <c r="T225" s="89">
        <f t="shared" si="207"/>
        <v>3.6489691662105453E-4</v>
      </c>
      <c r="U225" s="89">
        <f t="shared" si="207"/>
        <v>3.6489691662105453E-4</v>
      </c>
      <c r="V225" s="89">
        <f t="shared" si="207"/>
        <v>3.6489691662105453E-4</v>
      </c>
      <c r="W225" s="89">
        <f t="shared" si="207"/>
        <v>3.6489691662105453E-4</v>
      </c>
      <c r="X225" s="89">
        <f t="shared" si="207"/>
        <v>3.6489691662105453E-4</v>
      </c>
      <c r="Y225" s="89">
        <f t="shared" si="207"/>
        <v>3.6489691662105453E-4</v>
      </c>
    </row>
    <row r="226" spans="5:25" x14ac:dyDescent="0.3">
      <c r="F226" s="67" t="s">
        <v>257</v>
      </c>
      <c r="G226" s="67" t="s">
        <v>489</v>
      </c>
      <c r="H226" s="37"/>
      <c r="I226" s="37"/>
      <c r="J226" s="82">
        <f t="shared" ref="J226:Y226" si="208">1 / J26</f>
        <v>1.9096724911677647E-4</v>
      </c>
      <c r="K226" s="82">
        <f t="shared" si="208"/>
        <v>1.9096724911677647E-4</v>
      </c>
      <c r="L226" s="82">
        <f t="shared" si="208"/>
        <v>1.9096724911677647E-4</v>
      </c>
      <c r="M226" s="82">
        <f t="shared" si="208"/>
        <v>1.9096724911677647E-4</v>
      </c>
      <c r="N226" s="82">
        <f t="shared" si="208"/>
        <v>1.9096724911677647E-4</v>
      </c>
      <c r="O226" s="82">
        <f t="shared" si="208"/>
        <v>1.9096724911677647E-4</v>
      </c>
      <c r="P226" s="82">
        <f t="shared" si="208"/>
        <v>1.9096724911677647E-4</v>
      </c>
      <c r="Q226" s="82">
        <f t="shared" si="208"/>
        <v>1.9096724911677647E-4</v>
      </c>
      <c r="R226" s="82">
        <f t="shared" si="208"/>
        <v>1.9096724911677647E-4</v>
      </c>
      <c r="S226" s="82">
        <f t="shared" si="208"/>
        <v>1.9096724911677647E-4</v>
      </c>
      <c r="T226" s="82">
        <f t="shared" si="208"/>
        <v>1.9096724911677647E-4</v>
      </c>
      <c r="U226" s="82">
        <f t="shared" si="208"/>
        <v>1.9096724911677647E-4</v>
      </c>
      <c r="V226" s="82">
        <f t="shared" si="208"/>
        <v>1.9096724911677647E-4</v>
      </c>
      <c r="W226" s="82">
        <f t="shared" si="208"/>
        <v>1.9096724911677647E-4</v>
      </c>
      <c r="X226" s="82">
        <f t="shared" si="208"/>
        <v>1.9096724911677647E-4</v>
      </c>
      <c r="Y226" s="82">
        <f t="shared" si="208"/>
        <v>1.9096724911677647E-4</v>
      </c>
    </row>
    <row r="227" spans="5:25" x14ac:dyDescent="0.3">
      <c r="G227" s="28"/>
      <c r="J227" s="89"/>
      <c r="K227" s="89"/>
      <c r="L227" s="89"/>
      <c r="M227" s="89"/>
      <c r="N227" s="89"/>
      <c r="O227" s="89"/>
      <c r="P227" s="89"/>
      <c r="Q227" s="89"/>
      <c r="R227" s="89"/>
      <c r="S227" s="89"/>
      <c r="T227" s="89"/>
      <c r="U227" s="89"/>
      <c r="V227" s="89"/>
      <c r="W227" s="89"/>
      <c r="X227" s="89"/>
      <c r="Y227" s="89"/>
    </row>
    <row r="228" spans="5:25" x14ac:dyDescent="0.3">
      <c r="E228" s="32" t="s">
        <v>156</v>
      </c>
      <c r="G228" s="28"/>
      <c r="J228" s="89"/>
      <c r="K228" s="89"/>
      <c r="L228" s="89"/>
      <c r="M228" s="89"/>
      <c r="N228" s="89"/>
      <c r="O228" s="89"/>
      <c r="P228" s="89"/>
      <c r="Q228" s="89"/>
      <c r="R228" s="89"/>
      <c r="S228" s="89"/>
      <c r="T228" s="89"/>
      <c r="U228" s="89"/>
      <c r="V228" s="89"/>
      <c r="W228" s="89"/>
      <c r="X228" s="89"/>
      <c r="Y228" s="89"/>
    </row>
    <row r="229" spans="5:25" x14ac:dyDescent="0.3">
      <c r="F229" s="159" t="s">
        <v>191</v>
      </c>
      <c r="G229" s="64" t="s">
        <v>283</v>
      </c>
      <c r="H229" s="23"/>
      <c r="I229" s="23"/>
      <c r="J229" s="153">
        <f>J177 * J$224 * hours_in_year</f>
        <v>7.6034304864135018</v>
      </c>
      <c r="K229" s="153">
        <f t="shared" ref="K229:Y229" si="209">K177 * K$224 * hours_in_year</f>
        <v>7.6034304864135018</v>
      </c>
      <c r="L229" s="153">
        <f t="shared" si="209"/>
        <v>7.6034304864135018</v>
      </c>
      <c r="M229" s="153">
        <f t="shared" si="209"/>
        <v>7.6034304864135018</v>
      </c>
      <c r="N229" s="153">
        <f t="shared" si="209"/>
        <v>7.6034304864135018</v>
      </c>
      <c r="O229" s="153">
        <f t="shared" si="209"/>
        <v>7.6034304864135018</v>
      </c>
      <c r="P229" s="153">
        <f t="shared" si="209"/>
        <v>7.6034304864135018</v>
      </c>
      <c r="Q229" s="153">
        <f t="shared" si="209"/>
        <v>17.693944613214313</v>
      </c>
      <c r="R229" s="153">
        <f t="shared" si="209"/>
        <v>7.6034304864135018</v>
      </c>
      <c r="S229" s="153">
        <f t="shared" si="209"/>
        <v>7.6034304864135018</v>
      </c>
      <c r="T229" s="153">
        <f t="shared" si="209"/>
        <v>7.6034304864135018</v>
      </c>
      <c r="U229" s="153">
        <f t="shared" si="209"/>
        <v>7.6034304864135018</v>
      </c>
      <c r="V229" s="153">
        <f t="shared" si="209"/>
        <v>7.6034304864135018</v>
      </c>
      <c r="W229" s="153">
        <f t="shared" si="209"/>
        <v>7.6034304864135018</v>
      </c>
      <c r="X229" s="153">
        <f t="shared" si="209"/>
        <v>7.6034304864135018</v>
      </c>
      <c r="Y229" s="153">
        <f t="shared" si="209"/>
        <v>7.6034304864135018</v>
      </c>
    </row>
    <row r="230" spans="5:25" x14ac:dyDescent="0.3">
      <c r="F230" s="160" t="s">
        <v>192</v>
      </c>
      <c r="G230" s="28" t="s">
        <v>283</v>
      </c>
      <c r="J230" s="153">
        <f t="shared" ref="J230:Y230" si="210">J182 * J224 * hours_in_year</f>
        <v>6.4060899450085209</v>
      </c>
      <c r="K230" s="153">
        <f t="shared" si="210"/>
        <v>6.4060899450085209</v>
      </c>
      <c r="L230" s="153">
        <f t="shared" si="210"/>
        <v>6.4060899450085209</v>
      </c>
      <c r="M230" s="153">
        <f t="shared" si="210"/>
        <v>6.4060899450085209</v>
      </c>
      <c r="N230" s="153">
        <f t="shared" si="210"/>
        <v>6.4060899450085209</v>
      </c>
      <c r="O230" s="153">
        <f t="shared" si="210"/>
        <v>6.4060899450085209</v>
      </c>
      <c r="P230" s="153">
        <f t="shared" si="210"/>
        <v>6.4060899450085209</v>
      </c>
      <c r="Q230" s="153">
        <f t="shared" si="210"/>
        <v>18.963667225609452</v>
      </c>
      <c r="R230" s="153">
        <f t="shared" si="210"/>
        <v>6.4060899450085209</v>
      </c>
      <c r="S230" s="153">
        <f t="shared" si="210"/>
        <v>6.4060899450085209</v>
      </c>
      <c r="T230" s="153">
        <f t="shared" si="210"/>
        <v>6.4060899450085209</v>
      </c>
      <c r="U230" s="153">
        <f t="shared" si="210"/>
        <v>6.4060899450085209</v>
      </c>
      <c r="V230" s="153">
        <f t="shared" si="210"/>
        <v>6.4060899450085209</v>
      </c>
      <c r="W230" s="153">
        <f t="shared" si="210"/>
        <v>6.4060899450085209</v>
      </c>
      <c r="X230" s="153">
        <f t="shared" si="210"/>
        <v>6.4060899450085209</v>
      </c>
      <c r="Y230" s="153">
        <f t="shared" si="210"/>
        <v>6.4060899450085209</v>
      </c>
    </row>
    <row r="231" spans="5:25" x14ac:dyDescent="0.3">
      <c r="F231" s="160" t="s">
        <v>193</v>
      </c>
      <c r="G231" s="28" t="s">
        <v>283</v>
      </c>
      <c r="J231" s="153">
        <f t="shared" ref="J231:Y231" si="211">J187 * J224 * hours_in_year</f>
        <v>6.4060899450085209</v>
      </c>
      <c r="K231" s="153">
        <f t="shared" si="211"/>
        <v>6.4060899450085209</v>
      </c>
      <c r="L231" s="153">
        <f t="shared" si="211"/>
        <v>6.4060899450085209</v>
      </c>
      <c r="M231" s="153">
        <f t="shared" si="211"/>
        <v>6.4060899450085209</v>
      </c>
      <c r="N231" s="153">
        <f t="shared" si="211"/>
        <v>6.4060899450085209</v>
      </c>
      <c r="O231" s="153">
        <f t="shared" si="211"/>
        <v>6.4060899450085209</v>
      </c>
      <c r="P231" s="153">
        <f t="shared" si="211"/>
        <v>6.4060899450085209</v>
      </c>
      <c r="Q231" s="153">
        <f t="shared" si="211"/>
        <v>18.963667225609452</v>
      </c>
      <c r="R231" s="153">
        <f t="shared" si="211"/>
        <v>6.4060899450085209</v>
      </c>
      <c r="S231" s="153">
        <f t="shared" si="211"/>
        <v>6.4060899450085209</v>
      </c>
      <c r="T231" s="153">
        <f t="shared" si="211"/>
        <v>6.4060899450085209</v>
      </c>
      <c r="U231" s="153">
        <f t="shared" si="211"/>
        <v>6.4060899450085209</v>
      </c>
      <c r="V231" s="153">
        <f t="shared" si="211"/>
        <v>6.4060899450085209</v>
      </c>
      <c r="W231" s="153">
        <f t="shared" si="211"/>
        <v>6.4060899450085209</v>
      </c>
      <c r="X231" s="153">
        <f t="shared" si="211"/>
        <v>6.4060899450085209</v>
      </c>
      <c r="Y231" s="153">
        <f t="shared" si="211"/>
        <v>6.4060899450085209</v>
      </c>
    </row>
    <row r="232" spans="5:25" x14ac:dyDescent="0.3">
      <c r="F232" s="160" t="s">
        <v>194</v>
      </c>
      <c r="G232" s="28" t="s">
        <v>283</v>
      </c>
      <c r="J232" s="153">
        <f t="shared" ref="J232:Y232" si="212">J192 * J224 * hours_in_year</f>
        <v>6.8412922271999577</v>
      </c>
      <c r="K232" s="153">
        <f t="shared" si="212"/>
        <v>6.8412922271999577</v>
      </c>
      <c r="L232" s="153">
        <f t="shared" si="212"/>
        <v>6.8412922271999577</v>
      </c>
      <c r="M232" s="153">
        <f t="shared" si="212"/>
        <v>6.8412922271999577</v>
      </c>
      <c r="N232" s="153">
        <f t="shared" si="212"/>
        <v>6.8412922271999577</v>
      </c>
      <c r="O232" s="153">
        <f t="shared" si="212"/>
        <v>6.8412922271999577</v>
      </c>
      <c r="P232" s="153">
        <f t="shared" si="212"/>
        <v>6.8412922271999577</v>
      </c>
      <c r="Q232" s="153">
        <f t="shared" si="212"/>
        <v>20.397752790915408</v>
      </c>
      <c r="R232" s="153">
        <f t="shared" si="212"/>
        <v>6.8412922271999577</v>
      </c>
      <c r="S232" s="153">
        <f t="shared" si="212"/>
        <v>6.8412922271999577</v>
      </c>
      <c r="T232" s="153">
        <f t="shared" si="212"/>
        <v>6.8412922271999577</v>
      </c>
      <c r="U232" s="153">
        <f t="shared" si="212"/>
        <v>6.8412922271999577</v>
      </c>
      <c r="V232" s="153">
        <f t="shared" si="212"/>
        <v>6.8412922271999577</v>
      </c>
      <c r="W232" s="153">
        <f t="shared" si="212"/>
        <v>6.8412922271999577</v>
      </c>
      <c r="X232" s="153">
        <f t="shared" si="212"/>
        <v>6.8412922271999577</v>
      </c>
      <c r="Y232" s="153">
        <f t="shared" si="212"/>
        <v>6.8412922271999577</v>
      </c>
    </row>
    <row r="233" spans="5:25" x14ac:dyDescent="0.3">
      <c r="F233" s="160" t="s">
        <v>195</v>
      </c>
      <c r="G233" s="28" t="s">
        <v>283</v>
      </c>
      <c r="J233" s="153">
        <f t="shared" ref="J233:Y233" si="213">J197 * J224 * hours_in_year</f>
        <v>6.8412922271999577</v>
      </c>
      <c r="K233" s="153">
        <f t="shared" si="213"/>
        <v>6.8412922271999577</v>
      </c>
      <c r="L233" s="153">
        <f t="shared" si="213"/>
        <v>6.8412922271999577</v>
      </c>
      <c r="M233" s="153">
        <f t="shared" si="213"/>
        <v>6.8412922271999577</v>
      </c>
      <c r="N233" s="153">
        <f t="shared" si="213"/>
        <v>6.8412922271999577</v>
      </c>
      <c r="O233" s="153">
        <f t="shared" si="213"/>
        <v>6.8412922271999577</v>
      </c>
      <c r="P233" s="153">
        <f t="shared" si="213"/>
        <v>6.8412922271999577</v>
      </c>
      <c r="Q233" s="153">
        <f t="shared" si="213"/>
        <v>20.397752790915408</v>
      </c>
      <c r="R233" s="153">
        <f t="shared" si="213"/>
        <v>6.8412922271999577</v>
      </c>
      <c r="S233" s="153">
        <f t="shared" si="213"/>
        <v>6.8412922271999577</v>
      </c>
      <c r="T233" s="153">
        <f t="shared" si="213"/>
        <v>6.8412922271999577</v>
      </c>
      <c r="U233" s="153">
        <f t="shared" si="213"/>
        <v>6.8412922271999577</v>
      </c>
      <c r="V233" s="153">
        <f t="shared" si="213"/>
        <v>6.8412922271999577</v>
      </c>
      <c r="W233" s="153">
        <f t="shared" si="213"/>
        <v>6.8412922271999577</v>
      </c>
      <c r="X233" s="153">
        <f t="shared" si="213"/>
        <v>6.8412922271999577</v>
      </c>
      <c r="Y233" s="153">
        <f t="shared" si="213"/>
        <v>6.8412922271999577</v>
      </c>
    </row>
    <row r="234" spans="5:25" x14ac:dyDescent="0.3">
      <c r="F234" s="160" t="s">
        <v>196</v>
      </c>
      <c r="G234" s="28" t="s">
        <v>283</v>
      </c>
      <c r="J234" s="153">
        <f t="shared" ref="J234:Y234" si="214">J202 * J224 * hours_in_year</f>
        <v>6.4060899450085209</v>
      </c>
      <c r="K234" s="153">
        <f t="shared" si="214"/>
        <v>6.4060899450085209</v>
      </c>
      <c r="L234" s="153">
        <f t="shared" si="214"/>
        <v>6.4060899450085209</v>
      </c>
      <c r="M234" s="153">
        <f t="shared" si="214"/>
        <v>6.4060899450085209</v>
      </c>
      <c r="N234" s="153">
        <f t="shared" si="214"/>
        <v>6.4060899450085209</v>
      </c>
      <c r="O234" s="153">
        <f t="shared" si="214"/>
        <v>6.4060899450085209</v>
      </c>
      <c r="P234" s="153">
        <f t="shared" si="214"/>
        <v>6.4060899450085209</v>
      </c>
      <c r="Q234" s="153">
        <f t="shared" si="214"/>
        <v>18.963667225609452</v>
      </c>
      <c r="R234" s="153">
        <f t="shared" si="214"/>
        <v>6.4060899450085209</v>
      </c>
      <c r="S234" s="153">
        <f t="shared" si="214"/>
        <v>6.4060899450085209</v>
      </c>
      <c r="T234" s="153">
        <f t="shared" si="214"/>
        <v>6.4060899450085209</v>
      </c>
      <c r="U234" s="153">
        <f t="shared" si="214"/>
        <v>6.4060899450085209</v>
      </c>
      <c r="V234" s="153">
        <f t="shared" si="214"/>
        <v>6.4060899450085209</v>
      </c>
      <c r="W234" s="153">
        <f t="shared" si="214"/>
        <v>6.4060899450085209</v>
      </c>
      <c r="X234" s="153">
        <f t="shared" si="214"/>
        <v>6.4060899450085209</v>
      </c>
      <c r="Y234" s="153">
        <f t="shared" si="214"/>
        <v>6.4060899450085209</v>
      </c>
    </row>
    <row r="235" spans="5:25" x14ac:dyDescent="0.3">
      <c r="F235" s="160" t="s">
        <v>197</v>
      </c>
      <c r="G235" s="28" t="s">
        <v>283</v>
      </c>
      <c r="J235" s="153">
        <f t="shared" ref="J235:Y235" si="215">J207 * J224 * hours_in_year</f>
        <v>6.8412922271999577</v>
      </c>
      <c r="K235" s="153">
        <f t="shared" si="215"/>
        <v>6.8412922271999577</v>
      </c>
      <c r="L235" s="153">
        <f t="shared" si="215"/>
        <v>6.8412922271999577</v>
      </c>
      <c r="M235" s="153">
        <f t="shared" si="215"/>
        <v>6.8412922271999577</v>
      </c>
      <c r="N235" s="153">
        <f t="shared" si="215"/>
        <v>6.8412922271999577</v>
      </c>
      <c r="O235" s="153">
        <f t="shared" si="215"/>
        <v>6.8412922271999577</v>
      </c>
      <c r="P235" s="153">
        <f t="shared" si="215"/>
        <v>6.8412922271999577</v>
      </c>
      <c r="Q235" s="153">
        <f t="shared" si="215"/>
        <v>20.397752790915408</v>
      </c>
      <c r="R235" s="153">
        <f t="shared" si="215"/>
        <v>6.8412922271999577</v>
      </c>
      <c r="S235" s="153">
        <f t="shared" si="215"/>
        <v>6.8412922271999577</v>
      </c>
      <c r="T235" s="153">
        <f t="shared" si="215"/>
        <v>6.8412922271999577</v>
      </c>
      <c r="U235" s="153">
        <f t="shared" si="215"/>
        <v>6.8412922271999577</v>
      </c>
      <c r="V235" s="153">
        <f t="shared" si="215"/>
        <v>6.8412922271999577</v>
      </c>
      <c r="W235" s="153">
        <f t="shared" si="215"/>
        <v>6.8412922271999577</v>
      </c>
      <c r="X235" s="153">
        <f t="shared" si="215"/>
        <v>6.8412922271999577</v>
      </c>
      <c r="Y235" s="153">
        <f t="shared" si="215"/>
        <v>6.8412922271999577</v>
      </c>
    </row>
    <row r="236" spans="5:25" x14ac:dyDescent="0.3">
      <c r="F236" s="160" t="s">
        <v>198</v>
      </c>
      <c r="G236" s="28" t="s">
        <v>283</v>
      </c>
      <c r="J236" s="153">
        <f t="shared" ref="J236:Y236" si="216">J212 * J224 * hours_in_year</f>
        <v>6.8412922271999577</v>
      </c>
      <c r="K236" s="153">
        <f t="shared" si="216"/>
        <v>6.8412922271999577</v>
      </c>
      <c r="L236" s="153">
        <f t="shared" si="216"/>
        <v>6.8412922271999577</v>
      </c>
      <c r="M236" s="153">
        <f t="shared" si="216"/>
        <v>6.8412922271999577</v>
      </c>
      <c r="N236" s="153">
        <f t="shared" si="216"/>
        <v>6.8412922271999577</v>
      </c>
      <c r="O236" s="153">
        <f t="shared" si="216"/>
        <v>6.8412922271999577</v>
      </c>
      <c r="P236" s="153">
        <f t="shared" si="216"/>
        <v>6.8412922271999577</v>
      </c>
      <c r="Q236" s="153">
        <f t="shared" si="216"/>
        <v>20.397752790915408</v>
      </c>
      <c r="R236" s="153">
        <f t="shared" si="216"/>
        <v>6.8412922271999577</v>
      </c>
      <c r="S236" s="153">
        <f t="shared" si="216"/>
        <v>6.8412922271999577</v>
      </c>
      <c r="T236" s="153">
        <f t="shared" si="216"/>
        <v>6.8412922271999577</v>
      </c>
      <c r="U236" s="153">
        <f t="shared" si="216"/>
        <v>6.8412922271999577</v>
      </c>
      <c r="V236" s="153">
        <f t="shared" si="216"/>
        <v>6.8412922271999577</v>
      </c>
      <c r="W236" s="153">
        <f t="shared" si="216"/>
        <v>6.8412922271999577</v>
      </c>
      <c r="X236" s="153">
        <f t="shared" si="216"/>
        <v>6.8412922271999577</v>
      </c>
      <c r="Y236" s="153">
        <f t="shared" si="216"/>
        <v>6.8412922271999577</v>
      </c>
    </row>
    <row r="237" spans="5:25" x14ac:dyDescent="0.3">
      <c r="F237" s="161" t="s">
        <v>199</v>
      </c>
      <c r="G237" s="67" t="s">
        <v>283</v>
      </c>
      <c r="H237" s="37"/>
      <c r="I237" s="37"/>
      <c r="J237" s="153">
        <f t="shared" ref="J237:Y237" si="217">J217 * J224 * hours_in_year</f>
        <v>6.8412922271999577</v>
      </c>
      <c r="K237" s="153">
        <f t="shared" si="217"/>
        <v>6.8412922271999577</v>
      </c>
      <c r="L237" s="153">
        <f t="shared" si="217"/>
        <v>6.8412922271999577</v>
      </c>
      <c r="M237" s="153">
        <f t="shared" si="217"/>
        <v>6.8412922271999577</v>
      </c>
      <c r="N237" s="153">
        <f t="shared" si="217"/>
        <v>6.8412922271999577</v>
      </c>
      <c r="O237" s="153">
        <f t="shared" si="217"/>
        <v>6.8412922271999577</v>
      </c>
      <c r="P237" s="153">
        <f t="shared" si="217"/>
        <v>6.8412922271999577</v>
      </c>
      <c r="Q237" s="153">
        <f t="shared" si="217"/>
        <v>20.397752790915408</v>
      </c>
      <c r="R237" s="153">
        <f t="shared" si="217"/>
        <v>6.8412922271999577</v>
      </c>
      <c r="S237" s="153">
        <f t="shared" si="217"/>
        <v>6.8412922271999577</v>
      </c>
      <c r="T237" s="153">
        <f t="shared" si="217"/>
        <v>6.8412922271999577</v>
      </c>
      <c r="U237" s="153">
        <f t="shared" si="217"/>
        <v>6.8412922271999577</v>
      </c>
      <c r="V237" s="153">
        <f t="shared" si="217"/>
        <v>6.8412922271999577</v>
      </c>
      <c r="W237" s="153">
        <f t="shared" si="217"/>
        <v>6.8412922271999577</v>
      </c>
      <c r="X237" s="153">
        <f t="shared" si="217"/>
        <v>6.8412922271999577</v>
      </c>
      <c r="Y237" s="153">
        <f t="shared" si="217"/>
        <v>6.8412922271999577</v>
      </c>
    </row>
    <row r="238" spans="5:25" x14ac:dyDescent="0.3">
      <c r="G238" s="28"/>
      <c r="J238" s="98"/>
      <c r="K238" s="98"/>
      <c r="L238" s="98"/>
      <c r="M238" s="98"/>
      <c r="N238" s="98"/>
      <c r="O238" s="98"/>
      <c r="P238" s="98"/>
      <c r="Q238" s="98"/>
      <c r="R238" s="98"/>
      <c r="S238" s="98"/>
      <c r="T238" s="98"/>
      <c r="U238" s="98"/>
      <c r="V238" s="98"/>
      <c r="W238" s="98"/>
      <c r="X238" s="98"/>
      <c r="Y238" s="98"/>
    </row>
    <row r="239" spans="5:25" x14ac:dyDescent="0.3">
      <c r="E239" s="32" t="s">
        <v>157</v>
      </c>
      <c r="G239" s="28"/>
      <c r="J239" s="89"/>
      <c r="K239" s="89"/>
      <c r="L239" s="89"/>
      <c r="M239" s="89"/>
      <c r="N239" s="89"/>
      <c r="O239" s="89"/>
      <c r="P239" s="89"/>
      <c r="Q239" s="89"/>
      <c r="R239" s="89"/>
      <c r="S239" s="89"/>
      <c r="T239" s="89"/>
      <c r="U239" s="89"/>
      <c r="V239" s="89"/>
      <c r="W239" s="89"/>
      <c r="X239" s="89"/>
      <c r="Y239" s="89"/>
    </row>
    <row r="240" spans="5:25" x14ac:dyDescent="0.3">
      <c r="F240" s="64" t="s">
        <v>191</v>
      </c>
      <c r="G240" s="64" t="s">
        <v>283</v>
      </c>
      <c r="H240" s="23"/>
      <c r="I240" s="23"/>
      <c r="J240" s="153">
        <f t="shared" ref="J240:Y240" si="218">J178 * J225 * hours_in_year</f>
        <v>1.02408827919658</v>
      </c>
      <c r="K240" s="153">
        <f t="shared" si="218"/>
        <v>1.02408827919658</v>
      </c>
      <c r="L240" s="153">
        <f t="shared" si="218"/>
        <v>1.02408827919658</v>
      </c>
      <c r="M240" s="153">
        <f t="shared" si="218"/>
        <v>1.02408827919658</v>
      </c>
      <c r="N240" s="153">
        <f t="shared" si="218"/>
        <v>1.02408827919658</v>
      </c>
      <c r="O240" s="153">
        <f t="shared" si="218"/>
        <v>1.02408827919658</v>
      </c>
      <c r="P240" s="153">
        <f t="shared" si="218"/>
        <v>1.02408827919658</v>
      </c>
      <c r="Q240" s="153">
        <f t="shared" si="218"/>
        <v>1.2846309262871558</v>
      </c>
      <c r="R240" s="153">
        <f t="shared" si="218"/>
        <v>1.02408827919658</v>
      </c>
      <c r="S240" s="153">
        <f t="shared" si="218"/>
        <v>1.02408827919658</v>
      </c>
      <c r="T240" s="153">
        <f t="shared" si="218"/>
        <v>1.02408827919658</v>
      </c>
      <c r="U240" s="153">
        <f t="shared" si="218"/>
        <v>1.02408827919658</v>
      </c>
      <c r="V240" s="153">
        <f t="shared" si="218"/>
        <v>1.02408827919658</v>
      </c>
      <c r="W240" s="153">
        <f t="shared" si="218"/>
        <v>1.02408827919658</v>
      </c>
      <c r="X240" s="153">
        <f t="shared" si="218"/>
        <v>1.02408827919658</v>
      </c>
      <c r="Y240" s="153">
        <f t="shared" si="218"/>
        <v>1.02408827919658</v>
      </c>
    </row>
    <row r="241" spans="5:25" x14ac:dyDescent="0.3">
      <c r="F241" s="28" t="s">
        <v>192</v>
      </c>
      <c r="G241" s="28" t="s">
        <v>283</v>
      </c>
      <c r="J241" s="153">
        <f t="shared" ref="J241:Y241" si="219">J183 * J225 * hours_in_year</f>
        <v>1.2693654086521537</v>
      </c>
      <c r="K241" s="153">
        <f t="shared" si="219"/>
        <v>1.2693654086521537</v>
      </c>
      <c r="L241" s="153">
        <f t="shared" si="219"/>
        <v>1.2693654086521537</v>
      </c>
      <c r="M241" s="153">
        <f t="shared" si="219"/>
        <v>1.2693654086521537</v>
      </c>
      <c r="N241" s="153">
        <f t="shared" si="219"/>
        <v>1.2693654086521537</v>
      </c>
      <c r="O241" s="153">
        <f t="shared" si="219"/>
        <v>1.2693654086521537</v>
      </c>
      <c r="P241" s="153">
        <f t="shared" si="219"/>
        <v>1.2693654086521537</v>
      </c>
      <c r="Q241" s="153">
        <f t="shared" si="219"/>
        <v>1.103058700090541</v>
      </c>
      <c r="R241" s="153">
        <f t="shared" si="219"/>
        <v>1.2693654086521537</v>
      </c>
      <c r="S241" s="153">
        <f t="shared" si="219"/>
        <v>1.2693654086521537</v>
      </c>
      <c r="T241" s="153">
        <f t="shared" si="219"/>
        <v>1.2693654086521537</v>
      </c>
      <c r="U241" s="153">
        <f t="shared" si="219"/>
        <v>1.2693654086521537</v>
      </c>
      <c r="V241" s="153">
        <f t="shared" si="219"/>
        <v>1.2693654086521537</v>
      </c>
      <c r="W241" s="153">
        <f t="shared" si="219"/>
        <v>1.2693654086521537</v>
      </c>
      <c r="X241" s="153">
        <f t="shared" si="219"/>
        <v>1.2693654086521537</v>
      </c>
      <c r="Y241" s="153">
        <f t="shared" si="219"/>
        <v>1.2693654086521537</v>
      </c>
    </row>
    <row r="242" spans="5:25" x14ac:dyDescent="0.3">
      <c r="F242" s="28" t="s">
        <v>193</v>
      </c>
      <c r="G242" s="28" t="s">
        <v>283</v>
      </c>
      <c r="J242" s="153">
        <f t="shared" ref="J242:Y242" si="220">J188 * J225 * hours_in_year</f>
        <v>1.2693654086521537</v>
      </c>
      <c r="K242" s="153">
        <f t="shared" si="220"/>
        <v>1.2693654086521537</v>
      </c>
      <c r="L242" s="153">
        <f t="shared" si="220"/>
        <v>1.2693654086521537</v>
      </c>
      <c r="M242" s="153">
        <f t="shared" si="220"/>
        <v>1.2693654086521537</v>
      </c>
      <c r="N242" s="153">
        <f t="shared" si="220"/>
        <v>1.2693654086521537</v>
      </c>
      <c r="O242" s="153">
        <f t="shared" si="220"/>
        <v>1.2693654086521537</v>
      </c>
      <c r="P242" s="153">
        <f t="shared" si="220"/>
        <v>1.2693654086521537</v>
      </c>
      <c r="Q242" s="153">
        <f t="shared" si="220"/>
        <v>1.103058700090541</v>
      </c>
      <c r="R242" s="153">
        <f t="shared" si="220"/>
        <v>1.2693654086521537</v>
      </c>
      <c r="S242" s="153">
        <f t="shared" si="220"/>
        <v>1.2693654086521537</v>
      </c>
      <c r="T242" s="153">
        <f t="shared" si="220"/>
        <v>1.2693654086521537</v>
      </c>
      <c r="U242" s="153">
        <f t="shared" si="220"/>
        <v>1.2693654086521537</v>
      </c>
      <c r="V242" s="153">
        <f t="shared" si="220"/>
        <v>1.2693654086521537</v>
      </c>
      <c r="W242" s="153">
        <f t="shared" si="220"/>
        <v>1.2693654086521537</v>
      </c>
      <c r="X242" s="153">
        <f t="shared" si="220"/>
        <v>1.2693654086521537</v>
      </c>
      <c r="Y242" s="153">
        <f t="shared" si="220"/>
        <v>1.2693654086521537</v>
      </c>
    </row>
    <row r="243" spans="5:25" x14ac:dyDescent="0.3">
      <c r="F243" s="28" t="s">
        <v>194</v>
      </c>
      <c r="G243" s="28" t="s">
        <v>283</v>
      </c>
      <c r="J243" s="153">
        <f t="shared" ref="J243:Y243" si="221">J193 * J225 * hours_in_year</f>
        <v>0.98563740474919592</v>
      </c>
      <c r="K243" s="153">
        <f t="shared" si="221"/>
        <v>0.98563740474919592</v>
      </c>
      <c r="L243" s="153">
        <f t="shared" si="221"/>
        <v>0.98563740474919592</v>
      </c>
      <c r="M243" s="153">
        <f t="shared" si="221"/>
        <v>0.98563740474919592</v>
      </c>
      <c r="N243" s="153">
        <f t="shared" si="221"/>
        <v>0.98563740474919592</v>
      </c>
      <c r="O243" s="153">
        <f t="shared" si="221"/>
        <v>0.98563740474919592</v>
      </c>
      <c r="P243" s="153">
        <f t="shared" si="221"/>
        <v>0.98563740474919592</v>
      </c>
      <c r="Q243" s="153">
        <f t="shared" si="221"/>
        <v>0.85599476391259</v>
      </c>
      <c r="R243" s="153">
        <f t="shared" si="221"/>
        <v>0.98563740474919592</v>
      </c>
      <c r="S243" s="153">
        <f t="shared" si="221"/>
        <v>0.98563740474919592</v>
      </c>
      <c r="T243" s="153">
        <f t="shared" si="221"/>
        <v>0.98563740474919592</v>
      </c>
      <c r="U243" s="153">
        <f t="shared" si="221"/>
        <v>0.98563740474919592</v>
      </c>
      <c r="V243" s="153">
        <f t="shared" si="221"/>
        <v>0.98563740474919592</v>
      </c>
      <c r="W243" s="153">
        <f t="shared" si="221"/>
        <v>0.98563740474919592</v>
      </c>
      <c r="X243" s="153">
        <f t="shared" si="221"/>
        <v>0.98563740474919592</v>
      </c>
      <c r="Y243" s="153">
        <f t="shared" si="221"/>
        <v>0.98563740474919592</v>
      </c>
    </row>
    <row r="244" spans="5:25" x14ac:dyDescent="0.3">
      <c r="F244" s="28" t="s">
        <v>195</v>
      </c>
      <c r="G244" s="28" t="s">
        <v>283</v>
      </c>
      <c r="J244" s="153">
        <f t="shared" ref="J244:Y244" si="222">J198 * J225 * hours_in_year</f>
        <v>0.98563740474919592</v>
      </c>
      <c r="K244" s="153">
        <f t="shared" si="222"/>
        <v>0.98563740474919592</v>
      </c>
      <c r="L244" s="153">
        <f t="shared" si="222"/>
        <v>0.98563740474919592</v>
      </c>
      <c r="M244" s="153">
        <f t="shared" si="222"/>
        <v>0.98563740474919592</v>
      </c>
      <c r="N244" s="153">
        <f t="shared" si="222"/>
        <v>0.98563740474919592</v>
      </c>
      <c r="O244" s="153">
        <f t="shared" si="222"/>
        <v>0.98563740474919592</v>
      </c>
      <c r="P244" s="153">
        <f t="shared" si="222"/>
        <v>0.98563740474919592</v>
      </c>
      <c r="Q244" s="153">
        <f t="shared" si="222"/>
        <v>0.85599476391259</v>
      </c>
      <c r="R244" s="153">
        <f t="shared" si="222"/>
        <v>0.98563740474919592</v>
      </c>
      <c r="S244" s="153">
        <f t="shared" si="222"/>
        <v>0.98563740474919592</v>
      </c>
      <c r="T244" s="153">
        <f t="shared" si="222"/>
        <v>0.98563740474919592</v>
      </c>
      <c r="U244" s="153">
        <f t="shared" si="222"/>
        <v>0.98563740474919592</v>
      </c>
      <c r="V244" s="153">
        <f t="shared" si="222"/>
        <v>0.98563740474919592</v>
      </c>
      <c r="W244" s="153">
        <f t="shared" si="222"/>
        <v>0.98563740474919592</v>
      </c>
      <c r="X244" s="153">
        <f t="shared" si="222"/>
        <v>0.98563740474919592</v>
      </c>
      <c r="Y244" s="153">
        <f t="shared" si="222"/>
        <v>0.98563740474919592</v>
      </c>
    </row>
    <row r="245" spans="5:25" x14ac:dyDescent="0.3">
      <c r="F245" s="28" t="s">
        <v>196</v>
      </c>
      <c r="G245" s="28" t="s">
        <v>283</v>
      </c>
      <c r="J245" s="153">
        <f t="shared" ref="J245:Y245" si="223">J203 * J225 * hours_in_year</f>
        <v>1.2693654086521537</v>
      </c>
      <c r="K245" s="153">
        <f t="shared" si="223"/>
        <v>1.2693654086521537</v>
      </c>
      <c r="L245" s="153">
        <f t="shared" si="223"/>
        <v>1.2693654086521537</v>
      </c>
      <c r="M245" s="153">
        <f t="shared" si="223"/>
        <v>1.2693654086521537</v>
      </c>
      <c r="N245" s="153">
        <f t="shared" si="223"/>
        <v>1.2693654086521537</v>
      </c>
      <c r="O245" s="153">
        <f t="shared" si="223"/>
        <v>1.2693654086521537</v>
      </c>
      <c r="P245" s="153">
        <f t="shared" si="223"/>
        <v>1.2693654086521537</v>
      </c>
      <c r="Q245" s="153">
        <f t="shared" si="223"/>
        <v>1.103058700090541</v>
      </c>
      <c r="R245" s="153">
        <f t="shared" si="223"/>
        <v>1.2693654086521537</v>
      </c>
      <c r="S245" s="153">
        <f t="shared" si="223"/>
        <v>1.2693654086521537</v>
      </c>
      <c r="T245" s="153">
        <f t="shared" si="223"/>
        <v>1.2693654086521537</v>
      </c>
      <c r="U245" s="153">
        <f t="shared" si="223"/>
        <v>1.2693654086521537</v>
      </c>
      <c r="V245" s="153">
        <f t="shared" si="223"/>
        <v>1.2693654086521537</v>
      </c>
      <c r="W245" s="153">
        <f t="shared" si="223"/>
        <v>1.2693654086521537</v>
      </c>
      <c r="X245" s="153">
        <f t="shared" si="223"/>
        <v>1.2693654086521537</v>
      </c>
      <c r="Y245" s="153">
        <f t="shared" si="223"/>
        <v>1.2693654086521537</v>
      </c>
    </row>
    <row r="246" spans="5:25" x14ac:dyDescent="0.3">
      <c r="F246" s="28" t="s">
        <v>197</v>
      </c>
      <c r="G246" s="28" t="s">
        <v>283</v>
      </c>
      <c r="J246" s="153">
        <f t="shared" ref="J246:Y246" si="224">J208 * J225 * hours_in_year</f>
        <v>0.98563740474919592</v>
      </c>
      <c r="K246" s="153">
        <f t="shared" si="224"/>
        <v>0.98563740474919592</v>
      </c>
      <c r="L246" s="153">
        <f t="shared" si="224"/>
        <v>0.98563740474919592</v>
      </c>
      <c r="M246" s="153">
        <f t="shared" si="224"/>
        <v>0.98563740474919592</v>
      </c>
      <c r="N246" s="153">
        <f t="shared" si="224"/>
        <v>0.98563740474919592</v>
      </c>
      <c r="O246" s="153">
        <f t="shared" si="224"/>
        <v>0.98563740474919592</v>
      </c>
      <c r="P246" s="153">
        <f t="shared" si="224"/>
        <v>0.98563740474919592</v>
      </c>
      <c r="Q246" s="153">
        <f t="shared" si="224"/>
        <v>0.85599476391259</v>
      </c>
      <c r="R246" s="153">
        <f t="shared" si="224"/>
        <v>0.98563740474919592</v>
      </c>
      <c r="S246" s="153">
        <f t="shared" si="224"/>
        <v>0.98563740474919592</v>
      </c>
      <c r="T246" s="153">
        <f t="shared" si="224"/>
        <v>0.98563740474919592</v>
      </c>
      <c r="U246" s="153">
        <f t="shared" si="224"/>
        <v>0.98563740474919592</v>
      </c>
      <c r="V246" s="153">
        <f t="shared" si="224"/>
        <v>0.98563740474919592</v>
      </c>
      <c r="W246" s="153">
        <f t="shared" si="224"/>
        <v>0.98563740474919592</v>
      </c>
      <c r="X246" s="153">
        <f t="shared" si="224"/>
        <v>0.98563740474919592</v>
      </c>
      <c r="Y246" s="153">
        <f t="shared" si="224"/>
        <v>0.98563740474919592</v>
      </c>
    </row>
    <row r="247" spans="5:25" x14ac:dyDescent="0.3">
      <c r="F247" s="28" t="s">
        <v>198</v>
      </c>
      <c r="G247" s="28" t="s">
        <v>283</v>
      </c>
      <c r="J247" s="153">
        <f t="shared" ref="J247:Y247" si="225">J213 * J225 * hours_in_year</f>
        <v>0.98563740474919592</v>
      </c>
      <c r="K247" s="153">
        <f t="shared" si="225"/>
        <v>0.98563740474919592</v>
      </c>
      <c r="L247" s="153">
        <f t="shared" si="225"/>
        <v>0.98563740474919592</v>
      </c>
      <c r="M247" s="153">
        <f t="shared" si="225"/>
        <v>0.98563740474919592</v>
      </c>
      <c r="N247" s="153">
        <f t="shared" si="225"/>
        <v>0.98563740474919592</v>
      </c>
      <c r="O247" s="153">
        <f t="shared" si="225"/>
        <v>0.98563740474919592</v>
      </c>
      <c r="P247" s="153">
        <f t="shared" si="225"/>
        <v>0.98563740474919592</v>
      </c>
      <c r="Q247" s="153">
        <f t="shared" si="225"/>
        <v>0.85599476391259</v>
      </c>
      <c r="R247" s="153">
        <f t="shared" si="225"/>
        <v>0.98563740474919592</v>
      </c>
      <c r="S247" s="153">
        <f t="shared" si="225"/>
        <v>0.98563740474919592</v>
      </c>
      <c r="T247" s="153">
        <f t="shared" si="225"/>
        <v>0.98563740474919592</v>
      </c>
      <c r="U247" s="153">
        <f t="shared" si="225"/>
        <v>0.98563740474919592</v>
      </c>
      <c r="V247" s="153">
        <f t="shared" si="225"/>
        <v>0.98563740474919592</v>
      </c>
      <c r="W247" s="153">
        <f t="shared" si="225"/>
        <v>0.98563740474919592</v>
      </c>
      <c r="X247" s="153">
        <f t="shared" si="225"/>
        <v>0.98563740474919592</v>
      </c>
      <c r="Y247" s="153">
        <f t="shared" si="225"/>
        <v>0.98563740474919592</v>
      </c>
    </row>
    <row r="248" spans="5:25" x14ac:dyDescent="0.3">
      <c r="F248" s="67" t="s">
        <v>199</v>
      </c>
      <c r="G248" s="67" t="s">
        <v>283</v>
      </c>
      <c r="H248" s="37"/>
      <c r="I248" s="37"/>
      <c r="J248" s="153">
        <f t="shared" ref="J248:Y248" si="226">J218 * J225 * hours_in_year</f>
        <v>0.98563740474919592</v>
      </c>
      <c r="K248" s="153">
        <f t="shared" si="226"/>
        <v>0.98563740474919592</v>
      </c>
      <c r="L248" s="153">
        <f t="shared" si="226"/>
        <v>0.98563740474919592</v>
      </c>
      <c r="M248" s="153">
        <f t="shared" si="226"/>
        <v>0.98563740474919592</v>
      </c>
      <c r="N248" s="153">
        <f t="shared" si="226"/>
        <v>0.98563740474919592</v>
      </c>
      <c r="O248" s="153">
        <f t="shared" si="226"/>
        <v>0.98563740474919592</v>
      </c>
      <c r="P248" s="153">
        <f t="shared" si="226"/>
        <v>0.98563740474919592</v>
      </c>
      <c r="Q248" s="153">
        <f t="shared" si="226"/>
        <v>0.85599476391259</v>
      </c>
      <c r="R248" s="153">
        <f t="shared" si="226"/>
        <v>0.98563740474919592</v>
      </c>
      <c r="S248" s="153">
        <f t="shared" si="226"/>
        <v>0.98563740474919592</v>
      </c>
      <c r="T248" s="153">
        <f t="shared" si="226"/>
        <v>0.98563740474919592</v>
      </c>
      <c r="U248" s="153">
        <f t="shared" si="226"/>
        <v>0.98563740474919592</v>
      </c>
      <c r="V248" s="153">
        <f t="shared" si="226"/>
        <v>0.98563740474919592</v>
      </c>
      <c r="W248" s="153">
        <f t="shared" si="226"/>
        <v>0.98563740474919592</v>
      </c>
      <c r="X248" s="153">
        <f t="shared" si="226"/>
        <v>0.98563740474919592</v>
      </c>
      <c r="Y248" s="153">
        <f t="shared" si="226"/>
        <v>0.98563740474919592</v>
      </c>
    </row>
    <row r="249" spans="5:25" x14ac:dyDescent="0.3">
      <c r="J249" s="89"/>
      <c r="K249" s="89"/>
      <c r="L249" s="89"/>
      <c r="M249" s="89"/>
      <c r="N249" s="89"/>
      <c r="O249" s="89"/>
      <c r="P249" s="89"/>
      <c r="Q249" s="89"/>
      <c r="R249" s="89"/>
      <c r="S249" s="89"/>
      <c r="T249" s="89"/>
      <c r="U249" s="89"/>
      <c r="V249" s="89"/>
      <c r="W249" s="89"/>
      <c r="X249" s="89"/>
      <c r="Y249" s="89"/>
    </row>
    <row r="250" spans="5:25" x14ac:dyDescent="0.3">
      <c r="E250" s="32" t="s">
        <v>158</v>
      </c>
      <c r="G250" s="28"/>
      <c r="J250" s="89"/>
      <c r="K250" s="89"/>
      <c r="L250" s="89"/>
      <c r="M250" s="89"/>
      <c r="N250" s="89"/>
      <c r="O250" s="89"/>
      <c r="P250" s="89"/>
      <c r="Q250" s="89"/>
      <c r="R250" s="89"/>
      <c r="S250" s="89"/>
      <c r="T250" s="89"/>
      <c r="U250" s="89"/>
      <c r="V250" s="89"/>
      <c r="W250" s="89"/>
      <c r="X250" s="89"/>
      <c r="Y250" s="89"/>
    </row>
    <row r="251" spans="5:25" x14ac:dyDescent="0.3">
      <c r="F251" s="64" t="s">
        <v>191</v>
      </c>
      <c r="G251" s="64" t="s">
        <v>283</v>
      </c>
      <c r="H251" s="23"/>
      <c r="I251" s="23"/>
      <c r="J251" s="153">
        <f t="shared" ref="J251:Y251" si="227">J179 * J226 * hours_in_year</f>
        <v>0</v>
      </c>
      <c r="K251" s="153">
        <f t="shared" si="227"/>
        <v>0</v>
      </c>
      <c r="L251" s="153">
        <f t="shared" si="227"/>
        <v>0</v>
      </c>
      <c r="M251" s="153">
        <f t="shared" si="227"/>
        <v>0</v>
      </c>
      <c r="N251" s="153">
        <f t="shared" si="227"/>
        <v>0</v>
      </c>
      <c r="O251" s="153">
        <f t="shared" si="227"/>
        <v>0</v>
      </c>
      <c r="P251" s="153">
        <f t="shared" si="227"/>
        <v>0</v>
      </c>
      <c r="Q251" s="153">
        <f t="shared" si="227"/>
        <v>0</v>
      </c>
      <c r="R251" s="153">
        <f t="shared" si="227"/>
        <v>0</v>
      </c>
      <c r="S251" s="153">
        <f t="shared" si="227"/>
        <v>0</v>
      </c>
      <c r="T251" s="153">
        <f t="shared" si="227"/>
        <v>0</v>
      </c>
      <c r="U251" s="153">
        <f t="shared" si="227"/>
        <v>0</v>
      </c>
      <c r="V251" s="153">
        <f t="shared" si="227"/>
        <v>0</v>
      </c>
      <c r="W251" s="153">
        <f t="shared" si="227"/>
        <v>0</v>
      </c>
      <c r="X251" s="153">
        <f t="shared" si="227"/>
        <v>0</v>
      </c>
      <c r="Y251" s="153">
        <f t="shared" si="227"/>
        <v>0</v>
      </c>
    </row>
    <row r="252" spans="5:25" x14ac:dyDescent="0.3">
      <c r="F252" s="28" t="s">
        <v>192</v>
      </c>
      <c r="G252" s="28" t="s">
        <v>283</v>
      </c>
      <c r="J252" s="153">
        <f t="shared" ref="J252:Y252" si="228">J184 * J226 * hours_in_year</f>
        <v>5.0670423116031767E-2</v>
      </c>
      <c r="K252" s="153">
        <f t="shared" si="228"/>
        <v>5.0670423116031767E-2</v>
      </c>
      <c r="L252" s="153">
        <f t="shared" si="228"/>
        <v>5.0670423116031767E-2</v>
      </c>
      <c r="M252" s="153">
        <f t="shared" si="228"/>
        <v>5.0670423116031767E-2</v>
      </c>
      <c r="N252" s="153">
        <f t="shared" si="228"/>
        <v>5.0670423116031767E-2</v>
      </c>
      <c r="O252" s="153">
        <f t="shared" si="228"/>
        <v>5.0670423116031767E-2</v>
      </c>
      <c r="P252" s="153">
        <f t="shared" si="228"/>
        <v>5.0670423116031767E-2</v>
      </c>
      <c r="Q252" s="153">
        <f t="shared" si="228"/>
        <v>5.0670423116031767E-2</v>
      </c>
      <c r="R252" s="153">
        <f t="shared" si="228"/>
        <v>5.0670423116031767E-2</v>
      </c>
      <c r="S252" s="153">
        <f t="shared" si="228"/>
        <v>5.0670423116031767E-2</v>
      </c>
      <c r="T252" s="153">
        <f t="shared" si="228"/>
        <v>5.0670423116031767E-2</v>
      </c>
      <c r="U252" s="153">
        <f t="shared" si="228"/>
        <v>5.0670423116031767E-2</v>
      </c>
      <c r="V252" s="153">
        <f t="shared" si="228"/>
        <v>5.0670423116031767E-2</v>
      </c>
      <c r="W252" s="153">
        <f t="shared" si="228"/>
        <v>5.0670423116031767E-2</v>
      </c>
      <c r="X252" s="153">
        <f t="shared" si="228"/>
        <v>5.0670423116031767E-2</v>
      </c>
      <c r="Y252" s="153">
        <f t="shared" si="228"/>
        <v>5.0670423116031767E-2</v>
      </c>
    </row>
    <row r="253" spans="5:25" x14ac:dyDescent="0.3">
      <c r="F253" s="28" t="s">
        <v>193</v>
      </c>
      <c r="G253" s="28" t="s">
        <v>283</v>
      </c>
      <c r="J253" s="153">
        <f t="shared" ref="J253:Y253" si="229">J189 * J226 * hours_in_year</f>
        <v>5.0670423116031767E-2</v>
      </c>
      <c r="K253" s="153">
        <f t="shared" si="229"/>
        <v>5.0670423116031767E-2</v>
      </c>
      <c r="L253" s="153">
        <f t="shared" si="229"/>
        <v>5.0670423116031767E-2</v>
      </c>
      <c r="M253" s="153">
        <f t="shared" si="229"/>
        <v>5.0670423116031767E-2</v>
      </c>
      <c r="N253" s="153">
        <f t="shared" si="229"/>
        <v>5.0670423116031767E-2</v>
      </c>
      <c r="O253" s="153">
        <f t="shared" si="229"/>
        <v>5.0670423116031767E-2</v>
      </c>
      <c r="P253" s="153">
        <f t="shared" si="229"/>
        <v>5.0670423116031767E-2</v>
      </c>
      <c r="Q253" s="153">
        <f t="shared" si="229"/>
        <v>5.0670423116031767E-2</v>
      </c>
      <c r="R253" s="153">
        <f t="shared" si="229"/>
        <v>5.0670423116031767E-2</v>
      </c>
      <c r="S253" s="153">
        <f t="shared" si="229"/>
        <v>5.0670423116031767E-2</v>
      </c>
      <c r="T253" s="153">
        <f t="shared" si="229"/>
        <v>5.0670423116031767E-2</v>
      </c>
      <c r="U253" s="153">
        <f t="shared" si="229"/>
        <v>5.0670423116031767E-2</v>
      </c>
      <c r="V253" s="153">
        <f t="shared" si="229"/>
        <v>5.0670423116031767E-2</v>
      </c>
      <c r="W253" s="153">
        <f t="shared" si="229"/>
        <v>5.0670423116031767E-2</v>
      </c>
      <c r="X253" s="153">
        <f t="shared" si="229"/>
        <v>5.0670423116031767E-2</v>
      </c>
      <c r="Y253" s="153">
        <f t="shared" si="229"/>
        <v>5.0670423116031767E-2</v>
      </c>
    </row>
    <row r="254" spans="5:25" x14ac:dyDescent="0.3">
      <c r="F254" s="28" t="s">
        <v>194</v>
      </c>
      <c r="G254" s="28" t="s">
        <v>283</v>
      </c>
      <c r="J254" s="153">
        <f t="shared" ref="J254:Y254" si="230">J194 * J226 * hours_in_year</f>
        <v>0.13408362043106281</v>
      </c>
      <c r="K254" s="153">
        <f t="shared" si="230"/>
        <v>0.13408362043106281</v>
      </c>
      <c r="L254" s="153">
        <f t="shared" si="230"/>
        <v>0.13408362043106281</v>
      </c>
      <c r="M254" s="153">
        <f t="shared" si="230"/>
        <v>0.13408362043106281</v>
      </c>
      <c r="N254" s="153">
        <f t="shared" si="230"/>
        <v>0.13408362043106281</v>
      </c>
      <c r="O254" s="153">
        <f t="shared" si="230"/>
        <v>0.13408362043106281</v>
      </c>
      <c r="P254" s="153">
        <f t="shared" si="230"/>
        <v>0.13408362043106281</v>
      </c>
      <c r="Q254" s="153">
        <f t="shared" si="230"/>
        <v>0.13408362043106281</v>
      </c>
      <c r="R254" s="153">
        <f t="shared" si="230"/>
        <v>0.13408362043106281</v>
      </c>
      <c r="S254" s="153">
        <f t="shared" si="230"/>
        <v>0.13408362043106281</v>
      </c>
      <c r="T254" s="153">
        <f t="shared" si="230"/>
        <v>0.13408362043106281</v>
      </c>
      <c r="U254" s="153">
        <f t="shared" si="230"/>
        <v>0.13408362043106281</v>
      </c>
      <c r="V254" s="153">
        <f t="shared" si="230"/>
        <v>0.13408362043106281</v>
      </c>
      <c r="W254" s="153">
        <f t="shared" si="230"/>
        <v>0.13408362043106281</v>
      </c>
      <c r="X254" s="153">
        <f t="shared" si="230"/>
        <v>0.13408362043106281</v>
      </c>
      <c r="Y254" s="153">
        <f t="shared" si="230"/>
        <v>0.13408362043106281</v>
      </c>
    </row>
    <row r="255" spans="5:25" x14ac:dyDescent="0.3">
      <c r="F255" s="28" t="s">
        <v>195</v>
      </c>
      <c r="G255" s="28" t="s">
        <v>283</v>
      </c>
      <c r="J255" s="153">
        <f t="shared" ref="J255:Y255" si="231">J199 * J226 * hours_in_year</f>
        <v>0.13408362043106281</v>
      </c>
      <c r="K255" s="153">
        <f t="shared" si="231"/>
        <v>0.13408362043106281</v>
      </c>
      <c r="L255" s="153">
        <f t="shared" si="231"/>
        <v>0.13408362043106281</v>
      </c>
      <c r="M255" s="153">
        <f t="shared" si="231"/>
        <v>0.13408362043106281</v>
      </c>
      <c r="N255" s="153">
        <f t="shared" si="231"/>
        <v>0.13408362043106281</v>
      </c>
      <c r="O255" s="153">
        <f t="shared" si="231"/>
        <v>0.13408362043106281</v>
      </c>
      <c r="P255" s="153">
        <f t="shared" si="231"/>
        <v>0.13408362043106281</v>
      </c>
      <c r="Q255" s="153">
        <f t="shared" si="231"/>
        <v>0.13408362043106281</v>
      </c>
      <c r="R255" s="153">
        <f t="shared" si="231"/>
        <v>0.13408362043106281</v>
      </c>
      <c r="S255" s="153">
        <f t="shared" si="231"/>
        <v>0.13408362043106281</v>
      </c>
      <c r="T255" s="153">
        <f t="shared" si="231"/>
        <v>0.13408362043106281</v>
      </c>
      <c r="U255" s="153">
        <f t="shared" si="231"/>
        <v>0.13408362043106281</v>
      </c>
      <c r="V255" s="153">
        <f t="shared" si="231"/>
        <v>0.13408362043106281</v>
      </c>
      <c r="W255" s="153">
        <f t="shared" si="231"/>
        <v>0.13408362043106281</v>
      </c>
      <c r="X255" s="153">
        <f t="shared" si="231"/>
        <v>0.13408362043106281</v>
      </c>
      <c r="Y255" s="153">
        <f t="shared" si="231"/>
        <v>0.13408362043106281</v>
      </c>
    </row>
    <row r="256" spans="5:25" x14ac:dyDescent="0.3">
      <c r="F256" s="28" t="s">
        <v>196</v>
      </c>
      <c r="G256" s="28" t="s">
        <v>283</v>
      </c>
      <c r="J256" s="153">
        <f t="shared" ref="J256:Y256" si="232">J204 * J226 * hours_in_year</f>
        <v>5.0670423116031767E-2</v>
      </c>
      <c r="K256" s="153">
        <f t="shared" si="232"/>
        <v>5.0670423116031767E-2</v>
      </c>
      <c r="L256" s="153">
        <f t="shared" si="232"/>
        <v>5.0670423116031767E-2</v>
      </c>
      <c r="M256" s="153">
        <f t="shared" si="232"/>
        <v>5.0670423116031767E-2</v>
      </c>
      <c r="N256" s="153">
        <f t="shared" si="232"/>
        <v>5.0670423116031767E-2</v>
      </c>
      <c r="O256" s="153">
        <f t="shared" si="232"/>
        <v>5.0670423116031767E-2</v>
      </c>
      <c r="P256" s="153">
        <f t="shared" si="232"/>
        <v>5.0670423116031767E-2</v>
      </c>
      <c r="Q256" s="153">
        <f t="shared" si="232"/>
        <v>5.0670423116031767E-2</v>
      </c>
      <c r="R256" s="153">
        <f t="shared" si="232"/>
        <v>5.0670423116031767E-2</v>
      </c>
      <c r="S256" s="153">
        <f t="shared" si="232"/>
        <v>5.0670423116031767E-2</v>
      </c>
      <c r="T256" s="153">
        <f t="shared" si="232"/>
        <v>5.0670423116031767E-2</v>
      </c>
      <c r="U256" s="153">
        <f t="shared" si="232"/>
        <v>5.0670423116031767E-2</v>
      </c>
      <c r="V256" s="153">
        <f t="shared" si="232"/>
        <v>5.0670423116031767E-2</v>
      </c>
      <c r="W256" s="153">
        <f t="shared" si="232"/>
        <v>5.0670423116031767E-2</v>
      </c>
      <c r="X256" s="153">
        <f t="shared" si="232"/>
        <v>5.0670423116031767E-2</v>
      </c>
      <c r="Y256" s="153">
        <f t="shared" si="232"/>
        <v>5.0670423116031767E-2</v>
      </c>
    </row>
    <row r="257" spans="2:27" x14ac:dyDescent="0.3">
      <c r="F257" s="28" t="s">
        <v>197</v>
      </c>
      <c r="G257" s="28" t="s">
        <v>283</v>
      </c>
      <c r="J257" s="153">
        <f t="shared" ref="J257:Y257" si="233">J209 * J226 * hours_in_year</f>
        <v>0.13408362043106281</v>
      </c>
      <c r="K257" s="153">
        <f t="shared" si="233"/>
        <v>0.13408362043106281</v>
      </c>
      <c r="L257" s="153">
        <f t="shared" si="233"/>
        <v>0.13408362043106281</v>
      </c>
      <c r="M257" s="153">
        <f t="shared" si="233"/>
        <v>0.13408362043106281</v>
      </c>
      <c r="N257" s="153">
        <f t="shared" si="233"/>
        <v>0.13408362043106281</v>
      </c>
      <c r="O257" s="153">
        <f t="shared" si="233"/>
        <v>0.13408362043106281</v>
      </c>
      <c r="P257" s="153">
        <f t="shared" si="233"/>
        <v>0.13408362043106281</v>
      </c>
      <c r="Q257" s="153">
        <f t="shared" si="233"/>
        <v>0.13408362043106281</v>
      </c>
      <c r="R257" s="153">
        <f t="shared" si="233"/>
        <v>0.13408362043106281</v>
      </c>
      <c r="S257" s="153">
        <f t="shared" si="233"/>
        <v>0.13408362043106281</v>
      </c>
      <c r="T257" s="153">
        <f t="shared" si="233"/>
        <v>0.13408362043106281</v>
      </c>
      <c r="U257" s="153">
        <f t="shared" si="233"/>
        <v>0.13408362043106281</v>
      </c>
      <c r="V257" s="153">
        <f t="shared" si="233"/>
        <v>0.13408362043106281</v>
      </c>
      <c r="W257" s="153">
        <f t="shared" si="233"/>
        <v>0.13408362043106281</v>
      </c>
      <c r="X257" s="153">
        <f t="shared" si="233"/>
        <v>0.13408362043106281</v>
      </c>
      <c r="Y257" s="153">
        <f t="shared" si="233"/>
        <v>0.13408362043106281</v>
      </c>
    </row>
    <row r="258" spans="2:27" x14ac:dyDescent="0.3">
      <c r="F258" s="28" t="s">
        <v>198</v>
      </c>
      <c r="G258" s="28" t="s">
        <v>283</v>
      </c>
      <c r="J258" s="153">
        <f t="shared" ref="J258:Y258" si="234">J214 * J226 * hours_in_year</f>
        <v>0.13408362043106281</v>
      </c>
      <c r="K258" s="153">
        <f t="shared" si="234"/>
        <v>0.13408362043106281</v>
      </c>
      <c r="L258" s="153">
        <f t="shared" si="234"/>
        <v>0.13408362043106281</v>
      </c>
      <c r="M258" s="153">
        <f t="shared" si="234"/>
        <v>0.13408362043106281</v>
      </c>
      <c r="N258" s="153">
        <f t="shared" si="234"/>
        <v>0.13408362043106281</v>
      </c>
      <c r="O258" s="153">
        <f t="shared" si="234"/>
        <v>0.13408362043106281</v>
      </c>
      <c r="P258" s="153">
        <f t="shared" si="234"/>
        <v>0.13408362043106281</v>
      </c>
      <c r="Q258" s="153">
        <f t="shared" si="234"/>
        <v>0.13408362043106281</v>
      </c>
      <c r="R258" s="153">
        <f t="shared" si="234"/>
        <v>0.13408362043106281</v>
      </c>
      <c r="S258" s="153">
        <f t="shared" si="234"/>
        <v>0.13408362043106281</v>
      </c>
      <c r="T258" s="153">
        <f t="shared" si="234"/>
        <v>0.13408362043106281</v>
      </c>
      <c r="U258" s="153">
        <f t="shared" si="234"/>
        <v>0.13408362043106281</v>
      </c>
      <c r="V258" s="153">
        <f t="shared" si="234"/>
        <v>0.13408362043106281</v>
      </c>
      <c r="W258" s="153">
        <f t="shared" si="234"/>
        <v>0.13408362043106281</v>
      </c>
      <c r="X258" s="153">
        <f t="shared" si="234"/>
        <v>0.13408362043106281</v>
      </c>
      <c r="Y258" s="153">
        <f t="shared" si="234"/>
        <v>0.13408362043106281</v>
      </c>
    </row>
    <row r="259" spans="2:27" x14ac:dyDescent="0.3">
      <c r="F259" s="67" t="s">
        <v>199</v>
      </c>
      <c r="G259" s="67" t="s">
        <v>283</v>
      </c>
      <c r="H259" s="37"/>
      <c r="I259" s="37"/>
      <c r="J259" s="153">
        <f t="shared" ref="J259:Y259" si="235">J219 * J226 * hours_in_year</f>
        <v>0.13408362043106281</v>
      </c>
      <c r="K259" s="153">
        <f t="shared" si="235"/>
        <v>0.13408362043106281</v>
      </c>
      <c r="L259" s="153">
        <f t="shared" si="235"/>
        <v>0.13408362043106281</v>
      </c>
      <c r="M259" s="153">
        <f t="shared" si="235"/>
        <v>0.13408362043106281</v>
      </c>
      <c r="N259" s="153">
        <f t="shared" si="235"/>
        <v>0.13408362043106281</v>
      </c>
      <c r="O259" s="153">
        <f t="shared" si="235"/>
        <v>0.13408362043106281</v>
      </c>
      <c r="P259" s="153">
        <f t="shared" si="235"/>
        <v>0.13408362043106281</v>
      </c>
      <c r="Q259" s="153">
        <f t="shared" si="235"/>
        <v>0.13408362043106281</v>
      </c>
      <c r="R259" s="153">
        <f t="shared" si="235"/>
        <v>0.13408362043106281</v>
      </c>
      <c r="S259" s="153">
        <f t="shared" si="235"/>
        <v>0.13408362043106281</v>
      </c>
      <c r="T259" s="153">
        <f t="shared" si="235"/>
        <v>0.13408362043106281</v>
      </c>
      <c r="U259" s="153">
        <f t="shared" si="235"/>
        <v>0.13408362043106281</v>
      </c>
      <c r="V259" s="153">
        <f t="shared" si="235"/>
        <v>0.13408362043106281</v>
      </c>
      <c r="W259" s="153">
        <f t="shared" si="235"/>
        <v>0.13408362043106281</v>
      </c>
      <c r="X259" s="153">
        <f t="shared" si="235"/>
        <v>0.13408362043106281</v>
      </c>
      <c r="Y259" s="153">
        <f t="shared" si="235"/>
        <v>0.13408362043106281</v>
      </c>
    </row>
    <row r="260" spans="2:27" x14ac:dyDescent="0.3">
      <c r="J260" s="89"/>
      <c r="K260" s="89"/>
      <c r="L260" s="89"/>
      <c r="M260" s="89"/>
      <c r="N260" s="89"/>
      <c r="O260" s="89"/>
      <c r="P260" s="89"/>
      <c r="Q260" s="89"/>
      <c r="R260" s="89"/>
      <c r="S260" s="89"/>
      <c r="T260" s="89"/>
      <c r="U260" s="89"/>
      <c r="V260" s="89"/>
      <c r="W260" s="89"/>
      <c r="X260" s="89"/>
      <c r="Y260" s="89"/>
    </row>
    <row r="261" spans="2:27" x14ac:dyDescent="0.3">
      <c r="B261" s="30" t="s">
        <v>845</v>
      </c>
      <c r="C261" s="105"/>
      <c r="D261" s="104"/>
      <c r="E261" s="104"/>
      <c r="F261" s="105"/>
      <c r="G261" s="105"/>
      <c r="H261" s="105"/>
      <c r="I261" s="105"/>
      <c r="J261" s="162"/>
      <c r="K261" s="162"/>
      <c r="L261" s="162"/>
      <c r="M261" s="162"/>
      <c r="N261" s="162"/>
      <c r="O261" s="162"/>
      <c r="P261" s="162"/>
      <c r="Q261" s="162"/>
      <c r="R261" s="162"/>
      <c r="S261" s="162"/>
      <c r="T261" s="162"/>
      <c r="U261" s="162"/>
      <c r="V261" s="162"/>
      <c r="W261" s="162"/>
      <c r="X261" s="162"/>
      <c r="Y261" s="162"/>
      <c r="Z261" s="105"/>
      <c r="AA261" s="105"/>
    </row>
    <row r="262" spans="2:27" x14ac:dyDescent="0.3">
      <c r="F262" s="28"/>
      <c r="G262" s="28"/>
      <c r="J262" s="89"/>
      <c r="K262" s="89"/>
      <c r="L262" s="89"/>
      <c r="M262" s="89"/>
      <c r="N262" s="89"/>
      <c r="O262" s="89"/>
      <c r="P262" s="89"/>
      <c r="Q262" s="89"/>
      <c r="R262" s="89"/>
      <c r="S262" s="89"/>
      <c r="T262" s="89"/>
      <c r="U262" s="89"/>
      <c r="V262" s="89"/>
      <c r="W262" s="89"/>
      <c r="X262" s="89"/>
      <c r="Y262" s="89"/>
    </row>
    <row r="263" spans="2:27" x14ac:dyDescent="0.3">
      <c r="C263" s="29" t="s">
        <v>865</v>
      </c>
      <c r="F263" s="28"/>
      <c r="G263" s="28"/>
      <c r="J263" s="89"/>
      <c r="K263" s="89"/>
      <c r="L263" s="89"/>
      <c r="M263" s="89"/>
      <c r="N263" s="89"/>
      <c r="O263" s="89"/>
      <c r="P263" s="89"/>
      <c r="Q263" s="89"/>
      <c r="R263" s="89"/>
      <c r="S263" s="89"/>
      <c r="T263" s="89"/>
      <c r="U263" s="89"/>
      <c r="V263" s="89"/>
      <c r="W263" s="89"/>
      <c r="X263" s="89"/>
      <c r="Y263" s="89"/>
    </row>
    <row r="264" spans="2:27" x14ac:dyDescent="0.3">
      <c r="F264" s="28"/>
      <c r="G264" s="28"/>
      <c r="J264" s="89"/>
      <c r="K264" s="89"/>
      <c r="L264" s="89"/>
      <c r="M264" s="89"/>
      <c r="N264" s="89"/>
      <c r="O264" s="89"/>
      <c r="P264" s="89"/>
      <c r="Q264" s="89"/>
      <c r="R264" s="89"/>
      <c r="S264" s="89"/>
      <c r="T264" s="89"/>
      <c r="U264" s="89"/>
      <c r="V264" s="89"/>
      <c r="W264" s="89"/>
      <c r="X264" s="89"/>
      <c r="Y264" s="89"/>
    </row>
    <row r="265" spans="2:27" x14ac:dyDescent="0.3">
      <c r="C265" s="31" t="str">
        <f ca="1">INDEX('Version control'!$H$34:$H$57,MATCH($A$1,'Version control'!$F$34:$F$57,0),1)&amp;"-K: Load coefficient"</f>
        <v>Section 105-K: Load coefficient</v>
      </c>
      <c r="D265" s="31"/>
      <c r="E265" s="31"/>
      <c r="F265" s="31"/>
      <c r="G265" s="31"/>
      <c r="H265" s="31"/>
      <c r="I265" s="31"/>
      <c r="J265" s="90"/>
      <c r="K265" s="90"/>
      <c r="L265" s="90"/>
      <c r="M265" s="90"/>
      <c r="N265" s="90"/>
      <c r="O265" s="90"/>
      <c r="P265" s="90"/>
      <c r="Q265" s="90"/>
      <c r="R265" s="90"/>
      <c r="S265" s="90"/>
      <c r="T265" s="90"/>
      <c r="U265" s="90"/>
      <c r="V265" s="90"/>
      <c r="W265" s="90"/>
      <c r="X265" s="90"/>
      <c r="Y265" s="90"/>
      <c r="Z265" s="31"/>
      <c r="AA265" s="31"/>
    </row>
    <row r="266" spans="2:27" x14ac:dyDescent="0.3">
      <c r="F266" s="28"/>
      <c r="G266" s="28"/>
      <c r="J266" s="89"/>
      <c r="K266" s="89"/>
      <c r="L266" s="89"/>
      <c r="M266" s="89"/>
      <c r="N266" s="89"/>
      <c r="O266" s="89"/>
      <c r="P266" s="89"/>
      <c r="Q266" s="89"/>
      <c r="R266" s="89"/>
      <c r="S266" s="89"/>
      <c r="T266" s="89"/>
      <c r="U266" s="89"/>
      <c r="V266" s="89"/>
      <c r="W266" s="89"/>
      <c r="X266" s="89"/>
      <c r="Y266" s="89"/>
    </row>
    <row r="267" spans="2:27" x14ac:dyDescent="0.3">
      <c r="E267" s="28" t="s">
        <v>472</v>
      </c>
      <c r="G267" s="28" t="s">
        <v>283</v>
      </c>
      <c r="J267" s="121">
        <f>J91</f>
        <v>1.8009028622717524</v>
      </c>
      <c r="K267" s="121">
        <f t="shared" ref="K267:Y267" si="236">K91</f>
        <v>1.8009028622717524</v>
      </c>
      <c r="L267" s="121">
        <f t="shared" si="236"/>
        <v>1.9582918442356276</v>
      </c>
      <c r="M267" s="121">
        <f t="shared" si="236"/>
        <v>1.9582918442356276</v>
      </c>
      <c r="N267" s="121">
        <f t="shared" si="236"/>
        <v>1.6437845539770384</v>
      </c>
      <c r="O267" s="121">
        <f t="shared" si="236"/>
        <v>1.6751286584755001</v>
      </c>
      <c r="P267" s="121">
        <f t="shared" si="236"/>
        <v>1.2547949163175354</v>
      </c>
      <c r="Q267" s="121">
        <f t="shared" si="236"/>
        <v>1.3010672833460855</v>
      </c>
      <c r="R267" s="121">
        <f t="shared" si="236"/>
        <v>1</v>
      </c>
      <c r="S267" s="121">
        <f t="shared" si="236"/>
        <v>1</v>
      </c>
      <c r="T267" s="121">
        <f t="shared" si="236"/>
        <v>1</v>
      </c>
      <c r="U267" s="121">
        <f t="shared" si="236"/>
        <v>1</v>
      </c>
      <c r="V267" s="121">
        <f t="shared" si="236"/>
        <v>1</v>
      </c>
      <c r="W267" s="121">
        <f t="shared" si="236"/>
        <v>1</v>
      </c>
      <c r="X267" s="121">
        <f t="shared" si="236"/>
        <v>1</v>
      </c>
      <c r="Y267" s="121">
        <f t="shared" si="236"/>
        <v>1</v>
      </c>
    </row>
    <row r="268" spans="2:27" x14ac:dyDescent="0.3">
      <c r="F268" s="28"/>
      <c r="G268" s="28"/>
      <c r="J268" s="89"/>
      <c r="K268" s="89"/>
      <c r="L268" s="89"/>
      <c r="M268" s="89"/>
      <c r="N268" s="89"/>
      <c r="O268" s="89"/>
      <c r="P268" s="89"/>
      <c r="Q268" s="89"/>
      <c r="R268" s="89"/>
      <c r="S268" s="89"/>
      <c r="T268" s="89"/>
      <c r="U268" s="89"/>
      <c r="V268" s="89"/>
      <c r="W268" s="89"/>
      <c r="X268" s="89"/>
      <c r="Y268" s="89"/>
    </row>
    <row r="269" spans="2:27" x14ac:dyDescent="0.3">
      <c r="C269" s="31" t="str">
        <f ca="1">INDEX('Version control'!$H$34:$H$57,MATCH($A$1,'Version control'!$F$34:$F$57,0),1)&amp;"-L: Pseudo load coefficients, by unit rate"</f>
        <v>Section 105-L: Pseudo load coefficients, by unit rate</v>
      </c>
      <c r="D269" s="31"/>
      <c r="E269" s="31"/>
      <c r="F269" s="31"/>
      <c r="G269" s="31"/>
      <c r="H269" s="31"/>
      <c r="I269" s="31"/>
      <c r="J269" s="90"/>
      <c r="K269" s="90"/>
      <c r="L269" s="90"/>
      <c r="M269" s="90"/>
      <c r="N269" s="90"/>
      <c r="O269" s="90"/>
      <c r="P269" s="90"/>
      <c r="Q269" s="90"/>
      <c r="R269" s="90"/>
      <c r="S269" s="90"/>
      <c r="T269" s="90"/>
      <c r="U269" s="90"/>
      <c r="V269" s="90"/>
      <c r="W269" s="90"/>
      <c r="X269" s="90"/>
      <c r="Y269" s="90"/>
      <c r="Z269" s="31"/>
      <c r="AA269" s="31"/>
    </row>
    <row r="270" spans="2:27" x14ac:dyDescent="0.3">
      <c r="F270" s="28"/>
      <c r="G270" s="28"/>
      <c r="J270" s="89"/>
      <c r="K270" s="89"/>
      <c r="L270" s="89"/>
      <c r="M270" s="89"/>
      <c r="N270" s="89"/>
      <c r="O270" s="89"/>
      <c r="P270" s="89"/>
      <c r="Q270" s="89"/>
      <c r="R270" s="89"/>
      <c r="S270" s="89"/>
      <c r="T270" s="89"/>
      <c r="U270" s="89"/>
      <c r="V270" s="89"/>
      <c r="W270" s="89"/>
      <c r="X270" s="89"/>
      <c r="Y270" s="89"/>
    </row>
    <row r="271" spans="2:27" x14ac:dyDescent="0.3">
      <c r="E271" s="32" t="s">
        <v>156</v>
      </c>
      <c r="G271" s="28"/>
      <c r="J271" s="89"/>
      <c r="K271" s="89"/>
      <c r="L271" s="89"/>
      <c r="M271" s="89"/>
      <c r="N271" s="89"/>
      <c r="O271" s="89"/>
      <c r="P271" s="89"/>
      <c r="Q271" s="89"/>
      <c r="R271" s="89"/>
      <c r="S271" s="89"/>
      <c r="T271" s="89"/>
      <c r="U271" s="89"/>
      <c r="V271" s="89"/>
      <c r="W271" s="89"/>
      <c r="X271" s="89"/>
      <c r="Y271" s="89"/>
    </row>
    <row r="272" spans="2:27" x14ac:dyDescent="0.3">
      <c r="F272" s="64" t="s">
        <v>191</v>
      </c>
      <c r="G272" s="64" t="s">
        <v>283</v>
      </c>
      <c r="H272" s="23"/>
      <c r="I272" s="23"/>
      <c r="J272" s="101">
        <f>J229 * J$93</f>
        <v>10.895163278637472</v>
      </c>
      <c r="K272" s="101">
        <f t="shared" ref="K272:Y272" si="237">K229 * K$93</f>
        <v>10.895163278637472</v>
      </c>
      <c r="L272" s="101">
        <f t="shared" si="237"/>
        <v>12.40307106449656</v>
      </c>
      <c r="M272" s="101">
        <f t="shared" si="237"/>
        <v>12.40307106449656</v>
      </c>
      <c r="N272" s="101">
        <f t="shared" si="237"/>
        <v>9.9778802736104044</v>
      </c>
      <c r="O272" s="101">
        <f t="shared" si="237"/>
        <v>7.4590004471621851</v>
      </c>
      <c r="P272" s="101">
        <f t="shared" si="237"/>
        <v>8.5135159223890078</v>
      </c>
      <c r="Q272" s="101">
        <f t="shared" si="237"/>
        <v>17.306798680581313</v>
      </c>
      <c r="R272" s="101">
        <f t="shared" si="237"/>
        <v>7.6034304864135018</v>
      </c>
      <c r="S272" s="101">
        <f t="shared" si="237"/>
        <v>7.6034304864135018</v>
      </c>
      <c r="T272" s="101">
        <f t="shared" si="237"/>
        <v>7.6034304864135018</v>
      </c>
      <c r="U272" s="101">
        <f t="shared" si="237"/>
        <v>7.6034304864135018</v>
      </c>
      <c r="V272" s="101">
        <f t="shared" si="237"/>
        <v>7.6034304864135018</v>
      </c>
      <c r="W272" s="101">
        <f t="shared" si="237"/>
        <v>7.6034304864135018</v>
      </c>
      <c r="X272" s="101">
        <f t="shared" si="237"/>
        <v>7.6034304864135018</v>
      </c>
      <c r="Y272" s="101">
        <f t="shared" si="237"/>
        <v>7.6034304864135018</v>
      </c>
    </row>
    <row r="273" spans="5:25" x14ac:dyDescent="0.3">
      <c r="F273" s="28" t="s">
        <v>192</v>
      </c>
      <c r="G273" s="28" t="s">
        <v>283</v>
      </c>
      <c r="J273" s="121">
        <f t="shared" ref="J273:Y273" si="238">J230 * J$93</f>
        <v>9.1794613041077078</v>
      </c>
      <c r="K273" s="121">
        <f t="shared" si="238"/>
        <v>9.1794613041077078</v>
      </c>
      <c r="L273" s="121">
        <f t="shared" si="238"/>
        <v>10.449913230018382</v>
      </c>
      <c r="M273" s="121">
        <f t="shared" si="238"/>
        <v>10.449913230018382</v>
      </c>
      <c r="N273" s="121">
        <f t="shared" si="238"/>
        <v>8.4066262731659211</v>
      </c>
      <c r="O273" s="121">
        <f t="shared" si="238"/>
        <v>6.2844038424186</v>
      </c>
      <c r="P273" s="121">
        <f t="shared" si="238"/>
        <v>7.172860834927107</v>
      </c>
      <c r="Q273" s="121">
        <f t="shared" si="238"/>
        <v>18.548739588234714</v>
      </c>
      <c r="R273" s="121">
        <f t="shared" si="238"/>
        <v>6.4060899450085209</v>
      </c>
      <c r="S273" s="121">
        <f t="shared" si="238"/>
        <v>6.4060899450085209</v>
      </c>
      <c r="T273" s="121">
        <f t="shared" si="238"/>
        <v>6.4060899450085209</v>
      </c>
      <c r="U273" s="121">
        <f t="shared" si="238"/>
        <v>6.4060899450085209</v>
      </c>
      <c r="V273" s="121">
        <f t="shared" si="238"/>
        <v>6.4060899450085209</v>
      </c>
      <c r="W273" s="121">
        <f t="shared" si="238"/>
        <v>6.4060899450085209</v>
      </c>
      <c r="X273" s="121">
        <f t="shared" si="238"/>
        <v>6.4060899450085209</v>
      </c>
      <c r="Y273" s="121">
        <f t="shared" si="238"/>
        <v>6.4060899450085209</v>
      </c>
    </row>
    <row r="274" spans="5:25" x14ac:dyDescent="0.3">
      <c r="F274" s="28" t="s">
        <v>193</v>
      </c>
      <c r="G274" s="28" t="s">
        <v>283</v>
      </c>
      <c r="J274" s="121">
        <f t="shared" ref="J274:Y274" si="239">J231 * J$93</f>
        <v>9.1794613041077078</v>
      </c>
      <c r="K274" s="121">
        <f t="shared" si="239"/>
        <v>9.1794613041077078</v>
      </c>
      <c r="L274" s="121">
        <f t="shared" si="239"/>
        <v>10.449913230018382</v>
      </c>
      <c r="M274" s="121">
        <f t="shared" si="239"/>
        <v>10.449913230018382</v>
      </c>
      <c r="N274" s="121">
        <f t="shared" si="239"/>
        <v>8.4066262731659211</v>
      </c>
      <c r="O274" s="121">
        <f t="shared" si="239"/>
        <v>6.2844038424186</v>
      </c>
      <c r="P274" s="121">
        <f t="shared" si="239"/>
        <v>7.172860834927107</v>
      </c>
      <c r="Q274" s="121">
        <f t="shared" si="239"/>
        <v>18.548739588234714</v>
      </c>
      <c r="R274" s="121">
        <f t="shared" si="239"/>
        <v>6.4060899450085209</v>
      </c>
      <c r="S274" s="121">
        <f t="shared" si="239"/>
        <v>6.4060899450085209</v>
      </c>
      <c r="T274" s="121">
        <f t="shared" si="239"/>
        <v>6.4060899450085209</v>
      </c>
      <c r="U274" s="121">
        <f t="shared" si="239"/>
        <v>6.4060899450085209</v>
      </c>
      <c r="V274" s="121">
        <f t="shared" si="239"/>
        <v>6.4060899450085209</v>
      </c>
      <c r="W274" s="121">
        <f t="shared" si="239"/>
        <v>6.4060899450085209</v>
      </c>
      <c r="X274" s="121">
        <f t="shared" si="239"/>
        <v>6.4060899450085209</v>
      </c>
      <c r="Y274" s="121">
        <f t="shared" si="239"/>
        <v>6.4060899450085209</v>
      </c>
    </row>
    <row r="275" spans="5:25" x14ac:dyDescent="0.3">
      <c r="F275" s="28" t="s">
        <v>194</v>
      </c>
      <c r="G275" s="28" t="s">
        <v>283</v>
      </c>
      <c r="J275" s="121">
        <f t="shared" ref="J275:Y275" si="240">J232 * J$93</f>
        <v>9.8030745444975658</v>
      </c>
      <c r="K275" s="121">
        <f t="shared" si="240"/>
        <v>9.8030745444975658</v>
      </c>
      <c r="L275" s="121">
        <f t="shared" si="240"/>
        <v>11.159835526683924</v>
      </c>
      <c r="M275" s="121">
        <f t="shared" si="240"/>
        <v>11.159835526683924</v>
      </c>
      <c r="N275" s="121">
        <f t="shared" si="240"/>
        <v>8.9777364153928474</v>
      </c>
      <c r="O275" s="121">
        <f t="shared" si="240"/>
        <v>6.7113392925779047</v>
      </c>
      <c r="P275" s="121">
        <f t="shared" si="240"/>
        <v>7.6601542435427898</v>
      </c>
      <c r="Q275" s="121">
        <f t="shared" si="240"/>
        <v>19.95144716486757</v>
      </c>
      <c r="R275" s="121">
        <f t="shared" si="240"/>
        <v>6.8412922271999577</v>
      </c>
      <c r="S275" s="121">
        <f t="shared" si="240"/>
        <v>6.8412922271999577</v>
      </c>
      <c r="T275" s="121">
        <f t="shared" si="240"/>
        <v>6.8412922271999577</v>
      </c>
      <c r="U275" s="121">
        <f t="shared" si="240"/>
        <v>6.8412922271999577</v>
      </c>
      <c r="V275" s="121">
        <f t="shared" si="240"/>
        <v>6.8412922271999577</v>
      </c>
      <c r="W275" s="121">
        <f t="shared" si="240"/>
        <v>6.8412922271999577</v>
      </c>
      <c r="X275" s="121">
        <f t="shared" si="240"/>
        <v>6.8412922271999577</v>
      </c>
      <c r="Y275" s="121">
        <f t="shared" si="240"/>
        <v>6.8412922271999577</v>
      </c>
    </row>
    <row r="276" spans="5:25" x14ac:dyDescent="0.3">
      <c r="F276" s="28" t="s">
        <v>195</v>
      </c>
      <c r="G276" s="28" t="s">
        <v>283</v>
      </c>
      <c r="J276" s="121">
        <f t="shared" ref="J276:Y276" si="241">J233 * J$93</f>
        <v>9.8030745444975658</v>
      </c>
      <c r="K276" s="121">
        <f t="shared" si="241"/>
        <v>9.8030745444975658</v>
      </c>
      <c r="L276" s="121">
        <f t="shared" si="241"/>
        <v>11.159835526683924</v>
      </c>
      <c r="M276" s="121">
        <f t="shared" si="241"/>
        <v>11.159835526683924</v>
      </c>
      <c r="N276" s="121">
        <f t="shared" si="241"/>
        <v>8.9777364153928474</v>
      </c>
      <c r="O276" s="121">
        <f t="shared" si="241"/>
        <v>6.7113392925779047</v>
      </c>
      <c r="P276" s="121">
        <f t="shared" si="241"/>
        <v>7.6601542435427898</v>
      </c>
      <c r="Q276" s="121">
        <f t="shared" si="241"/>
        <v>19.95144716486757</v>
      </c>
      <c r="R276" s="121">
        <f t="shared" si="241"/>
        <v>6.8412922271999577</v>
      </c>
      <c r="S276" s="121">
        <f t="shared" si="241"/>
        <v>6.8412922271999577</v>
      </c>
      <c r="T276" s="121">
        <f t="shared" si="241"/>
        <v>6.8412922271999577</v>
      </c>
      <c r="U276" s="121">
        <f t="shared" si="241"/>
        <v>6.8412922271999577</v>
      </c>
      <c r="V276" s="121">
        <f t="shared" si="241"/>
        <v>6.8412922271999577</v>
      </c>
      <c r="W276" s="121">
        <f t="shared" si="241"/>
        <v>6.8412922271999577</v>
      </c>
      <c r="X276" s="121">
        <f t="shared" si="241"/>
        <v>6.8412922271999577</v>
      </c>
      <c r="Y276" s="121">
        <f t="shared" si="241"/>
        <v>6.8412922271999577</v>
      </c>
    </row>
    <row r="277" spans="5:25" x14ac:dyDescent="0.3">
      <c r="F277" s="28" t="s">
        <v>196</v>
      </c>
      <c r="G277" s="28" t="s">
        <v>283</v>
      </c>
      <c r="J277" s="121">
        <f t="shared" ref="J277:Y277" si="242">J234 * J$93</f>
        <v>9.1794613041077078</v>
      </c>
      <c r="K277" s="121">
        <f t="shared" si="242"/>
        <v>9.1794613041077078</v>
      </c>
      <c r="L277" s="121">
        <f t="shared" si="242"/>
        <v>10.449913230018382</v>
      </c>
      <c r="M277" s="121">
        <f t="shared" si="242"/>
        <v>10.449913230018382</v>
      </c>
      <c r="N277" s="121">
        <f t="shared" si="242"/>
        <v>8.4066262731659211</v>
      </c>
      <c r="O277" s="121">
        <f t="shared" si="242"/>
        <v>6.2844038424186</v>
      </c>
      <c r="P277" s="121">
        <f t="shared" si="242"/>
        <v>7.172860834927107</v>
      </c>
      <c r="Q277" s="121">
        <f t="shared" si="242"/>
        <v>18.548739588234714</v>
      </c>
      <c r="R277" s="121">
        <f t="shared" si="242"/>
        <v>6.4060899450085209</v>
      </c>
      <c r="S277" s="121">
        <f t="shared" si="242"/>
        <v>6.4060899450085209</v>
      </c>
      <c r="T277" s="121">
        <f t="shared" si="242"/>
        <v>6.4060899450085209</v>
      </c>
      <c r="U277" s="121">
        <f t="shared" si="242"/>
        <v>6.4060899450085209</v>
      </c>
      <c r="V277" s="121">
        <f t="shared" si="242"/>
        <v>6.4060899450085209</v>
      </c>
      <c r="W277" s="121">
        <f t="shared" si="242"/>
        <v>6.4060899450085209</v>
      </c>
      <c r="X277" s="121">
        <f t="shared" si="242"/>
        <v>6.4060899450085209</v>
      </c>
      <c r="Y277" s="121">
        <f t="shared" si="242"/>
        <v>6.4060899450085209</v>
      </c>
    </row>
    <row r="278" spans="5:25" x14ac:dyDescent="0.3">
      <c r="F278" s="28" t="s">
        <v>197</v>
      </c>
      <c r="G278" s="28" t="s">
        <v>283</v>
      </c>
      <c r="J278" s="121">
        <f t="shared" ref="J278:Y278" si="243">J235 * J$93</f>
        <v>9.8030745444975658</v>
      </c>
      <c r="K278" s="121">
        <f t="shared" si="243"/>
        <v>9.8030745444975658</v>
      </c>
      <c r="L278" s="121">
        <f t="shared" si="243"/>
        <v>11.159835526683924</v>
      </c>
      <c r="M278" s="121">
        <f t="shared" si="243"/>
        <v>11.159835526683924</v>
      </c>
      <c r="N278" s="121">
        <f t="shared" si="243"/>
        <v>8.9777364153928474</v>
      </c>
      <c r="O278" s="121">
        <f t="shared" si="243"/>
        <v>6.7113392925779047</v>
      </c>
      <c r="P278" s="121">
        <f t="shared" si="243"/>
        <v>7.6601542435427898</v>
      </c>
      <c r="Q278" s="121">
        <f t="shared" si="243"/>
        <v>19.95144716486757</v>
      </c>
      <c r="R278" s="121">
        <f t="shared" si="243"/>
        <v>6.8412922271999577</v>
      </c>
      <c r="S278" s="121">
        <f t="shared" si="243"/>
        <v>6.8412922271999577</v>
      </c>
      <c r="T278" s="121">
        <f t="shared" si="243"/>
        <v>6.8412922271999577</v>
      </c>
      <c r="U278" s="121">
        <f t="shared" si="243"/>
        <v>6.8412922271999577</v>
      </c>
      <c r="V278" s="121">
        <f t="shared" si="243"/>
        <v>6.8412922271999577</v>
      </c>
      <c r="W278" s="121">
        <f t="shared" si="243"/>
        <v>6.8412922271999577</v>
      </c>
      <c r="X278" s="121">
        <f t="shared" si="243"/>
        <v>6.8412922271999577</v>
      </c>
      <c r="Y278" s="121">
        <f t="shared" si="243"/>
        <v>6.8412922271999577</v>
      </c>
    </row>
    <row r="279" spans="5:25" x14ac:dyDescent="0.3">
      <c r="F279" s="28" t="s">
        <v>198</v>
      </c>
      <c r="G279" s="28" t="s">
        <v>283</v>
      </c>
      <c r="J279" s="121">
        <f t="shared" ref="J279:Y279" si="244">J236 * J$93</f>
        <v>9.8030745444975658</v>
      </c>
      <c r="K279" s="121">
        <f t="shared" si="244"/>
        <v>9.8030745444975658</v>
      </c>
      <c r="L279" s="121">
        <f t="shared" si="244"/>
        <v>11.159835526683924</v>
      </c>
      <c r="M279" s="121">
        <f t="shared" si="244"/>
        <v>11.159835526683924</v>
      </c>
      <c r="N279" s="121">
        <f t="shared" si="244"/>
        <v>8.9777364153928474</v>
      </c>
      <c r="O279" s="121">
        <f t="shared" si="244"/>
        <v>6.7113392925779047</v>
      </c>
      <c r="P279" s="121">
        <f t="shared" si="244"/>
        <v>7.6601542435427898</v>
      </c>
      <c r="Q279" s="121">
        <f t="shared" si="244"/>
        <v>19.95144716486757</v>
      </c>
      <c r="R279" s="121">
        <f t="shared" si="244"/>
        <v>6.8412922271999577</v>
      </c>
      <c r="S279" s="121">
        <f t="shared" si="244"/>
        <v>6.8412922271999577</v>
      </c>
      <c r="T279" s="121">
        <f t="shared" si="244"/>
        <v>6.8412922271999577</v>
      </c>
      <c r="U279" s="121">
        <f t="shared" si="244"/>
        <v>6.8412922271999577</v>
      </c>
      <c r="V279" s="121">
        <f t="shared" si="244"/>
        <v>6.8412922271999577</v>
      </c>
      <c r="W279" s="121">
        <f t="shared" si="244"/>
        <v>6.8412922271999577</v>
      </c>
      <c r="X279" s="121">
        <f t="shared" si="244"/>
        <v>6.8412922271999577</v>
      </c>
      <c r="Y279" s="121">
        <f t="shared" si="244"/>
        <v>6.8412922271999577</v>
      </c>
    </row>
    <row r="280" spans="5:25" x14ac:dyDescent="0.3">
      <c r="F280" s="67" t="s">
        <v>199</v>
      </c>
      <c r="G280" s="67" t="s">
        <v>283</v>
      </c>
      <c r="H280" s="37"/>
      <c r="I280" s="37"/>
      <c r="J280" s="131">
        <f t="shared" ref="J280:Y280" si="245">J237 * J$93</f>
        <v>9.8030745444975658</v>
      </c>
      <c r="K280" s="131">
        <f t="shared" si="245"/>
        <v>9.8030745444975658</v>
      </c>
      <c r="L280" s="131">
        <f t="shared" si="245"/>
        <v>11.159835526683924</v>
      </c>
      <c r="M280" s="131">
        <f t="shared" si="245"/>
        <v>11.159835526683924</v>
      </c>
      <c r="N280" s="131">
        <f t="shared" si="245"/>
        <v>8.9777364153928474</v>
      </c>
      <c r="O280" s="131">
        <f t="shared" si="245"/>
        <v>6.7113392925779047</v>
      </c>
      <c r="P280" s="131">
        <f t="shared" si="245"/>
        <v>7.6601542435427898</v>
      </c>
      <c r="Q280" s="131">
        <f t="shared" si="245"/>
        <v>19.95144716486757</v>
      </c>
      <c r="R280" s="131">
        <f t="shared" si="245"/>
        <v>6.8412922271999577</v>
      </c>
      <c r="S280" s="131">
        <f t="shared" si="245"/>
        <v>6.8412922271999577</v>
      </c>
      <c r="T280" s="131">
        <f t="shared" si="245"/>
        <v>6.8412922271999577</v>
      </c>
      <c r="U280" s="131">
        <f t="shared" si="245"/>
        <v>6.8412922271999577</v>
      </c>
      <c r="V280" s="131">
        <f t="shared" si="245"/>
        <v>6.8412922271999577</v>
      </c>
      <c r="W280" s="131">
        <f t="shared" si="245"/>
        <v>6.8412922271999577</v>
      </c>
      <c r="X280" s="131">
        <f t="shared" si="245"/>
        <v>6.8412922271999577</v>
      </c>
      <c r="Y280" s="131">
        <f t="shared" si="245"/>
        <v>6.8412922271999577</v>
      </c>
    </row>
    <row r="281" spans="5:25" x14ac:dyDescent="0.3">
      <c r="J281" s="89"/>
      <c r="K281" s="89"/>
      <c r="L281" s="89"/>
      <c r="M281" s="89"/>
      <c r="N281" s="89"/>
      <c r="O281" s="89"/>
      <c r="P281" s="89"/>
      <c r="Q281" s="89"/>
      <c r="R281" s="89"/>
      <c r="S281" s="89"/>
      <c r="T281" s="89"/>
      <c r="U281" s="89"/>
      <c r="V281" s="89"/>
      <c r="W281" s="89"/>
      <c r="X281" s="89"/>
      <c r="Y281" s="89"/>
    </row>
    <row r="282" spans="5:25" x14ac:dyDescent="0.3">
      <c r="E282" s="32" t="s">
        <v>157</v>
      </c>
      <c r="F282" s="28"/>
      <c r="G282" s="28"/>
      <c r="J282" s="89"/>
      <c r="K282" s="89"/>
      <c r="L282" s="89"/>
      <c r="M282" s="89"/>
      <c r="N282" s="89"/>
      <c r="O282" s="89"/>
      <c r="P282" s="89"/>
      <c r="Q282" s="89"/>
      <c r="R282" s="89"/>
      <c r="S282" s="89"/>
      <c r="T282" s="89"/>
      <c r="U282" s="89"/>
      <c r="V282" s="89"/>
      <c r="W282" s="89"/>
      <c r="X282" s="89"/>
      <c r="Y282" s="89"/>
    </row>
    <row r="283" spans="5:25" x14ac:dyDescent="0.3">
      <c r="F283" s="64" t="s">
        <v>191</v>
      </c>
      <c r="G283" s="64" t="s">
        <v>283</v>
      </c>
      <c r="H283" s="23"/>
      <c r="I283" s="23"/>
      <c r="J283" s="101">
        <f>J240 * J$93</f>
        <v>1.4674440745559578</v>
      </c>
      <c r="K283" s="101">
        <f t="shared" ref="K283:Y283" si="246">K240 * K$93</f>
        <v>1.4674440745559578</v>
      </c>
      <c r="L283" s="101">
        <f t="shared" si="246"/>
        <v>1.6705406494989299</v>
      </c>
      <c r="M283" s="101">
        <f t="shared" si="246"/>
        <v>1.6705406494989299</v>
      </c>
      <c r="N283" s="101">
        <f t="shared" si="246"/>
        <v>1.3438973707578492</v>
      </c>
      <c r="O283" s="101">
        <f t="shared" si="246"/>
        <v>1.004635334815031</v>
      </c>
      <c r="P283" s="101">
        <f t="shared" si="246"/>
        <v>1.1466655592434511</v>
      </c>
      <c r="Q283" s="101">
        <f t="shared" si="246"/>
        <v>1.2565230255946662</v>
      </c>
      <c r="R283" s="101">
        <f t="shared" si="246"/>
        <v>1.02408827919658</v>
      </c>
      <c r="S283" s="101">
        <f t="shared" si="246"/>
        <v>1.02408827919658</v>
      </c>
      <c r="T283" s="101">
        <f t="shared" si="246"/>
        <v>1.02408827919658</v>
      </c>
      <c r="U283" s="101">
        <f t="shared" si="246"/>
        <v>1.02408827919658</v>
      </c>
      <c r="V283" s="101">
        <f t="shared" si="246"/>
        <v>1.02408827919658</v>
      </c>
      <c r="W283" s="101">
        <f t="shared" si="246"/>
        <v>1.02408827919658</v>
      </c>
      <c r="X283" s="101">
        <f t="shared" si="246"/>
        <v>1.02408827919658</v>
      </c>
      <c r="Y283" s="101">
        <f t="shared" si="246"/>
        <v>1.02408827919658</v>
      </c>
    </row>
    <row r="284" spans="5:25" x14ac:dyDescent="0.3">
      <c r="F284" s="28" t="s">
        <v>192</v>
      </c>
      <c r="G284" s="28" t="s">
        <v>283</v>
      </c>
      <c r="J284" s="121">
        <f t="shared" ref="J284:Y284" si="247">J241 * J$93</f>
        <v>1.8189083746122479</v>
      </c>
      <c r="K284" s="121">
        <f t="shared" si="247"/>
        <v>1.8189083746122479</v>
      </c>
      <c r="L284" s="121">
        <f t="shared" si="247"/>
        <v>2.0706481631494147</v>
      </c>
      <c r="M284" s="121">
        <f t="shared" si="247"/>
        <v>2.0706481631494147</v>
      </c>
      <c r="N284" s="121">
        <f t="shared" si="247"/>
        <v>1.665771271747106</v>
      </c>
      <c r="O284" s="121">
        <f t="shared" si="247"/>
        <v>1.2452533323829627</v>
      </c>
      <c r="P284" s="121">
        <f t="shared" si="247"/>
        <v>1.4213009032173627</v>
      </c>
      <c r="Q284" s="121">
        <f t="shared" si="247"/>
        <v>1.0789236245869944</v>
      </c>
      <c r="R284" s="121">
        <f t="shared" si="247"/>
        <v>1.2693654086521537</v>
      </c>
      <c r="S284" s="121">
        <f t="shared" si="247"/>
        <v>1.2693654086521537</v>
      </c>
      <c r="T284" s="121">
        <f t="shared" si="247"/>
        <v>1.2693654086521537</v>
      </c>
      <c r="U284" s="121">
        <f t="shared" si="247"/>
        <v>1.2693654086521537</v>
      </c>
      <c r="V284" s="121">
        <f t="shared" si="247"/>
        <v>1.2693654086521537</v>
      </c>
      <c r="W284" s="121">
        <f t="shared" si="247"/>
        <v>1.2693654086521537</v>
      </c>
      <c r="X284" s="121">
        <f t="shared" si="247"/>
        <v>1.2693654086521537</v>
      </c>
      <c r="Y284" s="121">
        <f t="shared" si="247"/>
        <v>1.2693654086521537</v>
      </c>
    </row>
    <row r="285" spans="5:25" x14ac:dyDescent="0.3">
      <c r="F285" s="28" t="s">
        <v>193</v>
      </c>
      <c r="G285" s="28" t="s">
        <v>283</v>
      </c>
      <c r="J285" s="121">
        <f t="shared" ref="J285:Y285" si="248">J242 * J$93</f>
        <v>1.8189083746122479</v>
      </c>
      <c r="K285" s="121">
        <f t="shared" si="248"/>
        <v>1.8189083746122479</v>
      </c>
      <c r="L285" s="121">
        <f t="shared" si="248"/>
        <v>2.0706481631494147</v>
      </c>
      <c r="M285" s="121">
        <f t="shared" si="248"/>
        <v>2.0706481631494147</v>
      </c>
      <c r="N285" s="121">
        <f t="shared" si="248"/>
        <v>1.665771271747106</v>
      </c>
      <c r="O285" s="121">
        <f t="shared" si="248"/>
        <v>1.2452533323829627</v>
      </c>
      <c r="P285" s="121">
        <f t="shared" si="248"/>
        <v>1.4213009032173627</v>
      </c>
      <c r="Q285" s="121">
        <f t="shared" si="248"/>
        <v>1.0789236245869944</v>
      </c>
      <c r="R285" s="121">
        <f t="shared" si="248"/>
        <v>1.2693654086521537</v>
      </c>
      <c r="S285" s="121">
        <f t="shared" si="248"/>
        <v>1.2693654086521537</v>
      </c>
      <c r="T285" s="121">
        <f t="shared" si="248"/>
        <v>1.2693654086521537</v>
      </c>
      <c r="U285" s="121">
        <f t="shared" si="248"/>
        <v>1.2693654086521537</v>
      </c>
      <c r="V285" s="121">
        <f t="shared" si="248"/>
        <v>1.2693654086521537</v>
      </c>
      <c r="W285" s="121">
        <f t="shared" si="248"/>
        <v>1.2693654086521537</v>
      </c>
      <c r="X285" s="121">
        <f t="shared" si="248"/>
        <v>1.2693654086521537</v>
      </c>
      <c r="Y285" s="121">
        <f t="shared" si="248"/>
        <v>1.2693654086521537</v>
      </c>
    </row>
    <row r="286" spans="5:25" x14ac:dyDescent="0.3">
      <c r="F286" s="28" t="s">
        <v>194</v>
      </c>
      <c r="G286" s="28" t="s">
        <v>283</v>
      </c>
      <c r="J286" s="121">
        <f t="shared" ref="J286:Y286" si="249">J243 * J$93</f>
        <v>1.4123467660372284</v>
      </c>
      <c r="K286" s="121">
        <f t="shared" si="249"/>
        <v>1.4123467660372284</v>
      </c>
      <c r="L286" s="121">
        <f t="shared" si="249"/>
        <v>1.6078177865602703</v>
      </c>
      <c r="M286" s="121">
        <f t="shared" si="249"/>
        <v>1.6078177865602703</v>
      </c>
      <c r="N286" s="121">
        <f t="shared" si="249"/>
        <v>1.2934388017820193</v>
      </c>
      <c r="O286" s="121">
        <f t="shared" si="249"/>
        <v>0.96691484927770621</v>
      </c>
      <c r="P286" s="121">
        <f t="shared" si="249"/>
        <v>1.1036123436689118</v>
      </c>
      <c r="Q286" s="121">
        <f t="shared" si="249"/>
        <v>0.83726548118631694</v>
      </c>
      <c r="R286" s="121">
        <f t="shared" si="249"/>
        <v>0.98563740474919592</v>
      </c>
      <c r="S286" s="121">
        <f t="shared" si="249"/>
        <v>0.98563740474919592</v>
      </c>
      <c r="T286" s="121">
        <f t="shared" si="249"/>
        <v>0.98563740474919592</v>
      </c>
      <c r="U286" s="121">
        <f t="shared" si="249"/>
        <v>0.98563740474919592</v>
      </c>
      <c r="V286" s="121">
        <f t="shared" si="249"/>
        <v>0.98563740474919592</v>
      </c>
      <c r="W286" s="121">
        <f t="shared" si="249"/>
        <v>0.98563740474919592</v>
      </c>
      <c r="X286" s="121">
        <f t="shared" si="249"/>
        <v>0.98563740474919592</v>
      </c>
      <c r="Y286" s="121">
        <f t="shared" si="249"/>
        <v>0.98563740474919592</v>
      </c>
    </row>
    <row r="287" spans="5:25" x14ac:dyDescent="0.3">
      <c r="F287" s="28" t="s">
        <v>195</v>
      </c>
      <c r="G287" s="28" t="s">
        <v>283</v>
      </c>
      <c r="J287" s="121">
        <f t="shared" ref="J287:Y287" si="250">J244 * J$93</f>
        <v>1.4123467660372284</v>
      </c>
      <c r="K287" s="121">
        <f t="shared" si="250"/>
        <v>1.4123467660372284</v>
      </c>
      <c r="L287" s="121">
        <f t="shared" si="250"/>
        <v>1.6078177865602703</v>
      </c>
      <c r="M287" s="121">
        <f t="shared" si="250"/>
        <v>1.6078177865602703</v>
      </c>
      <c r="N287" s="121">
        <f t="shared" si="250"/>
        <v>1.2934388017820193</v>
      </c>
      <c r="O287" s="121">
        <f t="shared" si="250"/>
        <v>0.96691484927770621</v>
      </c>
      <c r="P287" s="121">
        <f t="shared" si="250"/>
        <v>1.1036123436689118</v>
      </c>
      <c r="Q287" s="121">
        <f t="shared" si="250"/>
        <v>0.83726548118631694</v>
      </c>
      <c r="R287" s="121">
        <f t="shared" si="250"/>
        <v>0.98563740474919592</v>
      </c>
      <c r="S287" s="121">
        <f t="shared" si="250"/>
        <v>0.98563740474919592</v>
      </c>
      <c r="T287" s="121">
        <f t="shared" si="250"/>
        <v>0.98563740474919592</v>
      </c>
      <c r="U287" s="121">
        <f t="shared" si="250"/>
        <v>0.98563740474919592</v>
      </c>
      <c r="V287" s="121">
        <f t="shared" si="250"/>
        <v>0.98563740474919592</v>
      </c>
      <c r="W287" s="121">
        <f t="shared" si="250"/>
        <v>0.98563740474919592</v>
      </c>
      <c r="X287" s="121">
        <f t="shared" si="250"/>
        <v>0.98563740474919592</v>
      </c>
      <c r="Y287" s="121">
        <f t="shared" si="250"/>
        <v>0.98563740474919592</v>
      </c>
    </row>
    <row r="288" spans="5:25" x14ac:dyDescent="0.3">
      <c r="F288" s="28" t="s">
        <v>196</v>
      </c>
      <c r="G288" s="28" t="s">
        <v>283</v>
      </c>
      <c r="J288" s="121">
        <f t="shared" ref="J288:Y288" si="251">J245 * J$93</f>
        <v>1.8189083746122479</v>
      </c>
      <c r="K288" s="121">
        <f t="shared" si="251"/>
        <v>1.8189083746122479</v>
      </c>
      <c r="L288" s="121">
        <f t="shared" si="251"/>
        <v>2.0706481631494147</v>
      </c>
      <c r="M288" s="121">
        <f t="shared" si="251"/>
        <v>2.0706481631494147</v>
      </c>
      <c r="N288" s="121">
        <f t="shared" si="251"/>
        <v>1.665771271747106</v>
      </c>
      <c r="O288" s="121">
        <f t="shared" si="251"/>
        <v>1.2452533323829627</v>
      </c>
      <c r="P288" s="121">
        <f t="shared" si="251"/>
        <v>1.4213009032173627</v>
      </c>
      <c r="Q288" s="121">
        <f t="shared" si="251"/>
        <v>1.0789236245869944</v>
      </c>
      <c r="R288" s="121">
        <f t="shared" si="251"/>
        <v>1.2693654086521537</v>
      </c>
      <c r="S288" s="121">
        <f t="shared" si="251"/>
        <v>1.2693654086521537</v>
      </c>
      <c r="T288" s="121">
        <f t="shared" si="251"/>
        <v>1.2693654086521537</v>
      </c>
      <c r="U288" s="121">
        <f t="shared" si="251"/>
        <v>1.2693654086521537</v>
      </c>
      <c r="V288" s="121">
        <f t="shared" si="251"/>
        <v>1.2693654086521537</v>
      </c>
      <c r="W288" s="121">
        <f t="shared" si="251"/>
        <v>1.2693654086521537</v>
      </c>
      <c r="X288" s="121">
        <f t="shared" si="251"/>
        <v>1.2693654086521537</v>
      </c>
      <c r="Y288" s="121">
        <f t="shared" si="251"/>
        <v>1.2693654086521537</v>
      </c>
    </row>
    <row r="289" spans="2:27" x14ac:dyDescent="0.3">
      <c r="F289" s="28" t="s">
        <v>197</v>
      </c>
      <c r="G289" s="28" t="s">
        <v>283</v>
      </c>
      <c r="J289" s="121">
        <f t="shared" ref="J289:Y289" si="252">J246 * J$93</f>
        <v>1.4123467660372284</v>
      </c>
      <c r="K289" s="121">
        <f t="shared" si="252"/>
        <v>1.4123467660372284</v>
      </c>
      <c r="L289" s="121">
        <f t="shared" si="252"/>
        <v>1.6078177865602703</v>
      </c>
      <c r="M289" s="121">
        <f t="shared" si="252"/>
        <v>1.6078177865602703</v>
      </c>
      <c r="N289" s="121">
        <f t="shared" si="252"/>
        <v>1.2934388017820193</v>
      </c>
      <c r="O289" s="121">
        <f t="shared" si="252"/>
        <v>0.96691484927770621</v>
      </c>
      <c r="P289" s="121">
        <f t="shared" si="252"/>
        <v>1.1036123436689118</v>
      </c>
      <c r="Q289" s="121">
        <f t="shared" si="252"/>
        <v>0.83726548118631694</v>
      </c>
      <c r="R289" s="121">
        <f t="shared" si="252"/>
        <v>0.98563740474919592</v>
      </c>
      <c r="S289" s="121">
        <f t="shared" si="252"/>
        <v>0.98563740474919592</v>
      </c>
      <c r="T289" s="121">
        <f t="shared" si="252"/>
        <v>0.98563740474919592</v>
      </c>
      <c r="U289" s="121">
        <f t="shared" si="252"/>
        <v>0.98563740474919592</v>
      </c>
      <c r="V289" s="121">
        <f t="shared" si="252"/>
        <v>0.98563740474919592</v>
      </c>
      <c r="W289" s="121">
        <f t="shared" si="252"/>
        <v>0.98563740474919592</v>
      </c>
      <c r="X289" s="121">
        <f t="shared" si="252"/>
        <v>0.98563740474919592</v>
      </c>
      <c r="Y289" s="121">
        <f t="shared" si="252"/>
        <v>0.98563740474919592</v>
      </c>
    </row>
    <row r="290" spans="2:27" x14ac:dyDescent="0.3">
      <c r="F290" s="28" t="s">
        <v>198</v>
      </c>
      <c r="G290" s="28" t="s">
        <v>283</v>
      </c>
      <c r="J290" s="121">
        <f t="shared" ref="J290:Y290" si="253">J247 * J$93</f>
        <v>1.4123467660372284</v>
      </c>
      <c r="K290" s="121">
        <f t="shared" si="253"/>
        <v>1.4123467660372284</v>
      </c>
      <c r="L290" s="121">
        <f t="shared" si="253"/>
        <v>1.6078177865602703</v>
      </c>
      <c r="M290" s="121">
        <f t="shared" si="253"/>
        <v>1.6078177865602703</v>
      </c>
      <c r="N290" s="121">
        <f t="shared" si="253"/>
        <v>1.2934388017820193</v>
      </c>
      <c r="O290" s="121">
        <f t="shared" si="253"/>
        <v>0.96691484927770621</v>
      </c>
      <c r="P290" s="121">
        <f t="shared" si="253"/>
        <v>1.1036123436689118</v>
      </c>
      <c r="Q290" s="121">
        <f t="shared" si="253"/>
        <v>0.83726548118631694</v>
      </c>
      <c r="R290" s="121">
        <f t="shared" si="253"/>
        <v>0.98563740474919592</v>
      </c>
      <c r="S290" s="121">
        <f t="shared" si="253"/>
        <v>0.98563740474919592</v>
      </c>
      <c r="T290" s="121">
        <f t="shared" si="253"/>
        <v>0.98563740474919592</v>
      </c>
      <c r="U290" s="121">
        <f t="shared" si="253"/>
        <v>0.98563740474919592</v>
      </c>
      <c r="V290" s="121">
        <f t="shared" si="253"/>
        <v>0.98563740474919592</v>
      </c>
      <c r="W290" s="121">
        <f t="shared" si="253"/>
        <v>0.98563740474919592</v>
      </c>
      <c r="X290" s="121">
        <f t="shared" si="253"/>
        <v>0.98563740474919592</v>
      </c>
      <c r="Y290" s="121">
        <f t="shared" si="253"/>
        <v>0.98563740474919592</v>
      </c>
    </row>
    <row r="291" spans="2:27" x14ac:dyDescent="0.3">
      <c r="F291" s="67" t="s">
        <v>199</v>
      </c>
      <c r="G291" s="67" t="s">
        <v>283</v>
      </c>
      <c r="H291" s="37"/>
      <c r="I291" s="37"/>
      <c r="J291" s="131">
        <f t="shared" ref="J291:Y291" si="254">J248 * J$93</f>
        <v>1.4123467660372284</v>
      </c>
      <c r="K291" s="131">
        <f t="shared" si="254"/>
        <v>1.4123467660372284</v>
      </c>
      <c r="L291" s="131">
        <f t="shared" si="254"/>
        <v>1.6078177865602703</v>
      </c>
      <c r="M291" s="131">
        <f t="shared" si="254"/>
        <v>1.6078177865602703</v>
      </c>
      <c r="N291" s="131">
        <f t="shared" si="254"/>
        <v>1.2934388017820193</v>
      </c>
      <c r="O291" s="131">
        <f t="shared" si="254"/>
        <v>0.96691484927770621</v>
      </c>
      <c r="P291" s="131">
        <f t="shared" si="254"/>
        <v>1.1036123436689118</v>
      </c>
      <c r="Q291" s="131">
        <f t="shared" si="254"/>
        <v>0.83726548118631694</v>
      </c>
      <c r="R291" s="131">
        <f t="shared" si="254"/>
        <v>0.98563740474919592</v>
      </c>
      <c r="S291" s="131">
        <f t="shared" si="254"/>
        <v>0.98563740474919592</v>
      </c>
      <c r="T291" s="131">
        <f t="shared" si="254"/>
        <v>0.98563740474919592</v>
      </c>
      <c r="U291" s="131">
        <f t="shared" si="254"/>
        <v>0.98563740474919592</v>
      </c>
      <c r="V291" s="131">
        <f t="shared" si="254"/>
        <v>0.98563740474919592</v>
      </c>
      <c r="W291" s="131">
        <f t="shared" si="254"/>
        <v>0.98563740474919592</v>
      </c>
      <c r="X291" s="131">
        <f t="shared" si="254"/>
        <v>0.98563740474919592</v>
      </c>
      <c r="Y291" s="131">
        <f t="shared" si="254"/>
        <v>0.98563740474919592</v>
      </c>
    </row>
    <row r="292" spans="2:27" x14ac:dyDescent="0.3">
      <c r="J292" s="89"/>
      <c r="K292" s="89"/>
      <c r="L292" s="89"/>
      <c r="M292" s="89"/>
      <c r="N292" s="89"/>
      <c r="O292" s="89"/>
      <c r="P292" s="89"/>
      <c r="Q292" s="89"/>
      <c r="R292" s="89"/>
      <c r="S292" s="89"/>
      <c r="T292" s="89"/>
      <c r="U292" s="89"/>
      <c r="V292" s="89"/>
      <c r="W292" s="89"/>
      <c r="X292" s="89"/>
      <c r="Y292" s="89"/>
    </row>
    <row r="293" spans="2:27" x14ac:dyDescent="0.3">
      <c r="E293" s="32" t="s">
        <v>158</v>
      </c>
      <c r="F293" s="28"/>
      <c r="G293" s="28"/>
      <c r="J293" s="89"/>
      <c r="K293" s="89"/>
      <c r="L293" s="89"/>
      <c r="M293" s="89"/>
      <c r="N293" s="89"/>
      <c r="O293" s="89"/>
      <c r="P293" s="89"/>
      <c r="Q293" s="89"/>
      <c r="R293" s="89"/>
      <c r="S293" s="89"/>
      <c r="T293" s="89"/>
      <c r="U293" s="89"/>
      <c r="V293" s="89"/>
      <c r="W293" s="89"/>
      <c r="X293" s="89"/>
      <c r="Y293" s="89"/>
    </row>
    <row r="294" spans="2:27" x14ac:dyDescent="0.3">
      <c r="F294" s="64" t="s">
        <v>191</v>
      </c>
      <c r="G294" s="64" t="s">
        <v>283</v>
      </c>
      <c r="H294" s="23"/>
      <c r="I294" s="23"/>
      <c r="J294" s="101">
        <f>J251 * J$93</f>
        <v>0</v>
      </c>
      <c r="K294" s="101">
        <f t="shared" ref="K294:Y294" si="255">K251 * K$93</f>
        <v>0</v>
      </c>
      <c r="L294" s="101">
        <f t="shared" si="255"/>
        <v>0</v>
      </c>
      <c r="M294" s="101">
        <f t="shared" si="255"/>
        <v>0</v>
      </c>
      <c r="N294" s="101">
        <f t="shared" si="255"/>
        <v>0</v>
      </c>
      <c r="O294" s="101">
        <f t="shared" si="255"/>
        <v>0</v>
      </c>
      <c r="P294" s="101">
        <f t="shared" si="255"/>
        <v>0</v>
      </c>
      <c r="Q294" s="101">
        <f t="shared" si="255"/>
        <v>0</v>
      </c>
      <c r="R294" s="101">
        <f t="shared" si="255"/>
        <v>0</v>
      </c>
      <c r="S294" s="101">
        <f t="shared" si="255"/>
        <v>0</v>
      </c>
      <c r="T294" s="101">
        <f t="shared" si="255"/>
        <v>0</v>
      </c>
      <c r="U294" s="101">
        <f t="shared" si="255"/>
        <v>0</v>
      </c>
      <c r="V294" s="101">
        <f t="shared" si="255"/>
        <v>0</v>
      </c>
      <c r="W294" s="101">
        <f t="shared" si="255"/>
        <v>0</v>
      </c>
      <c r="X294" s="101">
        <f t="shared" si="255"/>
        <v>0</v>
      </c>
      <c r="Y294" s="101">
        <f t="shared" si="255"/>
        <v>0</v>
      </c>
    </row>
    <row r="295" spans="2:27" x14ac:dyDescent="0.3">
      <c r="F295" s="28" t="s">
        <v>192</v>
      </c>
      <c r="G295" s="28" t="s">
        <v>283</v>
      </c>
      <c r="J295" s="121">
        <f t="shared" ref="J295:Y295" si="256">J252 * J$93</f>
        <v>7.2607033658463507E-2</v>
      </c>
      <c r="K295" s="121">
        <f t="shared" si="256"/>
        <v>7.2607033658463507E-2</v>
      </c>
      <c r="L295" s="121">
        <f t="shared" si="256"/>
        <v>8.2655961660891925E-2</v>
      </c>
      <c r="M295" s="121">
        <f t="shared" si="256"/>
        <v>8.2655961660891925E-2</v>
      </c>
      <c r="N295" s="121">
        <f t="shared" si="256"/>
        <v>6.6494119485720066E-2</v>
      </c>
      <c r="O295" s="121">
        <f t="shared" si="256"/>
        <v>4.9707919255096052E-2</v>
      </c>
      <c r="P295" s="121">
        <f t="shared" si="256"/>
        <v>5.6735371588306036E-2</v>
      </c>
      <c r="Q295" s="121">
        <f t="shared" si="256"/>
        <v>4.9561747315186623E-2</v>
      </c>
      <c r="R295" s="121">
        <f t="shared" si="256"/>
        <v>5.0670423116031767E-2</v>
      </c>
      <c r="S295" s="121">
        <f t="shared" si="256"/>
        <v>5.0670423116031767E-2</v>
      </c>
      <c r="T295" s="121">
        <f t="shared" si="256"/>
        <v>5.0670423116031767E-2</v>
      </c>
      <c r="U295" s="121">
        <f t="shared" si="256"/>
        <v>5.0670423116031767E-2</v>
      </c>
      <c r="V295" s="121">
        <f t="shared" si="256"/>
        <v>5.0670423116031767E-2</v>
      </c>
      <c r="W295" s="121">
        <f t="shared" si="256"/>
        <v>5.0670423116031767E-2</v>
      </c>
      <c r="X295" s="121">
        <f t="shared" si="256"/>
        <v>5.0670423116031767E-2</v>
      </c>
      <c r="Y295" s="121">
        <f t="shared" si="256"/>
        <v>5.0670423116031767E-2</v>
      </c>
    </row>
    <row r="296" spans="2:27" x14ac:dyDescent="0.3">
      <c r="F296" s="28" t="s">
        <v>193</v>
      </c>
      <c r="G296" s="28" t="s">
        <v>283</v>
      </c>
      <c r="J296" s="121">
        <f t="shared" ref="J296:Y296" si="257">J253 * J$93</f>
        <v>7.2607033658463507E-2</v>
      </c>
      <c r="K296" s="121">
        <f t="shared" si="257"/>
        <v>7.2607033658463507E-2</v>
      </c>
      <c r="L296" s="121">
        <f t="shared" si="257"/>
        <v>8.2655961660891925E-2</v>
      </c>
      <c r="M296" s="121">
        <f t="shared" si="257"/>
        <v>8.2655961660891925E-2</v>
      </c>
      <c r="N296" s="121">
        <f t="shared" si="257"/>
        <v>6.6494119485720066E-2</v>
      </c>
      <c r="O296" s="121">
        <f t="shared" si="257"/>
        <v>4.9707919255096052E-2</v>
      </c>
      <c r="P296" s="121">
        <f t="shared" si="257"/>
        <v>5.6735371588306036E-2</v>
      </c>
      <c r="Q296" s="121">
        <f t="shared" si="257"/>
        <v>4.9561747315186623E-2</v>
      </c>
      <c r="R296" s="121">
        <f t="shared" si="257"/>
        <v>5.0670423116031767E-2</v>
      </c>
      <c r="S296" s="121">
        <f t="shared" si="257"/>
        <v>5.0670423116031767E-2</v>
      </c>
      <c r="T296" s="121">
        <f t="shared" si="257"/>
        <v>5.0670423116031767E-2</v>
      </c>
      <c r="U296" s="121">
        <f t="shared" si="257"/>
        <v>5.0670423116031767E-2</v>
      </c>
      <c r="V296" s="121">
        <f t="shared" si="257"/>
        <v>5.0670423116031767E-2</v>
      </c>
      <c r="W296" s="121">
        <f t="shared" si="257"/>
        <v>5.0670423116031767E-2</v>
      </c>
      <c r="X296" s="121">
        <f t="shared" si="257"/>
        <v>5.0670423116031767E-2</v>
      </c>
      <c r="Y296" s="121">
        <f t="shared" si="257"/>
        <v>5.0670423116031767E-2</v>
      </c>
    </row>
    <row r="297" spans="2:27" x14ac:dyDescent="0.3">
      <c r="F297" s="28" t="s">
        <v>194</v>
      </c>
      <c r="G297" s="28" t="s">
        <v>283</v>
      </c>
      <c r="J297" s="121">
        <f t="shared" ref="J297:Y297" si="258">J254 * J$93</f>
        <v>0.19213208303773974</v>
      </c>
      <c r="K297" s="121">
        <f t="shared" si="258"/>
        <v>0.19213208303773974</v>
      </c>
      <c r="L297" s="121">
        <f t="shared" si="258"/>
        <v>0.21872346643572804</v>
      </c>
      <c r="M297" s="121">
        <f t="shared" si="258"/>
        <v>0.21872346643572804</v>
      </c>
      <c r="N297" s="121">
        <f t="shared" si="258"/>
        <v>0.17595614423042263</v>
      </c>
      <c r="O297" s="121">
        <f t="shared" si="258"/>
        <v>0.13153665132331316</v>
      </c>
      <c r="P297" s="121">
        <f t="shared" si="258"/>
        <v>0.15013263283082473</v>
      </c>
      <c r="Q297" s="121">
        <f t="shared" si="258"/>
        <v>0.13114985244335103</v>
      </c>
      <c r="R297" s="121">
        <f t="shared" si="258"/>
        <v>0.13408362043106281</v>
      </c>
      <c r="S297" s="121">
        <f t="shared" si="258"/>
        <v>0.13408362043106281</v>
      </c>
      <c r="T297" s="121">
        <f t="shared" si="258"/>
        <v>0.13408362043106281</v>
      </c>
      <c r="U297" s="121">
        <f t="shared" si="258"/>
        <v>0.13408362043106281</v>
      </c>
      <c r="V297" s="121">
        <f t="shared" si="258"/>
        <v>0.13408362043106281</v>
      </c>
      <c r="W297" s="121">
        <f t="shared" si="258"/>
        <v>0.13408362043106281</v>
      </c>
      <c r="X297" s="121">
        <f t="shared" si="258"/>
        <v>0.13408362043106281</v>
      </c>
      <c r="Y297" s="121">
        <f t="shared" si="258"/>
        <v>0.13408362043106281</v>
      </c>
    </row>
    <row r="298" spans="2:27" x14ac:dyDescent="0.3">
      <c r="F298" s="28" t="s">
        <v>195</v>
      </c>
      <c r="G298" s="28" t="s">
        <v>283</v>
      </c>
      <c r="J298" s="121">
        <f t="shared" ref="J298:Y298" si="259">J255 * J$93</f>
        <v>0.19213208303773974</v>
      </c>
      <c r="K298" s="121">
        <f t="shared" si="259"/>
        <v>0.19213208303773974</v>
      </c>
      <c r="L298" s="121">
        <f t="shared" si="259"/>
        <v>0.21872346643572804</v>
      </c>
      <c r="M298" s="121">
        <f t="shared" si="259"/>
        <v>0.21872346643572804</v>
      </c>
      <c r="N298" s="121">
        <f t="shared" si="259"/>
        <v>0.17595614423042263</v>
      </c>
      <c r="O298" s="121">
        <f t="shared" si="259"/>
        <v>0.13153665132331316</v>
      </c>
      <c r="P298" s="121">
        <f t="shared" si="259"/>
        <v>0.15013263283082473</v>
      </c>
      <c r="Q298" s="121">
        <f t="shared" si="259"/>
        <v>0.13114985244335103</v>
      </c>
      <c r="R298" s="121">
        <f t="shared" si="259"/>
        <v>0.13408362043106281</v>
      </c>
      <c r="S298" s="121">
        <f t="shared" si="259"/>
        <v>0.13408362043106281</v>
      </c>
      <c r="T298" s="121">
        <f t="shared" si="259"/>
        <v>0.13408362043106281</v>
      </c>
      <c r="U298" s="121">
        <f t="shared" si="259"/>
        <v>0.13408362043106281</v>
      </c>
      <c r="V298" s="121">
        <f t="shared" si="259"/>
        <v>0.13408362043106281</v>
      </c>
      <c r="W298" s="121">
        <f t="shared" si="259"/>
        <v>0.13408362043106281</v>
      </c>
      <c r="X298" s="121">
        <f t="shared" si="259"/>
        <v>0.13408362043106281</v>
      </c>
      <c r="Y298" s="121">
        <f t="shared" si="259"/>
        <v>0.13408362043106281</v>
      </c>
    </row>
    <row r="299" spans="2:27" x14ac:dyDescent="0.3">
      <c r="F299" s="28" t="s">
        <v>196</v>
      </c>
      <c r="G299" s="28" t="s">
        <v>283</v>
      </c>
      <c r="J299" s="121">
        <f t="shared" ref="J299:Y299" si="260">J256 * J$93</f>
        <v>7.2607033658463507E-2</v>
      </c>
      <c r="K299" s="121">
        <f t="shared" si="260"/>
        <v>7.2607033658463507E-2</v>
      </c>
      <c r="L299" s="121">
        <f t="shared" si="260"/>
        <v>8.2655961660891925E-2</v>
      </c>
      <c r="M299" s="121">
        <f t="shared" si="260"/>
        <v>8.2655961660891925E-2</v>
      </c>
      <c r="N299" s="121">
        <f t="shared" si="260"/>
        <v>6.6494119485720066E-2</v>
      </c>
      <c r="O299" s="121">
        <f t="shared" si="260"/>
        <v>4.9707919255096052E-2</v>
      </c>
      <c r="P299" s="121">
        <f t="shared" si="260"/>
        <v>5.6735371588306036E-2</v>
      </c>
      <c r="Q299" s="121">
        <f t="shared" si="260"/>
        <v>4.9561747315186623E-2</v>
      </c>
      <c r="R299" s="121">
        <f t="shared" si="260"/>
        <v>5.0670423116031767E-2</v>
      </c>
      <c r="S299" s="121">
        <f t="shared" si="260"/>
        <v>5.0670423116031767E-2</v>
      </c>
      <c r="T299" s="121">
        <f t="shared" si="260"/>
        <v>5.0670423116031767E-2</v>
      </c>
      <c r="U299" s="121">
        <f t="shared" si="260"/>
        <v>5.0670423116031767E-2</v>
      </c>
      <c r="V299" s="121">
        <f t="shared" si="260"/>
        <v>5.0670423116031767E-2</v>
      </c>
      <c r="W299" s="121">
        <f t="shared" si="260"/>
        <v>5.0670423116031767E-2</v>
      </c>
      <c r="X299" s="121">
        <f t="shared" si="260"/>
        <v>5.0670423116031767E-2</v>
      </c>
      <c r="Y299" s="121">
        <f t="shared" si="260"/>
        <v>5.0670423116031767E-2</v>
      </c>
    </row>
    <row r="300" spans="2:27" x14ac:dyDescent="0.3">
      <c r="F300" s="28" t="s">
        <v>197</v>
      </c>
      <c r="G300" s="28" t="s">
        <v>283</v>
      </c>
      <c r="J300" s="121">
        <f t="shared" ref="J300:Y300" si="261">J257 * J$93</f>
        <v>0.19213208303773974</v>
      </c>
      <c r="K300" s="121">
        <f t="shared" si="261"/>
        <v>0.19213208303773974</v>
      </c>
      <c r="L300" s="121">
        <f t="shared" si="261"/>
        <v>0.21872346643572804</v>
      </c>
      <c r="M300" s="121">
        <f t="shared" si="261"/>
        <v>0.21872346643572804</v>
      </c>
      <c r="N300" s="121">
        <f t="shared" si="261"/>
        <v>0.17595614423042263</v>
      </c>
      <c r="O300" s="121">
        <f t="shared" si="261"/>
        <v>0.13153665132331316</v>
      </c>
      <c r="P300" s="121">
        <f t="shared" si="261"/>
        <v>0.15013263283082473</v>
      </c>
      <c r="Q300" s="121">
        <f t="shared" si="261"/>
        <v>0.13114985244335103</v>
      </c>
      <c r="R300" s="121">
        <f t="shared" si="261"/>
        <v>0.13408362043106281</v>
      </c>
      <c r="S300" s="121">
        <f t="shared" si="261"/>
        <v>0.13408362043106281</v>
      </c>
      <c r="T300" s="121">
        <f t="shared" si="261"/>
        <v>0.13408362043106281</v>
      </c>
      <c r="U300" s="121">
        <f t="shared" si="261"/>
        <v>0.13408362043106281</v>
      </c>
      <c r="V300" s="121">
        <f t="shared" si="261"/>
        <v>0.13408362043106281</v>
      </c>
      <c r="W300" s="121">
        <f t="shared" si="261"/>
        <v>0.13408362043106281</v>
      </c>
      <c r="X300" s="121">
        <f t="shared" si="261"/>
        <v>0.13408362043106281</v>
      </c>
      <c r="Y300" s="121">
        <f t="shared" si="261"/>
        <v>0.13408362043106281</v>
      </c>
    </row>
    <row r="301" spans="2:27" x14ac:dyDescent="0.3">
      <c r="F301" s="28" t="s">
        <v>198</v>
      </c>
      <c r="G301" s="28" t="s">
        <v>283</v>
      </c>
      <c r="J301" s="121">
        <f t="shared" ref="J301:Y301" si="262">J258 * J$93</f>
        <v>0.19213208303773974</v>
      </c>
      <c r="K301" s="121">
        <f t="shared" si="262"/>
        <v>0.19213208303773974</v>
      </c>
      <c r="L301" s="121">
        <f t="shared" si="262"/>
        <v>0.21872346643572804</v>
      </c>
      <c r="M301" s="121">
        <f t="shared" si="262"/>
        <v>0.21872346643572804</v>
      </c>
      <c r="N301" s="121">
        <f t="shared" si="262"/>
        <v>0.17595614423042263</v>
      </c>
      <c r="O301" s="121">
        <f t="shared" si="262"/>
        <v>0.13153665132331316</v>
      </c>
      <c r="P301" s="121">
        <f t="shared" si="262"/>
        <v>0.15013263283082473</v>
      </c>
      <c r="Q301" s="121">
        <f t="shared" si="262"/>
        <v>0.13114985244335103</v>
      </c>
      <c r="R301" s="121">
        <f t="shared" si="262"/>
        <v>0.13408362043106281</v>
      </c>
      <c r="S301" s="121">
        <f t="shared" si="262"/>
        <v>0.13408362043106281</v>
      </c>
      <c r="T301" s="121">
        <f t="shared" si="262"/>
        <v>0.13408362043106281</v>
      </c>
      <c r="U301" s="121">
        <f t="shared" si="262"/>
        <v>0.13408362043106281</v>
      </c>
      <c r="V301" s="121">
        <f t="shared" si="262"/>
        <v>0.13408362043106281</v>
      </c>
      <c r="W301" s="121">
        <f t="shared" si="262"/>
        <v>0.13408362043106281</v>
      </c>
      <c r="X301" s="121">
        <f t="shared" si="262"/>
        <v>0.13408362043106281</v>
      </c>
      <c r="Y301" s="121">
        <f t="shared" si="262"/>
        <v>0.13408362043106281</v>
      </c>
    </row>
    <row r="302" spans="2:27" x14ac:dyDescent="0.3">
      <c r="F302" s="67" t="s">
        <v>199</v>
      </c>
      <c r="G302" s="67" t="s">
        <v>283</v>
      </c>
      <c r="H302" s="37"/>
      <c r="I302" s="37"/>
      <c r="J302" s="131">
        <f t="shared" ref="J302:Y302" si="263">J259 * J$93</f>
        <v>0.19213208303773974</v>
      </c>
      <c r="K302" s="131">
        <f t="shared" si="263"/>
        <v>0.19213208303773974</v>
      </c>
      <c r="L302" s="131">
        <f t="shared" si="263"/>
        <v>0.21872346643572804</v>
      </c>
      <c r="M302" s="131">
        <f t="shared" si="263"/>
        <v>0.21872346643572804</v>
      </c>
      <c r="N302" s="131">
        <f t="shared" si="263"/>
        <v>0.17595614423042263</v>
      </c>
      <c r="O302" s="131">
        <f t="shared" si="263"/>
        <v>0.13153665132331316</v>
      </c>
      <c r="P302" s="131">
        <f t="shared" si="263"/>
        <v>0.15013263283082473</v>
      </c>
      <c r="Q302" s="131">
        <f t="shared" si="263"/>
        <v>0.13114985244335103</v>
      </c>
      <c r="R302" s="131">
        <f t="shared" si="263"/>
        <v>0.13408362043106281</v>
      </c>
      <c r="S302" s="131">
        <f t="shared" si="263"/>
        <v>0.13408362043106281</v>
      </c>
      <c r="T302" s="131">
        <f t="shared" si="263"/>
        <v>0.13408362043106281</v>
      </c>
      <c r="U302" s="131">
        <f t="shared" si="263"/>
        <v>0.13408362043106281</v>
      </c>
      <c r="V302" s="131">
        <f t="shared" si="263"/>
        <v>0.13408362043106281</v>
      </c>
      <c r="W302" s="131">
        <f t="shared" si="263"/>
        <v>0.13408362043106281</v>
      </c>
      <c r="X302" s="131">
        <f t="shared" si="263"/>
        <v>0.13408362043106281</v>
      </c>
      <c r="Y302" s="131">
        <f t="shared" si="263"/>
        <v>0.13408362043106281</v>
      </c>
    </row>
    <row r="304" spans="2:27" x14ac:dyDescent="0.3">
      <c r="B304" s="30" t="s">
        <v>231</v>
      </c>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c r="AA304" s="30"/>
    </row>
    <row r="306" spans="2:27" x14ac:dyDescent="0.3">
      <c r="E306" t="s">
        <v>232</v>
      </c>
      <c r="G306" s="6" t="s">
        <v>55</v>
      </c>
      <c r="H306" s="103">
        <f t="array" ref="H306">SUM(IF(ISERROR(H20:Y302), 1))</f>
        <v>0</v>
      </c>
    </row>
    <row r="308" spans="2:27" x14ac:dyDescent="0.3">
      <c r="B308" s="30" t="s">
        <v>106</v>
      </c>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c r="AA308" s="30"/>
    </row>
  </sheetData>
  <sheetProtection sheet="1" objects="1" formatCells="0" formatColumns="0" formatRows="0" sort="0" autoFilter="0"/>
  <conditionalFormatting sqref="A4:I4 Z4:XFD4">
    <cfRule type="expression" dxfId="155" priority="10">
      <formula>LEFT($A$4,1) &lt;&gt; "0"</formula>
    </cfRule>
  </conditionalFormatting>
  <conditionalFormatting sqref="N4:P4">
    <cfRule type="expression" dxfId="154" priority="9">
      <formula>LEFT($A$4,1) &lt;&gt; "0"</formula>
    </cfRule>
  </conditionalFormatting>
  <conditionalFormatting sqref="L4:M4">
    <cfRule type="expression" dxfId="153" priority="8">
      <formula>LEFT($A$4,1) &lt;&gt; "0"</formula>
    </cfRule>
  </conditionalFormatting>
  <conditionalFormatting sqref="J4:K4">
    <cfRule type="expression" dxfId="152" priority="7">
      <formula>LEFT($A$4,1) &lt;&gt; "0"</formula>
    </cfRule>
  </conditionalFormatting>
  <conditionalFormatting sqref="Q4">
    <cfRule type="expression" dxfId="151" priority="6">
      <formula>LEFT($A$4,1) &lt;&gt; "0"</formula>
    </cfRule>
  </conditionalFormatting>
  <conditionalFormatting sqref="R4:S4">
    <cfRule type="expression" dxfId="150" priority="5">
      <formula>LEFT($A$4,1) &lt;&gt; "0"</formula>
    </cfRule>
  </conditionalFormatting>
  <conditionalFormatting sqref="T4:U4">
    <cfRule type="expression" dxfId="149" priority="4">
      <formula>LEFT($A$4,1) &lt;&gt; "0"</formula>
    </cfRule>
  </conditionalFormatting>
  <conditionalFormatting sqref="V4:W4">
    <cfRule type="expression" dxfId="148" priority="3">
      <formula>LEFT($A$4,1) &lt;&gt; "0"</formula>
    </cfRule>
  </conditionalFormatting>
  <conditionalFormatting sqref="X4:Y4">
    <cfRule type="expression" dxfId="147" priority="2">
      <formula>LEFT($A$4,1) &lt;&gt; "0"</formula>
    </cfRule>
  </conditionalFormatting>
  <conditionalFormatting sqref="H306">
    <cfRule type="cellIs" dxfId="14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LK32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41" width="17" hidden="1" customWidth="1"/>
    <col min="42" max="42" width="3.5546875" hidden="1" customWidth="1"/>
    <col min="43" max="43" width="18.44140625" hidden="1" customWidth="1"/>
    <col min="44" max="44" width="4.44140625" hidden="1" customWidth="1"/>
    <col min="45" max="45" width="24.5546875" hidden="1" customWidth="1"/>
    <col min="46" max="46" width="3.5546875" hidden="1" customWidth="1"/>
    <col min="47" max="47" width="15.44140625" hidden="1" customWidth="1"/>
    <col min="48" max="323" width="24.5546875" hidden="1" customWidth="1"/>
    <col min="324" max="16384" width="8.77734375" hidden="1"/>
  </cols>
  <sheetData>
    <row r="1" spans="1:43" s="1" customFormat="1" x14ac:dyDescent="0.3">
      <c r="A1" s="1" t="str">
        <f ca="1">MID(CELL("filename",A1),FIND("]",CELL("filename",A1))+1,255)</f>
        <v>System peak demand</v>
      </c>
    </row>
    <row r="2" spans="1:43" s="1" customFormat="1" x14ac:dyDescent="0.3">
      <c r="A2" s="1" t="str">
        <f>Cover!D21&amp;" - "&amp;Cover!D23</f>
        <v>WPD Mid West - April 22 Pricing</v>
      </c>
    </row>
    <row r="3" spans="1:43" s="5" customFormat="1" x14ac:dyDescent="0.3">
      <c r="A3" s="5" t="str">
        <f>Cover!D2&amp;" - "&amp;Cover!D8&amp;" v"&amp;Cover!D10&amp;" - "&amp;Cover!D19</f>
        <v>CDCM charging model - Release for charge setting v7 - 2022/23</v>
      </c>
    </row>
    <row r="4" spans="1:43" x14ac:dyDescent="0.3">
      <c r="A4" s="12" t="str">
        <f>H281 &amp; IF(H281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3">
      <c r="C9" s="29" t="s">
        <v>490</v>
      </c>
      <c r="D9" s="29"/>
    </row>
    <row r="10" spans="1:43" x14ac:dyDescent="0.3">
      <c r="C10" s="29" t="s">
        <v>491</v>
      </c>
      <c r="D10" s="29"/>
    </row>
    <row r="11" spans="1:43" x14ac:dyDescent="0.3">
      <c r="C11" s="29" t="s">
        <v>492</v>
      </c>
      <c r="D11" s="29"/>
    </row>
    <row r="12" spans="1:43" x14ac:dyDescent="0.3">
      <c r="C12" s="29"/>
      <c r="D12" s="29" t="s">
        <v>493</v>
      </c>
    </row>
    <row r="13" spans="1:43" x14ac:dyDescent="0.3">
      <c r="C13" s="29"/>
      <c r="D13" s="29" t="s">
        <v>494</v>
      </c>
    </row>
    <row r="14" spans="1:43" x14ac:dyDescent="0.3">
      <c r="C14" s="29"/>
      <c r="D14" s="29" t="s">
        <v>495</v>
      </c>
    </row>
    <row r="16" spans="1:43" x14ac:dyDescent="0.3">
      <c r="B16" s="30" t="s">
        <v>496</v>
      </c>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C16" s="30"/>
      <c r="AD16" s="30"/>
      <c r="AE16" s="30"/>
      <c r="AF16" s="30"/>
      <c r="AG16" s="30"/>
      <c r="AH16" s="30"/>
      <c r="AI16" s="30"/>
      <c r="AJ16" s="30"/>
      <c r="AK16" s="30"/>
      <c r="AL16" s="30"/>
      <c r="AM16" s="30"/>
      <c r="AN16" s="30"/>
      <c r="AO16" s="30"/>
      <c r="AQ16" s="30"/>
    </row>
    <row r="17" spans="3:43" x14ac:dyDescent="0.3">
      <c r="C17" s="32"/>
      <c r="AQ17" s="3"/>
    </row>
    <row r="18" spans="3:43" x14ac:dyDescent="0.3">
      <c r="C18" s="31" t="str">
        <f ca="1">INDEX('Version control'!$H$34:$H$57,MATCH($A$1,'Version control'!$F$34:$F$57,0),1)&amp;"-A: Common inputs for chargeable load calculations"</f>
        <v>Section 106-A: Common inputs for chargeable load calculations</v>
      </c>
      <c r="D18" s="31"/>
      <c r="E18" s="31"/>
      <c r="F18" s="31"/>
      <c r="G18" s="31"/>
      <c r="H18" s="31"/>
      <c r="I18" s="31"/>
      <c r="J18" s="31"/>
      <c r="K18" s="31"/>
      <c r="L18" s="31"/>
      <c r="M18" s="31"/>
      <c r="N18" s="31"/>
      <c r="O18" s="31"/>
      <c r="P18" s="31"/>
      <c r="Q18" s="31"/>
      <c r="R18" s="31"/>
      <c r="S18" s="31"/>
      <c r="T18" s="31"/>
      <c r="U18" s="31"/>
      <c r="V18" s="31"/>
      <c r="W18" s="31"/>
      <c r="X18" s="31"/>
      <c r="Y18" s="31"/>
      <c r="Z18" s="31"/>
      <c r="AA18" s="31"/>
      <c r="AQ18" s="3"/>
    </row>
    <row r="19" spans="3:43" x14ac:dyDescent="0.3">
      <c r="H19" s="63"/>
      <c r="J19" s="63"/>
      <c r="K19" s="63"/>
      <c r="L19" s="63"/>
      <c r="M19" s="63"/>
      <c r="N19" s="63"/>
      <c r="O19" s="63"/>
      <c r="P19" s="63"/>
      <c r="Q19" s="63"/>
      <c r="R19" s="63"/>
      <c r="S19" s="63"/>
      <c r="T19" s="63"/>
      <c r="U19" s="63"/>
      <c r="V19" s="63"/>
      <c r="W19" s="63"/>
      <c r="X19" s="63"/>
      <c r="Y19" s="63"/>
    </row>
    <row r="20" spans="3:43" x14ac:dyDescent="0.3">
      <c r="D20" s="29" t="s">
        <v>497</v>
      </c>
      <c r="AQ20" s="3"/>
    </row>
    <row r="21" spans="3:43" x14ac:dyDescent="0.3">
      <c r="C21" s="32"/>
      <c r="AQ21" s="3"/>
    </row>
    <row r="22" spans="3:43" x14ac:dyDescent="0.3">
      <c r="E22" s="32" t="s">
        <v>378</v>
      </c>
      <c r="H22" s="14"/>
      <c r="J22" s="63"/>
      <c r="L22" s="63"/>
      <c r="AQ22" s="3"/>
    </row>
    <row r="23" spans="3:43" x14ac:dyDescent="0.3">
      <c r="E23" s="32"/>
      <c r="F23" s="23" t="s">
        <v>191</v>
      </c>
      <c r="G23" s="23" t="s">
        <v>167</v>
      </c>
      <c r="H23" s="129"/>
      <c r="I23" s="23"/>
      <c r="J23" s="107">
        <f>'Standing charge factors'!J44</f>
        <v>0</v>
      </c>
      <c r="K23" s="107">
        <f>'Standing charge factors'!K44</f>
        <v>0</v>
      </c>
      <c r="L23" s="107">
        <f>'Standing charge factors'!L44</f>
        <v>0</v>
      </c>
      <c r="M23" s="107">
        <f>'Standing charge factors'!M44</f>
        <v>0</v>
      </c>
      <c r="N23" s="107">
        <f>'Standing charge factors'!N44</f>
        <v>0</v>
      </c>
      <c r="O23" s="107">
        <f>'Standing charge factors'!O44</f>
        <v>0</v>
      </c>
      <c r="P23" s="107">
        <f>'Standing charge factors'!P44</f>
        <v>0</v>
      </c>
      <c r="Q23" s="107">
        <f>'Standing charge factors'!Q44</f>
        <v>0</v>
      </c>
      <c r="R23" s="107">
        <f>'Standing charge factors'!R44</f>
        <v>0</v>
      </c>
      <c r="S23" s="107">
        <f>'Standing charge factors'!S44</f>
        <v>0</v>
      </c>
      <c r="T23" s="107">
        <f>'Standing charge factors'!T44</f>
        <v>0</v>
      </c>
      <c r="U23" s="107">
        <f>'Standing charge factors'!U44</f>
        <v>0</v>
      </c>
      <c r="V23" s="107">
        <f>'Standing charge factors'!V44</f>
        <v>0</v>
      </c>
      <c r="W23" s="107">
        <f>'Standing charge factors'!W44</f>
        <v>0</v>
      </c>
      <c r="X23" s="107">
        <f>'Standing charge factors'!X44</f>
        <v>0</v>
      </c>
      <c r="Y23" s="107">
        <f>'Standing charge factors'!Y44</f>
        <v>0</v>
      </c>
      <c r="AQ23" s="3"/>
    </row>
    <row r="24" spans="3:43" x14ac:dyDescent="0.3">
      <c r="E24" s="32"/>
      <c r="F24" t="s">
        <v>192</v>
      </c>
      <c r="G24" t="s">
        <v>167</v>
      </c>
      <c r="H24" s="63"/>
      <c r="J24" s="25">
        <f>'Standing charge factors'!J45</f>
        <v>0</v>
      </c>
      <c r="K24" s="25">
        <f>'Standing charge factors'!K45</f>
        <v>0</v>
      </c>
      <c r="L24" s="25">
        <f>'Standing charge factors'!L45</f>
        <v>0</v>
      </c>
      <c r="M24" s="25">
        <f>'Standing charge factors'!M45</f>
        <v>0</v>
      </c>
      <c r="N24" s="25">
        <f>'Standing charge factors'!N45</f>
        <v>0</v>
      </c>
      <c r="O24" s="25">
        <f>'Standing charge factors'!O45</f>
        <v>0</v>
      </c>
      <c r="P24" s="25">
        <f>'Standing charge factors'!P45</f>
        <v>0.13851312583363759</v>
      </c>
      <c r="Q24" s="25">
        <f>'Standing charge factors'!Q45</f>
        <v>0</v>
      </c>
      <c r="R24" s="25">
        <f>'Standing charge factors'!R45</f>
        <v>0</v>
      </c>
      <c r="S24" s="25">
        <f>'Standing charge factors'!S45</f>
        <v>0</v>
      </c>
      <c r="T24" s="25">
        <f>'Standing charge factors'!T45</f>
        <v>0</v>
      </c>
      <c r="U24" s="25">
        <f>'Standing charge factors'!U45</f>
        <v>0</v>
      </c>
      <c r="V24" s="25">
        <f>'Standing charge factors'!V45</f>
        <v>0</v>
      </c>
      <c r="W24" s="25">
        <f>'Standing charge factors'!W45</f>
        <v>0</v>
      </c>
      <c r="X24" s="25">
        <f>'Standing charge factors'!X45</f>
        <v>0</v>
      </c>
      <c r="Y24" s="25">
        <f>'Standing charge factors'!Y45</f>
        <v>0</v>
      </c>
      <c r="AQ24" s="3"/>
    </row>
    <row r="25" spans="3:43" x14ac:dyDescent="0.3">
      <c r="E25" s="32"/>
      <c r="F25" t="s">
        <v>193</v>
      </c>
      <c r="G25" t="s">
        <v>167</v>
      </c>
      <c r="H25" s="63"/>
      <c r="J25" s="25">
        <f>'Standing charge factors'!J46</f>
        <v>0</v>
      </c>
      <c r="K25" s="25">
        <f>'Standing charge factors'!K46</f>
        <v>0</v>
      </c>
      <c r="L25" s="25">
        <f>'Standing charge factors'!L46</f>
        <v>0</v>
      </c>
      <c r="M25" s="25">
        <f>'Standing charge factors'!M46</f>
        <v>0</v>
      </c>
      <c r="N25" s="25">
        <f>'Standing charge factors'!N46</f>
        <v>0</v>
      </c>
      <c r="O25" s="25">
        <f>'Standing charge factors'!O46</f>
        <v>0</v>
      </c>
      <c r="P25" s="25">
        <f>'Standing charge factors'!P46</f>
        <v>0</v>
      </c>
      <c r="Q25" s="25">
        <f>'Standing charge factors'!Q46</f>
        <v>0</v>
      </c>
      <c r="R25" s="25">
        <f>'Standing charge factors'!R46</f>
        <v>0</v>
      </c>
      <c r="S25" s="25">
        <f>'Standing charge factors'!S46</f>
        <v>0</v>
      </c>
      <c r="T25" s="25">
        <f>'Standing charge factors'!T46</f>
        <v>0</v>
      </c>
      <c r="U25" s="25">
        <f>'Standing charge factors'!U46</f>
        <v>0</v>
      </c>
      <c r="V25" s="25">
        <f>'Standing charge factors'!V46</f>
        <v>0</v>
      </c>
      <c r="W25" s="25">
        <f>'Standing charge factors'!W46</f>
        <v>0</v>
      </c>
      <c r="X25" s="25">
        <f>'Standing charge factors'!X46</f>
        <v>0</v>
      </c>
      <c r="Y25" s="25">
        <f>'Standing charge factors'!Y46</f>
        <v>0</v>
      </c>
      <c r="AQ25" s="3"/>
    </row>
    <row r="26" spans="3:43" x14ac:dyDescent="0.3">
      <c r="E26" s="32"/>
      <c r="F26" t="s">
        <v>194</v>
      </c>
      <c r="G26" t="s">
        <v>167</v>
      </c>
      <c r="H26" s="63"/>
      <c r="J26" s="25">
        <f>'Standing charge factors'!J47</f>
        <v>0</v>
      </c>
      <c r="K26" s="25">
        <f>'Standing charge factors'!K47</f>
        <v>0</v>
      </c>
      <c r="L26" s="25">
        <f>'Standing charge factors'!L47</f>
        <v>0</v>
      </c>
      <c r="M26" s="25">
        <f>'Standing charge factors'!M47</f>
        <v>0</v>
      </c>
      <c r="N26" s="25">
        <f>'Standing charge factors'!N47</f>
        <v>0</v>
      </c>
      <c r="O26" s="25">
        <f>'Standing charge factors'!O47</f>
        <v>0</v>
      </c>
      <c r="P26" s="25">
        <f>'Standing charge factors'!P47</f>
        <v>0.2</v>
      </c>
      <c r="Q26" s="25">
        <f>'Standing charge factors'!Q47</f>
        <v>0</v>
      </c>
      <c r="R26" s="25">
        <f>'Standing charge factors'!R47</f>
        <v>0</v>
      </c>
      <c r="S26" s="25">
        <f>'Standing charge factors'!S47</f>
        <v>0</v>
      </c>
      <c r="T26" s="25">
        <f>'Standing charge factors'!T47</f>
        <v>0</v>
      </c>
      <c r="U26" s="25">
        <f>'Standing charge factors'!U47</f>
        <v>0</v>
      </c>
      <c r="V26" s="25">
        <f>'Standing charge factors'!V47</f>
        <v>0</v>
      </c>
      <c r="W26" s="25">
        <f>'Standing charge factors'!W47</f>
        <v>0</v>
      </c>
      <c r="X26" s="25">
        <f>'Standing charge factors'!X47</f>
        <v>0</v>
      </c>
      <c r="Y26" s="25">
        <f>'Standing charge factors'!Y47</f>
        <v>0</v>
      </c>
      <c r="AQ26" s="3"/>
    </row>
    <row r="27" spans="3:43" x14ac:dyDescent="0.3">
      <c r="E27" s="32"/>
      <c r="F27" t="s">
        <v>195</v>
      </c>
      <c r="G27" t="s">
        <v>167</v>
      </c>
      <c r="H27" s="63"/>
      <c r="J27" s="25">
        <f>'Standing charge factors'!J48</f>
        <v>0</v>
      </c>
      <c r="K27" s="25">
        <f>'Standing charge factors'!K48</f>
        <v>0</v>
      </c>
      <c r="L27" s="25">
        <f>'Standing charge factors'!L48</f>
        <v>0</v>
      </c>
      <c r="M27" s="25">
        <f>'Standing charge factors'!M48</f>
        <v>0</v>
      </c>
      <c r="N27" s="25">
        <f>'Standing charge factors'!N48</f>
        <v>0</v>
      </c>
      <c r="O27" s="25">
        <f>'Standing charge factors'!O48</f>
        <v>0</v>
      </c>
      <c r="P27" s="25">
        <f>'Standing charge factors'!P48</f>
        <v>1</v>
      </c>
      <c r="Q27" s="25">
        <f>'Standing charge factors'!Q48</f>
        <v>0</v>
      </c>
      <c r="R27" s="25">
        <f>'Standing charge factors'!R48</f>
        <v>0</v>
      </c>
      <c r="S27" s="25">
        <f>'Standing charge factors'!S48</f>
        <v>0</v>
      </c>
      <c r="T27" s="25">
        <f>'Standing charge factors'!T48</f>
        <v>0</v>
      </c>
      <c r="U27" s="25">
        <f>'Standing charge factors'!U48</f>
        <v>0</v>
      </c>
      <c r="V27" s="25">
        <f>'Standing charge factors'!V48</f>
        <v>0</v>
      </c>
      <c r="W27" s="25">
        <f>'Standing charge factors'!W48</f>
        <v>0</v>
      </c>
      <c r="X27" s="25">
        <f>'Standing charge factors'!X48</f>
        <v>0</v>
      </c>
      <c r="Y27" s="25">
        <f>'Standing charge factors'!Y48</f>
        <v>0</v>
      </c>
      <c r="AQ27" s="3"/>
    </row>
    <row r="28" spans="3:43" x14ac:dyDescent="0.3">
      <c r="E28" s="32"/>
      <c r="F28" t="s">
        <v>196</v>
      </c>
      <c r="G28" t="s">
        <v>167</v>
      </c>
      <c r="H28" s="63"/>
      <c r="J28" s="25">
        <f>'Standing charge factors'!J49</f>
        <v>0</v>
      </c>
      <c r="K28" s="25">
        <f>'Standing charge factors'!K49</f>
        <v>0</v>
      </c>
      <c r="L28" s="25">
        <f>'Standing charge factors'!L49</f>
        <v>0</v>
      </c>
      <c r="M28" s="25">
        <f>'Standing charge factors'!M49</f>
        <v>0</v>
      </c>
      <c r="N28" s="25">
        <f>'Standing charge factors'!N49</f>
        <v>0</v>
      </c>
      <c r="O28" s="25">
        <f>'Standing charge factors'!O49</f>
        <v>0</v>
      </c>
      <c r="P28" s="25">
        <f>'Standing charge factors'!P49</f>
        <v>1</v>
      </c>
      <c r="Q28" s="25">
        <f>'Standing charge factors'!Q49</f>
        <v>0</v>
      </c>
      <c r="R28" s="25">
        <f>'Standing charge factors'!R49</f>
        <v>0</v>
      </c>
      <c r="S28" s="25">
        <f>'Standing charge factors'!S49</f>
        <v>0</v>
      </c>
      <c r="T28" s="25">
        <f>'Standing charge factors'!T49</f>
        <v>0</v>
      </c>
      <c r="U28" s="25">
        <f>'Standing charge factors'!U49</f>
        <v>0</v>
      </c>
      <c r="V28" s="25">
        <f>'Standing charge factors'!V49</f>
        <v>0</v>
      </c>
      <c r="W28" s="25">
        <f>'Standing charge factors'!W49</f>
        <v>0</v>
      </c>
      <c r="X28" s="25">
        <f>'Standing charge factors'!X49</f>
        <v>0</v>
      </c>
      <c r="Y28" s="25">
        <f>'Standing charge factors'!Y49</f>
        <v>0</v>
      </c>
      <c r="AQ28" s="3"/>
    </row>
    <row r="29" spans="3:43" x14ac:dyDescent="0.3">
      <c r="E29" s="32"/>
      <c r="F29" t="s">
        <v>197</v>
      </c>
      <c r="G29" t="s">
        <v>167</v>
      </c>
      <c r="H29" s="63"/>
      <c r="J29" s="25">
        <f>'Standing charge factors'!J50</f>
        <v>0</v>
      </c>
      <c r="K29" s="25">
        <f>'Standing charge factors'!K50</f>
        <v>0</v>
      </c>
      <c r="L29" s="25">
        <f>'Standing charge factors'!L50</f>
        <v>0</v>
      </c>
      <c r="M29" s="25">
        <f>'Standing charge factors'!M50</f>
        <v>0</v>
      </c>
      <c r="N29" s="25">
        <f>'Standing charge factors'!N50</f>
        <v>0.2</v>
      </c>
      <c r="O29" s="25">
        <f>'Standing charge factors'!O50</f>
        <v>1</v>
      </c>
      <c r="P29" s="25">
        <f>'Standing charge factors'!P50</f>
        <v>1</v>
      </c>
      <c r="Q29" s="25">
        <f>'Standing charge factors'!Q50</f>
        <v>0</v>
      </c>
      <c r="R29" s="25">
        <f>'Standing charge factors'!R50</f>
        <v>0</v>
      </c>
      <c r="S29" s="25">
        <f>'Standing charge factors'!S50</f>
        <v>0</v>
      </c>
      <c r="T29" s="25">
        <f>'Standing charge factors'!T50</f>
        <v>0</v>
      </c>
      <c r="U29" s="25">
        <f>'Standing charge factors'!U50</f>
        <v>0</v>
      </c>
      <c r="V29" s="25">
        <f>'Standing charge factors'!V50</f>
        <v>0</v>
      </c>
      <c r="W29" s="25">
        <f>'Standing charge factors'!W50</f>
        <v>0</v>
      </c>
      <c r="X29" s="25">
        <f>'Standing charge factors'!X50</f>
        <v>0</v>
      </c>
      <c r="Y29" s="25">
        <f>'Standing charge factors'!Y50</f>
        <v>0</v>
      </c>
      <c r="AQ29" s="3"/>
    </row>
    <row r="30" spans="3:43" x14ac:dyDescent="0.3">
      <c r="E30" s="32"/>
      <c r="F30" t="s">
        <v>198</v>
      </c>
      <c r="G30" t="s">
        <v>167</v>
      </c>
      <c r="H30" s="63"/>
      <c r="J30" s="25">
        <f>'Standing charge factors'!J51</f>
        <v>0</v>
      </c>
      <c r="K30" s="25">
        <f>'Standing charge factors'!K51</f>
        <v>0</v>
      </c>
      <c r="L30" s="25">
        <f>'Standing charge factors'!L51</f>
        <v>0</v>
      </c>
      <c r="M30" s="25">
        <f>'Standing charge factors'!M51</f>
        <v>0</v>
      </c>
      <c r="N30" s="25">
        <f>'Standing charge factors'!N51</f>
        <v>1</v>
      </c>
      <c r="O30" s="25">
        <f>'Standing charge factors'!O51</f>
        <v>1</v>
      </c>
      <c r="P30" s="25">
        <f>'Standing charge factors'!P51</f>
        <v>0</v>
      </c>
      <c r="Q30" s="25">
        <f>'Standing charge factors'!Q51</f>
        <v>0</v>
      </c>
      <c r="R30" s="25">
        <f>'Standing charge factors'!R51</f>
        <v>0</v>
      </c>
      <c r="S30" s="25">
        <f>'Standing charge factors'!S51</f>
        <v>0</v>
      </c>
      <c r="T30" s="25">
        <f>'Standing charge factors'!T51</f>
        <v>0</v>
      </c>
      <c r="U30" s="25">
        <f>'Standing charge factors'!U51</f>
        <v>0</v>
      </c>
      <c r="V30" s="25">
        <f>'Standing charge factors'!V51</f>
        <v>0</v>
      </c>
      <c r="W30" s="25">
        <f>'Standing charge factors'!W51</f>
        <v>0</v>
      </c>
      <c r="X30" s="25">
        <f>'Standing charge factors'!X51</f>
        <v>0</v>
      </c>
      <c r="Y30" s="25">
        <f>'Standing charge factors'!Y51</f>
        <v>0</v>
      </c>
      <c r="AQ30" s="3"/>
    </row>
    <row r="31" spans="3:43" x14ac:dyDescent="0.3">
      <c r="E31" s="32"/>
      <c r="F31" s="37" t="s">
        <v>199</v>
      </c>
      <c r="G31" s="37" t="s">
        <v>167</v>
      </c>
      <c r="H31" s="130"/>
      <c r="I31" s="37"/>
      <c r="J31" s="141">
        <f>'Standing charge factors'!J52</f>
        <v>1</v>
      </c>
      <c r="K31" s="141">
        <f>'Standing charge factors'!K52</f>
        <v>1</v>
      </c>
      <c r="L31" s="141">
        <f>'Standing charge factors'!L52</f>
        <v>1</v>
      </c>
      <c r="M31" s="141">
        <f>'Standing charge factors'!M52</f>
        <v>1</v>
      </c>
      <c r="N31" s="141">
        <f>'Standing charge factors'!N52</f>
        <v>1</v>
      </c>
      <c r="O31" s="141">
        <f>'Standing charge factors'!O52</f>
        <v>0</v>
      </c>
      <c r="P31" s="141">
        <f>'Standing charge factors'!P52</f>
        <v>0</v>
      </c>
      <c r="Q31" s="141">
        <f>'Standing charge factors'!Q52</f>
        <v>0</v>
      </c>
      <c r="R31" s="141">
        <f>'Standing charge factors'!R52</f>
        <v>0</v>
      </c>
      <c r="S31" s="141">
        <f>'Standing charge factors'!S52</f>
        <v>0</v>
      </c>
      <c r="T31" s="141">
        <f>'Standing charge factors'!T52</f>
        <v>0</v>
      </c>
      <c r="U31" s="141">
        <f>'Standing charge factors'!U52</f>
        <v>0</v>
      </c>
      <c r="V31" s="141">
        <f>'Standing charge factors'!V52</f>
        <v>0</v>
      </c>
      <c r="W31" s="141">
        <f>'Standing charge factors'!W52</f>
        <v>0</v>
      </c>
      <c r="X31" s="141">
        <f>'Standing charge factors'!X52</f>
        <v>0</v>
      </c>
      <c r="Y31" s="141">
        <f>'Standing charge factors'!Y52</f>
        <v>0</v>
      </c>
      <c r="AQ31" s="3"/>
    </row>
    <row r="32" spans="3:43" x14ac:dyDescent="0.3">
      <c r="E32" s="32"/>
      <c r="J32" s="63"/>
      <c r="K32" s="63"/>
      <c r="L32" s="63"/>
      <c r="M32" s="63"/>
      <c r="N32" s="63"/>
      <c r="O32" s="63"/>
      <c r="P32" s="63"/>
      <c r="Q32" s="63"/>
      <c r="R32" s="63"/>
      <c r="S32" s="63"/>
      <c r="T32" s="63"/>
      <c r="U32" s="63"/>
      <c r="V32" s="63"/>
      <c r="W32" s="63"/>
      <c r="X32" s="63"/>
      <c r="Y32" s="63"/>
      <c r="AQ32" s="3"/>
    </row>
    <row r="33" spans="5:43" x14ac:dyDescent="0.3">
      <c r="E33" s="32" t="s">
        <v>498</v>
      </c>
      <c r="I33" t="s">
        <v>154</v>
      </c>
      <c r="J33" s="63"/>
      <c r="K33" s="63"/>
      <c r="L33" s="63"/>
      <c r="M33" s="63"/>
      <c r="N33" s="63"/>
      <c r="O33" s="63"/>
      <c r="P33" s="63"/>
      <c r="Q33" s="63"/>
      <c r="R33" s="63"/>
      <c r="S33" s="63"/>
      <c r="T33" s="63"/>
      <c r="U33" s="63"/>
      <c r="V33" s="63"/>
      <c r="W33" s="63"/>
      <c r="X33" s="63"/>
      <c r="Y33" s="63"/>
      <c r="AA33" t="s">
        <v>499</v>
      </c>
      <c r="AQ33" s="3"/>
    </row>
    <row r="34" spans="5:43" x14ac:dyDescent="0.3">
      <c r="E34" s="32"/>
      <c r="F34" s="23" t="s">
        <v>191</v>
      </c>
      <c r="G34" s="23" t="s">
        <v>283</v>
      </c>
      <c r="H34" s="158"/>
      <c r="I34" s="158"/>
      <c r="J34" s="124">
        <f t="array" ref="J34:Y42">TRANSPOSE('Load &amp; loss characteristics'!K145:S160)</f>
        <v>1.0900000000000001</v>
      </c>
      <c r="K34" s="124">
        <v>1.0900000000000001</v>
      </c>
      <c r="L34" s="124">
        <v>1.0900000000000001</v>
      </c>
      <c r="M34" s="124">
        <v>1.0900000000000001</v>
      </c>
      <c r="N34" s="124">
        <v>1.0900000000000001</v>
      </c>
      <c r="O34" s="124">
        <v>1.0669999999999999</v>
      </c>
      <c r="P34" s="124">
        <v>1.0509999999999999</v>
      </c>
      <c r="Q34" s="124">
        <v>1.0900000000000001</v>
      </c>
      <c r="R34" s="124">
        <v>-1.0900000000000001</v>
      </c>
      <c r="S34" s="124">
        <v>-1.0669999999999999</v>
      </c>
      <c r="T34" s="124">
        <v>-1.0900000000000001</v>
      </c>
      <c r="U34" s="124">
        <v>-1.0900000000000001</v>
      </c>
      <c r="V34" s="124">
        <v>-1.0669999999999999</v>
      </c>
      <c r="W34" s="124">
        <v>-1.0669999999999999</v>
      </c>
      <c r="X34" s="124">
        <v>-1.0509999999999999</v>
      </c>
      <c r="Y34" s="124">
        <v>-1.0509999999999999</v>
      </c>
      <c r="AQ34" s="3"/>
    </row>
    <row r="35" spans="5:43" x14ac:dyDescent="0.3">
      <c r="E35" s="32"/>
      <c r="F35" t="s">
        <v>192</v>
      </c>
      <c r="G35" t="s">
        <v>283</v>
      </c>
      <c r="H35" s="89"/>
      <c r="I35" s="89"/>
      <c r="J35" s="120">
        <v>1.0900000000000001</v>
      </c>
      <c r="K35" s="120">
        <v>1.0900000000000001</v>
      </c>
      <c r="L35" s="120">
        <v>1.0900000000000001</v>
      </c>
      <c r="M35" s="120">
        <v>1.0900000000000001</v>
      </c>
      <c r="N35" s="120">
        <v>1.0900000000000001</v>
      </c>
      <c r="O35" s="120">
        <v>1.0669999999999999</v>
      </c>
      <c r="P35" s="120">
        <v>1.0509999999999999</v>
      </c>
      <c r="Q35" s="120">
        <v>1.0900000000000001</v>
      </c>
      <c r="R35" s="120">
        <v>-1.0900000000000001</v>
      </c>
      <c r="S35" s="120">
        <v>-1.0669999999999999</v>
      </c>
      <c r="T35" s="120">
        <v>-1.0900000000000001</v>
      </c>
      <c r="U35" s="120">
        <v>-1.0900000000000001</v>
      </c>
      <c r="V35" s="120">
        <v>-1.0669999999999999</v>
      </c>
      <c r="W35" s="120">
        <v>-1.0669999999999999</v>
      </c>
      <c r="X35" s="120">
        <v>-1.0509999999999999</v>
      </c>
      <c r="Y35" s="120">
        <v>-1.0509999999999999</v>
      </c>
      <c r="AQ35" s="3"/>
    </row>
    <row r="36" spans="5:43" x14ac:dyDescent="0.3">
      <c r="E36" s="32"/>
      <c r="F36" t="s">
        <v>193</v>
      </c>
      <c r="G36" t="s">
        <v>283</v>
      </c>
      <c r="H36" s="89"/>
      <c r="I36" s="89"/>
      <c r="J36" s="120">
        <v>0.33510346420667525</v>
      </c>
      <c r="K36" s="120">
        <v>0.33510346420667525</v>
      </c>
      <c r="L36" s="120">
        <v>0.33510346420667525</v>
      </c>
      <c r="M36" s="120">
        <v>0.33510346420667525</v>
      </c>
      <c r="N36" s="120">
        <v>0.33510346420667525</v>
      </c>
      <c r="O36" s="120">
        <v>0.32803247367754351</v>
      </c>
      <c r="P36" s="120">
        <v>0.32311352374423452</v>
      </c>
      <c r="Q36" s="120">
        <v>0.33510346420667525</v>
      </c>
      <c r="R36" s="120">
        <v>-0.33510346420667525</v>
      </c>
      <c r="S36" s="120">
        <v>-0.32803247367754351</v>
      </c>
      <c r="T36" s="120">
        <v>-0.33510346420667525</v>
      </c>
      <c r="U36" s="120">
        <v>-0.33510346420667525</v>
      </c>
      <c r="V36" s="120">
        <v>-0.32803247367754351</v>
      </c>
      <c r="W36" s="120">
        <v>-0.32803247367754351</v>
      </c>
      <c r="X36" s="120">
        <v>-0.32311352374423452</v>
      </c>
      <c r="Y36" s="120">
        <v>-0.32311352374423452</v>
      </c>
      <c r="AQ36" s="3"/>
    </row>
    <row r="37" spans="5:43" x14ac:dyDescent="0.3">
      <c r="E37" s="32"/>
      <c r="F37" t="s">
        <v>194</v>
      </c>
      <c r="G37" t="s">
        <v>283</v>
      </c>
      <c r="H37" s="89"/>
      <c r="I37" s="89"/>
      <c r="J37" s="120">
        <v>0.33510346420667525</v>
      </c>
      <c r="K37" s="120">
        <v>0.33510346420667525</v>
      </c>
      <c r="L37" s="120">
        <v>0.33510346420667525</v>
      </c>
      <c r="M37" s="120">
        <v>0.33510346420667525</v>
      </c>
      <c r="N37" s="120">
        <v>0.33510346420667525</v>
      </c>
      <c r="O37" s="120">
        <v>0.32803247367754351</v>
      </c>
      <c r="P37" s="120">
        <v>0.32311352374423452</v>
      </c>
      <c r="Q37" s="120">
        <v>0.33510346420667525</v>
      </c>
      <c r="R37" s="120">
        <v>-0.33510346420667525</v>
      </c>
      <c r="S37" s="120">
        <v>-0.32803247367754351</v>
      </c>
      <c r="T37" s="120">
        <v>-0.33510346420667525</v>
      </c>
      <c r="U37" s="120">
        <v>-0.33510346420667525</v>
      </c>
      <c r="V37" s="120">
        <v>-0.32803247367754351</v>
      </c>
      <c r="W37" s="120">
        <v>-0.32803247367754351</v>
      </c>
      <c r="X37" s="120">
        <v>-0.32311352374423452</v>
      </c>
      <c r="Y37" s="120">
        <v>-0.32311352374423452</v>
      </c>
      <c r="AQ37" s="3"/>
    </row>
    <row r="38" spans="5:43" x14ac:dyDescent="0.3">
      <c r="E38" s="32"/>
      <c r="F38" t="s">
        <v>195</v>
      </c>
      <c r="G38" t="s">
        <v>283</v>
      </c>
      <c r="H38" s="89"/>
      <c r="I38" s="89"/>
      <c r="J38" s="120">
        <v>0.33510346420667525</v>
      </c>
      <c r="K38" s="120">
        <v>0.33510346420667525</v>
      </c>
      <c r="L38" s="120">
        <v>0.33510346420667525</v>
      </c>
      <c r="M38" s="120">
        <v>0.33510346420667525</v>
      </c>
      <c r="N38" s="120">
        <v>0.33510346420667525</v>
      </c>
      <c r="O38" s="120">
        <v>0.32803247367754351</v>
      </c>
      <c r="P38" s="120">
        <v>0.32311352374423452</v>
      </c>
      <c r="Q38" s="120">
        <v>0.33510346420667525</v>
      </c>
      <c r="R38" s="120">
        <v>-0.33510346420667525</v>
      </c>
      <c r="S38" s="120">
        <v>-0.32803247367754351</v>
      </c>
      <c r="T38" s="120">
        <v>-0.33510346420667525</v>
      </c>
      <c r="U38" s="120">
        <v>-0.33510346420667525</v>
      </c>
      <c r="V38" s="120">
        <v>-0.32803247367754351</v>
      </c>
      <c r="W38" s="120">
        <v>-0.32803247367754351</v>
      </c>
      <c r="X38" s="120">
        <v>-0.32311352374423452</v>
      </c>
      <c r="Y38" s="120">
        <v>-0.32311352374423452</v>
      </c>
      <c r="AQ38" s="3"/>
    </row>
    <row r="39" spans="5:43" x14ac:dyDescent="0.3">
      <c r="E39" s="32"/>
      <c r="F39" t="s">
        <v>196</v>
      </c>
      <c r="G39" t="s">
        <v>283</v>
      </c>
      <c r="H39" s="89"/>
      <c r="I39" s="89"/>
      <c r="J39" s="120">
        <v>0.75489653579332483</v>
      </c>
      <c r="K39" s="120">
        <v>0.75489653579332483</v>
      </c>
      <c r="L39" s="120">
        <v>0.75489653579332483</v>
      </c>
      <c r="M39" s="120">
        <v>0.75489653579332483</v>
      </c>
      <c r="N39" s="120">
        <v>0.75489653579332483</v>
      </c>
      <c r="O39" s="120">
        <v>0.73896752632245644</v>
      </c>
      <c r="P39" s="120">
        <v>0.72788647625576541</v>
      </c>
      <c r="Q39" s="120">
        <v>0.75489653579332483</v>
      </c>
      <c r="R39" s="120">
        <v>-0.75489653579332483</v>
      </c>
      <c r="S39" s="120">
        <v>-0.73896752632245644</v>
      </c>
      <c r="T39" s="120">
        <v>-0.75489653579332483</v>
      </c>
      <c r="U39" s="120">
        <v>-0.75489653579332483</v>
      </c>
      <c r="V39" s="120">
        <v>-0.73896752632245644</v>
      </c>
      <c r="W39" s="120">
        <v>-0.73896752632245644</v>
      </c>
      <c r="X39" s="120">
        <v>-0.72788647625576541</v>
      </c>
      <c r="Y39" s="120">
        <v>-0.72788647625576541</v>
      </c>
      <c r="AQ39" s="3"/>
    </row>
    <row r="40" spans="5:43" x14ac:dyDescent="0.3">
      <c r="E40" s="32"/>
      <c r="F40" t="s">
        <v>197</v>
      </c>
      <c r="G40" t="s">
        <v>283</v>
      </c>
      <c r="H40" s="89"/>
      <c r="I40" s="89"/>
      <c r="J40" s="120">
        <v>1.0900000000000001</v>
      </c>
      <c r="K40" s="120">
        <v>1.0900000000000001</v>
      </c>
      <c r="L40" s="120">
        <v>1.0900000000000001</v>
      </c>
      <c r="M40" s="120">
        <v>1.0900000000000001</v>
      </c>
      <c r="N40" s="120">
        <v>1.0900000000000001</v>
      </c>
      <c r="O40" s="120">
        <v>1.0669999999999999</v>
      </c>
      <c r="P40" s="120">
        <v>1.0509999999999999</v>
      </c>
      <c r="Q40" s="120">
        <v>1.0900000000000001</v>
      </c>
      <c r="R40" s="120">
        <v>-1.0900000000000001</v>
      </c>
      <c r="S40" s="120">
        <v>-1.0669999999999999</v>
      </c>
      <c r="T40" s="120">
        <v>-1.0900000000000001</v>
      </c>
      <c r="U40" s="120">
        <v>-1.0900000000000001</v>
      </c>
      <c r="V40" s="120">
        <v>-1.0669999999999999</v>
      </c>
      <c r="W40" s="120">
        <v>-1.0669999999999999</v>
      </c>
      <c r="X40" s="120">
        <v>0</v>
      </c>
      <c r="Y40" s="120">
        <v>0</v>
      </c>
      <c r="AQ40" s="3"/>
    </row>
    <row r="41" spans="5:43" x14ac:dyDescent="0.3">
      <c r="E41" s="32"/>
      <c r="F41" t="s">
        <v>198</v>
      </c>
      <c r="G41" t="s">
        <v>283</v>
      </c>
      <c r="H41" s="89"/>
      <c r="I41" s="89"/>
      <c r="J41" s="120">
        <v>1.0900000000000001</v>
      </c>
      <c r="K41" s="120">
        <v>1.0900000000000001</v>
      </c>
      <c r="L41" s="120">
        <v>1.0900000000000001</v>
      </c>
      <c r="M41" s="120">
        <v>1.0900000000000001</v>
      </c>
      <c r="N41" s="120">
        <v>1.0900000000000001</v>
      </c>
      <c r="O41" s="120">
        <v>1.0669999999999999</v>
      </c>
      <c r="P41" s="120">
        <v>0</v>
      </c>
      <c r="Q41" s="120">
        <v>1.0900000000000001</v>
      </c>
      <c r="R41" s="120">
        <v>-1.0900000000000001</v>
      </c>
      <c r="S41" s="120">
        <v>0</v>
      </c>
      <c r="T41" s="120">
        <v>-1.0900000000000001</v>
      </c>
      <c r="U41" s="120">
        <v>-1.0900000000000001</v>
      </c>
      <c r="V41" s="120">
        <v>0</v>
      </c>
      <c r="W41" s="120">
        <v>0</v>
      </c>
      <c r="X41" s="120">
        <v>0</v>
      </c>
      <c r="Y41" s="120">
        <v>0</v>
      </c>
      <c r="AQ41" s="3"/>
    </row>
    <row r="42" spans="5:43" x14ac:dyDescent="0.3">
      <c r="E42" s="32"/>
      <c r="F42" s="37" t="s">
        <v>199</v>
      </c>
      <c r="G42" s="37" t="s">
        <v>283</v>
      </c>
      <c r="H42" s="82"/>
      <c r="I42" s="82"/>
      <c r="J42" s="125">
        <v>1.0900000000000001</v>
      </c>
      <c r="K42" s="125">
        <v>1.0900000000000001</v>
      </c>
      <c r="L42" s="125">
        <v>1.0900000000000001</v>
      </c>
      <c r="M42" s="125">
        <v>1.0900000000000001</v>
      </c>
      <c r="N42" s="125">
        <v>1.0900000000000001</v>
      </c>
      <c r="O42" s="125">
        <v>0</v>
      </c>
      <c r="P42" s="125">
        <v>0</v>
      </c>
      <c r="Q42" s="125">
        <v>1.0900000000000001</v>
      </c>
      <c r="R42" s="125">
        <v>0</v>
      </c>
      <c r="S42" s="125">
        <v>0</v>
      </c>
      <c r="T42" s="125">
        <v>0</v>
      </c>
      <c r="U42" s="125">
        <v>0</v>
      </c>
      <c r="V42" s="125">
        <v>0</v>
      </c>
      <c r="W42" s="125">
        <v>0</v>
      </c>
      <c r="X42" s="125">
        <v>0</v>
      </c>
      <c r="Y42" s="125">
        <v>0</v>
      </c>
      <c r="AQ42" s="3"/>
    </row>
    <row r="43" spans="5:43" x14ac:dyDescent="0.3">
      <c r="E43" s="32"/>
      <c r="H43" s="89"/>
      <c r="I43" s="89"/>
      <c r="J43" s="89"/>
      <c r="K43" s="89"/>
      <c r="L43" s="89"/>
      <c r="M43" s="89"/>
      <c r="N43" s="89"/>
      <c r="O43" s="89"/>
      <c r="P43" s="89"/>
      <c r="Q43" s="89"/>
      <c r="R43" s="89"/>
      <c r="S43" s="89"/>
      <c r="T43" s="89"/>
      <c r="U43" s="89"/>
      <c r="V43" s="89"/>
      <c r="W43" s="89"/>
      <c r="X43" s="89"/>
      <c r="Y43" s="89"/>
      <c r="AQ43" s="3"/>
    </row>
    <row r="44" spans="5:43" x14ac:dyDescent="0.3">
      <c r="E44" s="32" t="s">
        <v>500</v>
      </c>
      <c r="H44" s="89"/>
      <c r="I44" s="89"/>
      <c r="J44" s="89"/>
      <c r="K44" s="89"/>
      <c r="L44" s="89"/>
      <c r="M44" s="89"/>
      <c r="N44" s="89"/>
      <c r="O44" s="89"/>
      <c r="P44" s="89"/>
      <c r="Q44" s="89"/>
      <c r="R44" s="89"/>
      <c r="S44" s="89"/>
      <c r="T44" s="89"/>
      <c r="U44" s="89"/>
      <c r="V44" s="89"/>
      <c r="W44" s="89"/>
      <c r="X44" s="89"/>
      <c r="Y44" s="89"/>
      <c r="AQ44" s="3"/>
    </row>
    <row r="45" spans="5:43" x14ac:dyDescent="0.3">
      <c r="E45" s="32"/>
      <c r="F45" s="23" t="s">
        <v>191</v>
      </c>
      <c r="G45" s="23" t="s">
        <v>283</v>
      </c>
      <c r="H45" s="124">
        <f>'Load &amp; loss characteristics'!K29</f>
        <v>1</v>
      </c>
      <c r="I45" s="89"/>
      <c r="J45" s="89"/>
      <c r="K45" s="89"/>
      <c r="L45" s="89"/>
      <c r="M45" s="89"/>
      <c r="N45" s="89"/>
      <c r="O45" s="89"/>
      <c r="P45" s="89"/>
      <c r="Q45" s="89"/>
      <c r="R45" s="89"/>
      <c r="S45" s="89"/>
      <c r="T45" s="89"/>
      <c r="U45" s="89"/>
      <c r="V45" s="89"/>
      <c r="W45" s="89"/>
      <c r="X45" s="89"/>
      <c r="Y45" s="89"/>
      <c r="AQ45" s="3"/>
    </row>
    <row r="46" spans="5:43" x14ac:dyDescent="0.3">
      <c r="E46" s="32"/>
      <c r="F46" t="s">
        <v>192</v>
      </c>
      <c r="G46" t="s">
        <v>283</v>
      </c>
      <c r="H46" s="120">
        <f>'Load &amp; loss characteristics'!L29</f>
        <v>1.0049999999999999</v>
      </c>
      <c r="I46" s="89"/>
      <c r="J46" s="89"/>
      <c r="K46" s="89"/>
      <c r="L46" s="89"/>
      <c r="M46" s="89"/>
      <c r="N46" s="89"/>
      <c r="O46" s="89"/>
      <c r="P46" s="89"/>
      <c r="Q46" s="89"/>
      <c r="R46" s="89"/>
      <c r="S46" s="89"/>
      <c r="T46" s="89"/>
      <c r="U46" s="89"/>
      <c r="V46" s="89"/>
      <c r="W46" s="89"/>
      <c r="X46" s="89"/>
      <c r="Y46" s="89"/>
      <c r="AQ46" s="3"/>
    </row>
    <row r="47" spans="5:43" x14ac:dyDescent="0.3">
      <c r="E47" s="32"/>
      <c r="F47" t="s">
        <v>193</v>
      </c>
      <c r="G47" t="s">
        <v>283</v>
      </c>
      <c r="H47" s="120">
        <f>'Load &amp; loss characteristics'!M29</f>
        <v>1.0089999999999999</v>
      </c>
      <c r="I47" s="89"/>
      <c r="J47" s="89"/>
      <c r="K47" s="89"/>
      <c r="L47" s="89"/>
      <c r="M47" s="89"/>
      <c r="N47" s="89"/>
      <c r="O47" s="89"/>
      <c r="P47" s="89"/>
      <c r="Q47" s="89"/>
      <c r="R47" s="89"/>
      <c r="S47" s="89"/>
      <c r="T47" s="89"/>
      <c r="U47" s="89"/>
      <c r="V47" s="89"/>
      <c r="W47" s="89"/>
      <c r="X47" s="89"/>
      <c r="Y47" s="89"/>
      <c r="AQ47" s="3"/>
    </row>
    <row r="48" spans="5:43" x14ac:dyDescent="0.3">
      <c r="E48" s="32"/>
      <c r="F48" t="s">
        <v>194</v>
      </c>
      <c r="G48" t="s">
        <v>283</v>
      </c>
      <c r="H48" s="120">
        <f>'Load &amp; loss characteristics'!N29</f>
        <v>1.0269999999999999</v>
      </c>
      <c r="I48" s="89"/>
      <c r="J48" s="89"/>
      <c r="K48" s="89"/>
      <c r="L48" s="89"/>
      <c r="M48" s="89"/>
      <c r="N48" s="89"/>
      <c r="O48" s="89"/>
      <c r="P48" s="89"/>
      <c r="Q48" s="89"/>
      <c r="R48" s="89"/>
      <c r="S48" s="89"/>
      <c r="T48" s="89"/>
      <c r="U48" s="89"/>
      <c r="V48" s="89"/>
      <c r="W48" s="89"/>
      <c r="X48" s="89"/>
      <c r="Y48" s="89"/>
      <c r="AQ48" s="3"/>
    </row>
    <row r="49" spans="2:43" x14ac:dyDescent="0.3">
      <c r="E49" s="32"/>
      <c r="F49" t="s">
        <v>195</v>
      </c>
      <c r="G49" t="s">
        <v>283</v>
      </c>
      <c r="H49" s="120">
        <f>'Load &amp; loss characteristics'!O29</f>
        <v>1.0329999999999999</v>
      </c>
      <c r="I49" s="89"/>
      <c r="J49" s="89"/>
      <c r="K49" s="89"/>
      <c r="L49" s="89"/>
      <c r="M49" s="89"/>
      <c r="N49" s="89"/>
      <c r="O49" s="89"/>
      <c r="P49" s="89"/>
      <c r="Q49" s="89"/>
      <c r="R49" s="89"/>
      <c r="S49" s="89"/>
      <c r="T49" s="89"/>
      <c r="U49" s="89"/>
      <c r="V49" s="89"/>
      <c r="W49" s="89"/>
      <c r="X49" s="89"/>
      <c r="Y49" s="89"/>
      <c r="AQ49" s="3"/>
    </row>
    <row r="50" spans="2:43" x14ac:dyDescent="0.3">
      <c r="E50" s="32"/>
      <c r="F50" t="s">
        <v>196</v>
      </c>
      <c r="G50" t="s">
        <v>283</v>
      </c>
      <c r="H50" s="120">
        <f>'Load &amp; loss characteristics'!P29</f>
        <v>1.0329999999999999</v>
      </c>
      <c r="I50" s="89"/>
      <c r="J50" s="89"/>
      <c r="K50" s="89"/>
      <c r="L50" s="89"/>
      <c r="M50" s="89"/>
      <c r="N50" s="89"/>
      <c r="O50" s="89"/>
      <c r="P50" s="89"/>
      <c r="Q50" s="89"/>
      <c r="R50" s="89"/>
      <c r="S50" s="89"/>
      <c r="T50" s="89"/>
      <c r="U50" s="89"/>
      <c r="V50" s="89"/>
      <c r="W50" s="89"/>
      <c r="X50" s="89"/>
      <c r="Y50" s="89"/>
      <c r="AQ50" s="3"/>
    </row>
    <row r="51" spans="2:43" x14ac:dyDescent="0.3">
      <c r="E51" s="32"/>
      <c r="F51" t="s">
        <v>197</v>
      </c>
      <c r="G51" t="s">
        <v>283</v>
      </c>
      <c r="H51" s="120">
        <f>'Load &amp; loss characteristics'!Q29</f>
        <v>1.0509999999999999</v>
      </c>
      <c r="I51" s="89"/>
      <c r="J51" s="89"/>
      <c r="K51" s="89"/>
      <c r="L51" s="89"/>
      <c r="M51" s="89"/>
      <c r="N51" s="89"/>
      <c r="O51" s="89"/>
      <c r="P51" s="89"/>
      <c r="Q51" s="89"/>
      <c r="R51" s="89"/>
      <c r="S51" s="89"/>
      <c r="T51" s="89"/>
      <c r="U51" s="89"/>
      <c r="V51" s="89"/>
      <c r="W51" s="89"/>
      <c r="X51" s="89"/>
      <c r="Y51" s="89"/>
      <c r="AQ51" s="3"/>
    </row>
    <row r="52" spans="2:43" x14ac:dyDescent="0.3">
      <c r="E52" s="32"/>
      <c r="F52" t="s">
        <v>198</v>
      </c>
      <c r="G52" t="s">
        <v>283</v>
      </c>
      <c r="H52" s="120">
        <f>'Load &amp; loss characteristics'!R29</f>
        <v>1.0669999999999999</v>
      </c>
      <c r="I52" s="89"/>
      <c r="J52" s="89"/>
      <c r="K52" s="89"/>
      <c r="L52" s="89"/>
      <c r="M52" s="89"/>
      <c r="N52" s="89"/>
      <c r="O52" s="89"/>
      <c r="P52" s="89"/>
      <c r="Q52" s="89"/>
      <c r="R52" s="89"/>
      <c r="S52" s="89"/>
      <c r="T52" s="89"/>
      <c r="U52" s="89"/>
      <c r="V52" s="89"/>
      <c r="W52" s="89"/>
      <c r="X52" s="89"/>
      <c r="Y52" s="89"/>
      <c r="AQ52" s="3"/>
    </row>
    <row r="53" spans="2:43" x14ac:dyDescent="0.3">
      <c r="E53" s="32"/>
      <c r="F53" s="37" t="s">
        <v>199</v>
      </c>
      <c r="G53" s="37" t="s">
        <v>283</v>
      </c>
      <c r="H53" s="125">
        <f>'Load &amp; loss characteristics'!S29</f>
        <v>1.0900000000000001</v>
      </c>
      <c r="I53" s="89"/>
      <c r="J53" s="89"/>
      <c r="K53" s="89"/>
      <c r="L53" s="89"/>
      <c r="M53" s="89"/>
      <c r="N53" s="89"/>
      <c r="O53" s="89"/>
      <c r="P53" s="89"/>
      <c r="Q53" s="89"/>
      <c r="R53" s="89"/>
      <c r="S53" s="89"/>
      <c r="T53" s="89"/>
      <c r="U53" s="89"/>
      <c r="V53" s="89"/>
      <c r="W53" s="89"/>
      <c r="X53" s="89"/>
      <c r="Y53" s="89"/>
      <c r="AQ53" s="3"/>
    </row>
    <row r="54" spans="2:43" x14ac:dyDescent="0.3">
      <c r="E54" s="32"/>
      <c r="H54" s="89"/>
      <c r="I54" s="89"/>
      <c r="J54" s="89"/>
      <c r="K54" s="89"/>
      <c r="L54" s="89"/>
      <c r="M54" s="89"/>
      <c r="N54" s="89"/>
      <c r="O54" s="89"/>
      <c r="P54" s="89"/>
      <c r="Q54" s="89"/>
      <c r="R54" s="89"/>
      <c r="S54" s="89"/>
      <c r="T54" s="89"/>
      <c r="U54" s="89"/>
      <c r="V54" s="89"/>
      <c r="W54" s="89"/>
      <c r="X54" s="89"/>
      <c r="Y54" s="89"/>
      <c r="AQ54" s="3"/>
    </row>
    <row r="55" spans="2:43" x14ac:dyDescent="0.3">
      <c r="E55" s="32" t="s">
        <v>501</v>
      </c>
      <c r="H55" s="89"/>
      <c r="I55" s="89" t="s">
        <v>154</v>
      </c>
      <c r="J55" s="89"/>
      <c r="K55" s="89"/>
      <c r="L55" s="89"/>
      <c r="M55" s="89"/>
      <c r="N55" s="89"/>
      <c r="O55" s="89"/>
      <c r="P55" s="89"/>
      <c r="Q55" s="89"/>
      <c r="R55" s="89"/>
      <c r="S55" s="89"/>
      <c r="T55" s="89"/>
      <c r="U55" s="89"/>
      <c r="V55" s="89"/>
      <c r="W55" s="89"/>
      <c r="X55" s="89"/>
      <c r="Y55" s="89"/>
      <c r="AA55" t="s">
        <v>502</v>
      </c>
    </row>
    <row r="56" spans="2:43" x14ac:dyDescent="0.3">
      <c r="E56" s="32"/>
      <c r="F56" s="23" t="s">
        <v>156</v>
      </c>
      <c r="G56" s="23" t="s">
        <v>207</v>
      </c>
      <c r="H56" s="158"/>
      <c r="I56" s="158"/>
      <c r="J56" s="124">
        <f>'Volume adjustments'!J238</f>
        <v>927789.68137948948</v>
      </c>
      <c r="K56" s="124">
        <f>'Volume adjustments'!K238</f>
        <v>79.092618502232185</v>
      </c>
      <c r="L56" s="124">
        <f>'Volume adjustments'!L238</f>
        <v>294287.74014607188</v>
      </c>
      <c r="M56" s="124">
        <f>'Volume adjustments'!M238</f>
        <v>127.63198085068298</v>
      </c>
      <c r="N56" s="124">
        <f>'Volume adjustments'!N238</f>
        <v>266232.76364198484</v>
      </c>
      <c r="O56" s="124">
        <f>'Volume adjustments'!O238</f>
        <v>21261.117060932753</v>
      </c>
      <c r="P56" s="124">
        <f>'Volume adjustments'!P238</f>
        <v>666327.2095287157</v>
      </c>
      <c r="Q56" s="124">
        <f>'Volume adjustments'!Q238</f>
        <v>9663.5075463692192</v>
      </c>
      <c r="R56" s="124">
        <f>'Volume adjustments'!R238</f>
        <v>125.45917108391521</v>
      </c>
      <c r="S56" s="124">
        <f>'Volume adjustments'!S238</f>
        <v>0</v>
      </c>
      <c r="T56" s="124">
        <f>'Volume adjustments'!T238</f>
        <v>4280.342572253674</v>
      </c>
      <c r="U56" s="124">
        <f>'Volume adjustments'!U238</f>
        <v>0</v>
      </c>
      <c r="V56" s="124">
        <f>'Volume adjustments'!V238</f>
        <v>907.20921076491038</v>
      </c>
      <c r="W56" s="124">
        <f>'Volume adjustments'!W238</f>
        <v>0</v>
      </c>
      <c r="X56" s="124">
        <f>'Volume adjustments'!X238</f>
        <v>81192.371997792652</v>
      </c>
      <c r="Y56" s="124">
        <f>'Volume adjustments'!Y238</f>
        <v>0</v>
      </c>
      <c r="AQ56" s="3"/>
    </row>
    <row r="57" spans="2:43" x14ac:dyDescent="0.3">
      <c r="E57" s="32"/>
      <c r="F57" t="s">
        <v>157</v>
      </c>
      <c r="G57" t="s">
        <v>207</v>
      </c>
      <c r="H57" s="89"/>
      <c r="I57" s="89"/>
      <c r="J57" s="120">
        <f>'Volume adjustments'!J249</f>
        <v>2756277.0104804309</v>
      </c>
      <c r="K57" s="120">
        <f>'Volume adjustments'!K249</f>
        <v>3392.6048671577928</v>
      </c>
      <c r="L57" s="120">
        <f>'Volume adjustments'!L249</f>
        <v>1208294.0028481451</v>
      </c>
      <c r="M57" s="120">
        <f>'Volume adjustments'!M249</f>
        <v>959.76246317801258</v>
      </c>
      <c r="N57" s="120">
        <f>'Volume adjustments'!N249</f>
        <v>1018463.7253702636</v>
      </c>
      <c r="O57" s="120">
        <f>'Volume adjustments'!O249</f>
        <v>57444.135209551379</v>
      </c>
      <c r="P57" s="120">
        <f>'Volume adjustments'!P249</f>
        <v>2579824.5640717344</v>
      </c>
      <c r="Q57" s="120">
        <f>'Volume adjustments'!Q249</f>
        <v>49161.271548488345</v>
      </c>
      <c r="R57" s="120">
        <f>'Volume adjustments'!R249</f>
        <v>675.10681480787537</v>
      </c>
      <c r="S57" s="120">
        <f>'Volume adjustments'!S249</f>
        <v>0</v>
      </c>
      <c r="T57" s="120">
        <f>'Volume adjustments'!T249</f>
        <v>21435.880022591529</v>
      </c>
      <c r="U57" s="120">
        <f>'Volume adjustments'!U249</f>
        <v>0</v>
      </c>
      <c r="V57" s="120">
        <f>'Volume adjustments'!V249</f>
        <v>3604.4281560365216</v>
      </c>
      <c r="W57" s="120">
        <f>'Volume adjustments'!W249</f>
        <v>0</v>
      </c>
      <c r="X57" s="120">
        <f>'Volume adjustments'!X249</f>
        <v>281566.92770225758</v>
      </c>
      <c r="Y57" s="120">
        <f>'Volume adjustments'!Y249</f>
        <v>0</v>
      </c>
      <c r="AQ57" s="3"/>
    </row>
    <row r="58" spans="2:43" x14ac:dyDescent="0.3">
      <c r="E58" s="32"/>
      <c r="F58" s="37" t="s">
        <v>158</v>
      </c>
      <c r="G58" s="37" t="s">
        <v>207</v>
      </c>
      <c r="H58" s="82"/>
      <c r="I58" s="82"/>
      <c r="J58" s="125">
        <f>'Volume adjustments'!J260</f>
        <v>4559037.4253185689</v>
      </c>
      <c r="K58" s="125">
        <f>'Volume adjustments'!K260</f>
        <v>13095.75106613846</v>
      </c>
      <c r="L58" s="125">
        <f>'Volume adjustments'!L260</f>
        <v>1237153.6127393793</v>
      </c>
      <c r="M58" s="125">
        <f>'Volume adjustments'!M260</f>
        <v>2930.5689204763953</v>
      </c>
      <c r="N58" s="125">
        <f>'Volume adjustments'!N260</f>
        <v>1093171.0483201107</v>
      </c>
      <c r="O58" s="125">
        <f>'Volume adjustments'!O260</f>
        <v>60594.809001650618</v>
      </c>
      <c r="P58" s="125">
        <f>'Volume adjustments'!P260</f>
        <v>3405913.6894766232</v>
      </c>
      <c r="Q58" s="125">
        <f>'Volume adjustments'!Q260</f>
        <v>187842.48249019182</v>
      </c>
      <c r="R58" s="125">
        <f>'Volume adjustments'!R260</f>
        <v>332.99565387439389</v>
      </c>
      <c r="S58" s="125">
        <f>'Volume adjustments'!S260</f>
        <v>0</v>
      </c>
      <c r="T58" s="125">
        <f>'Volume adjustments'!T260</f>
        <v>21484.220834211559</v>
      </c>
      <c r="U58" s="125">
        <f>'Volume adjustments'!U260</f>
        <v>0</v>
      </c>
      <c r="V58" s="125">
        <f>'Volume adjustments'!V260</f>
        <v>5426.3333985064392</v>
      </c>
      <c r="W58" s="125">
        <f>'Volume adjustments'!W260</f>
        <v>0</v>
      </c>
      <c r="X58" s="125">
        <f>'Volume adjustments'!X260</f>
        <v>341773.46231736481</v>
      </c>
      <c r="Y58" s="125">
        <f>'Volume adjustments'!Y260</f>
        <v>0</v>
      </c>
      <c r="AQ58" s="3"/>
    </row>
    <row r="59" spans="2:43" x14ac:dyDescent="0.3">
      <c r="E59" s="32"/>
      <c r="F59" s="108" t="s">
        <v>503</v>
      </c>
      <c r="G59" s="108" t="s">
        <v>207</v>
      </c>
      <c r="H59" s="167"/>
      <c r="I59" s="167"/>
      <c r="J59" s="167">
        <f t="shared" ref="J59:Y59" si="0">SUM(J56:J58)</f>
        <v>8243104.1171784895</v>
      </c>
      <c r="K59" s="167">
        <f t="shared" si="0"/>
        <v>16567.448551798487</v>
      </c>
      <c r="L59" s="167">
        <f t="shared" si="0"/>
        <v>2739735.3557335963</v>
      </c>
      <c r="M59" s="167">
        <f t="shared" si="0"/>
        <v>4017.9633645050908</v>
      </c>
      <c r="N59" s="167">
        <f t="shared" si="0"/>
        <v>2377867.5373323588</v>
      </c>
      <c r="O59" s="167">
        <f t="shared" si="0"/>
        <v>139300.06127213477</v>
      </c>
      <c r="P59" s="167">
        <f t="shared" si="0"/>
        <v>6652065.4630770739</v>
      </c>
      <c r="Q59" s="167">
        <f t="shared" si="0"/>
        <v>246667.26158504939</v>
      </c>
      <c r="R59" s="167">
        <f t="shared" si="0"/>
        <v>1133.5616397661845</v>
      </c>
      <c r="S59" s="167">
        <f t="shared" si="0"/>
        <v>0</v>
      </c>
      <c r="T59" s="167">
        <f t="shared" si="0"/>
        <v>47200.443429056759</v>
      </c>
      <c r="U59" s="167">
        <f t="shared" si="0"/>
        <v>0</v>
      </c>
      <c r="V59" s="167">
        <f t="shared" si="0"/>
        <v>9937.9707653078713</v>
      </c>
      <c r="W59" s="167">
        <f t="shared" si="0"/>
        <v>0</v>
      </c>
      <c r="X59" s="167">
        <f t="shared" si="0"/>
        <v>704532.76201741514</v>
      </c>
      <c r="Y59" s="167">
        <f t="shared" si="0"/>
        <v>0</v>
      </c>
      <c r="AQ59" s="3"/>
    </row>
    <row r="60" spans="2:43" x14ac:dyDescent="0.3">
      <c r="D60" s="32"/>
      <c r="J60" s="63"/>
      <c r="L60" s="63"/>
      <c r="AQ60" s="3"/>
    </row>
    <row r="61" spans="2:43" x14ac:dyDescent="0.3">
      <c r="C61" s="32"/>
      <c r="E61" s="28" t="s">
        <v>241</v>
      </c>
      <c r="F61" s="28"/>
      <c r="G61" s="28" t="s">
        <v>167</v>
      </c>
      <c r="I61" t="s">
        <v>154</v>
      </c>
      <c r="J61" s="25">
        <f>'Inputs by customer type'!J15</f>
        <v>0.4454000851757805</v>
      </c>
      <c r="K61" s="25">
        <f>'Inputs by customer type'!K15</f>
        <v>0.17235133349412979</v>
      </c>
      <c r="L61" s="25">
        <f>'Inputs by customer type'!L15</f>
        <v>0.42631761647328226</v>
      </c>
      <c r="M61" s="25">
        <f>'Inputs by customer type'!M15</f>
        <v>0.22423880040220068</v>
      </c>
      <c r="N61" s="25">
        <f>'Inputs by customer type'!N15</f>
        <v>0.51368112238457309</v>
      </c>
      <c r="O61" s="25">
        <f>'Inputs by customer type'!O15</f>
        <v>0.53489695823059702</v>
      </c>
      <c r="P61" s="25">
        <f>'Inputs by customer type'!P15</f>
        <v>0.66792120955326817</v>
      </c>
      <c r="Q61" s="25">
        <f>'Inputs by customer type'!Q15</f>
        <v>0.52082016691902244</v>
      </c>
      <c r="R61" s="70"/>
      <c r="S61" s="70"/>
      <c r="T61" s="70"/>
      <c r="U61" s="70"/>
      <c r="V61" s="70"/>
      <c r="W61" s="70"/>
      <c r="X61" s="70"/>
      <c r="Y61" s="70"/>
      <c r="AA61" t="s">
        <v>504</v>
      </c>
      <c r="AQ61" s="3"/>
    </row>
    <row r="63" spans="2:43" x14ac:dyDescent="0.3">
      <c r="B63" s="30" t="s">
        <v>505</v>
      </c>
      <c r="C63" s="30"/>
      <c r="D63" s="30"/>
      <c r="E63" s="30"/>
      <c r="F63" s="30"/>
      <c r="G63" s="30"/>
      <c r="H63" s="30"/>
      <c r="I63" s="30"/>
      <c r="J63" s="133"/>
      <c r="K63" s="30"/>
      <c r="L63" s="133"/>
      <c r="M63" s="30"/>
      <c r="N63" s="30"/>
      <c r="O63" s="30"/>
      <c r="P63" s="30"/>
      <c r="Q63" s="30"/>
      <c r="R63" s="30"/>
      <c r="S63" s="30"/>
      <c r="T63" s="30"/>
      <c r="U63" s="30"/>
      <c r="V63" s="30"/>
      <c r="W63" s="30"/>
      <c r="X63" s="30"/>
      <c r="Y63" s="30"/>
      <c r="Z63" s="30"/>
      <c r="AA63" s="30"/>
      <c r="AQ63" s="3"/>
    </row>
    <row r="64" spans="2:43" x14ac:dyDescent="0.3">
      <c r="C64" s="32"/>
      <c r="J64" s="63"/>
      <c r="L64" s="63"/>
      <c r="AQ64" s="3"/>
    </row>
    <row r="65" spans="3:43" x14ac:dyDescent="0.3">
      <c r="C65" s="29" t="s">
        <v>506</v>
      </c>
      <c r="J65" s="63"/>
      <c r="L65" s="63"/>
      <c r="AQ65" s="3"/>
    </row>
    <row r="66" spans="3:43" x14ac:dyDescent="0.3">
      <c r="C66" s="32"/>
      <c r="J66" s="63"/>
      <c r="L66" s="63"/>
      <c r="AQ66" s="3"/>
    </row>
    <row r="67" spans="3:43" x14ac:dyDescent="0.3">
      <c r="C67" s="31" t="str">
        <f ca="1">INDEX('Version control'!$H$34:$H$57,MATCH($A$1,'Version control'!$F$34:$F$57,0),1)&amp;"-B: System peak load, by unit rate"</f>
        <v>Section 106-B: System peak load, by unit rate</v>
      </c>
      <c r="D67" s="31"/>
      <c r="E67" s="31"/>
      <c r="F67" s="31"/>
      <c r="G67" s="31"/>
      <c r="H67" s="31"/>
      <c r="I67" s="31"/>
      <c r="J67" s="31"/>
      <c r="K67" s="31"/>
      <c r="L67" s="31"/>
      <c r="M67" s="31"/>
      <c r="N67" s="31"/>
      <c r="O67" s="31"/>
      <c r="P67" s="31"/>
      <c r="Q67" s="31"/>
      <c r="R67" s="31"/>
      <c r="S67" s="31"/>
      <c r="T67" s="31"/>
      <c r="U67" s="31"/>
      <c r="V67" s="31"/>
      <c r="W67" s="31"/>
      <c r="X67" s="31"/>
      <c r="Y67" s="31"/>
      <c r="Z67" s="31"/>
      <c r="AA67" s="31"/>
      <c r="AQ67" s="3"/>
    </row>
    <row r="68" spans="3:43" x14ac:dyDescent="0.3">
      <c r="H68" s="63"/>
      <c r="J68" s="63"/>
      <c r="K68" s="63"/>
      <c r="L68" s="63"/>
      <c r="M68" s="63"/>
      <c r="N68" s="63"/>
      <c r="O68" s="63"/>
      <c r="P68" s="63"/>
      <c r="Q68" s="63"/>
      <c r="R68" s="63"/>
      <c r="S68" s="63"/>
      <c r="T68" s="63"/>
      <c r="U68" s="63"/>
      <c r="V68" s="63"/>
      <c r="W68" s="63"/>
      <c r="X68" s="63"/>
      <c r="Y68" s="63"/>
    </row>
    <row r="69" spans="3:43" x14ac:dyDescent="0.3">
      <c r="E69" s="32" t="s">
        <v>507</v>
      </c>
      <c r="J69" s="63"/>
      <c r="L69" s="63"/>
      <c r="AQ69" s="3"/>
    </row>
    <row r="70" spans="3:43" x14ac:dyDescent="0.3">
      <c r="E70" s="32"/>
      <c r="F70" s="23" t="s">
        <v>191</v>
      </c>
      <c r="G70" s="23" t="s">
        <v>283</v>
      </c>
      <c r="H70" s="23"/>
      <c r="I70" s="23"/>
      <c r="J70" s="124">
        <f>'Pseudo-load coefficients'!J272</f>
        <v>10.895163278637472</v>
      </c>
      <c r="K70" s="124">
        <f>'Pseudo-load coefficients'!K272</f>
        <v>10.895163278637472</v>
      </c>
      <c r="L70" s="124">
        <f>'Pseudo-load coefficients'!L272</f>
        <v>12.40307106449656</v>
      </c>
      <c r="M70" s="124">
        <f>'Pseudo-load coefficients'!M272</f>
        <v>12.40307106449656</v>
      </c>
      <c r="N70" s="124">
        <f>'Pseudo-load coefficients'!N272</f>
        <v>9.9778802736104044</v>
      </c>
      <c r="O70" s="124">
        <f>'Pseudo-load coefficients'!O272</f>
        <v>7.4590004471621851</v>
      </c>
      <c r="P70" s="124">
        <f>'Pseudo-load coefficients'!P272</f>
        <v>8.5135159223890078</v>
      </c>
      <c r="Q70" s="124">
        <f>'Pseudo-load coefficients'!Q272</f>
        <v>17.306798680581313</v>
      </c>
      <c r="R70" s="124">
        <f>'Pseudo-load coefficients'!R272</f>
        <v>7.6034304864135018</v>
      </c>
      <c r="S70" s="124">
        <f>'Pseudo-load coefficients'!S272</f>
        <v>7.6034304864135018</v>
      </c>
      <c r="T70" s="124">
        <f>'Pseudo-load coefficients'!T272</f>
        <v>7.6034304864135018</v>
      </c>
      <c r="U70" s="124">
        <f>'Pseudo-load coefficients'!U272</f>
        <v>7.6034304864135018</v>
      </c>
      <c r="V70" s="124">
        <f>'Pseudo-load coefficients'!V272</f>
        <v>7.6034304864135018</v>
      </c>
      <c r="W70" s="124">
        <f>'Pseudo-load coefficients'!W272</f>
        <v>7.6034304864135018</v>
      </c>
      <c r="X70" s="124">
        <f>'Pseudo-load coefficients'!X272</f>
        <v>7.6034304864135018</v>
      </c>
      <c r="Y70" s="124">
        <f>'Pseudo-load coefficients'!Y272</f>
        <v>7.6034304864135018</v>
      </c>
      <c r="AQ70" s="3"/>
    </row>
    <row r="71" spans="3:43" x14ac:dyDescent="0.3">
      <c r="E71" s="32"/>
      <c r="F71" t="s">
        <v>192</v>
      </c>
      <c r="G71" t="s">
        <v>283</v>
      </c>
      <c r="J71" s="120">
        <f>'Pseudo-load coefficients'!J273</f>
        <v>9.1794613041077078</v>
      </c>
      <c r="K71" s="120">
        <f>'Pseudo-load coefficients'!K273</f>
        <v>9.1794613041077078</v>
      </c>
      <c r="L71" s="120">
        <f>'Pseudo-load coefficients'!L273</f>
        <v>10.449913230018382</v>
      </c>
      <c r="M71" s="120">
        <f>'Pseudo-load coefficients'!M273</f>
        <v>10.449913230018382</v>
      </c>
      <c r="N71" s="120">
        <f>'Pseudo-load coefficients'!N273</f>
        <v>8.4066262731659211</v>
      </c>
      <c r="O71" s="120">
        <f>'Pseudo-load coefficients'!O273</f>
        <v>6.2844038424186</v>
      </c>
      <c r="P71" s="120">
        <f>'Pseudo-load coefficients'!P273</f>
        <v>7.172860834927107</v>
      </c>
      <c r="Q71" s="120">
        <f>'Pseudo-load coefficients'!Q273</f>
        <v>18.548739588234714</v>
      </c>
      <c r="R71" s="120">
        <f>'Pseudo-load coefficients'!R273</f>
        <v>6.4060899450085209</v>
      </c>
      <c r="S71" s="120">
        <f>'Pseudo-load coefficients'!S273</f>
        <v>6.4060899450085209</v>
      </c>
      <c r="T71" s="120">
        <f>'Pseudo-load coefficients'!T273</f>
        <v>6.4060899450085209</v>
      </c>
      <c r="U71" s="120">
        <f>'Pseudo-load coefficients'!U273</f>
        <v>6.4060899450085209</v>
      </c>
      <c r="V71" s="120">
        <f>'Pseudo-load coefficients'!V273</f>
        <v>6.4060899450085209</v>
      </c>
      <c r="W71" s="120">
        <f>'Pseudo-load coefficients'!W273</f>
        <v>6.4060899450085209</v>
      </c>
      <c r="X71" s="120">
        <f>'Pseudo-load coefficients'!X273</f>
        <v>6.4060899450085209</v>
      </c>
      <c r="Y71" s="120">
        <f>'Pseudo-load coefficients'!Y273</f>
        <v>6.4060899450085209</v>
      </c>
      <c r="AQ71" s="3"/>
    </row>
    <row r="72" spans="3:43" x14ac:dyDescent="0.3">
      <c r="E72" s="32"/>
      <c r="F72" t="s">
        <v>193</v>
      </c>
      <c r="G72" t="s">
        <v>283</v>
      </c>
      <c r="J72" s="120">
        <f>'Pseudo-load coefficients'!J274</f>
        <v>9.1794613041077078</v>
      </c>
      <c r="K72" s="120">
        <f>'Pseudo-load coefficients'!K274</f>
        <v>9.1794613041077078</v>
      </c>
      <c r="L72" s="120">
        <f>'Pseudo-load coefficients'!L274</f>
        <v>10.449913230018382</v>
      </c>
      <c r="M72" s="120">
        <f>'Pseudo-load coefficients'!M274</f>
        <v>10.449913230018382</v>
      </c>
      <c r="N72" s="120">
        <f>'Pseudo-load coefficients'!N274</f>
        <v>8.4066262731659211</v>
      </c>
      <c r="O72" s="120">
        <f>'Pseudo-load coefficients'!O274</f>
        <v>6.2844038424186</v>
      </c>
      <c r="P72" s="120">
        <f>'Pseudo-load coefficients'!P274</f>
        <v>7.172860834927107</v>
      </c>
      <c r="Q72" s="120">
        <f>'Pseudo-load coefficients'!Q274</f>
        <v>18.548739588234714</v>
      </c>
      <c r="R72" s="120">
        <f>'Pseudo-load coefficients'!R274</f>
        <v>6.4060899450085209</v>
      </c>
      <c r="S72" s="120">
        <f>'Pseudo-load coefficients'!S274</f>
        <v>6.4060899450085209</v>
      </c>
      <c r="T72" s="120">
        <f>'Pseudo-load coefficients'!T274</f>
        <v>6.4060899450085209</v>
      </c>
      <c r="U72" s="120">
        <f>'Pseudo-load coefficients'!U274</f>
        <v>6.4060899450085209</v>
      </c>
      <c r="V72" s="120">
        <f>'Pseudo-load coefficients'!V274</f>
        <v>6.4060899450085209</v>
      </c>
      <c r="W72" s="120">
        <f>'Pseudo-load coefficients'!W274</f>
        <v>6.4060899450085209</v>
      </c>
      <c r="X72" s="120">
        <f>'Pseudo-load coefficients'!X274</f>
        <v>6.4060899450085209</v>
      </c>
      <c r="Y72" s="120">
        <f>'Pseudo-load coefficients'!Y274</f>
        <v>6.4060899450085209</v>
      </c>
      <c r="AQ72" s="3"/>
    </row>
    <row r="73" spans="3:43" x14ac:dyDescent="0.3">
      <c r="E73" s="32"/>
      <c r="F73" t="s">
        <v>194</v>
      </c>
      <c r="G73" t="s">
        <v>283</v>
      </c>
      <c r="J73" s="120">
        <f>'Pseudo-load coefficients'!J275</f>
        <v>9.8030745444975658</v>
      </c>
      <c r="K73" s="120">
        <f>'Pseudo-load coefficients'!K275</f>
        <v>9.8030745444975658</v>
      </c>
      <c r="L73" s="120">
        <f>'Pseudo-load coefficients'!L275</f>
        <v>11.159835526683924</v>
      </c>
      <c r="M73" s="120">
        <f>'Pseudo-load coefficients'!M275</f>
        <v>11.159835526683924</v>
      </c>
      <c r="N73" s="120">
        <f>'Pseudo-load coefficients'!N275</f>
        <v>8.9777364153928474</v>
      </c>
      <c r="O73" s="120">
        <f>'Pseudo-load coefficients'!O275</f>
        <v>6.7113392925779047</v>
      </c>
      <c r="P73" s="120">
        <f>'Pseudo-load coefficients'!P275</f>
        <v>7.6601542435427898</v>
      </c>
      <c r="Q73" s="120">
        <f>'Pseudo-load coefficients'!Q275</f>
        <v>19.95144716486757</v>
      </c>
      <c r="R73" s="120">
        <f>'Pseudo-load coefficients'!R275</f>
        <v>6.8412922271999577</v>
      </c>
      <c r="S73" s="120">
        <f>'Pseudo-load coefficients'!S275</f>
        <v>6.8412922271999577</v>
      </c>
      <c r="T73" s="120">
        <f>'Pseudo-load coefficients'!T275</f>
        <v>6.8412922271999577</v>
      </c>
      <c r="U73" s="120">
        <f>'Pseudo-load coefficients'!U275</f>
        <v>6.8412922271999577</v>
      </c>
      <c r="V73" s="120">
        <f>'Pseudo-load coefficients'!V275</f>
        <v>6.8412922271999577</v>
      </c>
      <c r="W73" s="120">
        <f>'Pseudo-load coefficients'!W275</f>
        <v>6.8412922271999577</v>
      </c>
      <c r="X73" s="120">
        <f>'Pseudo-load coefficients'!X275</f>
        <v>6.8412922271999577</v>
      </c>
      <c r="Y73" s="120">
        <f>'Pseudo-load coefficients'!Y275</f>
        <v>6.8412922271999577</v>
      </c>
      <c r="AQ73" s="3"/>
    </row>
    <row r="74" spans="3:43" x14ac:dyDescent="0.3">
      <c r="E74" s="32"/>
      <c r="F74" t="s">
        <v>195</v>
      </c>
      <c r="G74" t="s">
        <v>283</v>
      </c>
      <c r="J74" s="120">
        <f>'Pseudo-load coefficients'!J276</f>
        <v>9.8030745444975658</v>
      </c>
      <c r="K74" s="120">
        <f>'Pseudo-load coefficients'!K276</f>
        <v>9.8030745444975658</v>
      </c>
      <c r="L74" s="120">
        <f>'Pseudo-load coefficients'!L276</f>
        <v>11.159835526683924</v>
      </c>
      <c r="M74" s="120">
        <f>'Pseudo-load coefficients'!M276</f>
        <v>11.159835526683924</v>
      </c>
      <c r="N74" s="120">
        <f>'Pseudo-load coefficients'!N276</f>
        <v>8.9777364153928474</v>
      </c>
      <c r="O74" s="120">
        <f>'Pseudo-load coefficients'!O276</f>
        <v>6.7113392925779047</v>
      </c>
      <c r="P74" s="120">
        <f>'Pseudo-load coefficients'!P276</f>
        <v>7.6601542435427898</v>
      </c>
      <c r="Q74" s="120">
        <f>'Pseudo-load coefficients'!Q276</f>
        <v>19.95144716486757</v>
      </c>
      <c r="R74" s="120">
        <f>'Pseudo-load coefficients'!R276</f>
        <v>6.8412922271999577</v>
      </c>
      <c r="S74" s="120">
        <f>'Pseudo-load coefficients'!S276</f>
        <v>6.8412922271999577</v>
      </c>
      <c r="T74" s="120">
        <f>'Pseudo-load coefficients'!T276</f>
        <v>6.8412922271999577</v>
      </c>
      <c r="U74" s="120">
        <f>'Pseudo-load coefficients'!U276</f>
        <v>6.8412922271999577</v>
      </c>
      <c r="V74" s="120">
        <f>'Pseudo-load coefficients'!V276</f>
        <v>6.8412922271999577</v>
      </c>
      <c r="W74" s="120">
        <f>'Pseudo-load coefficients'!W276</f>
        <v>6.8412922271999577</v>
      </c>
      <c r="X74" s="120">
        <f>'Pseudo-load coefficients'!X276</f>
        <v>6.8412922271999577</v>
      </c>
      <c r="Y74" s="120">
        <f>'Pseudo-load coefficients'!Y276</f>
        <v>6.8412922271999577</v>
      </c>
      <c r="AQ74" s="3"/>
    </row>
    <row r="75" spans="3:43" x14ac:dyDescent="0.3">
      <c r="E75" s="32"/>
      <c r="F75" t="s">
        <v>196</v>
      </c>
      <c r="G75" t="s">
        <v>283</v>
      </c>
      <c r="J75" s="120">
        <f>'Pseudo-load coefficients'!J277</f>
        <v>9.1794613041077078</v>
      </c>
      <c r="K75" s="120">
        <f>'Pseudo-load coefficients'!K277</f>
        <v>9.1794613041077078</v>
      </c>
      <c r="L75" s="120">
        <f>'Pseudo-load coefficients'!L277</f>
        <v>10.449913230018382</v>
      </c>
      <c r="M75" s="120">
        <f>'Pseudo-load coefficients'!M277</f>
        <v>10.449913230018382</v>
      </c>
      <c r="N75" s="120">
        <f>'Pseudo-load coefficients'!N277</f>
        <v>8.4066262731659211</v>
      </c>
      <c r="O75" s="120">
        <f>'Pseudo-load coefficients'!O277</f>
        <v>6.2844038424186</v>
      </c>
      <c r="P75" s="120">
        <f>'Pseudo-load coefficients'!P277</f>
        <v>7.172860834927107</v>
      </c>
      <c r="Q75" s="120">
        <f>'Pseudo-load coefficients'!Q277</f>
        <v>18.548739588234714</v>
      </c>
      <c r="R75" s="120">
        <f>'Pseudo-load coefficients'!R277</f>
        <v>6.4060899450085209</v>
      </c>
      <c r="S75" s="120">
        <f>'Pseudo-load coefficients'!S277</f>
        <v>6.4060899450085209</v>
      </c>
      <c r="T75" s="120">
        <f>'Pseudo-load coefficients'!T277</f>
        <v>6.4060899450085209</v>
      </c>
      <c r="U75" s="120">
        <f>'Pseudo-load coefficients'!U277</f>
        <v>6.4060899450085209</v>
      </c>
      <c r="V75" s="120">
        <f>'Pseudo-load coefficients'!V277</f>
        <v>6.4060899450085209</v>
      </c>
      <c r="W75" s="120">
        <f>'Pseudo-load coefficients'!W277</f>
        <v>6.4060899450085209</v>
      </c>
      <c r="X75" s="120">
        <f>'Pseudo-load coefficients'!X277</f>
        <v>6.4060899450085209</v>
      </c>
      <c r="Y75" s="120">
        <f>'Pseudo-load coefficients'!Y277</f>
        <v>6.4060899450085209</v>
      </c>
      <c r="AQ75" s="3"/>
    </row>
    <row r="76" spans="3:43" x14ac:dyDescent="0.3">
      <c r="E76" s="32"/>
      <c r="F76" t="s">
        <v>197</v>
      </c>
      <c r="G76" t="s">
        <v>283</v>
      </c>
      <c r="J76" s="120">
        <f>'Pseudo-load coefficients'!J278</f>
        <v>9.8030745444975658</v>
      </c>
      <c r="K76" s="120">
        <f>'Pseudo-load coefficients'!K278</f>
        <v>9.8030745444975658</v>
      </c>
      <c r="L76" s="120">
        <f>'Pseudo-load coefficients'!L278</f>
        <v>11.159835526683924</v>
      </c>
      <c r="M76" s="120">
        <f>'Pseudo-load coefficients'!M278</f>
        <v>11.159835526683924</v>
      </c>
      <c r="N76" s="120">
        <f>'Pseudo-load coefficients'!N278</f>
        <v>8.9777364153928474</v>
      </c>
      <c r="O76" s="120">
        <f>'Pseudo-load coefficients'!O278</f>
        <v>6.7113392925779047</v>
      </c>
      <c r="P76" s="120">
        <f>'Pseudo-load coefficients'!P278</f>
        <v>7.6601542435427898</v>
      </c>
      <c r="Q76" s="120">
        <f>'Pseudo-load coefficients'!Q278</f>
        <v>19.95144716486757</v>
      </c>
      <c r="R76" s="120">
        <f>'Pseudo-load coefficients'!R278</f>
        <v>6.8412922271999577</v>
      </c>
      <c r="S76" s="120">
        <f>'Pseudo-load coefficients'!S278</f>
        <v>6.8412922271999577</v>
      </c>
      <c r="T76" s="120">
        <f>'Pseudo-load coefficients'!T278</f>
        <v>6.8412922271999577</v>
      </c>
      <c r="U76" s="120">
        <f>'Pseudo-load coefficients'!U278</f>
        <v>6.8412922271999577</v>
      </c>
      <c r="V76" s="120">
        <f>'Pseudo-load coefficients'!V278</f>
        <v>6.8412922271999577</v>
      </c>
      <c r="W76" s="120">
        <f>'Pseudo-load coefficients'!W278</f>
        <v>6.8412922271999577</v>
      </c>
      <c r="X76" s="120">
        <f>'Pseudo-load coefficients'!X278</f>
        <v>6.8412922271999577</v>
      </c>
      <c r="Y76" s="120">
        <f>'Pseudo-load coefficients'!Y278</f>
        <v>6.8412922271999577</v>
      </c>
      <c r="AQ76" s="3"/>
    </row>
    <row r="77" spans="3:43" x14ac:dyDescent="0.3">
      <c r="E77" s="32"/>
      <c r="F77" t="s">
        <v>198</v>
      </c>
      <c r="G77" t="s">
        <v>283</v>
      </c>
      <c r="J77" s="120">
        <f>'Pseudo-load coefficients'!J279</f>
        <v>9.8030745444975658</v>
      </c>
      <c r="K77" s="120">
        <f>'Pseudo-load coefficients'!K279</f>
        <v>9.8030745444975658</v>
      </c>
      <c r="L77" s="120">
        <f>'Pseudo-load coefficients'!L279</f>
        <v>11.159835526683924</v>
      </c>
      <c r="M77" s="120">
        <f>'Pseudo-load coefficients'!M279</f>
        <v>11.159835526683924</v>
      </c>
      <c r="N77" s="120">
        <f>'Pseudo-load coefficients'!N279</f>
        <v>8.9777364153928474</v>
      </c>
      <c r="O77" s="120">
        <f>'Pseudo-load coefficients'!O279</f>
        <v>6.7113392925779047</v>
      </c>
      <c r="P77" s="120">
        <f>'Pseudo-load coefficients'!P279</f>
        <v>7.6601542435427898</v>
      </c>
      <c r="Q77" s="120">
        <f>'Pseudo-load coefficients'!Q279</f>
        <v>19.95144716486757</v>
      </c>
      <c r="R77" s="120">
        <f>'Pseudo-load coefficients'!R279</f>
        <v>6.8412922271999577</v>
      </c>
      <c r="S77" s="120">
        <f>'Pseudo-load coefficients'!S279</f>
        <v>6.8412922271999577</v>
      </c>
      <c r="T77" s="120">
        <f>'Pseudo-load coefficients'!T279</f>
        <v>6.8412922271999577</v>
      </c>
      <c r="U77" s="120">
        <f>'Pseudo-load coefficients'!U279</f>
        <v>6.8412922271999577</v>
      </c>
      <c r="V77" s="120">
        <f>'Pseudo-load coefficients'!V279</f>
        <v>6.8412922271999577</v>
      </c>
      <c r="W77" s="120">
        <f>'Pseudo-load coefficients'!W279</f>
        <v>6.8412922271999577</v>
      </c>
      <c r="X77" s="120">
        <f>'Pseudo-load coefficients'!X279</f>
        <v>6.8412922271999577</v>
      </c>
      <c r="Y77" s="120">
        <f>'Pseudo-load coefficients'!Y279</f>
        <v>6.8412922271999577</v>
      </c>
      <c r="AQ77" s="3"/>
    </row>
    <row r="78" spans="3:43" x14ac:dyDescent="0.3">
      <c r="E78" s="32"/>
      <c r="F78" s="37" t="s">
        <v>199</v>
      </c>
      <c r="G78" s="37" t="s">
        <v>283</v>
      </c>
      <c r="H78" s="37"/>
      <c r="I78" s="37"/>
      <c r="J78" s="125">
        <f>'Pseudo-load coefficients'!J280</f>
        <v>9.8030745444975658</v>
      </c>
      <c r="K78" s="125">
        <f>'Pseudo-load coefficients'!K280</f>
        <v>9.8030745444975658</v>
      </c>
      <c r="L78" s="125">
        <f>'Pseudo-load coefficients'!L280</f>
        <v>11.159835526683924</v>
      </c>
      <c r="M78" s="125">
        <f>'Pseudo-load coefficients'!M280</f>
        <v>11.159835526683924</v>
      </c>
      <c r="N78" s="125">
        <f>'Pseudo-load coefficients'!N280</f>
        <v>8.9777364153928474</v>
      </c>
      <c r="O78" s="125">
        <f>'Pseudo-load coefficients'!O280</f>
        <v>6.7113392925779047</v>
      </c>
      <c r="P78" s="125">
        <f>'Pseudo-load coefficients'!P280</f>
        <v>7.6601542435427898</v>
      </c>
      <c r="Q78" s="125">
        <f>'Pseudo-load coefficients'!Q280</f>
        <v>19.95144716486757</v>
      </c>
      <c r="R78" s="125">
        <f>'Pseudo-load coefficients'!R280</f>
        <v>6.8412922271999577</v>
      </c>
      <c r="S78" s="125">
        <f>'Pseudo-load coefficients'!S280</f>
        <v>6.8412922271999577</v>
      </c>
      <c r="T78" s="125">
        <f>'Pseudo-load coefficients'!T280</f>
        <v>6.8412922271999577</v>
      </c>
      <c r="U78" s="125">
        <f>'Pseudo-load coefficients'!U280</f>
        <v>6.8412922271999577</v>
      </c>
      <c r="V78" s="125">
        <f>'Pseudo-load coefficients'!V280</f>
        <v>6.8412922271999577</v>
      </c>
      <c r="W78" s="125">
        <f>'Pseudo-load coefficients'!W280</f>
        <v>6.8412922271999577</v>
      </c>
      <c r="X78" s="125">
        <f>'Pseudo-load coefficients'!X280</f>
        <v>6.8412922271999577</v>
      </c>
      <c r="Y78" s="125">
        <f>'Pseudo-load coefficients'!Y280</f>
        <v>6.8412922271999577</v>
      </c>
      <c r="AQ78" s="3"/>
    </row>
    <row r="79" spans="3:43" x14ac:dyDescent="0.3">
      <c r="E79" s="32"/>
      <c r="J79" s="89"/>
      <c r="K79" s="89"/>
      <c r="L79" s="89"/>
      <c r="M79" s="89"/>
      <c r="N79" s="89"/>
      <c r="O79" s="89"/>
      <c r="P79" s="89"/>
      <c r="Q79" s="89"/>
      <c r="R79" s="89"/>
      <c r="S79" s="89"/>
      <c r="T79" s="89"/>
      <c r="U79" s="89"/>
      <c r="V79" s="89"/>
      <c r="W79" s="89"/>
      <c r="X79" s="89"/>
      <c r="Y79" s="89"/>
      <c r="AQ79" s="3"/>
    </row>
    <row r="80" spans="3:43" x14ac:dyDescent="0.3">
      <c r="E80" s="32" t="s">
        <v>508</v>
      </c>
      <c r="J80" s="89"/>
      <c r="K80" s="89"/>
      <c r="L80" s="89"/>
      <c r="M80" s="89"/>
      <c r="N80" s="89"/>
      <c r="O80" s="89"/>
      <c r="P80" s="89"/>
      <c r="Q80" s="89"/>
      <c r="R80" s="89"/>
      <c r="S80" s="89"/>
      <c r="T80" s="89"/>
      <c r="U80" s="89"/>
      <c r="V80" s="89"/>
      <c r="W80" s="89"/>
      <c r="X80" s="89"/>
      <c r="Y80" s="89"/>
      <c r="AQ80" s="3"/>
    </row>
    <row r="81" spans="5:43" x14ac:dyDescent="0.3">
      <c r="E81" s="29" t="s">
        <v>509</v>
      </c>
      <c r="J81" s="89"/>
      <c r="K81" s="89"/>
      <c r="L81" s="89"/>
      <c r="M81" s="89"/>
      <c r="N81" s="89"/>
      <c r="O81" s="89"/>
      <c r="P81" s="89"/>
      <c r="Q81" s="89"/>
      <c r="R81" s="89"/>
      <c r="S81" s="89"/>
      <c r="T81" s="89"/>
      <c r="U81" s="89"/>
      <c r="V81" s="89"/>
      <c r="W81" s="89"/>
      <c r="X81" s="89"/>
      <c r="Y81" s="89"/>
      <c r="AQ81" s="3"/>
    </row>
    <row r="82" spans="5:43" x14ac:dyDescent="0.3">
      <c r="E82" s="32"/>
      <c r="F82" s="23" t="s">
        <v>191</v>
      </c>
      <c r="G82" s="23" t="s">
        <v>172</v>
      </c>
      <c r="H82" s="23"/>
      <c r="I82" s="23"/>
      <c r="J82" s="158">
        <f t="shared" ref="J82:Y82" si="1">J$56 * J34 * J70 / hours_in_year / $H45</f>
        <v>1257.7828622011857</v>
      </c>
      <c r="K82" s="158">
        <f t="shared" si="1"/>
        <v>0.10722402078325516</v>
      </c>
      <c r="L82" s="158">
        <f t="shared" si="1"/>
        <v>454.17559501616336</v>
      </c>
      <c r="M82" s="158">
        <f t="shared" si="1"/>
        <v>0.1969750109779565</v>
      </c>
      <c r="N82" s="158">
        <f t="shared" si="1"/>
        <v>330.53859796575745</v>
      </c>
      <c r="O82" s="158">
        <f t="shared" si="1"/>
        <v>19.31643713883533</v>
      </c>
      <c r="P82" s="158">
        <f t="shared" si="1"/>
        <v>680.60496124929102</v>
      </c>
      <c r="Q82" s="158">
        <f t="shared" si="1"/>
        <v>20.810088335854626</v>
      </c>
      <c r="R82" s="158">
        <f t="shared" si="1"/>
        <v>-0.11869553584239419</v>
      </c>
      <c r="S82" s="158">
        <f t="shared" si="1"/>
        <v>0</v>
      </c>
      <c r="T82" s="158">
        <f t="shared" si="1"/>
        <v>-4.0495848235984271</v>
      </c>
      <c r="U82" s="158">
        <f t="shared" si="1"/>
        <v>0</v>
      </c>
      <c r="V82" s="158">
        <f t="shared" si="1"/>
        <v>-0.84018968220558776</v>
      </c>
      <c r="W82" s="158">
        <f t="shared" si="1"/>
        <v>0</v>
      </c>
      <c r="X82" s="158">
        <f t="shared" si="1"/>
        <v>-74.066772248215401</v>
      </c>
      <c r="Y82" s="158">
        <f t="shared" si="1"/>
        <v>0</v>
      </c>
      <c r="AQ82" s="3"/>
    </row>
    <row r="83" spans="5:43" x14ac:dyDescent="0.3">
      <c r="E83" s="32"/>
      <c r="F83" t="s">
        <v>192</v>
      </c>
      <c r="G83" t="s">
        <v>172</v>
      </c>
      <c r="J83" s="89">
        <f t="shared" ref="J83:Y83" si="2">J$56 * J35 * J71 / hours_in_year / $H46</f>
        <v>1054.4428918927117</v>
      </c>
      <c r="K83" s="89">
        <f t="shared" si="2"/>
        <v>8.9889606507434897E-2</v>
      </c>
      <c r="L83" s="89">
        <f t="shared" si="2"/>
        <v>380.75111549686119</v>
      </c>
      <c r="M83" s="89">
        <f t="shared" si="2"/>
        <v>0.16513096691642876</v>
      </c>
      <c r="N83" s="89">
        <f t="shared" si="2"/>
        <v>277.10194310584166</v>
      </c>
      <c r="O83" s="89">
        <f t="shared" si="2"/>
        <v>16.193637590269038</v>
      </c>
      <c r="P83" s="89">
        <f t="shared" si="2"/>
        <v>570.57468752618286</v>
      </c>
      <c r="Q83" s="89">
        <f t="shared" si="2"/>
        <v>22.192464008193348</v>
      </c>
      <c r="R83" s="89">
        <f t="shared" si="2"/>
        <v>-9.9506574488840357E-2</v>
      </c>
      <c r="S83" s="89">
        <f t="shared" si="2"/>
        <v>0</v>
      </c>
      <c r="T83" s="89">
        <f t="shared" si="2"/>
        <v>-3.3949070707539617</v>
      </c>
      <c r="U83" s="89">
        <f t="shared" si="2"/>
        <v>0</v>
      </c>
      <c r="V83" s="89">
        <f t="shared" si="2"/>
        <v>-0.70436008063653444</v>
      </c>
      <c r="W83" s="89">
        <f t="shared" si="2"/>
        <v>0</v>
      </c>
      <c r="X83" s="89">
        <f t="shared" si="2"/>
        <v>-62.0927378402099</v>
      </c>
      <c r="Y83" s="89">
        <f t="shared" si="2"/>
        <v>0</v>
      </c>
      <c r="AQ83" s="3"/>
    </row>
    <row r="84" spans="5:43" x14ac:dyDescent="0.3">
      <c r="E84" s="32"/>
      <c r="F84" t="s">
        <v>193</v>
      </c>
      <c r="G84" t="s">
        <v>172</v>
      </c>
      <c r="J84" s="89">
        <f t="shared" ref="J84:Y84" si="3">J$56 * J36 * J72 / hours_in_year / $H47</f>
        <v>322.88686519558757</v>
      </c>
      <c r="K84" s="89">
        <f t="shared" si="3"/>
        <v>2.7525599994090256E-2</v>
      </c>
      <c r="L84" s="89">
        <f t="shared" si="3"/>
        <v>116.59193214516316</v>
      </c>
      <c r="M84" s="89">
        <f t="shared" si="3"/>
        <v>5.0565678487011954E-2</v>
      </c>
      <c r="N84" s="89">
        <f t="shared" si="3"/>
        <v>84.852938397118052</v>
      </c>
      <c r="O84" s="89">
        <f t="shared" si="3"/>
        <v>4.9587444875747844</v>
      </c>
      <c r="P84" s="89">
        <f t="shared" si="3"/>
        <v>174.71887157832572</v>
      </c>
      <c r="Q84" s="89">
        <f t="shared" si="3"/>
        <v>6.7956787320261558</v>
      </c>
      <c r="R84" s="89">
        <f t="shared" si="3"/>
        <v>-3.0470465636485148E-2</v>
      </c>
      <c r="S84" s="89">
        <f t="shared" si="3"/>
        <v>0</v>
      </c>
      <c r="T84" s="89">
        <f t="shared" si="3"/>
        <v>-1.039573513306604</v>
      </c>
      <c r="U84" s="89">
        <f t="shared" si="3"/>
        <v>0</v>
      </c>
      <c r="V84" s="89">
        <f t="shared" si="3"/>
        <v>-0.21568604630394961</v>
      </c>
      <c r="W84" s="89">
        <f t="shared" si="3"/>
        <v>0</v>
      </c>
      <c r="X84" s="89">
        <f t="shared" si="3"/>
        <v>-19.013765114058707</v>
      </c>
      <c r="Y84" s="89">
        <f t="shared" si="3"/>
        <v>0</v>
      </c>
      <c r="AQ84" s="3"/>
    </row>
    <row r="85" spans="5:43" x14ac:dyDescent="0.3">
      <c r="E85" s="32"/>
      <c r="F85" t="s">
        <v>194</v>
      </c>
      <c r="G85" t="s">
        <v>172</v>
      </c>
      <c r="J85" s="89">
        <f t="shared" ref="J85:Y85" si="4">J$56 * J37 * J73 / hours_in_year / $H48</f>
        <v>338.77878874314717</v>
      </c>
      <c r="K85" s="89">
        <f t="shared" si="4"/>
        <v>2.888036160832258E-2</v>
      </c>
      <c r="L85" s="89">
        <f t="shared" si="4"/>
        <v>122.33038196036644</v>
      </c>
      <c r="M85" s="89">
        <f t="shared" si="4"/>
        <v>5.3054432237212679E-2</v>
      </c>
      <c r="N85" s="89">
        <f t="shared" si="4"/>
        <v>89.029250768870767</v>
      </c>
      <c r="O85" s="89">
        <f t="shared" si="4"/>
        <v>5.2028051688313166</v>
      </c>
      <c r="P85" s="89">
        <f t="shared" si="4"/>
        <v>183.31822710725601</v>
      </c>
      <c r="Q85" s="89">
        <f t="shared" si="4"/>
        <v>7.181473467335886</v>
      </c>
      <c r="R85" s="89">
        <f t="shared" si="4"/>
        <v>-3.1970168357623216E-2</v>
      </c>
      <c r="S85" s="89">
        <f t="shared" si="4"/>
        <v>0</v>
      </c>
      <c r="T85" s="89">
        <f t="shared" si="4"/>
        <v>-1.090739493023769</v>
      </c>
      <c r="U85" s="89">
        <f t="shared" si="4"/>
        <v>0</v>
      </c>
      <c r="V85" s="89">
        <f t="shared" si="4"/>
        <v>-0.22630173411169449</v>
      </c>
      <c r="W85" s="89">
        <f t="shared" si="4"/>
        <v>0</v>
      </c>
      <c r="X85" s="89">
        <f t="shared" si="4"/>
        <v>-19.94958918779686</v>
      </c>
      <c r="Y85" s="89">
        <f t="shared" si="4"/>
        <v>0</v>
      </c>
      <c r="AQ85" s="3"/>
    </row>
    <row r="86" spans="5:43" x14ac:dyDescent="0.3">
      <c r="E86" s="32"/>
      <c r="F86" t="s">
        <v>195</v>
      </c>
      <c r="G86" t="s">
        <v>172</v>
      </c>
      <c r="J86" s="89">
        <f t="shared" ref="J86:Y86" si="5">J$56 * J38 * J74 / hours_in_year / $H49</f>
        <v>336.81105134483266</v>
      </c>
      <c r="K86" s="89">
        <f t="shared" si="5"/>
        <v>2.8712615074295539E-2</v>
      </c>
      <c r="L86" s="89">
        <f t="shared" si="5"/>
        <v>121.61984731200032</v>
      </c>
      <c r="M86" s="89">
        <f t="shared" si="5"/>
        <v>5.2746274837964589E-2</v>
      </c>
      <c r="N86" s="89">
        <f t="shared" si="5"/>
        <v>88.512139922197747</v>
      </c>
      <c r="O86" s="89">
        <f t="shared" si="5"/>
        <v>5.1725855841140005</v>
      </c>
      <c r="P86" s="89">
        <f t="shared" si="5"/>
        <v>182.2534552169912</v>
      </c>
      <c r="Q86" s="89">
        <f t="shared" si="5"/>
        <v>7.1397611335469069</v>
      </c>
      <c r="R86" s="89">
        <f t="shared" si="5"/>
        <v>-3.1784475220986486E-2</v>
      </c>
      <c r="S86" s="89">
        <f t="shared" si="5"/>
        <v>0</v>
      </c>
      <c r="T86" s="89">
        <f t="shared" si="5"/>
        <v>-1.0844041232675807</v>
      </c>
      <c r="U86" s="89">
        <f t="shared" si="5"/>
        <v>0</v>
      </c>
      <c r="V86" s="89">
        <f t="shared" si="5"/>
        <v>-0.22498730003166528</v>
      </c>
      <c r="W86" s="89">
        <f t="shared" si="5"/>
        <v>0</v>
      </c>
      <c r="X86" s="89">
        <f t="shared" si="5"/>
        <v>-19.833715484866772</v>
      </c>
      <c r="Y86" s="89">
        <f t="shared" si="5"/>
        <v>0</v>
      </c>
      <c r="AQ86" s="3"/>
    </row>
    <row r="87" spans="5:43" x14ac:dyDescent="0.3">
      <c r="E87" s="32"/>
      <c r="F87" t="s">
        <v>196</v>
      </c>
      <c r="G87" t="s">
        <v>172</v>
      </c>
      <c r="J87" s="89">
        <f t="shared" ref="J87:Y87" si="6">J$56 * J39 * J75 / hours_in_year / $H50</f>
        <v>710.47653375588311</v>
      </c>
      <c r="K87" s="89">
        <f t="shared" si="6"/>
        <v>6.0567012725977719E-2</v>
      </c>
      <c r="L87" s="89">
        <f t="shared" si="6"/>
        <v>256.54754263298736</v>
      </c>
      <c r="M87" s="89">
        <f t="shared" si="6"/>
        <v>0.11126413568017021</v>
      </c>
      <c r="N87" s="89">
        <f t="shared" si="6"/>
        <v>186.7094268912669</v>
      </c>
      <c r="O87" s="89">
        <f t="shared" si="6"/>
        <v>10.911164172562852</v>
      </c>
      <c r="P87" s="89">
        <f t="shared" si="6"/>
        <v>384.44938968178411</v>
      </c>
      <c r="Q87" s="89">
        <f t="shared" si="6"/>
        <v>14.953133095469431</v>
      </c>
      <c r="R87" s="89">
        <f t="shared" si="6"/>
        <v>-6.7046861117203344E-2</v>
      </c>
      <c r="S87" s="89">
        <f t="shared" si="6"/>
        <v>0</v>
      </c>
      <c r="T87" s="89">
        <f t="shared" si="6"/>
        <v>-2.2874655674553424</v>
      </c>
      <c r="U87" s="89">
        <f t="shared" si="6"/>
        <v>0</v>
      </c>
      <c r="V87" s="89">
        <f t="shared" si="6"/>
        <v>-0.47459308840177356</v>
      </c>
      <c r="W87" s="89">
        <f t="shared" si="6"/>
        <v>0</v>
      </c>
      <c r="X87" s="89">
        <f t="shared" si="6"/>
        <v>-41.837669437875817</v>
      </c>
      <c r="Y87" s="89">
        <f t="shared" si="6"/>
        <v>0</v>
      </c>
      <c r="AQ87" s="3"/>
    </row>
    <row r="88" spans="5:43" x14ac:dyDescent="0.3">
      <c r="E88" s="32"/>
      <c r="F88" t="s">
        <v>197</v>
      </c>
      <c r="G88" t="s">
        <v>172</v>
      </c>
      <c r="J88" s="89">
        <f t="shared" ref="J88:Y88" si="7">J$56 * J40 * J76 / hours_in_year / $H51</f>
        <v>1076.791252831058</v>
      </c>
      <c r="K88" s="89">
        <f t="shared" si="7"/>
        <v>9.179476930598926E-2</v>
      </c>
      <c r="L88" s="89">
        <f t="shared" si="7"/>
        <v>388.82093456646311</v>
      </c>
      <c r="M88" s="89">
        <f t="shared" si="7"/>
        <v>0.16863083066355145</v>
      </c>
      <c r="N88" s="89">
        <f>N$56 * N40 * N76 / hours_in_year / $H51</f>
        <v>282.97497263533143</v>
      </c>
      <c r="O88" s="89">
        <f t="shared" si="7"/>
        <v>16.536853197823184</v>
      </c>
      <c r="P88" s="89">
        <f t="shared" si="7"/>
        <v>582.66771708440842</v>
      </c>
      <c r="Q88" s="89">
        <f t="shared" si="7"/>
        <v>22.825950351716148</v>
      </c>
      <c r="R88" s="89">
        <f t="shared" si="7"/>
        <v>-0.1016155638513874</v>
      </c>
      <c r="S88" s="89">
        <f t="shared" si="7"/>
        <v>0</v>
      </c>
      <c r="T88" s="89">
        <f t="shared" si="7"/>
        <v>-3.4668603355089336</v>
      </c>
      <c r="U88" s="89">
        <f t="shared" si="7"/>
        <v>0</v>
      </c>
      <c r="V88" s="89">
        <f t="shared" si="7"/>
        <v>-0.7192886210379712</v>
      </c>
      <c r="W88" s="89">
        <f t="shared" si="7"/>
        <v>0</v>
      </c>
      <c r="X88" s="89">
        <f t="shared" si="7"/>
        <v>0</v>
      </c>
      <c r="Y88" s="89">
        <f t="shared" si="7"/>
        <v>0</v>
      </c>
      <c r="AQ88" s="3"/>
    </row>
    <row r="89" spans="5:43" x14ac:dyDescent="0.3">
      <c r="E89" s="32"/>
      <c r="F89" t="s">
        <v>198</v>
      </c>
      <c r="G89" t="s">
        <v>172</v>
      </c>
      <c r="J89" s="89">
        <f t="shared" ref="J89:Y89" si="8">J$56 * J41 * J77 / hours_in_year / $H52</f>
        <v>1060.6444299207517</v>
      </c>
      <c r="K89" s="89">
        <f t="shared" si="8"/>
        <v>9.041827791995756E-2</v>
      </c>
      <c r="L89" s="89">
        <f t="shared" si="8"/>
        <v>382.99044257671295</v>
      </c>
      <c r="M89" s="89">
        <f t="shared" si="8"/>
        <v>0.16610215841367626</v>
      </c>
      <c r="N89" s="89">
        <f t="shared" si="8"/>
        <v>278.73167407660105</v>
      </c>
      <c r="O89" s="89">
        <f t="shared" si="8"/>
        <v>16.28887789213886</v>
      </c>
      <c r="P89" s="89">
        <f t="shared" si="8"/>
        <v>0</v>
      </c>
      <c r="Q89" s="89">
        <f t="shared" si="8"/>
        <v>22.483668059656672</v>
      </c>
      <c r="R89" s="89">
        <f t="shared" si="8"/>
        <v>-0.10009180656776771</v>
      </c>
      <c r="S89" s="89">
        <f t="shared" si="8"/>
        <v>0</v>
      </c>
      <c r="T89" s="89">
        <f t="shared" si="8"/>
        <v>-3.4148736763073</v>
      </c>
      <c r="U89" s="89">
        <f t="shared" si="8"/>
        <v>0</v>
      </c>
      <c r="V89" s="89">
        <f t="shared" si="8"/>
        <v>0</v>
      </c>
      <c r="W89" s="89">
        <f t="shared" si="8"/>
        <v>0</v>
      </c>
      <c r="X89" s="89">
        <f t="shared" si="8"/>
        <v>0</v>
      </c>
      <c r="Y89" s="89">
        <f t="shared" si="8"/>
        <v>0</v>
      </c>
      <c r="AQ89" s="3"/>
    </row>
    <row r="90" spans="5:43" x14ac:dyDescent="0.3">
      <c r="E90" s="32"/>
      <c r="F90" s="37" t="s">
        <v>199</v>
      </c>
      <c r="G90" s="37" t="s">
        <v>172</v>
      </c>
      <c r="H90" s="37"/>
      <c r="I90" s="37"/>
      <c r="J90" s="82">
        <f t="shared" ref="J90:Y90" si="9">J$56 * J42 * J78 / hours_in_year / $H53</f>
        <v>1038.2638593811394</v>
      </c>
      <c r="K90" s="82">
        <f t="shared" si="9"/>
        <v>8.8510369303297892E-2</v>
      </c>
      <c r="L90" s="82">
        <f t="shared" si="9"/>
        <v>374.90899287096573</v>
      </c>
      <c r="M90" s="82">
        <f t="shared" si="9"/>
        <v>0.16259725048384638</v>
      </c>
      <c r="N90" s="82">
        <f t="shared" si="9"/>
        <v>272.85018003645257</v>
      </c>
      <c r="O90" s="82">
        <f t="shared" si="9"/>
        <v>0</v>
      </c>
      <c r="P90" s="82">
        <f t="shared" si="9"/>
        <v>0</v>
      </c>
      <c r="Q90" s="82">
        <f t="shared" si="9"/>
        <v>22.009242036379511</v>
      </c>
      <c r="R90" s="82">
        <f t="shared" si="9"/>
        <v>0</v>
      </c>
      <c r="S90" s="82">
        <f t="shared" si="9"/>
        <v>0</v>
      </c>
      <c r="T90" s="82">
        <f t="shared" si="9"/>
        <v>0</v>
      </c>
      <c r="U90" s="82">
        <f t="shared" si="9"/>
        <v>0</v>
      </c>
      <c r="V90" s="82">
        <f t="shared" si="9"/>
        <v>0</v>
      </c>
      <c r="W90" s="82">
        <f t="shared" si="9"/>
        <v>0</v>
      </c>
      <c r="X90" s="82">
        <f t="shared" si="9"/>
        <v>0</v>
      </c>
      <c r="Y90" s="82">
        <f t="shared" si="9"/>
        <v>0</v>
      </c>
      <c r="AQ90" s="3"/>
    </row>
    <row r="91" spans="5:43" x14ac:dyDescent="0.3">
      <c r="E91" s="32"/>
      <c r="J91" s="89"/>
      <c r="K91" s="89"/>
      <c r="L91" s="89"/>
      <c r="M91" s="89"/>
      <c r="N91" s="89"/>
      <c r="O91" s="89"/>
      <c r="P91" s="89"/>
      <c r="Q91" s="89"/>
      <c r="R91" s="89"/>
      <c r="S91" s="89"/>
      <c r="T91" s="89"/>
      <c r="U91" s="89"/>
      <c r="V91" s="89"/>
      <c r="W91" s="89"/>
      <c r="X91" s="89"/>
      <c r="Y91" s="89"/>
      <c r="AQ91" s="3"/>
    </row>
    <row r="92" spans="5:43" x14ac:dyDescent="0.3">
      <c r="E92" s="32" t="s">
        <v>510</v>
      </c>
      <c r="J92" s="89"/>
      <c r="K92" s="89"/>
      <c r="L92" s="89"/>
      <c r="M92" s="89"/>
      <c r="N92" s="89"/>
      <c r="O92" s="89"/>
      <c r="P92" s="89"/>
      <c r="Q92" s="89"/>
      <c r="R92" s="89"/>
      <c r="S92" s="89"/>
      <c r="T92" s="89"/>
      <c r="U92" s="89"/>
      <c r="V92" s="89"/>
      <c r="W92" s="89"/>
      <c r="X92" s="89"/>
      <c r="Y92" s="89"/>
      <c r="AQ92" s="3"/>
    </row>
    <row r="93" spans="5:43" x14ac:dyDescent="0.3">
      <c r="E93" s="32"/>
      <c r="F93" s="23" t="s">
        <v>191</v>
      </c>
      <c r="G93" s="23" t="s">
        <v>283</v>
      </c>
      <c r="H93" s="23"/>
      <c r="I93" s="23"/>
      <c r="J93" s="124">
        <f>'Pseudo-load coefficients'!J283</f>
        <v>1.4674440745559578</v>
      </c>
      <c r="K93" s="124">
        <f>'Pseudo-load coefficients'!K283</f>
        <v>1.4674440745559578</v>
      </c>
      <c r="L93" s="124">
        <f>'Pseudo-load coefficients'!L283</f>
        <v>1.6705406494989299</v>
      </c>
      <c r="M93" s="124">
        <f>'Pseudo-load coefficients'!M283</f>
        <v>1.6705406494989299</v>
      </c>
      <c r="N93" s="124">
        <f>'Pseudo-load coefficients'!N283</f>
        <v>1.3438973707578492</v>
      </c>
      <c r="O93" s="124">
        <f>'Pseudo-load coefficients'!O283</f>
        <v>1.004635334815031</v>
      </c>
      <c r="P93" s="124">
        <f>'Pseudo-load coefficients'!P283</f>
        <v>1.1466655592434511</v>
      </c>
      <c r="Q93" s="124">
        <f>'Pseudo-load coefficients'!Q283</f>
        <v>1.2565230255946662</v>
      </c>
      <c r="R93" s="124">
        <f>'Pseudo-load coefficients'!R283</f>
        <v>1.02408827919658</v>
      </c>
      <c r="S93" s="124">
        <f>'Pseudo-load coefficients'!S283</f>
        <v>1.02408827919658</v>
      </c>
      <c r="T93" s="124">
        <f>'Pseudo-load coefficients'!T283</f>
        <v>1.02408827919658</v>
      </c>
      <c r="U93" s="124">
        <f>'Pseudo-load coefficients'!U283</f>
        <v>1.02408827919658</v>
      </c>
      <c r="V93" s="124">
        <f>'Pseudo-load coefficients'!V283</f>
        <v>1.02408827919658</v>
      </c>
      <c r="W93" s="124">
        <f>'Pseudo-load coefficients'!W283</f>
        <v>1.02408827919658</v>
      </c>
      <c r="X93" s="124">
        <f>'Pseudo-load coefficients'!X283</f>
        <v>1.02408827919658</v>
      </c>
      <c r="Y93" s="124">
        <f>'Pseudo-load coefficients'!Y283</f>
        <v>1.02408827919658</v>
      </c>
      <c r="AQ93" s="3"/>
    </row>
    <row r="94" spans="5:43" x14ac:dyDescent="0.3">
      <c r="E94" s="32"/>
      <c r="F94" t="s">
        <v>192</v>
      </c>
      <c r="G94" t="s">
        <v>283</v>
      </c>
      <c r="J94" s="120">
        <f>'Pseudo-load coefficients'!J284</f>
        <v>1.8189083746122479</v>
      </c>
      <c r="K94" s="120">
        <f>'Pseudo-load coefficients'!K284</f>
        <v>1.8189083746122479</v>
      </c>
      <c r="L94" s="120">
        <f>'Pseudo-load coefficients'!L284</f>
        <v>2.0706481631494147</v>
      </c>
      <c r="M94" s="120">
        <f>'Pseudo-load coefficients'!M284</f>
        <v>2.0706481631494147</v>
      </c>
      <c r="N94" s="120">
        <f>'Pseudo-load coefficients'!N284</f>
        <v>1.665771271747106</v>
      </c>
      <c r="O94" s="120">
        <f>'Pseudo-load coefficients'!O284</f>
        <v>1.2452533323829627</v>
      </c>
      <c r="P94" s="120">
        <f>'Pseudo-load coefficients'!P284</f>
        <v>1.4213009032173627</v>
      </c>
      <c r="Q94" s="120">
        <f>'Pseudo-load coefficients'!Q284</f>
        <v>1.0789236245869944</v>
      </c>
      <c r="R94" s="120">
        <f>'Pseudo-load coefficients'!R284</f>
        <v>1.2693654086521537</v>
      </c>
      <c r="S94" s="120">
        <f>'Pseudo-load coefficients'!S284</f>
        <v>1.2693654086521537</v>
      </c>
      <c r="T94" s="120">
        <f>'Pseudo-load coefficients'!T284</f>
        <v>1.2693654086521537</v>
      </c>
      <c r="U94" s="120">
        <f>'Pseudo-load coefficients'!U284</f>
        <v>1.2693654086521537</v>
      </c>
      <c r="V94" s="120">
        <f>'Pseudo-load coefficients'!V284</f>
        <v>1.2693654086521537</v>
      </c>
      <c r="W94" s="120">
        <f>'Pseudo-load coefficients'!W284</f>
        <v>1.2693654086521537</v>
      </c>
      <c r="X94" s="120">
        <f>'Pseudo-load coefficients'!X284</f>
        <v>1.2693654086521537</v>
      </c>
      <c r="Y94" s="120">
        <f>'Pseudo-load coefficients'!Y284</f>
        <v>1.2693654086521537</v>
      </c>
      <c r="AQ94" s="3"/>
    </row>
    <row r="95" spans="5:43" x14ac:dyDescent="0.3">
      <c r="E95" s="32"/>
      <c r="F95" t="s">
        <v>193</v>
      </c>
      <c r="G95" t="s">
        <v>283</v>
      </c>
      <c r="J95" s="120">
        <f>'Pseudo-load coefficients'!J285</f>
        <v>1.8189083746122479</v>
      </c>
      <c r="K95" s="120">
        <f>'Pseudo-load coefficients'!K285</f>
        <v>1.8189083746122479</v>
      </c>
      <c r="L95" s="120">
        <f>'Pseudo-load coefficients'!L285</f>
        <v>2.0706481631494147</v>
      </c>
      <c r="M95" s="120">
        <f>'Pseudo-load coefficients'!M285</f>
        <v>2.0706481631494147</v>
      </c>
      <c r="N95" s="120">
        <f>'Pseudo-load coefficients'!N285</f>
        <v>1.665771271747106</v>
      </c>
      <c r="O95" s="120">
        <f>'Pseudo-load coefficients'!O285</f>
        <v>1.2452533323829627</v>
      </c>
      <c r="P95" s="120">
        <f>'Pseudo-load coefficients'!P285</f>
        <v>1.4213009032173627</v>
      </c>
      <c r="Q95" s="120">
        <f>'Pseudo-load coefficients'!Q285</f>
        <v>1.0789236245869944</v>
      </c>
      <c r="R95" s="120">
        <f>'Pseudo-load coefficients'!R285</f>
        <v>1.2693654086521537</v>
      </c>
      <c r="S95" s="120">
        <f>'Pseudo-load coefficients'!S285</f>
        <v>1.2693654086521537</v>
      </c>
      <c r="T95" s="120">
        <f>'Pseudo-load coefficients'!T285</f>
        <v>1.2693654086521537</v>
      </c>
      <c r="U95" s="120">
        <f>'Pseudo-load coefficients'!U285</f>
        <v>1.2693654086521537</v>
      </c>
      <c r="V95" s="120">
        <f>'Pseudo-load coefficients'!V285</f>
        <v>1.2693654086521537</v>
      </c>
      <c r="W95" s="120">
        <f>'Pseudo-load coefficients'!W285</f>
        <v>1.2693654086521537</v>
      </c>
      <c r="X95" s="120">
        <f>'Pseudo-load coefficients'!X285</f>
        <v>1.2693654086521537</v>
      </c>
      <c r="Y95" s="120">
        <f>'Pseudo-load coefficients'!Y285</f>
        <v>1.2693654086521537</v>
      </c>
      <c r="AQ95" s="3"/>
    </row>
    <row r="96" spans="5:43" x14ac:dyDescent="0.3">
      <c r="E96" s="32"/>
      <c r="F96" t="s">
        <v>194</v>
      </c>
      <c r="G96" t="s">
        <v>283</v>
      </c>
      <c r="J96" s="120">
        <f>'Pseudo-load coefficients'!J286</f>
        <v>1.4123467660372284</v>
      </c>
      <c r="K96" s="120">
        <f>'Pseudo-load coefficients'!K286</f>
        <v>1.4123467660372284</v>
      </c>
      <c r="L96" s="120">
        <f>'Pseudo-load coefficients'!L286</f>
        <v>1.6078177865602703</v>
      </c>
      <c r="M96" s="120">
        <f>'Pseudo-load coefficients'!M286</f>
        <v>1.6078177865602703</v>
      </c>
      <c r="N96" s="120">
        <f>'Pseudo-load coefficients'!N286</f>
        <v>1.2934388017820193</v>
      </c>
      <c r="O96" s="120">
        <f>'Pseudo-load coefficients'!O286</f>
        <v>0.96691484927770621</v>
      </c>
      <c r="P96" s="120">
        <f>'Pseudo-load coefficients'!P286</f>
        <v>1.1036123436689118</v>
      </c>
      <c r="Q96" s="120">
        <f>'Pseudo-load coefficients'!Q286</f>
        <v>0.83726548118631694</v>
      </c>
      <c r="R96" s="120">
        <f>'Pseudo-load coefficients'!R286</f>
        <v>0.98563740474919592</v>
      </c>
      <c r="S96" s="120">
        <f>'Pseudo-load coefficients'!S286</f>
        <v>0.98563740474919592</v>
      </c>
      <c r="T96" s="120">
        <f>'Pseudo-load coefficients'!T286</f>
        <v>0.98563740474919592</v>
      </c>
      <c r="U96" s="120">
        <f>'Pseudo-load coefficients'!U286</f>
        <v>0.98563740474919592</v>
      </c>
      <c r="V96" s="120">
        <f>'Pseudo-load coefficients'!V286</f>
        <v>0.98563740474919592</v>
      </c>
      <c r="W96" s="120">
        <f>'Pseudo-load coefficients'!W286</f>
        <v>0.98563740474919592</v>
      </c>
      <c r="X96" s="120">
        <f>'Pseudo-load coefficients'!X286</f>
        <v>0.98563740474919592</v>
      </c>
      <c r="Y96" s="120">
        <f>'Pseudo-load coefficients'!Y286</f>
        <v>0.98563740474919592</v>
      </c>
      <c r="AQ96" s="3"/>
    </row>
    <row r="97" spans="5:43" x14ac:dyDescent="0.3">
      <c r="E97" s="32"/>
      <c r="F97" t="s">
        <v>195</v>
      </c>
      <c r="G97" t="s">
        <v>283</v>
      </c>
      <c r="J97" s="120">
        <f>'Pseudo-load coefficients'!J287</f>
        <v>1.4123467660372284</v>
      </c>
      <c r="K97" s="120">
        <f>'Pseudo-load coefficients'!K287</f>
        <v>1.4123467660372284</v>
      </c>
      <c r="L97" s="120">
        <f>'Pseudo-load coefficients'!L287</f>
        <v>1.6078177865602703</v>
      </c>
      <c r="M97" s="120">
        <f>'Pseudo-load coefficients'!M287</f>
        <v>1.6078177865602703</v>
      </c>
      <c r="N97" s="120">
        <f>'Pseudo-load coefficients'!N287</f>
        <v>1.2934388017820193</v>
      </c>
      <c r="O97" s="120">
        <f>'Pseudo-load coefficients'!O287</f>
        <v>0.96691484927770621</v>
      </c>
      <c r="P97" s="120">
        <f>'Pseudo-load coefficients'!P287</f>
        <v>1.1036123436689118</v>
      </c>
      <c r="Q97" s="120">
        <f>'Pseudo-load coefficients'!Q287</f>
        <v>0.83726548118631694</v>
      </c>
      <c r="R97" s="120">
        <f>'Pseudo-load coefficients'!R287</f>
        <v>0.98563740474919592</v>
      </c>
      <c r="S97" s="120">
        <f>'Pseudo-load coefficients'!S287</f>
        <v>0.98563740474919592</v>
      </c>
      <c r="T97" s="120">
        <f>'Pseudo-load coefficients'!T287</f>
        <v>0.98563740474919592</v>
      </c>
      <c r="U97" s="120">
        <f>'Pseudo-load coefficients'!U287</f>
        <v>0.98563740474919592</v>
      </c>
      <c r="V97" s="120">
        <f>'Pseudo-load coefficients'!V287</f>
        <v>0.98563740474919592</v>
      </c>
      <c r="W97" s="120">
        <f>'Pseudo-load coefficients'!W287</f>
        <v>0.98563740474919592</v>
      </c>
      <c r="X97" s="120">
        <f>'Pseudo-load coefficients'!X287</f>
        <v>0.98563740474919592</v>
      </c>
      <c r="Y97" s="120">
        <f>'Pseudo-load coefficients'!Y287</f>
        <v>0.98563740474919592</v>
      </c>
      <c r="AQ97" s="3"/>
    </row>
    <row r="98" spans="5:43" x14ac:dyDescent="0.3">
      <c r="E98" s="32"/>
      <c r="F98" t="s">
        <v>196</v>
      </c>
      <c r="G98" t="s">
        <v>283</v>
      </c>
      <c r="J98" s="120">
        <f>'Pseudo-load coefficients'!J288</f>
        <v>1.8189083746122479</v>
      </c>
      <c r="K98" s="120">
        <f>'Pseudo-load coefficients'!K288</f>
        <v>1.8189083746122479</v>
      </c>
      <c r="L98" s="120">
        <f>'Pseudo-load coefficients'!L288</f>
        <v>2.0706481631494147</v>
      </c>
      <c r="M98" s="120">
        <f>'Pseudo-load coefficients'!M288</f>
        <v>2.0706481631494147</v>
      </c>
      <c r="N98" s="120">
        <f>'Pseudo-load coefficients'!N288</f>
        <v>1.665771271747106</v>
      </c>
      <c r="O98" s="120">
        <f>'Pseudo-load coefficients'!O288</f>
        <v>1.2452533323829627</v>
      </c>
      <c r="P98" s="120">
        <f>'Pseudo-load coefficients'!P288</f>
        <v>1.4213009032173627</v>
      </c>
      <c r="Q98" s="120">
        <f>'Pseudo-load coefficients'!Q288</f>
        <v>1.0789236245869944</v>
      </c>
      <c r="R98" s="120">
        <f>'Pseudo-load coefficients'!R288</f>
        <v>1.2693654086521537</v>
      </c>
      <c r="S98" s="120">
        <f>'Pseudo-load coefficients'!S288</f>
        <v>1.2693654086521537</v>
      </c>
      <c r="T98" s="120">
        <f>'Pseudo-load coefficients'!T288</f>
        <v>1.2693654086521537</v>
      </c>
      <c r="U98" s="120">
        <f>'Pseudo-load coefficients'!U288</f>
        <v>1.2693654086521537</v>
      </c>
      <c r="V98" s="120">
        <f>'Pseudo-load coefficients'!V288</f>
        <v>1.2693654086521537</v>
      </c>
      <c r="W98" s="120">
        <f>'Pseudo-load coefficients'!W288</f>
        <v>1.2693654086521537</v>
      </c>
      <c r="X98" s="120">
        <f>'Pseudo-load coefficients'!X288</f>
        <v>1.2693654086521537</v>
      </c>
      <c r="Y98" s="120">
        <f>'Pseudo-load coefficients'!Y288</f>
        <v>1.2693654086521537</v>
      </c>
      <c r="AQ98" s="3"/>
    </row>
    <row r="99" spans="5:43" x14ac:dyDescent="0.3">
      <c r="E99" s="32"/>
      <c r="F99" t="s">
        <v>197</v>
      </c>
      <c r="G99" t="s">
        <v>283</v>
      </c>
      <c r="J99" s="120">
        <f>'Pseudo-load coefficients'!J289</f>
        <v>1.4123467660372284</v>
      </c>
      <c r="K99" s="120">
        <f>'Pseudo-load coefficients'!K289</f>
        <v>1.4123467660372284</v>
      </c>
      <c r="L99" s="120">
        <f>'Pseudo-load coefficients'!L289</f>
        <v>1.6078177865602703</v>
      </c>
      <c r="M99" s="120">
        <f>'Pseudo-load coefficients'!M289</f>
        <v>1.6078177865602703</v>
      </c>
      <c r="N99" s="120">
        <f>'Pseudo-load coefficients'!N289</f>
        <v>1.2934388017820193</v>
      </c>
      <c r="O99" s="120">
        <f>'Pseudo-load coefficients'!O289</f>
        <v>0.96691484927770621</v>
      </c>
      <c r="P99" s="120">
        <f>'Pseudo-load coefficients'!P289</f>
        <v>1.1036123436689118</v>
      </c>
      <c r="Q99" s="120">
        <f>'Pseudo-load coefficients'!Q289</f>
        <v>0.83726548118631694</v>
      </c>
      <c r="R99" s="120">
        <f>'Pseudo-load coefficients'!R289</f>
        <v>0.98563740474919592</v>
      </c>
      <c r="S99" s="120">
        <f>'Pseudo-load coefficients'!S289</f>
        <v>0.98563740474919592</v>
      </c>
      <c r="T99" s="120">
        <f>'Pseudo-load coefficients'!T289</f>
        <v>0.98563740474919592</v>
      </c>
      <c r="U99" s="120">
        <f>'Pseudo-load coefficients'!U289</f>
        <v>0.98563740474919592</v>
      </c>
      <c r="V99" s="120">
        <f>'Pseudo-load coefficients'!V289</f>
        <v>0.98563740474919592</v>
      </c>
      <c r="W99" s="120">
        <f>'Pseudo-load coefficients'!W289</f>
        <v>0.98563740474919592</v>
      </c>
      <c r="X99" s="120">
        <f>'Pseudo-load coefficients'!X289</f>
        <v>0.98563740474919592</v>
      </c>
      <c r="Y99" s="120">
        <f>'Pseudo-load coefficients'!Y289</f>
        <v>0.98563740474919592</v>
      </c>
      <c r="AQ99" s="3"/>
    </row>
    <row r="100" spans="5:43" x14ac:dyDescent="0.3">
      <c r="E100" s="32"/>
      <c r="F100" t="s">
        <v>198</v>
      </c>
      <c r="G100" t="s">
        <v>283</v>
      </c>
      <c r="J100" s="120">
        <f>'Pseudo-load coefficients'!J290</f>
        <v>1.4123467660372284</v>
      </c>
      <c r="K100" s="120">
        <f>'Pseudo-load coefficients'!K290</f>
        <v>1.4123467660372284</v>
      </c>
      <c r="L100" s="120">
        <f>'Pseudo-load coefficients'!L290</f>
        <v>1.6078177865602703</v>
      </c>
      <c r="M100" s="120">
        <f>'Pseudo-load coefficients'!M290</f>
        <v>1.6078177865602703</v>
      </c>
      <c r="N100" s="120">
        <f>'Pseudo-load coefficients'!N290</f>
        <v>1.2934388017820193</v>
      </c>
      <c r="O100" s="120">
        <f>'Pseudo-load coefficients'!O290</f>
        <v>0.96691484927770621</v>
      </c>
      <c r="P100" s="120">
        <f>'Pseudo-load coefficients'!P290</f>
        <v>1.1036123436689118</v>
      </c>
      <c r="Q100" s="120">
        <f>'Pseudo-load coefficients'!Q290</f>
        <v>0.83726548118631694</v>
      </c>
      <c r="R100" s="120">
        <f>'Pseudo-load coefficients'!R290</f>
        <v>0.98563740474919592</v>
      </c>
      <c r="S100" s="120">
        <f>'Pseudo-load coefficients'!S290</f>
        <v>0.98563740474919592</v>
      </c>
      <c r="T100" s="120">
        <f>'Pseudo-load coefficients'!T290</f>
        <v>0.98563740474919592</v>
      </c>
      <c r="U100" s="120">
        <f>'Pseudo-load coefficients'!U290</f>
        <v>0.98563740474919592</v>
      </c>
      <c r="V100" s="120">
        <f>'Pseudo-load coefficients'!V290</f>
        <v>0.98563740474919592</v>
      </c>
      <c r="W100" s="120">
        <f>'Pseudo-load coefficients'!W290</f>
        <v>0.98563740474919592</v>
      </c>
      <c r="X100" s="120">
        <f>'Pseudo-load coefficients'!X290</f>
        <v>0.98563740474919592</v>
      </c>
      <c r="Y100" s="120">
        <f>'Pseudo-load coefficients'!Y290</f>
        <v>0.98563740474919592</v>
      </c>
      <c r="AQ100" s="3"/>
    </row>
    <row r="101" spans="5:43" x14ac:dyDescent="0.3">
      <c r="E101" s="32"/>
      <c r="F101" s="37" t="s">
        <v>199</v>
      </c>
      <c r="G101" s="37" t="s">
        <v>283</v>
      </c>
      <c r="H101" s="37"/>
      <c r="I101" s="37"/>
      <c r="J101" s="125">
        <f>'Pseudo-load coefficients'!J291</f>
        <v>1.4123467660372284</v>
      </c>
      <c r="K101" s="125">
        <f>'Pseudo-load coefficients'!K291</f>
        <v>1.4123467660372284</v>
      </c>
      <c r="L101" s="125">
        <f>'Pseudo-load coefficients'!L291</f>
        <v>1.6078177865602703</v>
      </c>
      <c r="M101" s="125">
        <f>'Pseudo-load coefficients'!M291</f>
        <v>1.6078177865602703</v>
      </c>
      <c r="N101" s="125">
        <f>'Pseudo-load coefficients'!N291</f>
        <v>1.2934388017820193</v>
      </c>
      <c r="O101" s="125">
        <f>'Pseudo-load coefficients'!O291</f>
        <v>0.96691484927770621</v>
      </c>
      <c r="P101" s="125">
        <f>'Pseudo-load coefficients'!P291</f>
        <v>1.1036123436689118</v>
      </c>
      <c r="Q101" s="125">
        <f>'Pseudo-load coefficients'!Q291</f>
        <v>0.83726548118631694</v>
      </c>
      <c r="R101" s="125">
        <f>'Pseudo-load coefficients'!R291</f>
        <v>0.98563740474919592</v>
      </c>
      <c r="S101" s="125">
        <f>'Pseudo-load coefficients'!S291</f>
        <v>0.98563740474919592</v>
      </c>
      <c r="T101" s="125">
        <f>'Pseudo-load coefficients'!T291</f>
        <v>0.98563740474919592</v>
      </c>
      <c r="U101" s="125">
        <f>'Pseudo-load coefficients'!U291</f>
        <v>0.98563740474919592</v>
      </c>
      <c r="V101" s="125">
        <f>'Pseudo-load coefficients'!V291</f>
        <v>0.98563740474919592</v>
      </c>
      <c r="W101" s="125">
        <f>'Pseudo-load coefficients'!W291</f>
        <v>0.98563740474919592</v>
      </c>
      <c r="X101" s="125">
        <f>'Pseudo-load coefficients'!X291</f>
        <v>0.98563740474919592</v>
      </c>
      <c r="Y101" s="125">
        <f>'Pseudo-load coefficients'!Y291</f>
        <v>0.98563740474919592</v>
      </c>
      <c r="AQ101" s="3"/>
    </row>
    <row r="102" spans="5:43" x14ac:dyDescent="0.3">
      <c r="E102" s="32"/>
      <c r="J102" s="89"/>
      <c r="K102" s="89"/>
      <c r="L102" s="89"/>
      <c r="M102" s="89"/>
      <c r="N102" s="89"/>
      <c r="O102" s="89"/>
      <c r="P102" s="89"/>
      <c r="Q102" s="89"/>
      <c r="R102" s="89"/>
      <c r="S102" s="89"/>
      <c r="T102" s="89"/>
      <c r="U102" s="89"/>
      <c r="V102" s="89"/>
      <c r="W102" s="89"/>
      <c r="X102" s="89"/>
      <c r="Y102" s="89"/>
      <c r="AQ102" s="3"/>
    </row>
    <row r="103" spans="5:43" x14ac:dyDescent="0.3">
      <c r="E103" s="32" t="s">
        <v>511</v>
      </c>
      <c r="J103" s="89"/>
      <c r="K103" s="89"/>
      <c r="L103" s="89"/>
      <c r="M103" s="89"/>
      <c r="N103" s="89"/>
      <c r="O103" s="89"/>
      <c r="P103" s="89"/>
      <c r="Q103" s="89"/>
      <c r="R103" s="89"/>
      <c r="S103" s="89"/>
      <c r="T103" s="89"/>
      <c r="U103" s="89"/>
      <c r="V103" s="89"/>
      <c r="W103" s="89"/>
      <c r="X103" s="89"/>
      <c r="Y103" s="89"/>
      <c r="AQ103" s="3"/>
    </row>
    <row r="104" spans="5:43" x14ac:dyDescent="0.3">
      <c r="E104" s="29" t="s">
        <v>512</v>
      </c>
      <c r="J104" s="89"/>
      <c r="K104" s="89"/>
      <c r="L104" s="89"/>
      <c r="M104" s="89"/>
      <c r="N104" s="89"/>
      <c r="O104" s="89"/>
      <c r="P104" s="89"/>
      <c r="Q104" s="89"/>
      <c r="R104" s="89"/>
      <c r="S104" s="89"/>
      <c r="T104" s="89"/>
      <c r="U104" s="89"/>
      <c r="V104" s="89"/>
      <c r="W104" s="89"/>
      <c r="X104" s="89"/>
      <c r="Y104" s="89"/>
      <c r="AQ104" s="3"/>
    </row>
    <row r="105" spans="5:43" x14ac:dyDescent="0.3">
      <c r="E105" s="32"/>
      <c r="F105" s="23" t="s">
        <v>191</v>
      </c>
      <c r="G105" s="23" t="s">
        <v>172</v>
      </c>
      <c r="H105" s="23"/>
      <c r="I105" s="23"/>
      <c r="J105" s="158">
        <f t="shared" ref="J105:Y105" si="10">J$57 * J34 * J93 / hours_in_year / $H45</f>
        <v>503.27668720115378</v>
      </c>
      <c r="K105" s="158">
        <f t="shared" si="10"/>
        <v>0.61946565313769897</v>
      </c>
      <c r="L105" s="158">
        <f t="shared" si="10"/>
        <v>251.16091674097333</v>
      </c>
      <c r="M105" s="158">
        <f t="shared" si="10"/>
        <v>0.19950013782834222</v>
      </c>
      <c r="N105" s="158">
        <f t="shared" si="10"/>
        <v>170.3076127606966</v>
      </c>
      <c r="O105" s="158">
        <f t="shared" si="10"/>
        <v>7.0293385098216739</v>
      </c>
      <c r="P105" s="158">
        <f t="shared" si="10"/>
        <v>354.91597846043203</v>
      </c>
      <c r="Q105" s="158">
        <f t="shared" si="10"/>
        <v>7.6862755637356672</v>
      </c>
      <c r="R105" s="158">
        <f t="shared" si="10"/>
        <v>-8.6026505035733405E-2</v>
      </c>
      <c r="S105" s="158">
        <f t="shared" si="10"/>
        <v>0</v>
      </c>
      <c r="T105" s="158">
        <f t="shared" si="10"/>
        <v>-2.7314993720417942</v>
      </c>
      <c r="U105" s="158">
        <f t="shared" si="10"/>
        <v>0</v>
      </c>
      <c r="V105" s="158">
        <f t="shared" si="10"/>
        <v>-0.44960805409428695</v>
      </c>
      <c r="W105" s="158">
        <f t="shared" si="10"/>
        <v>0</v>
      </c>
      <c r="X105" s="158">
        <f t="shared" si="10"/>
        <v>-34.595343536895633</v>
      </c>
      <c r="Y105" s="158">
        <f t="shared" si="10"/>
        <v>0</v>
      </c>
      <c r="AQ105" s="3"/>
    </row>
    <row r="106" spans="5:43" x14ac:dyDescent="0.3">
      <c r="E106" s="32"/>
      <c r="F106" t="s">
        <v>192</v>
      </c>
      <c r="G106" t="s">
        <v>172</v>
      </c>
      <c r="J106" s="89">
        <f t="shared" ref="J106:Y106" si="11">J$57 * J35 * J94 / hours_in_year / $H46</f>
        <v>620.7118196067986</v>
      </c>
      <c r="K106" s="89">
        <f t="shared" si="11"/>
        <v>0.76401244588015471</v>
      </c>
      <c r="L106" s="89">
        <f t="shared" si="11"/>
        <v>309.76707963842239</v>
      </c>
      <c r="M106" s="89">
        <f t="shared" si="11"/>
        <v>0.24605171809546417</v>
      </c>
      <c r="N106" s="89">
        <f t="shared" si="11"/>
        <v>210.04737731340654</v>
      </c>
      <c r="O106" s="89">
        <f t="shared" si="11"/>
        <v>8.6695720426240115</v>
      </c>
      <c r="P106" s="89">
        <f t="shared" si="11"/>
        <v>437.73246089114099</v>
      </c>
      <c r="Q106" s="89">
        <f t="shared" si="11"/>
        <v>6.5670472346437432</v>
      </c>
      <c r="R106" s="89">
        <f t="shared" si="11"/>
        <v>-0.10610002377042567</v>
      </c>
      <c r="S106" s="89">
        <f t="shared" si="11"/>
        <v>0</v>
      </c>
      <c r="T106" s="89">
        <f t="shared" si="11"/>
        <v>-3.3688704217631056</v>
      </c>
      <c r="U106" s="89">
        <f t="shared" si="11"/>
        <v>0</v>
      </c>
      <c r="V106" s="89">
        <f t="shared" si="11"/>
        <v>-0.55452008897680749</v>
      </c>
      <c r="W106" s="89">
        <f t="shared" si="11"/>
        <v>0</v>
      </c>
      <c r="X106" s="89">
        <f t="shared" si="11"/>
        <v>-42.667858819627746</v>
      </c>
      <c r="Y106" s="89">
        <f t="shared" si="11"/>
        <v>0</v>
      </c>
      <c r="AQ106" s="3"/>
    </row>
    <row r="107" spans="5:43" x14ac:dyDescent="0.3">
      <c r="E107" s="32"/>
      <c r="F107" t="s">
        <v>193</v>
      </c>
      <c r="G107" t="s">
        <v>172</v>
      </c>
      <c r="J107" s="89">
        <f t="shared" ref="J107:Y107" si="12">J$57 * J36 * J95 / hours_in_year / $H47</f>
        <v>190.07164367426046</v>
      </c>
      <c r="K107" s="89">
        <f t="shared" si="12"/>
        <v>0.23395253125359117</v>
      </c>
      <c r="L107" s="89">
        <f t="shared" si="12"/>
        <v>94.855512853529675</v>
      </c>
      <c r="M107" s="89">
        <f t="shared" si="12"/>
        <v>7.5344875045083526E-2</v>
      </c>
      <c r="N107" s="89">
        <f t="shared" si="12"/>
        <v>64.319784148330513</v>
      </c>
      <c r="O107" s="89">
        <f t="shared" si="12"/>
        <v>2.6547582244169545</v>
      </c>
      <c r="P107" s="89">
        <f t="shared" si="12"/>
        <v>134.04050914297562</v>
      </c>
      <c r="Q107" s="89">
        <f t="shared" si="12"/>
        <v>2.0109323240629515</v>
      </c>
      <c r="R107" s="89">
        <f t="shared" si="12"/>
        <v>-3.2489482679253355E-2</v>
      </c>
      <c r="S107" s="89">
        <f t="shared" si="12"/>
        <v>0</v>
      </c>
      <c r="T107" s="89">
        <f t="shared" si="12"/>
        <v>-1.0316006851548911</v>
      </c>
      <c r="U107" s="89">
        <f t="shared" si="12"/>
        <v>0</v>
      </c>
      <c r="V107" s="89">
        <f t="shared" si="12"/>
        <v>-0.16980270301439668</v>
      </c>
      <c r="W107" s="89">
        <f t="shared" si="12"/>
        <v>0</v>
      </c>
      <c r="X107" s="89">
        <f t="shared" si="12"/>
        <v>-13.065564085835089</v>
      </c>
      <c r="Y107" s="89">
        <f t="shared" si="12"/>
        <v>0</v>
      </c>
      <c r="AQ107" s="3"/>
    </row>
    <row r="108" spans="5:43" x14ac:dyDescent="0.3">
      <c r="E108" s="32"/>
      <c r="F108" t="s">
        <v>194</v>
      </c>
      <c r="G108" t="s">
        <v>172</v>
      </c>
      <c r="J108" s="89">
        <f t="shared" ref="J108:Y108" si="13">J$57 * J37 * J96 / hours_in_year / $H48</f>
        <v>145.00018966332067</v>
      </c>
      <c r="K108" s="89">
        <f t="shared" si="13"/>
        <v>0.17847565659042364</v>
      </c>
      <c r="L108" s="89">
        <f t="shared" si="13"/>
        <v>72.362542294550238</v>
      </c>
      <c r="M108" s="89">
        <f t="shared" si="13"/>
        <v>5.7478437922172686E-2</v>
      </c>
      <c r="N108" s="89">
        <f t="shared" si="13"/>
        <v>49.067713207105548</v>
      </c>
      <c r="O108" s="89">
        <f t="shared" si="13"/>
        <v>2.0252386868943963</v>
      </c>
      <c r="P108" s="89">
        <f t="shared" si="13"/>
        <v>102.25564883107045</v>
      </c>
      <c r="Q108" s="89">
        <f t="shared" si="13"/>
        <v>1.5331712313530668</v>
      </c>
      <c r="R108" s="89">
        <f t="shared" si="13"/>
        <v>-2.4785291795700243E-2</v>
      </c>
      <c r="S108" s="89">
        <f t="shared" si="13"/>
        <v>0</v>
      </c>
      <c r="T108" s="89">
        <f t="shared" si="13"/>
        <v>-0.78697848933542536</v>
      </c>
      <c r="U108" s="89">
        <f t="shared" si="13"/>
        <v>0</v>
      </c>
      <c r="V108" s="89">
        <f t="shared" si="13"/>
        <v>-0.12953759785771909</v>
      </c>
      <c r="W108" s="89">
        <f t="shared" si="13"/>
        <v>0</v>
      </c>
      <c r="X108" s="89">
        <f t="shared" si="13"/>
        <v>-9.967343018041749</v>
      </c>
      <c r="Y108" s="89">
        <f t="shared" si="13"/>
        <v>0</v>
      </c>
      <c r="AQ108" s="3"/>
    </row>
    <row r="109" spans="5:43" x14ac:dyDescent="0.3">
      <c r="E109" s="32"/>
      <c r="F109" t="s">
        <v>195</v>
      </c>
      <c r="G109" t="s">
        <v>172</v>
      </c>
      <c r="J109" s="89">
        <f t="shared" ref="J109:Y109" si="14">J$57 * J38 * J97 / hours_in_year / $H49</f>
        <v>144.15798139809326</v>
      </c>
      <c r="K109" s="89">
        <f t="shared" si="14"/>
        <v>0.17743901192484518</v>
      </c>
      <c r="L109" s="89">
        <f t="shared" si="14"/>
        <v>71.942237111813256</v>
      </c>
      <c r="M109" s="89">
        <f t="shared" si="14"/>
        <v>5.7144584458926763E-2</v>
      </c>
      <c r="N109" s="89">
        <f t="shared" si="14"/>
        <v>48.78271196872933</v>
      </c>
      <c r="O109" s="89">
        <f t="shared" si="14"/>
        <v>2.0134754418591916</v>
      </c>
      <c r="P109" s="89">
        <f t="shared" si="14"/>
        <v>101.66171476235175</v>
      </c>
      <c r="Q109" s="89">
        <f t="shared" si="14"/>
        <v>1.5242660741525649</v>
      </c>
      <c r="R109" s="89">
        <f t="shared" si="14"/>
        <v>-2.4641330759132767E-2</v>
      </c>
      <c r="S109" s="89">
        <f t="shared" si="14"/>
        <v>0</v>
      </c>
      <c r="T109" s="89">
        <f t="shared" si="14"/>
        <v>-0.78240746229185076</v>
      </c>
      <c r="U109" s="89">
        <f t="shared" si="14"/>
        <v>0</v>
      </c>
      <c r="V109" s="89">
        <f t="shared" si="14"/>
        <v>-0.12878520135515731</v>
      </c>
      <c r="W109" s="89">
        <f t="shared" si="14"/>
        <v>0</v>
      </c>
      <c r="X109" s="89">
        <f t="shared" si="14"/>
        <v>-9.9094494477530262</v>
      </c>
      <c r="Y109" s="89">
        <f t="shared" si="14"/>
        <v>0</v>
      </c>
      <c r="AQ109" s="3"/>
    </row>
    <row r="110" spans="5:43" x14ac:dyDescent="0.3">
      <c r="E110" s="32"/>
      <c r="F110" t="s">
        <v>196</v>
      </c>
      <c r="G110" t="s">
        <v>172</v>
      </c>
      <c r="J110" s="89">
        <f t="shared" ref="J110:Y110" si="15">J$57 * J39 * J98 / hours_in_year / $H50</f>
        <v>418.23145231123306</v>
      </c>
      <c r="K110" s="89">
        <f t="shared" si="15"/>
        <v>0.51478645118555855</v>
      </c>
      <c r="L110" s="89">
        <f t="shared" si="15"/>
        <v>208.7189763479216</v>
      </c>
      <c r="M110" s="89">
        <f t="shared" si="15"/>
        <v>0.16578799396461982</v>
      </c>
      <c r="N110" s="89">
        <f t="shared" si="15"/>
        <v>141.52851112711332</v>
      </c>
      <c r="O110" s="89">
        <f t="shared" si="15"/>
        <v>5.841499375024612</v>
      </c>
      <c r="P110" s="89">
        <f t="shared" si="15"/>
        <v>294.94119019393452</v>
      </c>
      <c r="Q110" s="89">
        <f t="shared" si="15"/>
        <v>4.424832290258899</v>
      </c>
      <c r="R110" s="89">
        <f t="shared" si="15"/>
        <v>-7.1489482929246048E-2</v>
      </c>
      <c r="S110" s="89">
        <f t="shared" si="15"/>
        <v>0</v>
      </c>
      <c r="T110" s="89">
        <f t="shared" si="15"/>
        <v>-2.2699222483549231</v>
      </c>
      <c r="U110" s="89">
        <f t="shared" si="15"/>
        <v>0</v>
      </c>
      <c r="V110" s="89">
        <f t="shared" si="15"/>
        <v>-0.37363190908050858</v>
      </c>
      <c r="W110" s="89">
        <f t="shared" si="15"/>
        <v>0</v>
      </c>
      <c r="X110" s="89">
        <f t="shared" si="15"/>
        <v>-28.749316506406853</v>
      </c>
      <c r="Y110" s="89">
        <f t="shared" si="15"/>
        <v>0</v>
      </c>
      <c r="AQ110" s="3"/>
    </row>
    <row r="111" spans="5:43" x14ac:dyDescent="0.3">
      <c r="E111" s="32"/>
      <c r="F111" t="s">
        <v>197</v>
      </c>
      <c r="G111" t="s">
        <v>172</v>
      </c>
      <c r="J111" s="89">
        <f t="shared" ref="J111:Y111" si="16">J$57 * J40 * J99 / hours_in_year / $H51</f>
        <v>460.87577226295986</v>
      </c>
      <c r="K111" s="89">
        <f t="shared" si="16"/>
        <v>0.56727585151605919</v>
      </c>
      <c r="L111" s="89">
        <f t="shared" si="16"/>
        <v>230.00068234633636</v>
      </c>
      <c r="M111" s="89">
        <f t="shared" si="16"/>
        <v>0.18269230907462022</v>
      </c>
      <c r="N111" s="89">
        <f t="shared" si="16"/>
        <v>155.95924577761215</v>
      </c>
      <c r="O111" s="89">
        <f t="shared" si="16"/>
        <v>6.4371187789927902</v>
      </c>
      <c r="P111" s="89">
        <f t="shared" si="16"/>
        <v>325.01441020660224</v>
      </c>
      <c r="Q111" s="89">
        <f t="shared" si="16"/>
        <v>4.8731072483551392</v>
      </c>
      <c r="R111" s="89">
        <f t="shared" si="16"/>
        <v>-7.877879693557191E-2</v>
      </c>
      <c r="S111" s="89">
        <f t="shared" si="16"/>
        <v>0</v>
      </c>
      <c r="T111" s="89">
        <f t="shared" si="16"/>
        <v>-2.501371342126943</v>
      </c>
      <c r="U111" s="89">
        <f t="shared" si="16"/>
        <v>0</v>
      </c>
      <c r="V111" s="89">
        <f t="shared" si="16"/>
        <v>-0.41172870593056171</v>
      </c>
      <c r="W111" s="89">
        <f t="shared" si="16"/>
        <v>0</v>
      </c>
      <c r="X111" s="89">
        <f t="shared" si="16"/>
        <v>0</v>
      </c>
      <c r="Y111" s="89">
        <f t="shared" si="16"/>
        <v>0</v>
      </c>
      <c r="AQ111" s="3"/>
    </row>
    <row r="112" spans="5:43" x14ac:dyDescent="0.3">
      <c r="E112" s="32"/>
      <c r="F112" t="s">
        <v>198</v>
      </c>
      <c r="G112" t="s">
        <v>172</v>
      </c>
      <c r="J112" s="89">
        <f t="shared" ref="J112:Y112" si="17">J$57 * J41 * J100 / hours_in_year / $H52</f>
        <v>453.96479535929785</v>
      </c>
      <c r="K112" s="89">
        <f t="shared" si="17"/>
        <v>0.55876937201816135</v>
      </c>
      <c r="L112" s="89">
        <f t="shared" si="17"/>
        <v>226.55174990253002</v>
      </c>
      <c r="M112" s="89">
        <f t="shared" si="17"/>
        <v>0.17995278054116762</v>
      </c>
      <c r="N112" s="89">
        <f t="shared" si="17"/>
        <v>153.620587921528</v>
      </c>
      <c r="O112" s="89">
        <f t="shared" si="17"/>
        <v>6.3405921618757475</v>
      </c>
      <c r="P112" s="89">
        <f t="shared" si="17"/>
        <v>0</v>
      </c>
      <c r="Q112" s="89">
        <f t="shared" si="17"/>
        <v>4.8000334751839278</v>
      </c>
      <c r="R112" s="89">
        <f t="shared" si="17"/>
        <v>-7.7597484141786396E-2</v>
      </c>
      <c r="S112" s="89">
        <f t="shared" si="17"/>
        <v>0</v>
      </c>
      <c r="T112" s="89">
        <f t="shared" si="17"/>
        <v>-2.4638624935102316</v>
      </c>
      <c r="U112" s="89">
        <f t="shared" si="17"/>
        <v>0</v>
      </c>
      <c r="V112" s="89">
        <f t="shared" si="17"/>
        <v>0</v>
      </c>
      <c r="W112" s="89">
        <f t="shared" si="17"/>
        <v>0</v>
      </c>
      <c r="X112" s="89">
        <f t="shared" si="17"/>
        <v>0</v>
      </c>
      <c r="Y112" s="89">
        <f t="shared" si="17"/>
        <v>0</v>
      </c>
      <c r="AQ112" s="3"/>
    </row>
    <row r="113" spans="5:43" x14ac:dyDescent="0.3">
      <c r="E113" s="32"/>
      <c r="F113" s="37" t="s">
        <v>199</v>
      </c>
      <c r="G113" s="37" t="s">
        <v>172</v>
      </c>
      <c r="H113" s="37"/>
      <c r="I113" s="37"/>
      <c r="J113" s="82">
        <f t="shared" ref="J113:Y113" si="18">J$57 * J42 * J101 / hours_in_year / $H53</f>
        <v>444.38572169575298</v>
      </c>
      <c r="K113" s="82">
        <f t="shared" si="18"/>
        <v>0.54697882563612665</v>
      </c>
      <c r="L113" s="82">
        <f t="shared" si="18"/>
        <v>221.77130013394449</v>
      </c>
      <c r="M113" s="82">
        <f t="shared" si="18"/>
        <v>0.1761556117774549</v>
      </c>
      <c r="N113" s="82">
        <f t="shared" si="18"/>
        <v>150.37905258006455</v>
      </c>
      <c r="O113" s="82">
        <f t="shared" si="18"/>
        <v>0</v>
      </c>
      <c r="P113" s="82">
        <f t="shared" si="18"/>
        <v>0</v>
      </c>
      <c r="Q113" s="82">
        <f t="shared" si="18"/>
        <v>4.6987483651571109</v>
      </c>
      <c r="R113" s="82">
        <f t="shared" si="18"/>
        <v>0</v>
      </c>
      <c r="S113" s="82">
        <f t="shared" si="18"/>
        <v>0</v>
      </c>
      <c r="T113" s="82">
        <f t="shared" si="18"/>
        <v>0</v>
      </c>
      <c r="U113" s="82">
        <f t="shared" si="18"/>
        <v>0</v>
      </c>
      <c r="V113" s="82">
        <f t="shared" si="18"/>
        <v>0</v>
      </c>
      <c r="W113" s="82">
        <f t="shared" si="18"/>
        <v>0</v>
      </c>
      <c r="X113" s="82">
        <f t="shared" si="18"/>
        <v>0</v>
      </c>
      <c r="Y113" s="82">
        <f t="shared" si="18"/>
        <v>0</v>
      </c>
      <c r="AQ113" s="3"/>
    </row>
    <row r="114" spans="5:43" x14ac:dyDescent="0.3">
      <c r="E114" s="32"/>
      <c r="J114" s="89"/>
      <c r="K114" s="89"/>
      <c r="L114" s="89"/>
      <c r="M114" s="89"/>
      <c r="N114" s="89"/>
      <c r="O114" s="89"/>
      <c r="P114" s="89"/>
      <c r="Q114" s="89"/>
      <c r="R114" s="89"/>
      <c r="S114" s="89"/>
      <c r="T114" s="89"/>
      <c r="U114" s="89"/>
      <c r="V114" s="89"/>
      <c r="W114" s="89"/>
      <c r="X114" s="89"/>
      <c r="Y114" s="89"/>
      <c r="AQ114" s="3"/>
    </row>
    <row r="115" spans="5:43" x14ac:dyDescent="0.3">
      <c r="E115" s="32" t="s">
        <v>513</v>
      </c>
      <c r="J115" s="89"/>
      <c r="K115" s="89"/>
      <c r="L115" s="89"/>
      <c r="M115" s="89"/>
      <c r="N115" s="89"/>
      <c r="O115" s="89"/>
      <c r="P115" s="89"/>
      <c r="Q115" s="89"/>
      <c r="R115" s="89"/>
      <c r="S115" s="89"/>
      <c r="T115" s="89"/>
      <c r="U115" s="89"/>
      <c r="V115" s="89"/>
      <c r="W115" s="89"/>
      <c r="X115" s="89"/>
      <c r="Y115" s="89"/>
      <c r="AQ115" s="3"/>
    </row>
    <row r="116" spans="5:43" x14ac:dyDescent="0.3">
      <c r="E116" s="32"/>
      <c r="F116" s="23" t="s">
        <v>191</v>
      </c>
      <c r="G116" s="23" t="s">
        <v>283</v>
      </c>
      <c r="H116" s="23"/>
      <c r="I116" s="23"/>
      <c r="J116" s="124">
        <f>'Pseudo-load coefficients'!J294</f>
        <v>0</v>
      </c>
      <c r="K116" s="124">
        <f>'Pseudo-load coefficients'!K294</f>
        <v>0</v>
      </c>
      <c r="L116" s="124">
        <f>'Pseudo-load coefficients'!L294</f>
        <v>0</v>
      </c>
      <c r="M116" s="124">
        <f>'Pseudo-load coefficients'!M294</f>
        <v>0</v>
      </c>
      <c r="N116" s="124">
        <f>'Pseudo-load coefficients'!N294</f>
        <v>0</v>
      </c>
      <c r="O116" s="124">
        <f>'Pseudo-load coefficients'!O294</f>
        <v>0</v>
      </c>
      <c r="P116" s="124">
        <f>'Pseudo-load coefficients'!P294</f>
        <v>0</v>
      </c>
      <c r="Q116" s="124">
        <f>'Pseudo-load coefficients'!Q294</f>
        <v>0</v>
      </c>
      <c r="R116" s="124">
        <f>'Pseudo-load coefficients'!R294</f>
        <v>0</v>
      </c>
      <c r="S116" s="124">
        <f>'Pseudo-load coefficients'!S294</f>
        <v>0</v>
      </c>
      <c r="T116" s="124">
        <f>'Pseudo-load coefficients'!T294</f>
        <v>0</v>
      </c>
      <c r="U116" s="124">
        <f>'Pseudo-load coefficients'!U294</f>
        <v>0</v>
      </c>
      <c r="V116" s="124">
        <f>'Pseudo-load coefficients'!V294</f>
        <v>0</v>
      </c>
      <c r="W116" s="124">
        <f>'Pseudo-load coefficients'!W294</f>
        <v>0</v>
      </c>
      <c r="X116" s="124">
        <f>'Pseudo-load coefficients'!X294</f>
        <v>0</v>
      </c>
      <c r="Y116" s="124">
        <f>'Pseudo-load coefficients'!Y294</f>
        <v>0</v>
      </c>
      <c r="AQ116" s="3"/>
    </row>
    <row r="117" spans="5:43" x14ac:dyDescent="0.3">
      <c r="E117" s="32"/>
      <c r="F117" t="s">
        <v>192</v>
      </c>
      <c r="G117" t="s">
        <v>283</v>
      </c>
      <c r="J117" s="120">
        <f>'Pseudo-load coefficients'!J295</f>
        <v>7.2607033658463507E-2</v>
      </c>
      <c r="K117" s="120">
        <f>'Pseudo-load coefficients'!K295</f>
        <v>7.2607033658463507E-2</v>
      </c>
      <c r="L117" s="120">
        <f>'Pseudo-load coefficients'!L295</f>
        <v>8.2655961660891925E-2</v>
      </c>
      <c r="M117" s="120">
        <f>'Pseudo-load coefficients'!M295</f>
        <v>8.2655961660891925E-2</v>
      </c>
      <c r="N117" s="120">
        <f>'Pseudo-load coefficients'!N295</f>
        <v>6.6494119485720066E-2</v>
      </c>
      <c r="O117" s="120">
        <f>'Pseudo-load coefficients'!O295</f>
        <v>4.9707919255096052E-2</v>
      </c>
      <c r="P117" s="120">
        <f>'Pseudo-load coefficients'!P295</f>
        <v>5.6735371588306036E-2</v>
      </c>
      <c r="Q117" s="120">
        <f>'Pseudo-load coefficients'!Q295</f>
        <v>4.9561747315186623E-2</v>
      </c>
      <c r="R117" s="120">
        <f>'Pseudo-load coefficients'!R295</f>
        <v>5.0670423116031767E-2</v>
      </c>
      <c r="S117" s="120">
        <f>'Pseudo-load coefficients'!S295</f>
        <v>5.0670423116031767E-2</v>
      </c>
      <c r="T117" s="120">
        <f>'Pseudo-load coefficients'!T295</f>
        <v>5.0670423116031767E-2</v>
      </c>
      <c r="U117" s="120">
        <f>'Pseudo-load coefficients'!U295</f>
        <v>5.0670423116031767E-2</v>
      </c>
      <c r="V117" s="120">
        <f>'Pseudo-load coefficients'!V295</f>
        <v>5.0670423116031767E-2</v>
      </c>
      <c r="W117" s="120">
        <f>'Pseudo-load coefficients'!W295</f>
        <v>5.0670423116031767E-2</v>
      </c>
      <c r="X117" s="120">
        <f>'Pseudo-load coefficients'!X295</f>
        <v>5.0670423116031767E-2</v>
      </c>
      <c r="Y117" s="120">
        <f>'Pseudo-load coefficients'!Y295</f>
        <v>5.0670423116031767E-2</v>
      </c>
      <c r="AQ117" s="3"/>
    </row>
    <row r="118" spans="5:43" x14ac:dyDescent="0.3">
      <c r="E118" s="32"/>
      <c r="F118" t="s">
        <v>193</v>
      </c>
      <c r="G118" t="s">
        <v>283</v>
      </c>
      <c r="J118" s="120">
        <f>'Pseudo-load coefficients'!J296</f>
        <v>7.2607033658463507E-2</v>
      </c>
      <c r="K118" s="120">
        <f>'Pseudo-load coefficients'!K296</f>
        <v>7.2607033658463507E-2</v>
      </c>
      <c r="L118" s="120">
        <f>'Pseudo-load coefficients'!L296</f>
        <v>8.2655961660891925E-2</v>
      </c>
      <c r="M118" s="120">
        <f>'Pseudo-load coefficients'!M296</f>
        <v>8.2655961660891925E-2</v>
      </c>
      <c r="N118" s="120">
        <f>'Pseudo-load coefficients'!N296</f>
        <v>6.6494119485720066E-2</v>
      </c>
      <c r="O118" s="120">
        <f>'Pseudo-load coefficients'!O296</f>
        <v>4.9707919255096052E-2</v>
      </c>
      <c r="P118" s="120">
        <f>'Pseudo-load coefficients'!P296</f>
        <v>5.6735371588306036E-2</v>
      </c>
      <c r="Q118" s="120">
        <f>'Pseudo-load coefficients'!Q296</f>
        <v>4.9561747315186623E-2</v>
      </c>
      <c r="R118" s="120">
        <f>'Pseudo-load coefficients'!R296</f>
        <v>5.0670423116031767E-2</v>
      </c>
      <c r="S118" s="120">
        <f>'Pseudo-load coefficients'!S296</f>
        <v>5.0670423116031767E-2</v>
      </c>
      <c r="T118" s="120">
        <f>'Pseudo-load coefficients'!T296</f>
        <v>5.0670423116031767E-2</v>
      </c>
      <c r="U118" s="120">
        <f>'Pseudo-load coefficients'!U296</f>
        <v>5.0670423116031767E-2</v>
      </c>
      <c r="V118" s="120">
        <f>'Pseudo-load coefficients'!V296</f>
        <v>5.0670423116031767E-2</v>
      </c>
      <c r="W118" s="120">
        <f>'Pseudo-load coefficients'!W296</f>
        <v>5.0670423116031767E-2</v>
      </c>
      <c r="X118" s="120">
        <f>'Pseudo-load coefficients'!X296</f>
        <v>5.0670423116031767E-2</v>
      </c>
      <c r="Y118" s="120">
        <f>'Pseudo-load coefficients'!Y296</f>
        <v>5.0670423116031767E-2</v>
      </c>
      <c r="AQ118" s="3"/>
    </row>
    <row r="119" spans="5:43" x14ac:dyDescent="0.3">
      <c r="E119" s="32"/>
      <c r="F119" t="s">
        <v>194</v>
      </c>
      <c r="G119" t="s">
        <v>283</v>
      </c>
      <c r="J119" s="120">
        <f>'Pseudo-load coefficients'!J297</f>
        <v>0.19213208303773974</v>
      </c>
      <c r="K119" s="120">
        <f>'Pseudo-load coefficients'!K297</f>
        <v>0.19213208303773974</v>
      </c>
      <c r="L119" s="120">
        <f>'Pseudo-load coefficients'!L297</f>
        <v>0.21872346643572804</v>
      </c>
      <c r="M119" s="120">
        <f>'Pseudo-load coefficients'!M297</f>
        <v>0.21872346643572804</v>
      </c>
      <c r="N119" s="120">
        <f>'Pseudo-load coefficients'!N297</f>
        <v>0.17595614423042263</v>
      </c>
      <c r="O119" s="120">
        <f>'Pseudo-load coefficients'!O297</f>
        <v>0.13153665132331316</v>
      </c>
      <c r="P119" s="120">
        <f>'Pseudo-load coefficients'!P297</f>
        <v>0.15013263283082473</v>
      </c>
      <c r="Q119" s="120">
        <f>'Pseudo-load coefficients'!Q297</f>
        <v>0.13114985244335103</v>
      </c>
      <c r="R119" s="120">
        <f>'Pseudo-load coefficients'!R297</f>
        <v>0.13408362043106281</v>
      </c>
      <c r="S119" s="120">
        <f>'Pseudo-load coefficients'!S297</f>
        <v>0.13408362043106281</v>
      </c>
      <c r="T119" s="120">
        <f>'Pseudo-load coefficients'!T297</f>
        <v>0.13408362043106281</v>
      </c>
      <c r="U119" s="120">
        <f>'Pseudo-load coefficients'!U297</f>
        <v>0.13408362043106281</v>
      </c>
      <c r="V119" s="120">
        <f>'Pseudo-load coefficients'!V297</f>
        <v>0.13408362043106281</v>
      </c>
      <c r="W119" s="120">
        <f>'Pseudo-load coefficients'!W297</f>
        <v>0.13408362043106281</v>
      </c>
      <c r="X119" s="120">
        <f>'Pseudo-load coefficients'!X297</f>
        <v>0.13408362043106281</v>
      </c>
      <c r="Y119" s="120">
        <f>'Pseudo-load coefficients'!Y297</f>
        <v>0.13408362043106281</v>
      </c>
      <c r="AQ119" s="3"/>
    </row>
    <row r="120" spans="5:43" x14ac:dyDescent="0.3">
      <c r="E120" s="32"/>
      <c r="F120" t="s">
        <v>195</v>
      </c>
      <c r="G120" t="s">
        <v>283</v>
      </c>
      <c r="J120" s="120">
        <f>'Pseudo-load coefficients'!J298</f>
        <v>0.19213208303773974</v>
      </c>
      <c r="K120" s="120">
        <f>'Pseudo-load coefficients'!K298</f>
        <v>0.19213208303773974</v>
      </c>
      <c r="L120" s="120">
        <f>'Pseudo-load coefficients'!L298</f>
        <v>0.21872346643572804</v>
      </c>
      <c r="M120" s="120">
        <f>'Pseudo-load coefficients'!M298</f>
        <v>0.21872346643572804</v>
      </c>
      <c r="N120" s="120">
        <f>'Pseudo-load coefficients'!N298</f>
        <v>0.17595614423042263</v>
      </c>
      <c r="O120" s="120">
        <f>'Pseudo-load coefficients'!O298</f>
        <v>0.13153665132331316</v>
      </c>
      <c r="P120" s="120">
        <f>'Pseudo-load coefficients'!P298</f>
        <v>0.15013263283082473</v>
      </c>
      <c r="Q120" s="120">
        <f>'Pseudo-load coefficients'!Q298</f>
        <v>0.13114985244335103</v>
      </c>
      <c r="R120" s="120">
        <f>'Pseudo-load coefficients'!R298</f>
        <v>0.13408362043106281</v>
      </c>
      <c r="S120" s="120">
        <f>'Pseudo-load coefficients'!S298</f>
        <v>0.13408362043106281</v>
      </c>
      <c r="T120" s="120">
        <f>'Pseudo-load coefficients'!T298</f>
        <v>0.13408362043106281</v>
      </c>
      <c r="U120" s="120">
        <f>'Pseudo-load coefficients'!U298</f>
        <v>0.13408362043106281</v>
      </c>
      <c r="V120" s="120">
        <f>'Pseudo-load coefficients'!V298</f>
        <v>0.13408362043106281</v>
      </c>
      <c r="W120" s="120">
        <f>'Pseudo-load coefficients'!W298</f>
        <v>0.13408362043106281</v>
      </c>
      <c r="X120" s="120">
        <f>'Pseudo-load coefficients'!X298</f>
        <v>0.13408362043106281</v>
      </c>
      <c r="Y120" s="120">
        <f>'Pseudo-load coefficients'!Y298</f>
        <v>0.13408362043106281</v>
      </c>
      <c r="AQ120" s="3"/>
    </row>
    <row r="121" spans="5:43" x14ac:dyDescent="0.3">
      <c r="E121" s="32"/>
      <c r="F121" t="s">
        <v>196</v>
      </c>
      <c r="G121" t="s">
        <v>283</v>
      </c>
      <c r="J121" s="120">
        <f>'Pseudo-load coefficients'!J299</f>
        <v>7.2607033658463507E-2</v>
      </c>
      <c r="K121" s="120">
        <f>'Pseudo-load coefficients'!K299</f>
        <v>7.2607033658463507E-2</v>
      </c>
      <c r="L121" s="120">
        <f>'Pseudo-load coefficients'!L299</f>
        <v>8.2655961660891925E-2</v>
      </c>
      <c r="M121" s="120">
        <f>'Pseudo-load coefficients'!M299</f>
        <v>8.2655961660891925E-2</v>
      </c>
      <c r="N121" s="120">
        <f>'Pseudo-load coefficients'!N299</f>
        <v>6.6494119485720066E-2</v>
      </c>
      <c r="O121" s="120">
        <f>'Pseudo-load coefficients'!O299</f>
        <v>4.9707919255096052E-2</v>
      </c>
      <c r="P121" s="120">
        <f>'Pseudo-load coefficients'!P299</f>
        <v>5.6735371588306036E-2</v>
      </c>
      <c r="Q121" s="120">
        <f>'Pseudo-load coefficients'!Q299</f>
        <v>4.9561747315186623E-2</v>
      </c>
      <c r="R121" s="120">
        <f>'Pseudo-load coefficients'!R299</f>
        <v>5.0670423116031767E-2</v>
      </c>
      <c r="S121" s="120">
        <f>'Pseudo-load coefficients'!S299</f>
        <v>5.0670423116031767E-2</v>
      </c>
      <c r="T121" s="120">
        <f>'Pseudo-load coefficients'!T299</f>
        <v>5.0670423116031767E-2</v>
      </c>
      <c r="U121" s="120">
        <f>'Pseudo-load coefficients'!U299</f>
        <v>5.0670423116031767E-2</v>
      </c>
      <c r="V121" s="120">
        <f>'Pseudo-load coefficients'!V299</f>
        <v>5.0670423116031767E-2</v>
      </c>
      <c r="W121" s="120">
        <f>'Pseudo-load coefficients'!W299</f>
        <v>5.0670423116031767E-2</v>
      </c>
      <c r="X121" s="120">
        <f>'Pseudo-load coefficients'!X299</f>
        <v>5.0670423116031767E-2</v>
      </c>
      <c r="Y121" s="120">
        <f>'Pseudo-load coefficients'!Y299</f>
        <v>5.0670423116031767E-2</v>
      </c>
      <c r="AQ121" s="3"/>
    </row>
    <row r="122" spans="5:43" x14ac:dyDescent="0.3">
      <c r="E122" s="32"/>
      <c r="F122" t="s">
        <v>197</v>
      </c>
      <c r="G122" t="s">
        <v>283</v>
      </c>
      <c r="J122" s="120">
        <f>'Pseudo-load coefficients'!J300</f>
        <v>0.19213208303773974</v>
      </c>
      <c r="K122" s="120">
        <f>'Pseudo-load coefficients'!K300</f>
        <v>0.19213208303773974</v>
      </c>
      <c r="L122" s="120">
        <f>'Pseudo-load coefficients'!L300</f>
        <v>0.21872346643572804</v>
      </c>
      <c r="M122" s="120">
        <f>'Pseudo-load coefficients'!M300</f>
        <v>0.21872346643572804</v>
      </c>
      <c r="N122" s="120">
        <f>'Pseudo-load coefficients'!N300</f>
        <v>0.17595614423042263</v>
      </c>
      <c r="O122" s="120">
        <f>'Pseudo-load coefficients'!O300</f>
        <v>0.13153665132331316</v>
      </c>
      <c r="P122" s="120">
        <f>'Pseudo-load coefficients'!P300</f>
        <v>0.15013263283082473</v>
      </c>
      <c r="Q122" s="120">
        <f>'Pseudo-load coefficients'!Q300</f>
        <v>0.13114985244335103</v>
      </c>
      <c r="R122" s="120">
        <f>'Pseudo-load coefficients'!R300</f>
        <v>0.13408362043106281</v>
      </c>
      <c r="S122" s="120">
        <f>'Pseudo-load coefficients'!S300</f>
        <v>0.13408362043106281</v>
      </c>
      <c r="T122" s="120">
        <f>'Pseudo-load coefficients'!T300</f>
        <v>0.13408362043106281</v>
      </c>
      <c r="U122" s="120">
        <f>'Pseudo-load coefficients'!U300</f>
        <v>0.13408362043106281</v>
      </c>
      <c r="V122" s="120">
        <f>'Pseudo-load coefficients'!V300</f>
        <v>0.13408362043106281</v>
      </c>
      <c r="W122" s="120">
        <f>'Pseudo-load coefficients'!W300</f>
        <v>0.13408362043106281</v>
      </c>
      <c r="X122" s="120">
        <f>'Pseudo-load coefficients'!X300</f>
        <v>0.13408362043106281</v>
      </c>
      <c r="Y122" s="120">
        <f>'Pseudo-load coefficients'!Y300</f>
        <v>0.13408362043106281</v>
      </c>
      <c r="AQ122" s="3"/>
    </row>
    <row r="123" spans="5:43" x14ac:dyDescent="0.3">
      <c r="E123" s="32"/>
      <c r="F123" t="s">
        <v>198</v>
      </c>
      <c r="G123" t="s">
        <v>283</v>
      </c>
      <c r="J123" s="120">
        <f>'Pseudo-load coefficients'!J301</f>
        <v>0.19213208303773974</v>
      </c>
      <c r="K123" s="120">
        <f>'Pseudo-load coefficients'!K301</f>
        <v>0.19213208303773974</v>
      </c>
      <c r="L123" s="120">
        <f>'Pseudo-load coefficients'!L301</f>
        <v>0.21872346643572804</v>
      </c>
      <c r="M123" s="120">
        <f>'Pseudo-load coefficients'!M301</f>
        <v>0.21872346643572804</v>
      </c>
      <c r="N123" s="120">
        <f>'Pseudo-load coefficients'!N301</f>
        <v>0.17595614423042263</v>
      </c>
      <c r="O123" s="120">
        <f>'Pseudo-load coefficients'!O301</f>
        <v>0.13153665132331316</v>
      </c>
      <c r="P123" s="120">
        <f>'Pseudo-load coefficients'!P301</f>
        <v>0.15013263283082473</v>
      </c>
      <c r="Q123" s="120">
        <f>'Pseudo-load coefficients'!Q301</f>
        <v>0.13114985244335103</v>
      </c>
      <c r="R123" s="120">
        <f>'Pseudo-load coefficients'!R301</f>
        <v>0.13408362043106281</v>
      </c>
      <c r="S123" s="120">
        <f>'Pseudo-load coefficients'!S301</f>
        <v>0.13408362043106281</v>
      </c>
      <c r="T123" s="120">
        <f>'Pseudo-load coefficients'!T301</f>
        <v>0.13408362043106281</v>
      </c>
      <c r="U123" s="120">
        <f>'Pseudo-load coefficients'!U301</f>
        <v>0.13408362043106281</v>
      </c>
      <c r="V123" s="120">
        <f>'Pseudo-load coefficients'!V301</f>
        <v>0.13408362043106281</v>
      </c>
      <c r="W123" s="120">
        <f>'Pseudo-load coefficients'!W301</f>
        <v>0.13408362043106281</v>
      </c>
      <c r="X123" s="120">
        <f>'Pseudo-load coefficients'!X301</f>
        <v>0.13408362043106281</v>
      </c>
      <c r="Y123" s="120">
        <f>'Pseudo-load coefficients'!Y301</f>
        <v>0.13408362043106281</v>
      </c>
      <c r="AQ123" s="3"/>
    </row>
    <row r="124" spans="5:43" x14ac:dyDescent="0.3">
      <c r="E124" s="32"/>
      <c r="F124" s="37" t="s">
        <v>199</v>
      </c>
      <c r="G124" s="37" t="s">
        <v>283</v>
      </c>
      <c r="H124" s="37"/>
      <c r="I124" s="37"/>
      <c r="J124" s="125">
        <f>'Pseudo-load coefficients'!J302</f>
        <v>0.19213208303773974</v>
      </c>
      <c r="K124" s="125">
        <f>'Pseudo-load coefficients'!K302</f>
        <v>0.19213208303773974</v>
      </c>
      <c r="L124" s="125">
        <f>'Pseudo-load coefficients'!L302</f>
        <v>0.21872346643572804</v>
      </c>
      <c r="M124" s="125">
        <f>'Pseudo-load coefficients'!M302</f>
        <v>0.21872346643572804</v>
      </c>
      <c r="N124" s="125">
        <f>'Pseudo-load coefficients'!N302</f>
        <v>0.17595614423042263</v>
      </c>
      <c r="O124" s="125">
        <f>'Pseudo-load coefficients'!O302</f>
        <v>0.13153665132331316</v>
      </c>
      <c r="P124" s="125">
        <f>'Pseudo-load coefficients'!P302</f>
        <v>0.15013263283082473</v>
      </c>
      <c r="Q124" s="125">
        <f>'Pseudo-load coefficients'!Q302</f>
        <v>0.13114985244335103</v>
      </c>
      <c r="R124" s="125">
        <f>'Pseudo-load coefficients'!R302</f>
        <v>0.13408362043106281</v>
      </c>
      <c r="S124" s="125">
        <f>'Pseudo-load coefficients'!S302</f>
        <v>0.13408362043106281</v>
      </c>
      <c r="T124" s="125">
        <f>'Pseudo-load coefficients'!T302</f>
        <v>0.13408362043106281</v>
      </c>
      <c r="U124" s="125">
        <f>'Pseudo-load coefficients'!U302</f>
        <v>0.13408362043106281</v>
      </c>
      <c r="V124" s="125">
        <f>'Pseudo-load coefficients'!V302</f>
        <v>0.13408362043106281</v>
      </c>
      <c r="W124" s="125">
        <f>'Pseudo-load coefficients'!W302</f>
        <v>0.13408362043106281</v>
      </c>
      <c r="X124" s="125">
        <f>'Pseudo-load coefficients'!X302</f>
        <v>0.13408362043106281</v>
      </c>
      <c r="Y124" s="125">
        <f>'Pseudo-load coefficients'!Y302</f>
        <v>0.13408362043106281</v>
      </c>
      <c r="AQ124" s="3"/>
    </row>
    <row r="125" spans="5:43" x14ac:dyDescent="0.3">
      <c r="E125" s="32"/>
      <c r="J125" s="89"/>
      <c r="K125" s="89"/>
      <c r="L125" s="89"/>
      <c r="M125" s="89"/>
      <c r="N125" s="89"/>
      <c r="O125" s="89"/>
      <c r="P125" s="89"/>
      <c r="Q125" s="89"/>
      <c r="R125" s="89"/>
      <c r="S125" s="89"/>
      <c r="T125" s="89"/>
      <c r="U125" s="89"/>
      <c r="V125" s="89"/>
      <c r="W125" s="89"/>
      <c r="X125" s="89"/>
      <c r="Y125" s="89"/>
      <c r="AQ125" s="3"/>
    </row>
    <row r="126" spans="5:43" x14ac:dyDescent="0.3">
      <c r="E126" s="32" t="s">
        <v>514</v>
      </c>
      <c r="J126" s="89"/>
      <c r="K126" s="89"/>
      <c r="L126" s="89"/>
      <c r="M126" s="89"/>
      <c r="N126" s="89"/>
      <c r="O126" s="89"/>
      <c r="P126" s="89"/>
      <c r="Q126" s="89"/>
      <c r="R126" s="89"/>
      <c r="S126" s="89"/>
      <c r="T126" s="89"/>
      <c r="U126" s="89"/>
      <c r="V126" s="89"/>
      <c r="W126" s="89"/>
      <c r="X126" s="89"/>
      <c r="Y126" s="89"/>
      <c r="AQ126" s="3"/>
    </row>
    <row r="127" spans="5:43" x14ac:dyDescent="0.3">
      <c r="E127" s="29" t="s">
        <v>515</v>
      </c>
      <c r="J127" s="89"/>
      <c r="K127" s="89"/>
      <c r="L127" s="89"/>
      <c r="M127" s="89"/>
      <c r="N127" s="89"/>
      <c r="O127" s="89"/>
      <c r="P127" s="89"/>
      <c r="Q127" s="89"/>
      <c r="R127" s="89"/>
      <c r="S127" s="89"/>
      <c r="T127" s="89"/>
      <c r="U127" s="89"/>
      <c r="V127" s="89"/>
      <c r="W127" s="89"/>
      <c r="X127" s="89"/>
      <c r="Y127" s="89"/>
      <c r="AQ127" s="3"/>
    </row>
    <row r="128" spans="5:43" x14ac:dyDescent="0.3">
      <c r="E128" s="32"/>
      <c r="F128" s="23" t="s">
        <v>191</v>
      </c>
      <c r="G128" s="23" t="s">
        <v>172</v>
      </c>
      <c r="H128" s="23"/>
      <c r="I128" s="23"/>
      <c r="J128" s="158">
        <f t="shared" ref="J128:Y128" si="19">J$58 * J34 * J116 / hours_in_year / $H45</f>
        <v>0</v>
      </c>
      <c r="K128" s="158">
        <f t="shared" si="19"/>
        <v>0</v>
      </c>
      <c r="L128" s="158">
        <f t="shared" si="19"/>
        <v>0</v>
      </c>
      <c r="M128" s="158">
        <f t="shared" si="19"/>
        <v>0</v>
      </c>
      <c r="N128" s="158">
        <f t="shared" si="19"/>
        <v>0</v>
      </c>
      <c r="O128" s="158">
        <f t="shared" si="19"/>
        <v>0</v>
      </c>
      <c r="P128" s="158">
        <f t="shared" si="19"/>
        <v>0</v>
      </c>
      <c r="Q128" s="158">
        <f t="shared" si="19"/>
        <v>0</v>
      </c>
      <c r="R128" s="158">
        <f t="shared" si="19"/>
        <v>0</v>
      </c>
      <c r="S128" s="158">
        <f t="shared" si="19"/>
        <v>0</v>
      </c>
      <c r="T128" s="158">
        <f t="shared" si="19"/>
        <v>0</v>
      </c>
      <c r="U128" s="158">
        <f t="shared" si="19"/>
        <v>0</v>
      </c>
      <c r="V128" s="158">
        <f t="shared" si="19"/>
        <v>0</v>
      </c>
      <c r="W128" s="158">
        <f t="shared" si="19"/>
        <v>0</v>
      </c>
      <c r="X128" s="158">
        <f t="shared" si="19"/>
        <v>0</v>
      </c>
      <c r="Y128" s="158">
        <f t="shared" si="19"/>
        <v>0</v>
      </c>
      <c r="AQ128" s="3"/>
    </row>
    <row r="129" spans="3:43" x14ac:dyDescent="0.3">
      <c r="E129" s="32"/>
      <c r="F129" t="s">
        <v>192</v>
      </c>
      <c r="G129" t="s">
        <v>172</v>
      </c>
      <c r="J129" s="89">
        <f t="shared" ref="J129:Y129" si="20">J$58 * J35 * J117 / hours_in_year / $H46</f>
        <v>40.983418561465193</v>
      </c>
      <c r="K129" s="89">
        <f t="shared" si="20"/>
        <v>0.11772411525724714</v>
      </c>
      <c r="L129" s="89">
        <f t="shared" si="20"/>
        <v>12.660595711591574</v>
      </c>
      <c r="M129" s="89">
        <f t="shared" si="20"/>
        <v>2.9990413417580283E-2</v>
      </c>
      <c r="N129" s="89">
        <f t="shared" si="20"/>
        <v>8.9996929136062569</v>
      </c>
      <c r="O129" s="89">
        <f t="shared" si="20"/>
        <v>0.36505244083598692</v>
      </c>
      <c r="P129" s="89">
        <f t="shared" si="20"/>
        <v>23.068538981738854</v>
      </c>
      <c r="Q129" s="89">
        <f t="shared" si="20"/>
        <v>1.1526481520408824</v>
      </c>
      <c r="R129" s="89">
        <f t="shared" si="20"/>
        <v>-2.0890528452032729E-3</v>
      </c>
      <c r="S129" s="89">
        <f t="shared" si="20"/>
        <v>0</v>
      </c>
      <c r="T129" s="89">
        <f t="shared" si="20"/>
        <v>-0.13478155687165358</v>
      </c>
      <c r="U129" s="89">
        <f t="shared" si="20"/>
        <v>0</v>
      </c>
      <c r="V129" s="89">
        <f t="shared" si="20"/>
        <v>-3.3323856526969189E-2</v>
      </c>
      <c r="W129" s="89">
        <f t="shared" si="20"/>
        <v>0</v>
      </c>
      <c r="X129" s="89">
        <f t="shared" si="20"/>
        <v>-2.0674043082157785</v>
      </c>
      <c r="Y129" s="89">
        <f t="shared" si="20"/>
        <v>0</v>
      </c>
      <c r="AQ129" s="3"/>
    </row>
    <row r="130" spans="3:43" x14ac:dyDescent="0.3">
      <c r="E130" s="32"/>
      <c r="F130" t="s">
        <v>193</v>
      </c>
      <c r="G130" t="s">
        <v>172</v>
      </c>
      <c r="J130" s="89">
        <f t="shared" ref="J130:Y130" si="21">J$58 * J36 * J118 / hours_in_year / $H47</f>
        <v>12.549762197701455</v>
      </c>
      <c r="K130" s="89">
        <f t="shared" si="21"/>
        <v>3.6048960854680602E-2</v>
      </c>
      <c r="L130" s="89">
        <f t="shared" si="21"/>
        <v>3.8768719408660455</v>
      </c>
      <c r="M130" s="89">
        <f t="shared" si="21"/>
        <v>9.1835325068581036E-3</v>
      </c>
      <c r="N130" s="89">
        <f t="shared" si="21"/>
        <v>2.7558463857452216</v>
      </c>
      <c r="O130" s="89">
        <f t="shared" si="21"/>
        <v>0.11178475302911209</v>
      </c>
      <c r="P130" s="89">
        <f t="shared" si="21"/>
        <v>7.0639465576801941</v>
      </c>
      <c r="Q130" s="89">
        <f t="shared" si="21"/>
        <v>0.35295884807750766</v>
      </c>
      <c r="R130" s="89">
        <f t="shared" si="21"/>
        <v>-6.3970057515854567E-4</v>
      </c>
      <c r="S130" s="89">
        <f t="shared" si="21"/>
        <v>0</v>
      </c>
      <c r="T130" s="89">
        <f t="shared" si="21"/>
        <v>-4.1272215611746044E-2</v>
      </c>
      <c r="U130" s="89">
        <f t="shared" si="21"/>
        <v>0</v>
      </c>
      <c r="V130" s="89">
        <f t="shared" si="21"/>
        <v>-1.0204284796217678E-2</v>
      </c>
      <c r="W130" s="89">
        <f t="shared" si="21"/>
        <v>0</v>
      </c>
      <c r="X130" s="89">
        <f t="shared" si="21"/>
        <v>-0.63307145536675136</v>
      </c>
      <c r="Y130" s="89">
        <f t="shared" si="21"/>
        <v>0</v>
      </c>
      <c r="AQ130" s="3"/>
    </row>
    <row r="131" spans="3:43" x14ac:dyDescent="0.3">
      <c r="E131" s="32"/>
      <c r="F131" t="s">
        <v>194</v>
      </c>
      <c r="G131" t="s">
        <v>172</v>
      </c>
      <c r="J131" s="89">
        <f t="shared" ref="J131:Y131" si="22">J$58 * J37 * J119 / hours_in_year / $H48</f>
        <v>32.62702053870494</v>
      </c>
      <c r="K131" s="89">
        <f t="shared" si="22"/>
        <v>9.3720515789538675E-2</v>
      </c>
      <c r="L131" s="89">
        <f t="shared" si="22"/>
        <v>10.079137632084594</v>
      </c>
      <c r="M131" s="89">
        <f t="shared" si="22"/>
        <v>2.3875456681880614E-2</v>
      </c>
      <c r="N131" s="89">
        <f t="shared" si="22"/>
        <v>7.1646821041512236</v>
      </c>
      <c r="O131" s="89">
        <f t="shared" si="22"/>
        <v>0.29061932613057018</v>
      </c>
      <c r="P131" s="89">
        <f t="shared" si="22"/>
        <v>18.364932003568835</v>
      </c>
      <c r="Q131" s="89">
        <f t="shared" si="22"/>
        <v>0.91762659755032561</v>
      </c>
      <c r="R131" s="89">
        <f t="shared" si="22"/>
        <v>-1.6631011389316964E-3</v>
      </c>
      <c r="S131" s="89">
        <f t="shared" si="22"/>
        <v>0</v>
      </c>
      <c r="T131" s="89">
        <f t="shared" si="22"/>
        <v>-0.10729999542851348</v>
      </c>
      <c r="U131" s="89">
        <f t="shared" si="22"/>
        <v>0</v>
      </c>
      <c r="V131" s="89">
        <f t="shared" si="22"/>
        <v>-2.6529220584750799E-2</v>
      </c>
      <c r="W131" s="89">
        <f t="shared" si="22"/>
        <v>0</v>
      </c>
      <c r="X131" s="89">
        <f t="shared" si="22"/>
        <v>-1.6458666747089381</v>
      </c>
      <c r="Y131" s="89">
        <f t="shared" si="22"/>
        <v>0</v>
      </c>
      <c r="AQ131" s="3"/>
    </row>
    <row r="132" spans="3:43" x14ac:dyDescent="0.3">
      <c r="E132" s="32"/>
      <c r="F132" t="s">
        <v>195</v>
      </c>
      <c r="G132" t="s">
        <v>172</v>
      </c>
      <c r="J132" s="89">
        <f t="shared" ref="J132:Y132" si="23">J$58 * J38 * J120 / hours_in_year / $H49</f>
        <v>32.437512190948674</v>
      </c>
      <c r="K132" s="89">
        <f t="shared" si="23"/>
        <v>9.3176156549715602E-2</v>
      </c>
      <c r="L132" s="89">
        <f t="shared" si="23"/>
        <v>10.020594722314499</v>
      </c>
      <c r="M132" s="89">
        <f t="shared" si="23"/>
        <v>2.3736780263592827E-2</v>
      </c>
      <c r="N132" s="89">
        <f t="shared" si="23"/>
        <v>7.1230673000612841</v>
      </c>
      <c r="O132" s="89">
        <f t="shared" si="23"/>
        <v>0.28893131455575566</v>
      </c>
      <c r="P132" s="89">
        <f t="shared" si="23"/>
        <v>18.258262505000186</v>
      </c>
      <c r="Q132" s="89">
        <f t="shared" si="23"/>
        <v>0.91229672379882321</v>
      </c>
      <c r="R132" s="89">
        <f t="shared" si="23"/>
        <v>-1.6534413065661688E-3</v>
      </c>
      <c r="S132" s="89">
        <f t="shared" si="23"/>
        <v>0</v>
      </c>
      <c r="T132" s="89">
        <f t="shared" si="23"/>
        <v>-0.10667676215400131</v>
      </c>
      <c r="U132" s="89">
        <f t="shared" si="23"/>
        <v>0</v>
      </c>
      <c r="V132" s="89">
        <f t="shared" si="23"/>
        <v>-2.6375130242535402E-2</v>
      </c>
      <c r="W132" s="89">
        <f t="shared" si="23"/>
        <v>0</v>
      </c>
      <c r="X132" s="89">
        <f t="shared" si="23"/>
        <v>-1.6363069457174051</v>
      </c>
      <c r="Y132" s="89">
        <f t="shared" si="23"/>
        <v>0</v>
      </c>
      <c r="AQ132" s="3"/>
    </row>
    <row r="133" spans="3:43" x14ac:dyDescent="0.3">
      <c r="E133" s="32"/>
      <c r="F133" t="s">
        <v>196</v>
      </c>
      <c r="G133" t="s">
        <v>172</v>
      </c>
      <c r="J133" s="89">
        <f t="shared" ref="J133:Y133" si="24">J$58 * J39 * J121 / hours_in_year / $H50</f>
        <v>27.61435198140537</v>
      </c>
      <c r="K133" s="89">
        <f t="shared" si="24"/>
        <v>7.9321717648751858E-2</v>
      </c>
      <c r="L133" s="89">
        <f t="shared" si="24"/>
        <v>8.5306242999183848</v>
      </c>
      <c r="M133" s="89">
        <f t="shared" si="24"/>
        <v>2.0207338998304313E-2</v>
      </c>
      <c r="N133" s="89">
        <f t="shared" si="24"/>
        <v>6.0639325991842785</v>
      </c>
      <c r="O133" s="89">
        <f t="shared" si="24"/>
        <v>0.24596988115565607</v>
      </c>
      <c r="P133" s="89">
        <f t="shared" si="24"/>
        <v>15.543426524635263</v>
      </c>
      <c r="Q133" s="89">
        <f t="shared" si="24"/>
        <v>0.77664657801634218</v>
      </c>
      <c r="R133" s="89">
        <f t="shared" si="24"/>
        <v>-1.4075897667902386E-3</v>
      </c>
      <c r="S133" s="89">
        <f t="shared" si="24"/>
        <v>0</v>
      </c>
      <c r="T133" s="89">
        <f t="shared" si="24"/>
        <v>-9.081490716724111E-2</v>
      </c>
      <c r="U133" s="89">
        <f t="shared" si="24"/>
        <v>0</v>
      </c>
      <c r="V133" s="89">
        <f t="shared" si="24"/>
        <v>-2.2453390561684789E-2</v>
      </c>
      <c r="W133" s="89">
        <f t="shared" si="24"/>
        <v>0</v>
      </c>
      <c r="X133" s="89">
        <f t="shared" si="24"/>
        <v>-1.393003128065639</v>
      </c>
      <c r="Y133" s="89">
        <f t="shared" si="24"/>
        <v>0</v>
      </c>
      <c r="AQ133" s="3"/>
    </row>
    <row r="134" spans="3:43" x14ac:dyDescent="0.3">
      <c r="E134" s="32"/>
      <c r="F134" t="s">
        <v>197</v>
      </c>
      <c r="G134" t="s">
        <v>172</v>
      </c>
      <c r="J134" s="89">
        <f t="shared" ref="J134:Y134" si="25">J$58 * J40 * J122 / hours_in_year / $H51</f>
        <v>103.70333530135281</v>
      </c>
      <c r="K134" s="89">
        <f t="shared" si="25"/>
        <v>0.29788592133347269</v>
      </c>
      <c r="L134" s="89">
        <f t="shared" si="25"/>
        <v>32.036029406013306</v>
      </c>
      <c r="M134" s="89">
        <f t="shared" si="25"/>
        <v>7.5886932023621054E-2</v>
      </c>
      <c r="N134" s="89">
        <f t="shared" si="25"/>
        <v>22.772579852732335</v>
      </c>
      <c r="O134" s="89">
        <f t="shared" si="25"/>
        <v>0.92371883565093671</v>
      </c>
      <c r="P134" s="89">
        <f t="shared" si="25"/>
        <v>58.372007921880531</v>
      </c>
      <c r="Q134" s="89">
        <f t="shared" si="25"/>
        <v>2.9166297490852089</v>
      </c>
      <c r="R134" s="89">
        <f t="shared" si="25"/>
        <v>-5.2860828909001333E-3</v>
      </c>
      <c r="S134" s="89">
        <f t="shared" si="25"/>
        <v>0</v>
      </c>
      <c r="T134" s="89">
        <f t="shared" si="25"/>
        <v>-0.34104761084624718</v>
      </c>
      <c r="U134" s="89">
        <f t="shared" si="25"/>
        <v>0</v>
      </c>
      <c r="V134" s="89">
        <f t="shared" si="25"/>
        <v>-8.4321786426078751E-2</v>
      </c>
      <c r="W134" s="89">
        <f t="shared" si="25"/>
        <v>0</v>
      </c>
      <c r="X134" s="89">
        <f t="shared" si="25"/>
        <v>0</v>
      </c>
      <c r="Y134" s="89">
        <f t="shared" si="25"/>
        <v>0</v>
      </c>
      <c r="AQ134" s="3"/>
    </row>
    <row r="135" spans="3:43" x14ac:dyDescent="0.3">
      <c r="E135" s="32"/>
      <c r="F135" t="s">
        <v>198</v>
      </c>
      <c r="G135" t="s">
        <v>172</v>
      </c>
      <c r="J135" s="89">
        <f t="shared" ref="J135:Y135" si="26">J$58 * J41 * J123 / hours_in_year / $H52</f>
        <v>102.148271229355</v>
      </c>
      <c r="K135" s="89">
        <f t="shared" si="26"/>
        <v>0.29341902841750683</v>
      </c>
      <c r="L135" s="89">
        <f t="shared" si="26"/>
        <v>31.55563908689783</v>
      </c>
      <c r="M135" s="89">
        <f t="shared" si="26"/>
        <v>7.4748983652132825E-2</v>
      </c>
      <c r="N135" s="89">
        <f t="shared" si="26"/>
        <v>22.431097868061556</v>
      </c>
      <c r="O135" s="89">
        <f t="shared" si="26"/>
        <v>0.90986738169553361</v>
      </c>
      <c r="P135" s="89">
        <f t="shared" si="26"/>
        <v>0</v>
      </c>
      <c r="Q135" s="89">
        <f t="shared" si="26"/>
        <v>2.8728939702798075</v>
      </c>
      <c r="R135" s="89">
        <f t="shared" si="26"/>
        <v>-5.2068164183093155E-3</v>
      </c>
      <c r="S135" s="89">
        <f t="shared" si="26"/>
        <v>0</v>
      </c>
      <c r="T135" s="89">
        <f t="shared" si="26"/>
        <v>-0.33593349484480395</v>
      </c>
      <c r="U135" s="89">
        <f t="shared" si="26"/>
        <v>0</v>
      </c>
      <c r="V135" s="89">
        <f t="shared" si="26"/>
        <v>0</v>
      </c>
      <c r="W135" s="89">
        <f t="shared" si="26"/>
        <v>0</v>
      </c>
      <c r="X135" s="89">
        <f t="shared" si="26"/>
        <v>0</v>
      </c>
      <c r="Y135" s="89">
        <f t="shared" si="26"/>
        <v>0</v>
      </c>
      <c r="AQ135" s="3"/>
    </row>
    <row r="136" spans="3:43" x14ac:dyDescent="0.3">
      <c r="E136" s="32"/>
      <c r="F136" s="37" t="s">
        <v>199</v>
      </c>
      <c r="G136" s="37" t="s">
        <v>172</v>
      </c>
      <c r="H136" s="37"/>
      <c r="I136" s="37"/>
      <c r="J136" s="82">
        <f t="shared" ref="J136:Y136" si="27">J$58 * J42 * J124 / hours_in_year / $H53</f>
        <v>99.9928489924053</v>
      </c>
      <c r="K136" s="82">
        <f t="shared" si="27"/>
        <v>0.2872276177261282</v>
      </c>
      <c r="L136" s="82">
        <f t="shared" si="27"/>
        <v>30.889786152036681</v>
      </c>
      <c r="M136" s="82">
        <f t="shared" si="27"/>
        <v>7.317171152002358E-2</v>
      </c>
      <c r="N136" s="82">
        <f t="shared" si="27"/>
        <v>21.957781124056588</v>
      </c>
      <c r="O136" s="82">
        <f t="shared" si="27"/>
        <v>0</v>
      </c>
      <c r="P136" s="82">
        <f t="shared" si="27"/>
        <v>0</v>
      </c>
      <c r="Q136" s="82">
        <f t="shared" si="27"/>
        <v>2.8122732718243615</v>
      </c>
      <c r="R136" s="82">
        <f t="shared" si="27"/>
        <v>0</v>
      </c>
      <c r="S136" s="82">
        <f t="shared" si="27"/>
        <v>0</v>
      </c>
      <c r="T136" s="82">
        <f t="shared" si="27"/>
        <v>0</v>
      </c>
      <c r="U136" s="82">
        <f t="shared" si="27"/>
        <v>0</v>
      </c>
      <c r="V136" s="82">
        <f t="shared" si="27"/>
        <v>0</v>
      </c>
      <c r="W136" s="82">
        <f t="shared" si="27"/>
        <v>0</v>
      </c>
      <c r="X136" s="82">
        <f t="shared" si="27"/>
        <v>0</v>
      </c>
      <c r="Y136" s="82">
        <f t="shared" si="27"/>
        <v>0</v>
      </c>
      <c r="AQ136" s="3"/>
    </row>
    <row r="137" spans="3:43" x14ac:dyDescent="0.3">
      <c r="D137" s="32"/>
      <c r="J137" s="89"/>
      <c r="K137" s="89"/>
      <c r="L137" s="89"/>
      <c r="M137" s="89"/>
      <c r="N137" s="89"/>
      <c r="O137" s="89"/>
      <c r="P137" s="89"/>
      <c r="Q137" s="89"/>
      <c r="R137" s="89"/>
      <c r="S137" s="89"/>
      <c r="T137" s="89"/>
      <c r="U137" s="89"/>
      <c r="V137" s="89"/>
      <c r="W137" s="89"/>
      <c r="X137" s="89"/>
      <c r="Y137" s="89"/>
      <c r="AQ137" s="3"/>
    </row>
    <row r="138" spans="3:43" x14ac:dyDescent="0.3">
      <c r="C138" s="31" t="str">
        <f ca="1">INDEX('Version control'!$H$34:$H$57,MATCH($A$1,'Version control'!$F$34:$F$57,0),1)&amp;"-C: System peak load, all unit rates"</f>
        <v>Section 106-C: System peak load, all unit rates</v>
      </c>
      <c r="D138" s="31"/>
      <c r="E138" s="31"/>
      <c r="F138" s="31"/>
      <c r="G138" s="31"/>
      <c r="H138" s="31"/>
      <c r="I138" s="31"/>
      <c r="J138" s="90"/>
      <c r="K138" s="90"/>
      <c r="L138" s="90"/>
      <c r="M138" s="90"/>
      <c r="N138" s="90"/>
      <c r="O138" s="90"/>
      <c r="P138" s="90"/>
      <c r="Q138" s="90"/>
      <c r="R138" s="90"/>
      <c r="S138" s="90"/>
      <c r="T138" s="90"/>
      <c r="U138" s="90"/>
      <c r="V138" s="90"/>
      <c r="W138" s="90"/>
      <c r="X138" s="90"/>
      <c r="Y138" s="90"/>
      <c r="Z138" s="31"/>
      <c r="AA138" s="31"/>
      <c r="AQ138" s="3"/>
    </row>
    <row r="139" spans="3:43" x14ac:dyDescent="0.3">
      <c r="H139" s="63"/>
      <c r="J139" s="89"/>
      <c r="K139" s="89"/>
      <c r="L139" s="89"/>
      <c r="M139" s="89"/>
      <c r="N139" s="89"/>
      <c r="O139" s="89"/>
      <c r="P139" s="89"/>
      <c r="Q139" s="89"/>
      <c r="R139" s="89"/>
      <c r="S139" s="89"/>
      <c r="T139" s="89"/>
      <c r="U139" s="89"/>
      <c r="V139" s="89"/>
      <c r="W139" s="89"/>
      <c r="X139" s="89"/>
      <c r="Y139" s="89"/>
    </row>
    <row r="140" spans="3:43" x14ac:dyDescent="0.3">
      <c r="E140" s="32" t="s">
        <v>516</v>
      </c>
      <c r="J140" s="89"/>
      <c r="K140" s="89"/>
      <c r="L140" s="89"/>
      <c r="M140" s="89"/>
      <c r="N140" s="89"/>
      <c r="O140" s="89"/>
      <c r="P140" s="89"/>
      <c r="Q140" s="89"/>
      <c r="R140" s="89"/>
      <c r="S140" s="89"/>
      <c r="T140" s="89"/>
      <c r="U140" s="89"/>
      <c r="V140" s="89"/>
      <c r="W140" s="89"/>
      <c r="X140" s="89"/>
      <c r="Y140" s="89"/>
      <c r="AQ140" s="3"/>
    </row>
    <row r="141" spans="3:43" x14ac:dyDescent="0.3">
      <c r="E141" s="29" t="s">
        <v>517</v>
      </c>
      <c r="J141" s="89"/>
      <c r="K141" s="89"/>
      <c r="L141" s="89"/>
      <c r="M141" s="89"/>
      <c r="N141" s="89"/>
      <c r="O141" s="89"/>
      <c r="P141" s="89"/>
      <c r="Q141" s="89"/>
      <c r="R141" s="89"/>
      <c r="S141" s="89"/>
      <c r="T141" s="89"/>
      <c r="U141" s="89"/>
      <c r="V141" s="89"/>
      <c r="W141" s="89"/>
      <c r="X141" s="89"/>
      <c r="Y141" s="89"/>
      <c r="AQ141" s="3"/>
    </row>
    <row r="142" spans="3:43" x14ac:dyDescent="0.3">
      <c r="C142" s="32"/>
      <c r="F142" s="23" t="s">
        <v>191</v>
      </c>
      <c r="G142" s="23" t="s">
        <v>172</v>
      </c>
      <c r="H142" s="23"/>
      <c r="I142" s="23"/>
      <c r="J142" s="158">
        <f t="shared" ref="J142:Y142" si="28">J82 + J105 + J128</f>
        <v>1761.0595494023396</v>
      </c>
      <c r="K142" s="158">
        <f t="shared" si="28"/>
        <v>0.72668967392095407</v>
      </c>
      <c r="L142" s="158">
        <f t="shared" si="28"/>
        <v>705.33651175713669</v>
      </c>
      <c r="M142" s="158">
        <f t="shared" si="28"/>
        <v>0.39647514880629875</v>
      </c>
      <c r="N142" s="158">
        <f t="shared" si="28"/>
        <v>500.84621072645405</v>
      </c>
      <c r="O142" s="158">
        <f t="shared" si="28"/>
        <v>26.345775648657003</v>
      </c>
      <c r="P142" s="158">
        <f t="shared" si="28"/>
        <v>1035.5209397097231</v>
      </c>
      <c r="Q142" s="158">
        <f t="shared" si="28"/>
        <v>28.496363899590293</v>
      </c>
      <c r="R142" s="158">
        <f t="shared" si="28"/>
        <v>-0.20472204087812759</v>
      </c>
      <c r="S142" s="158">
        <f t="shared" si="28"/>
        <v>0</v>
      </c>
      <c r="T142" s="158">
        <f t="shared" si="28"/>
        <v>-6.7810841956402212</v>
      </c>
      <c r="U142" s="158">
        <f t="shared" si="28"/>
        <v>0</v>
      </c>
      <c r="V142" s="158">
        <f t="shared" si="28"/>
        <v>-1.2897977362998747</v>
      </c>
      <c r="W142" s="158">
        <f t="shared" si="28"/>
        <v>0</v>
      </c>
      <c r="X142" s="158">
        <f t="shared" si="28"/>
        <v>-108.66211578511104</v>
      </c>
      <c r="Y142" s="158">
        <f t="shared" si="28"/>
        <v>0</v>
      </c>
      <c r="AQ142" s="3"/>
    </row>
    <row r="143" spans="3:43" x14ac:dyDescent="0.3">
      <c r="C143" s="32"/>
      <c r="F143" t="s">
        <v>192</v>
      </c>
      <c r="G143" t="s">
        <v>172</v>
      </c>
      <c r="J143" s="89">
        <f t="shared" ref="J143:Y143" si="29">J83 + J106 + J129</f>
        <v>1716.1381300609755</v>
      </c>
      <c r="K143" s="89">
        <f t="shared" si="29"/>
        <v>0.97162616764483678</v>
      </c>
      <c r="L143" s="89">
        <f t="shared" si="29"/>
        <v>703.17879084687513</v>
      </c>
      <c r="M143" s="89">
        <f t="shared" si="29"/>
        <v>0.44117309842947322</v>
      </c>
      <c r="N143" s="89">
        <f t="shared" si="29"/>
        <v>496.14901333285445</v>
      </c>
      <c r="O143" s="89">
        <f t="shared" si="29"/>
        <v>25.228262073729038</v>
      </c>
      <c r="P143" s="89">
        <f t="shared" si="29"/>
        <v>1031.3756873990626</v>
      </c>
      <c r="Q143" s="89">
        <f t="shared" si="29"/>
        <v>29.912159394877975</v>
      </c>
      <c r="R143" s="89">
        <f t="shared" si="29"/>
        <v>-0.2076956511044693</v>
      </c>
      <c r="S143" s="89">
        <f t="shared" si="29"/>
        <v>0</v>
      </c>
      <c r="T143" s="89">
        <f t="shared" si="29"/>
        <v>-6.8985590493887212</v>
      </c>
      <c r="U143" s="89">
        <f t="shared" si="29"/>
        <v>0</v>
      </c>
      <c r="V143" s="89">
        <f t="shared" si="29"/>
        <v>-1.2922040261403112</v>
      </c>
      <c r="W143" s="89">
        <f t="shared" si="29"/>
        <v>0</v>
      </c>
      <c r="X143" s="89">
        <f t="shared" si="29"/>
        <v>-106.82800096805343</v>
      </c>
      <c r="Y143" s="89">
        <f t="shared" si="29"/>
        <v>0</v>
      </c>
      <c r="AQ143" s="3"/>
    </row>
    <row r="144" spans="3:43" x14ac:dyDescent="0.3">
      <c r="C144" s="32"/>
      <c r="F144" t="s">
        <v>193</v>
      </c>
      <c r="G144" t="s">
        <v>172</v>
      </c>
      <c r="J144" s="89">
        <f t="shared" ref="J144:Y144" si="30">J84 + J107 + J130</f>
        <v>525.50827106754946</v>
      </c>
      <c r="K144" s="89">
        <f t="shared" si="30"/>
        <v>0.29752709210236206</v>
      </c>
      <c r="L144" s="89">
        <f t="shared" si="30"/>
        <v>215.32431693955888</v>
      </c>
      <c r="M144" s="89">
        <f t="shared" si="30"/>
        <v>0.13509408603895359</v>
      </c>
      <c r="N144" s="89">
        <f t="shared" si="30"/>
        <v>151.92856893119378</v>
      </c>
      <c r="O144" s="89">
        <f t="shared" si="30"/>
        <v>7.725287465020851</v>
      </c>
      <c r="P144" s="89">
        <f t="shared" si="30"/>
        <v>315.82332727898154</v>
      </c>
      <c r="Q144" s="89">
        <f t="shared" si="30"/>
        <v>9.1595699041666148</v>
      </c>
      <c r="R144" s="89">
        <f t="shared" si="30"/>
        <v>-6.3599648890897045E-2</v>
      </c>
      <c r="S144" s="89">
        <f t="shared" si="30"/>
        <v>0</v>
      </c>
      <c r="T144" s="89">
        <f t="shared" si="30"/>
        <v>-2.1124464140732413</v>
      </c>
      <c r="U144" s="89">
        <f t="shared" si="30"/>
        <v>0</v>
      </c>
      <c r="V144" s="89">
        <f t="shared" si="30"/>
        <v>-0.39569303411456397</v>
      </c>
      <c r="W144" s="89">
        <f t="shared" si="30"/>
        <v>0</v>
      </c>
      <c r="X144" s="89">
        <f t="shared" si="30"/>
        <v>-32.712400655260545</v>
      </c>
      <c r="Y144" s="89">
        <f t="shared" si="30"/>
        <v>0</v>
      </c>
      <c r="AQ144" s="3"/>
    </row>
    <row r="145" spans="3:43" x14ac:dyDescent="0.3">
      <c r="C145" s="32"/>
      <c r="F145" t="s">
        <v>194</v>
      </c>
      <c r="G145" t="s">
        <v>172</v>
      </c>
      <c r="J145" s="89">
        <f t="shared" ref="J145:Y145" si="31">J85 + J108 + J131</f>
        <v>516.40599894517277</v>
      </c>
      <c r="K145" s="89">
        <f t="shared" si="31"/>
        <v>0.30107653398828488</v>
      </c>
      <c r="L145" s="89">
        <f t="shared" si="31"/>
        <v>204.77206188700126</v>
      </c>
      <c r="M145" s="89">
        <f t="shared" si="31"/>
        <v>0.134408326841266</v>
      </c>
      <c r="N145" s="89">
        <f t="shared" si="31"/>
        <v>145.26164608012752</v>
      </c>
      <c r="O145" s="89">
        <f t="shared" si="31"/>
        <v>7.518663181856283</v>
      </c>
      <c r="P145" s="89">
        <f t="shared" si="31"/>
        <v>303.93880794189528</v>
      </c>
      <c r="Q145" s="89">
        <f t="shared" si="31"/>
        <v>9.6322712962392796</v>
      </c>
      <c r="R145" s="89">
        <f t="shared" si="31"/>
        <v>-5.8418561292255158E-2</v>
      </c>
      <c r="S145" s="89">
        <f t="shared" si="31"/>
        <v>0</v>
      </c>
      <c r="T145" s="89">
        <f t="shared" si="31"/>
        <v>-1.9850179777877079</v>
      </c>
      <c r="U145" s="89">
        <f t="shared" si="31"/>
        <v>0</v>
      </c>
      <c r="V145" s="89">
        <f t="shared" si="31"/>
        <v>-0.38236855255416441</v>
      </c>
      <c r="W145" s="89">
        <f t="shared" si="31"/>
        <v>0</v>
      </c>
      <c r="X145" s="89">
        <f t="shared" si="31"/>
        <v>-31.562798880547547</v>
      </c>
      <c r="Y145" s="89">
        <f t="shared" si="31"/>
        <v>0</v>
      </c>
      <c r="AQ145" s="3"/>
    </row>
    <row r="146" spans="3:43" x14ac:dyDescent="0.3">
      <c r="C146" s="32"/>
      <c r="F146" t="s">
        <v>195</v>
      </c>
      <c r="G146" t="s">
        <v>172</v>
      </c>
      <c r="J146" s="89">
        <f t="shared" ref="J146:Y146" si="32">J86 + J109 + J132</f>
        <v>513.40654493387467</v>
      </c>
      <c r="K146" s="89">
        <f t="shared" si="32"/>
        <v>0.29932778354885631</v>
      </c>
      <c r="L146" s="89">
        <f t="shared" si="32"/>
        <v>203.5826791461281</v>
      </c>
      <c r="M146" s="89">
        <f t="shared" si="32"/>
        <v>0.13362763956048418</v>
      </c>
      <c r="N146" s="89">
        <f t="shared" si="32"/>
        <v>144.41791919098836</v>
      </c>
      <c r="O146" s="89">
        <f t="shared" si="32"/>
        <v>7.4749923405289476</v>
      </c>
      <c r="P146" s="89">
        <f t="shared" si="32"/>
        <v>302.17343248434315</v>
      </c>
      <c r="Q146" s="89">
        <f t="shared" si="32"/>
        <v>9.5763239314982957</v>
      </c>
      <c r="R146" s="89">
        <f t="shared" si="32"/>
        <v>-5.8079247286685419E-2</v>
      </c>
      <c r="S146" s="89">
        <f t="shared" si="32"/>
        <v>0</v>
      </c>
      <c r="T146" s="89">
        <f t="shared" si="32"/>
        <v>-1.9734883477134326</v>
      </c>
      <c r="U146" s="89">
        <f t="shared" si="32"/>
        <v>0</v>
      </c>
      <c r="V146" s="89">
        <f t="shared" si="32"/>
        <v>-0.380147631629358</v>
      </c>
      <c r="W146" s="89">
        <f t="shared" si="32"/>
        <v>0</v>
      </c>
      <c r="X146" s="89">
        <f t="shared" si="32"/>
        <v>-31.379471878337203</v>
      </c>
      <c r="Y146" s="89">
        <f t="shared" si="32"/>
        <v>0</v>
      </c>
      <c r="AQ146" s="3"/>
    </row>
    <row r="147" spans="3:43" x14ac:dyDescent="0.3">
      <c r="C147" s="32"/>
      <c r="F147" t="s">
        <v>196</v>
      </c>
      <c r="G147" t="s">
        <v>172</v>
      </c>
      <c r="H147" s="63"/>
      <c r="J147" s="89">
        <f t="shared" ref="J147:Y147" si="33">J87 + J110 + J133</f>
        <v>1156.3223380485215</v>
      </c>
      <c r="K147" s="89">
        <f t="shared" si="33"/>
        <v>0.65467518156028814</v>
      </c>
      <c r="L147" s="89">
        <f t="shared" si="33"/>
        <v>473.7971432808273</v>
      </c>
      <c r="M147" s="89">
        <f t="shared" si="33"/>
        <v>0.29725946864309433</v>
      </c>
      <c r="N147" s="89">
        <f t="shared" si="33"/>
        <v>334.30187061756448</v>
      </c>
      <c r="O147" s="89">
        <f t="shared" si="33"/>
        <v>16.998633428743119</v>
      </c>
      <c r="P147" s="89">
        <f t="shared" si="33"/>
        <v>694.93400640035395</v>
      </c>
      <c r="Q147" s="89">
        <f t="shared" si="33"/>
        <v>20.154611963744674</v>
      </c>
      <c r="R147" s="89">
        <f t="shared" si="33"/>
        <v>-0.13994393381323961</v>
      </c>
      <c r="S147" s="89">
        <f t="shared" si="33"/>
        <v>0</v>
      </c>
      <c r="T147" s="89">
        <f t="shared" si="33"/>
        <v>-4.6482027229775067</v>
      </c>
      <c r="U147" s="89">
        <f t="shared" si="33"/>
        <v>0</v>
      </c>
      <c r="V147" s="89">
        <f t="shared" si="33"/>
        <v>-0.87067838804396702</v>
      </c>
      <c r="W147" s="89">
        <f t="shared" si="33"/>
        <v>0</v>
      </c>
      <c r="X147" s="89">
        <f t="shared" si="33"/>
        <v>-71.979989072348317</v>
      </c>
      <c r="Y147" s="89">
        <f t="shared" si="33"/>
        <v>0</v>
      </c>
      <c r="AQ147" s="3"/>
    </row>
    <row r="148" spans="3:43" x14ac:dyDescent="0.3">
      <c r="C148" s="32"/>
      <c r="F148" t="s">
        <v>197</v>
      </c>
      <c r="G148" t="s">
        <v>172</v>
      </c>
      <c r="J148" s="89">
        <f t="shared" ref="J148:Y148" si="34">J88 + J111 + J134</f>
        <v>1641.3703603953707</v>
      </c>
      <c r="K148" s="89">
        <f t="shared" si="34"/>
        <v>0.95695654215552117</v>
      </c>
      <c r="L148" s="89">
        <f t="shared" si="34"/>
        <v>650.85764631881284</v>
      </c>
      <c r="M148" s="89">
        <f t="shared" si="34"/>
        <v>0.42721007176179271</v>
      </c>
      <c r="N148" s="89">
        <f>N88 + N111 + N134</f>
        <v>461.7067982656759</v>
      </c>
      <c r="O148" s="89">
        <f t="shared" si="34"/>
        <v>23.897690812466912</v>
      </c>
      <c r="P148" s="89">
        <f t="shared" si="34"/>
        <v>966.05413521289108</v>
      </c>
      <c r="Q148" s="89">
        <f t="shared" si="34"/>
        <v>30.615687349156499</v>
      </c>
      <c r="R148" s="89">
        <f t="shared" si="34"/>
        <v>-0.18568044367785944</v>
      </c>
      <c r="S148" s="89">
        <f t="shared" si="34"/>
        <v>0</v>
      </c>
      <c r="T148" s="89">
        <f t="shared" si="34"/>
        <v>-6.3092792884821236</v>
      </c>
      <c r="U148" s="89">
        <f t="shared" si="34"/>
        <v>0</v>
      </c>
      <c r="V148" s="89">
        <f t="shared" si="34"/>
        <v>-1.2153391133946116</v>
      </c>
      <c r="W148" s="89">
        <f t="shared" si="34"/>
        <v>0</v>
      </c>
      <c r="X148" s="89">
        <f t="shared" si="34"/>
        <v>0</v>
      </c>
      <c r="Y148" s="89">
        <f t="shared" si="34"/>
        <v>0</v>
      </c>
      <c r="AQ148" s="3"/>
    </row>
    <row r="149" spans="3:43" x14ac:dyDescent="0.3">
      <c r="C149" s="32"/>
      <c r="F149" t="s">
        <v>198</v>
      </c>
      <c r="G149" t="s">
        <v>172</v>
      </c>
      <c r="J149" s="89">
        <f t="shared" ref="J149:Y149" si="35">J89 + J112 + J135</f>
        <v>1616.7574965094045</v>
      </c>
      <c r="K149" s="89">
        <f t="shared" si="35"/>
        <v>0.94260667835562573</v>
      </c>
      <c r="L149" s="89">
        <f t="shared" si="35"/>
        <v>641.09783156614083</v>
      </c>
      <c r="M149" s="89">
        <f t="shared" si="35"/>
        <v>0.42080392260697669</v>
      </c>
      <c r="N149" s="89">
        <f t="shared" si="35"/>
        <v>454.78335986619061</v>
      </c>
      <c r="O149" s="89">
        <f t="shared" si="35"/>
        <v>23.539337435710141</v>
      </c>
      <c r="P149" s="89">
        <f t="shared" si="35"/>
        <v>0</v>
      </c>
      <c r="Q149" s="89">
        <f t="shared" si="35"/>
        <v>30.156595505120407</v>
      </c>
      <c r="R149" s="89">
        <f t="shared" si="35"/>
        <v>-0.18289610712786342</v>
      </c>
      <c r="S149" s="89">
        <f t="shared" si="35"/>
        <v>0</v>
      </c>
      <c r="T149" s="89">
        <f t="shared" si="35"/>
        <v>-6.2146696646623356</v>
      </c>
      <c r="U149" s="89">
        <f t="shared" si="35"/>
        <v>0</v>
      </c>
      <c r="V149" s="89">
        <f t="shared" si="35"/>
        <v>0</v>
      </c>
      <c r="W149" s="89">
        <f t="shared" si="35"/>
        <v>0</v>
      </c>
      <c r="X149" s="89">
        <f t="shared" si="35"/>
        <v>0</v>
      </c>
      <c r="Y149" s="89">
        <f t="shared" si="35"/>
        <v>0</v>
      </c>
      <c r="AQ149" s="3"/>
    </row>
    <row r="150" spans="3:43" x14ac:dyDescent="0.3">
      <c r="C150" s="32"/>
      <c r="F150" s="37" t="s">
        <v>199</v>
      </c>
      <c r="G150" s="37" t="s">
        <v>172</v>
      </c>
      <c r="H150" s="37"/>
      <c r="I150" s="37"/>
      <c r="J150" s="82">
        <f t="shared" ref="J150:Y150" si="36">J90 + J113 + J136</f>
        <v>1582.6424300692977</v>
      </c>
      <c r="K150" s="82">
        <f t="shared" si="36"/>
        <v>0.92271681266555272</v>
      </c>
      <c r="L150" s="82">
        <f t="shared" si="36"/>
        <v>627.57007915694692</v>
      </c>
      <c r="M150" s="82">
        <f t="shared" si="36"/>
        <v>0.41192457378132485</v>
      </c>
      <c r="N150" s="82">
        <f t="shared" si="36"/>
        <v>445.18701374057372</v>
      </c>
      <c r="O150" s="82">
        <f t="shared" si="36"/>
        <v>0</v>
      </c>
      <c r="P150" s="82">
        <f t="shared" si="36"/>
        <v>0</v>
      </c>
      <c r="Q150" s="82">
        <f t="shared" si="36"/>
        <v>29.520263673360986</v>
      </c>
      <c r="R150" s="82">
        <f t="shared" si="36"/>
        <v>0</v>
      </c>
      <c r="S150" s="82">
        <f t="shared" si="36"/>
        <v>0</v>
      </c>
      <c r="T150" s="82">
        <f t="shared" si="36"/>
        <v>0</v>
      </c>
      <c r="U150" s="82">
        <f t="shared" si="36"/>
        <v>0</v>
      </c>
      <c r="V150" s="82">
        <f t="shared" si="36"/>
        <v>0</v>
      </c>
      <c r="W150" s="82">
        <f t="shared" si="36"/>
        <v>0</v>
      </c>
      <c r="X150" s="82">
        <f t="shared" si="36"/>
        <v>0</v>
      </c>
      <c r="Y150" s="82">
        <f t="shared" si="36"/>
        <v>0</v>
      </c>
      <c r="AQ150" s="3"/>
    </row>
    <row r="151" spans="3:43" x14ac:dyDescent="0.3">
      <c r="C151" s="32"/>
      <c r="J151" s="63"/>
      <c r="K151" s="63"/>
      <c r="L151" s="63"/>
      <c r="M151" s="63"/>
      <c r="N151" s="63"/>
      <c r="O151" s="63"/>
      <c r="P151" s="63"/>
      <c r="Q151" s="63"/>
      <c r="R151" s="63"/>
      <c r="S151" s="63"/>
      <c r="T151" s="63"/>
      <c r="U151" s="63"/>
      <c r="V151" s="63"/>
      <c r="W151" s="63"/>
      <c r="X151" s="63"/>
      <c r="Y151" s="63"/>
      <c r="AQ151" s="3"/>
    </row>
    <row r="152" spans="3:43" x14ac:dyDescent="0.3">
      <c r="E152" s="32" t="s">
        <v>518</v>
      </c>
      <c r="J152" s="63"/>
      <c r="K152" s="63"/>
      <c r="L152" s="63"/>
      <c r="M152" s="63"/>
      <c r="N152" s="63"/>
      <c r="O152" s="63"/>
      <c r="P152" s="63"/>
      <c r="Q152" s="63"/>
      <c r="R152" s="63"/>
      <c r="S152" s="63"/>
      <c r="T152" s="63"/>
      <c r="U152" s="63"/>
      <c r="V152" s="63"/>
      <c r="W152" s="63"/>
      <c r="X152" s="63"/>
      <c r="Y152" s="63"/>
      <c r="AQ152" s="3"/>
    </row>
    <row r="153" spans="3:43" x14ac:dyDescent="0.3">
      <c r="E153" s="29" t="s">
        <v>519</v>
      </c>
      <c r="J153" s="63"/>
      <c r="K153" s="63"/>
      <c r="L153" s="63"/>
      <c r="M153" s="63"/>
      <c r="N153" s="63"/>
      <c r="O153" s="63"/>
      <c r="P153" s="63"/>
      <c r="Q153" s="63"/>
      <c r="R153" s="63"/>
      <c r="S153" s="63"/>
      <c r="T153" s="63"/>
      <c r="U153" s="63"/>
      <c r="V153" s="63"/>
      <c r="W153" s="63"/>
      <c r="X153" s="63"/>
      <c r="Y153" s="63"/>
      <c r="AQ153" s="3"/>
    </row>
    <row r="154" spans="3:43" x14ac:dyDescent="0.3">
      <c r="C154" s="32"/>
      <c r="F154" s="23" t="s">
        <v>191</v>
      </c>
      <c r="G154" s="23" t="s">
        <v>520</v>
      </c>
      <c r="H154" s="101">
        <f t="shared" ref="H154:H162" si="37">SUM(J142:Y142) * thousand</f>
        <v>3941790.7962086988</v>
      </c>
      <c r="J154" s="63"/>
      <c r="K154" s="63"/>
      <c r="L154" s="63"/>
      <c r="M154" s="63"/>
      <c r="N154" s="63"/>
      <c r="O154" s="63"/>
      <c r="P154" s="63"/>
      <c r="Q154" s="63"/>
      <c r="R154" s="63"/>
      <c r="S154" s="63"/>
      <c r="T154" s="63"/>
      <c r="U154" s="63"/>
      <c r="V154" s="63"/>
      <c r="W154" s="63"/>
      <c r="X154" s="63"/>
      <c r="Y154" s="63"/>
      <c r="AQ154" s="3"/>
    </row>
    <row r="155" spans="3:43" x14ac:dyDescent="0.3">
      <c r="C155" s="32"/>
      <c r="F155" t="s">
        <v>192</v>
      </c>
      <c r="G155" t="s">
        <v>520</v>
      </c>
      <c r="H155" s="121">
        <f t="shared" si="37"/>
        <v>3888168.3826797623</v>
      </c>
      <c r="J155" s="63"/>
      <c r="K155" s="63"/>
      <c r="L155" s="63"/>
      <c r="M155" s="63"/>
      <c r="N155" s="63"/>
      <c r="O155" s="63"/>
      <c r="P155" s="63"/>
      <c r="Q155" s="63"/>
      <c r="R155" s="63"/>
      <c r="S155" s="63"/>
      <c r="T155" s="63"/>
      <c r="U155" s="63"/>
      <c r="V155" s="63"/>
      <c r="W155" s="63"/>
      <c r="X155" s="63"/>
      <c r="Y155" s="63"/>
      <c r="AQ155" s="3"/>
    </row>
    <row r="156" spans="3:43" x14ac:dyDescent="0.3">
      <c r="C156" s="32"/>
      <c r="F156" t="s">
        <v>193</v>
      </c>
      <c r="G156" t="s">
        <v>520</v>
      </c>
      <c r="H156" s="121">
        <f t="shared" si="37"/>
        <v>1190617.8230122731</v>
      </c>
      <c r="J156" s="63"/>
      <c r="K156" s="63"/>
      <c r="L156" s="63"/>
      <c r="M156" s="63"/>
      <c r="N156" s="63"/>
      <c r="O156" s="63"/>
      <c r="P156" s="63"/>
      <c r="Q156" s="63"/>
      <c r="R156" s="63"/>
      <c r="S156" s="63"/>
      <c r="T156" s="63"/>
      <c r="U156" s="63"/>
      <c r="V156" s="63"/>
      <c r="W156" s="63"/>
      <c r="X156" s="63"/>
      <c r="Y156" s="63"/>
      <c r="AQ156" s="3"/>
    </row>
    <row r="157" spans="3:43" x14ac:dyDescent="0.3">
      <c r="C157" s="32"/>
      <c r="F157" t="s">
        <v>194</v>
      </c>
      <c r="G157" t="s">
        <v>520</v>
      </c>
      <c r="H157" s="121">
        <f t="shared" si="37"/>
        <v>1153976.3302209403</v>
      </c>
      <c r="J157" s="63"/>
      <c r="K157" s="63"/>
      <c r="L157" s="63"/>
      <c r="M157" s="63"/>
      <c r="N157" s="63"/>
      <c r="O157" s="63"/>
      <c r="P157" s="63"/>
      <c r="Q157" s="63"/>
      <c r="R157" s="63"/>
      <c r="S157" s="63"/>
      <c r="T157" s="63"/>
      <c r="U157" s="63"/>
      <c r="V157" s="63"/>
      <c r="W157" s="63"/>
      <c r="X157" s="63"/>
      <c r="Y157" s="63"/>
      <c r="AQ157" s="3"/>
    </row>
    <row r="158" spans="3:43" x14ac:dyDescent="0.3">
      <c r="C158" s="32"/>
      <c r="F158" t="s">
        <v>195</v>
      </c>
      <c r="G158" t="s">
        <v>520</v>
      </c>
      <c r="H158" s="121">
        <f t="shared" si="37"/>
        <v>1147273.6603455043</v>
      </c>
      <c r="J158" s="63"/>
      <c r="K158" s="63"/>
      <c r="L158" s="63"/>
      <c r="M158" s="63"/>
      <c r="N158" s="63"/>
      <c r="O158" s="63"/>
      <c r="P158" s="63"/>
      <c r="Q158" s="63"/>
      <c r="R158" s="63"/>
      <c r="S158" s="63"/>
      <c r="T158" s="63"/>
      <c r="U158" s="63"/>
      <c r="V158" s="63"/>
      <c r="W158" s="63"/>
      <c r="X158" s="63"/>
      <c r="Y158" s="63"/>
      <c r="AQ158" s="3"/>
    </row>
    <row r="159" spans="3:43" x14ac:dyDescent="0.3">
      <c r="C159" s="32"/>
      <c r="F159" t="s">
        <v>196</v>
      </c>
      <c r="G159" t="s">
        <v>520</v>
      </c>
      <c r="H159" s="121">
        <f t="shared" si="37"/>
        <v>2619821.724272775</v>
      </c>
      <c r="J159" s="63"/>
      <c r="K159" s="63"/>
      <c r="L159" s="63"/>
      <c r="M159" s="63"/>
      <c r="N159" s="63"/>
      <c r="O159" s="63"/>
      <c r="P159" s="63"/>
      <c r="Q159" s="63"/>
      <c r="R159" s="63"/>
      <c r="S159" s="63"/>
      <c r="T159" s="63"/>
      <c r="U159" s="63"/>
      <c r="V159" s="63"/>
      <c r="W159" s="63"/>
      <c r="X159" s="63"/>
      <c r="Y159" s="63"/>
      <c r="AQ159" s="3"/>
    </row>
    <row r="160" spans="3:43" x14ac:dyDescent="0.3">
      <c r="C160" s="32"/>
      <c r="F160" t="s">
        <v>197</v>
      </c>
      <c r="G160" t="s">
        <v>520</v>
      </c>
      <c r="H160" s="121">
        <f t="shared" si="37"/>
        <v>3768176.186122736</v>
      </c>
      <c r="J160" s="63"/>
      <c r="K160" s="63"/>
      <c r="L160" s="63"/>
      <c r="M160" s="63"/>
      <c r="N160" s="63"/>
      <c r="O160" s="63"/>
      <c r="P160" s="63"/>
      <c r="Q160" s="63"/>
      <c r="R160" s="63"/>
      <c r="S160" s="63"/>
      <c r="T160" s="63"/>
      <c r="U160" s="63"/>
      <c r="V160" s="63"/>
      <c r="W160" s="63"/>
      <c r="X160" s="63"/>
      <c r="Y160" s="63"/>
      <c r="AQ160" s="3"/>
    </row>
    <row r="161" spans="3:43" x14ac:dyDescent="0.3">
      <c r="C161" s="32"/>
      <c r="F161" t="s">
        <v>198</v>
      </c>
      <c r="G161" t="s">
        <v>520</v>
      </c>
      <c r="H161" s="121">
        <f t="shared" si="37"/>
        <v>2761300.4657117384</v>
      </c>
      <c r="J161" s="63"/>
      <c r="K161" s="63"/>
      <c r="L161" s="63"/>
      <c r="M161" s="63"/>
      <c r="N161" s="63"/>
      <c r="O161" s="63"/>
      <c r="P161" s="63"/>
      <c r="Q161" s="63"/>
      <c r="R161" s="63"/>
      <c r="S161" s="63"/>
      <c r="T161" s="63"/>
      <c r="U161" s="63"/>
      <c r="V161" s="63"/>
      <c r="W161" s="63"/>
      <c r="X161" s="63"/>
      <c r="Y161" s="63"/>
      <c r="AQ161" s="3"/>
    </row>
    <row r="162" spans="3:43" x14ac:dyDescent="0.3">
      <c r="C162" s="32"/>
      <c r="F162" s="37" t="s">
        <v>199</v>
      </c>
      <c r="G162" s="37" t="s">
        <v>520</v>
      </c>
      <c r="H162" s="131">
        <f t="shared" si="37"/>
        <v>2686254.4280266259</v>
      </c>
      <c r="J162" s="63"/>
      <c r="K162" s="63"/>
      <c r="L162" s="63"/>
      <c r="M162" s="63"/>
      <c r="N162" s="63"/>
      <c r="O162" s="63"/>
      <c r="P162" s="63"/>
      <c r="Q162" s="63"/>
      <c r="R162" s="63"/>
      <c r="S162" s="63"/>
      <c r="T162" s="63"/>
      <c r="U162" s="63"/>
      <c r="V162" s="63"/>
      <c r="W162" s="63"/>
      <c r="X162" s="63"/>
      <c r="Y162" s="63"/>
      <c r="AQ162" s="3"/>
    </row>
    <row r="163" spans="3:43" x14ac:dyDescent="0.3">
      <c r="C163" s="32"/>
      <c r="J163" s="63"/>
      <c r="K163" s="63"/>
      <c r="L163" s="63"/>
      <c r="M163" s="63"/>
      <c r="N163" s="63"/>
      <c r="O163" s="63"/>
      <c r="P163" s="63"/>
      <c r="Q163" s="63"/>
      <c r="R163" s="63"/>
      <c r="S163" s="63"/>
      <c r="T163" s="63"/>
      <c r="U163" s="63"/>
      <c r="V163" s="63"/>
      <c r="W163" s="63"/>
      <c r="X163" s="63"/>
      <c r="Y163" s="63"/>
      <c r="AQ163" s="3"/>
    </row>
    <row r="164" spans="3:43" x14ac:dyDescent="0.3">
      <c r="C164" s="31" t="str">
        <f ca="1">INDEX('Version control'!$H$34:$H$57,MATCH($A$1,'Version control'!$F$34:$F$57,0),1)&amp;"-D: Unit rate contributions to chargeable peak load"</f>
        <v>Section 106-D: Unit rate contributions to chargeable peak load</v>
      </c>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Q164" s="3"/>
    </row>
    <row r="165" spans="3:43" x14ac:dyDescent="0.3">
      <c r="H165" s="63"/>
      <c r="J165" s="63"/>
      <c r="K165" s="63"/>
      <c r="L165" s="63"/>
      <c r="M165" s="63"/>
      <c r="N165" s="63"/>
      <c r="O165" s="63"/>
      <c r="P165" s="63"/>
      <c r="Q165" s="63"/>
      <c r="R165" s="63"/>
      <c r="S165" s="63"/>
      <c r="T165" s="63"/>
      <c r="U165" s="63"/>
      <c r="V165" s="63"/>
      <c r="W165" s="63"/>
      <c r="X165" s="63"/>
      <c r="Y165" s="63"/>
    </row>
    <row r="166" spans="3:43" x14ac:dyDescent="0.3">
      <c r="E166" s="32" t="s">
        <v>521</v>
      </c>
      <c r="H166" s="63"/>
      <c r="J166" s="63"/>
      <c r="K166" s="63"/>
      <c r="L166" s="63"/>
      <c r="M166" s="63"/>
      <c r="N166" s="63"/>
      <c r="O166" s="63"/>
      <c r="P166" s="63"/>
      <c r="Q166" s="63"/>
      <c r="R166" s="63"/>
      <c r="S166" s="63"/>
      <c r="T166" s="63"/>
      <c r="U166" s="63"/>
      <c r="V166" s="63"/>
      <c r="W166" s="63"/>
      <c r="X166" s="63"/>
      <c r="Y166" s="63"/>
    </row>
    <row r="167" spans="3:43" x14ac:dyDescent="0.3">
      <c r="E167" s="29" t="s">
        <v>522</v>
      </c>
      <c r="F167" s="29"/>
      <c r="J167" s="63"/>
      <c r="K167" s="63"/>
      <c r="L167" s="63"/>
      <c r="M167" s="63"/>
      <c r="N167" s="63"/>
      <c r="O167" s="63"/>
      <c r="P167" s="63"/>
      <c r="Q167" s="63"/>
      <c r="R167" s="63"/>
      <c r="S167" s="63"/>
      <c r="T167" s="63"/>
      <c r="U167" s="63"/>
      <c r="V167" s="63"/>
      <c r="W167" s="63"/>
      <c r="X167" s="63"/>
      <c r="Y167" s="63"/>
      <c r="AQ167" s="3"/>
    </row>
    <row r="168" spans="3:43" x14ac:dyDescent="0.3">
      <c r="C168" s="32"/>
      <c r="F168" s="23" t="s">
        <v>191</v>
      </c>
      <c r="G168" s="23" t="s">
        <v>172</v>
      </c>
      <c r="H168" s="129"/>
      <c r="I168" s="23"/>
      <c r="J168" s="158">
        <f t="shared" ref="J168:Y168" si="38">J142 * (1 - J23)</f>
        <v>1761.0595494023396</v>
      </c>
      <c r="K168" s="158">
        <f t="shared" si="38"/>
        <v>0.72668967392095407</v>
      </c>
      <c r="L168" s="158">
        <f t="shared" si="38"/>
        <v>705.33651175713669</v>
      </c>
      <c r="M168" s="158">
        <f t="shared" si="38"/>
        <v>0.39647514880629875</v>
      </c>
      <c r="N168" s="158">
        <f t="shared" si="38"/>
        <v>500.84621072645405</v>
      </c>
      <c r="O168" s="158">
        <f t="shared" si="38"/>
        <v>26.345775648657003</v>
      </c>
      <c r="P168" s="158">
        <f t="shared" si="38"/>
        <v>1035.5209397097231</v>
      </c>
      <c r="Q168" s="158">
        <f t="shared" si="38"/>
        <v>28.496363899590293</v>
      </c>
      <c r="R168" s="158">
        <f t="shared" si="38"/>
        <v>-0.20472204087812759</v>
      </c>
      <c r="S168" s="158">
        <f t="shared" si="38"/>
        <v>0</v>
      </c>
      <c r="T168" s="158">
        <f t="shared" si="38"/>
        <v>-6.7810841956402212</v>
      </c>
      <c r="U168" s="158">
        <f t="shared" si="38"/>
        <v>0</v>
      </c>
      <c r="V168" s="158">
        <f t="shared" si="38"/>
        <v>-1.2897977362998747</v>
      </c>
      <c r="W168" s="158">
        <f t="shared" si="38"/>
        <v>0</v>
      </c>
      <c r="X168" s="158">
        <f t="shared" si="38"/>
        <v>-108.66211578511104</v>
      </c>
      <c r="Y168" s="158">
        <f t="shared" si="38"/>
        <v>0</v>
      </c>
      <c r="AQ168" s="3"/>
    </row>
    <row r="169" spans="3:43" x14ac:dyDescent="0.3">
      <c r="C169" s="32"/>
      <c r="F169" t="s">
        <v>192</v>
      </c>
      <c r="G169" t="s">
        <v>172</v>
      </c>
      <c r="H169" s="63"/>
      <c r="J169" s="89">
        <f t="shared" ref="J169:Y169" si="39">J143 * (1 - J24)</f>
        <v>1716.1381300609755</v>
      </c>
      <c r="K169" s="89">
        <f t="shared" si="39"/>
        <v>0.97162616764483678</v>
      </c>
      <c r="L169" s="89">
        <f t="shared" si="39"/>
        <v>703.17879084687513</v>
      </c>
      <c r="M169" s="89">
        <f t="shared" si="39"/>
        <v>0.44117309842947322</v>
      </c>
      <c r="N169" s="89">
        <f t="shared" si="39"/>
        <v>496.14901333285445</v>
      </c>
      <c r="O169" s="89">
        <f t="shared" si="39"/>
        <v>25.228262073729038</v>
      </c>
      <c r="P169" s="89">
        <f t="shared" si="39"/>
        <v>888.51661702860179</v>
      </c>
      <c r="Q169" s="89">
        <f t="shared" si="39"/>
        <v>29.912159394877975</v>
      </c>
      <c r="R169" s="89">
        <f t="shared" si="39"/>
        <v>-0.2076956511044693</v>
      </c>
      <c r="S169" s="89">
        <f t="shared" si="39"/>
        <v>0</v>
      </c>
      <c r="T169" s="89">
        <f t="shared" si="39"/>
        <v>-6.8985590493887212</v>
      </c>
      <c r="U169" s="89">
        <f t="shared" si="39"/>
        <v>0</v>
      </c>
      <c r="V169" s="89">
        <f t="shared" si="39"/>
        <v>-1.2922040261403112</v>
      </c>
      <c r="W169" s="89">
        <f t="shared" si="39"/>
        <v>0</v>
      </c>
      <c r="X169" s="89">
        <f t="shared" si="39"/>
        <v>-106.82800096805343</v>
      </c>
      <c r="Y169" s="89">
        <f t="shared" si="39"/>
        <v>0</v>
      </c>
      <c r="AQ169" s="3"/>
    </row>
    <row r="170" spans="3:43" x14ac:dyDescent="0.3">
      <c r="C170" s="32"/>
      <c r="F170" t="s">
        <v>193</v>
      </c>
      <c r="G170" t="s">
        <v>172</v>
      </c>
      <c r="H170" s="63"/>
      <c r="J170" s="89">
        <f t="shared" ref="J170:Y170" si="40">J144 * (1 - J25)</f>
        <v>525.50827106754946</v>
      </c>
      <c r="K170" s="89">
        <f t="shared" si="40"/>
        <v>0.29752709210236206</v>
      </c>
      <c r="L170" s="89">
        <f t="shared" si="40"/>
        <v>215.32431693955888</v>
      </c>
      <c r="M170" s="89">
        <f t="shared" si="40"/>
        <v>0.13509408603895359</v>
      </c>
      <c r="N170" s="89">
        <f t="shared" si="40"/>
        <v>151.92856893119378</v>
      </c>
      <c r="O170" s="89">
        <f t="shared" si="40"/>
        <v>7.725287465020851</v>
      </c>
      <c r="P170" s="89">
        <f t="shared" si="40"/>
        <v>315.82332727898154</v>
      </c>
      <c r="Q170" s="89">
        <f t="shared" si="40"/>
        <v>9.1595699041666148</v>
      </c>
      <c r="R170" s="89">
        <f t="shared" si="40"/>
        <v>-6.3599648890897045E-2</v>
      </c>
      <c r="S170" s="89">
        <f t="shared" si="40"/>
        <v>0</v>
      </c>
      <c r="T170" s="89">
        <f t="shared" si="40"/>
        <v>-2.1124464140732413</v>
      </c>
      <c r="U170" s="89">
        <f t="shared" si="40"/>
        <v>0</v>
      </c>
      <c r="V170" s="89">
        <f t="shared" si="40"/>
        <v>-0.39569303411456397</v>
      </c>
      <c r="W170" s="89">
        <f t="shared" si="40"/>
        <v>0</v>
      </c>
      <c r="X170" s="89">
        <f t="shared" si="40"/>
        <v>-32.712400655260545</v>
      </c>
      <c r="Y170" s="89">
        <f t="shared" si="40"/>
        <v>0</v>
      </c>
      <c r="AQ170" s="3"/>
    </row>
    <row r="171" spans="3:43" x14ac:dyDescent="0.3">
      <c r="C171" s="32"/>
      <c r="F171" t="s">
        <v>194</v>
      </c>
      <c r="G171" t="s">
        <v>172</v>
      </c>
      <c r="H171" s="63"/>
      <c r="J171" s="89">
        <f t="shared" ref="J171:Y171" si="41">J145 * (1 - J26)</f>
        <v>516.40599894517277</v>
      </c>
      <c r="K171" s="89">
        <f t="shared" si="41"/>
        <v>0.30107653398828488</v>
      </c>
      <c r="L171" s="89">
        <f t="shared" si="41"/>
        <v>204.77206188700126</v>
      </c>
      <c r="M171" s="89">
        <f t="shared" si="41"/>
        <v>0.134408326841266</v>
      </c>
      <c r="N171" s="89">
        <f t="shared" si="41"/>
        <v>145.26164608012752</v>
      </c>
      <c r="O171" s="89">
        <f t="shared" si="41"/>
        <v>7.518663181856283</v>
      </c>
      <c r="P171" s="89">
        <f t="shared" si="41"/>
        <v>243.15104635351622</v>
      </c>
      <c r="Q171" s="89">
        <f t="shared" si="41"/>
        <v>9.6322712962392796</v>
      </c>
      <c r="R171" s="89">
        <f t="shared" si="41"/>
        <v>-5.8418561292255158E-2</v>
      </c>
      <c r="S171" s="89">
        <f t="shared" si="41"/>
        <v>0</v>
      </c>
      <c r="T171" s="89">
        <f t="shared" si="41"/>
        <v>-1.9850179777877079</v>
      </c>
      <c r="U171" s="89">
        <f t="shared" si="41"/>
        <v>0</v>
      </c>
      <c r="V171" s="89">
        <f t="shared" si="41"/>
        <v>-0.38236855255416441</v>
      </c>
      <c r="W171" s="89">
        <f t="shared" si="41"/>
        <v>0</v>
      </c>
      <c r="X171" s="89">
        <f t="shared" si="41"/>
        <v>-31.562798880547547</v>
      </c>
      <c r="Y171" s="89">
        <f t="shared" si="41"/>
        <v>0</v>
      </c>
      <c r="AQ171" s="3"/>
    </row>
    <row r="172" spans="3:43" x14ac:dyDescent="0.3">
      <c r="C172" s="32"/>
      <c r="F172" t="s">
        <v>195</v>
      </c>
      <c r="G172" t="s">
        <v>172</v>
      </c>
      <c r="H172" s="63"/>
      <c r="J172" s="89">
        <f t="shared" ref="J172:Y172" si="42">J146 * (1 - J27)</f>
        <v>513.40654493387467</v>
      </c>
      <c r="K172" s="89">
        <f t="shared" si="42"/>
        <v>0.29932778354885631</v>
      </c>
      <c r="L172" s="89">
        <f t="shared" si="42"/>
        <v>203.5826791461281</v>
      </c>
      <c r="M172" s="89">
        <f t="shared" si="42"/>
        <v>0.13362763956048418</v>
      </c>
      <c r="N172" s="89">
        <f t="shared" si="42"/>
        <v>144.41791919098836</v>
      </c>
      <c r="O172" s="89">
        <f t="shared" si="42"/>
        <v>7.4749923405289476</v>
      </c>
      <c r="P172" s="89">
        <f t="shared" si="42"/>
        <v>0</v>
      </c>
      <c r="Q172" s="89">
        <f t="shared" si="42"/>
        <v>9.5763239314982957</v>
      </c>
      <c r="R172" s="89">
        <f t="shared" si="42"/>
        <v>-5.8079247286685419E-2</v>
      </c>
      <c r="S172" s="89">
        <f t="shared" si="42"/>
        <v>0</v>
      </c>
      <c r="T172" s="89">
        <f t="shared" si="42"/>
        <v>-1.9734883477134326</v>
      </c>
      <c r="U172" s="89">
        <f t="shared" si="42"/>
        <v>0</v>
      </c>
      <c r="V172" s="89">
        <f t="shared" si="42"/>
        <v>-0.380147631629358</v>
      </c>
      <c r="W172" s="89">
        <f t="shared" si="42"/>
        <v>0</v>
      </c>
      <c r="X172" s="89">
        <f t="shared" si="42"/>
        <v>-31.379471878337203</v>
      </c>
      <c r="Y172" s="89">
        <f t="shared" si="42"/>
        <v>0</v>
      </c>
      <c r="AQ172" s="3"/>
    </row>
    <row r="173" spans="3:43" x14ac:dyDescent="0.3">
      <c r="C173" s="32"/>
      <c r="F173" t="s">
        <v>196</v>
      </c>
      <c r="G173" t="s">
        <v>172</v>
      </c>
      <c r="H173" s="63"/>
      <c r="J173" s="89">
        <f t="shared" ref="J173:Y173" si="43">J147 * (1 - J28)</f>
        <v>1156.3223380485215</v>
      </c>
      <c r="K173" s="89">
        <f t="shared" si="43"/>
        <v>0.65467518156028814</v>
      </c>
      <c r="L173" s="89">
        <f t="shared" si="43"/>
        <v>473.7971432808273</v>
      </c>
      <c r="M173" s="89">
        <f t="shared" si="43"/>
        <v>0.29725946864309433</v>
      </c>
      <c r="N173" s="89">
        <f t="shared" si="43"/>
        <v>334.30187061756448</v>
      </c>
      <c r="O173" s="89">
        <f t="shared" si="43"/>
        <v>16.998633428743119</v>
      </c>
      <c r="P173" s="89">
        <f t="shared" si="43"/>
        <v>0</v>
      </c>
      <c r="Q173" s="89">
        <f t="shared" si="43"/>
        <v>20.154611963744674</v>
      </c>
      <c r="R173" s="89">
        <f t="shared" si="43"/>
        <v>-0.13994393381323961</v>
      </c>
      <c r="S173" s="89">
        <f t="shared" si="43"/>
        <v>0</v>
      </c>
      <c r="T173" s="89">
        <f t="shared" si="43"/>
        <v>-4.6482027229775067</v>
      </c>
      <c r="U173" s="89">
        <f t="shared" si="43"/>
        <v>0</v>
      </c>
      <c r="V173" s="89">
        <f t="shared" si="43"/>
        <v>-0.87067838804396702</v>
      </c>
      <c r="W173" s="89">
        <f t="shared" si="43"/>
        <v>0</v>
      </c>
      <c r="X173" s="89">
        <f t="shared" si="43"/>
        <v>-71.979989072348317</v>
      </c>
      <c r="Y173" s="89">
        <f t="shared" si="43"/>
        <v>0</v>
      </c>
      <c r="AQ173" s="3"/>
    </row>
    <row r="174" spans="3:43" x14ac:dyDescent="0.3">
      <c r="C174" s="32"/>
      <c r="F174" t="s">
        <v>197</v>
      </c>
      <c r="G174" t="s">
        <v>172</v>
      </c>
      <c r="H174" s="63"/>
      <c r="J174" s="89">
        <f t="shared" ref="J174:Y174" si="44">J148 * (1 - J29)</f>
        <v>1641.3703603953707</v>
      </c>
      <c r="K174" s="89">
        <f t="shared" si="44"/>
        <v>0.95695654215552117</v>
      </c>
      <c r="L174" s="89">
        <f t="shared" si="44"/>
        <v>650.85764631881284</v>
      </c>
      <c r="M174" s="89">
        <f t="shared" si="44"/>
        <v>0.42721007176179271</v>
      </c>
      <c r="N174" s="89">
        <f t="shared" si="44"/>
        <v>369.36543861254074</v>
      </c>
      <c r="O174" s="89">
        <f t="shared" si="44"/>
        <v>0</v>
      </c>
      <c r="P174" s="89">
        <f t="shared" si="44"/>
        <v>0</v>
      </c>
      <c r="Q174" s="89">
        <f t="shared" si="44"/>
        <v>30.615687349156499</v>
      </c>
      <c r="R174" s="89">
        <f t="shared" si="44"/>
        <v>-0.18568044367785944</v>
      </c>
      <c r="S174" s="89">
        <f t="shared" si="44"/>
        <v>0</v>
      </c>
      <c r="T174" s="89">
        <f t="shared" si="44"/>
        <v>-6.3092792884821236</v>
      </c>
      <c r="U174" s="89">
        <f t="shared" si="44"/>
        <v>0</v>
      </c>
      <c r="V174" s="89">
        <f t="shared" si="44"/>
        <v>-1.2153391133946116</v>
      </c>
      <c r="W174" s="89">
        <f t="shared" si="44"/>
        <v>0</v>
      </c>
      <c r="X174" s="89">
        <f t="shared" si="44"/>
        <v>0</v>
      </c>
      <c r="Y174" s="89">
        <f t="shared" si="44"/>
        <v>0</v>
      </c>
      <c r="AQ174" s="3"/>
    </row>
    <row r="175" spans="3:43" x14ac:dyDescent="0.3">
      <c r="C175" s="32"/>
      <c r="F175" t="s">
        <v>198</v>
      </c>
      <c r="G175" t="s">
        <v>172</v>
      </c>
      <c r="H175" s="63"/>
      <c r="J175" s="89">
        <f t="shared" ref="J175:Y175" si="45">J149 * (1 - J30)</f>
        <v>1616.7574965094045</v>
      </c>
      <c r="K175" s="89">
        <f t="shared" si="45"/>
        <v>0.94260667835562573</v>
      </c>
      <c r="L175" s="89">
        <f t="shared" si="45"/>
        <v>641.09783156614083</v>
      </c>
      <c r="M175" s="89">
        <f t="shared" si="45"/>
        <v>0.42080392260697669</v>
      </c>
      <c r="N175" s="89">
        <f t="shared" si="45"/>
        <v>0</v>
      </c>
      <c r="O175" s="89">
        <f t="shared" si="45"/>
        <v>0</v>
      </c>
      <c r="P175" s="89">
        <f t="shared" si="45"/>
        <v>0</v>
      </c>
      <c r="Q175" s="89">
        <f t="shared" si="45"/>
        <v>30.156595505120407</v>
      </c>
      <c r="R175" s="89">
        <f t="shared" si="45"/>
        <v>-0.18289610712786342</v>
      </c>
      <c r="S175" s="89">
        <f t="shared" si="45"/>
        <v>0</v>
      </c>
      <c r="T175" s="89">
        <f t="shared" si="45"/>
        <v>-6.2146696646623356</v>
      </c>
      <c r="U175" s="89">
        <f t="shared" si="45"/>
        <v>0</v>
      </c>
      <c r="V175" s="89">
        <f t="shared" si="45"/>
        <v>0</v>
      </c>
      <c r="W175" s="89">
        <f t="shared" si="45"/>
        <v>0</v>
      </c>
      <c r="X175" s="89">
        <f t="shared" si="45"/>
        <v>0</v>
      </c>
      <c r="Y175" s="89">
        <f t="shared" si="45"/>
        <v>0</v>
      </c>
      <c r="AQ175" s="3"/>
    </row>
    <row r="176" spans="3:43" x14ac:dyDescent="0.3">
      <c r="C176" s="32"/>
      <c r="F176" s="37" t="s">
        <v>199</v>
      </c>
      <c r="G176" s="37" t="s">
        <v>172</v>
      </c>
      <c r="H176" s="130"/>
      <c r="I176" s="37"/>
      <c r="J176" s="82">
        <f t="shared" ref="J176:Y176" si="46">J150 * (1 - J31)</f>
        <v>0</v>
      </c>
      <c r="K176" s="82">
        <f t="shared" si="46"/>
        <v>0</v>
      </c>
      <c r="L176" s="82">
        <f t="shared" si="46"/>
        <v>0</v>
      </c>
      <c r="M176" s="82">
        <f t="shared" si="46"/>
        <v>0</v>
      </c>
      <c r="N176" s="82">
        <f t="shared" si="46"/>
        <v>0</v>
      </c>
      <c r="O176" s="82">
        <f t="shared" si="46"/>
        <v>0</v>
      </c>
      <c r="P176" s="82">
        <f t="shared" si="46"/>
        <v>0</v>
      </c>
      <c r="Q176" s="82">
        <f t="shared" si="46"/>
        <v>29.520263673360986</v>
      </c>
      <c r="R176" s="82">
        <f t="shared" si="46"/>
        <v>0</v>
      </c>
      <c r="S176" s="82">
        <f t="shared" si="46"/>
        <v>0</v>
      </c>
      <c r="T176" s="82">
        <f t="shared" si="46"/>
        <v>0</v>
      </c>
      <c r="U176" s="82">
        <f t="shared" si="46"/>
        <v>0</v>
      </c>
      <c r="V176" s="82">
        <f t="shared" si="46"/>
        <v>0</v>
      </c>
      <c r="W176" s="82">
        <f t="shared" si="46"/>
        <v>0</v>
      </c>
      <c r="X176" s="82">
        <f t="shared" si="46"/>
        <v>0</v>
      </c>
      <c r="Y176" s="82">
        <f t="shared" si="46"/>
        <v>0</v>
      </c>
      <c r="AQ176" s="3"/>
    </row>
    <row r="177" spans="2:43" x14ac:dyDescent="0.3">
      <c r="C177" s="32"/>
      <c r="F177" s="108" t="s">
        <v>100</v>
      </c>
      <c r="G177" s="108" t="s">
        <v>172</v>
      </c>
      <c r="H177" s="168"/>
      <c r="I177" s="108"/>
      <c r="J177" s="167">
        <f t="shared" ref="J177:Y177" si="47">SUM(J168:J176)</f>
        <v>9446.9686893632097</v>
      </c>
      <c r="K177" s="167">
        <f t="shared" si="47"/>
        <v>5.1504856532767294</v>
      </c>
      <c r="L177" s="167">
        <f t="shared" si="47"/>
        <v>3797.9469817424811</v>
      </c>
      <c r="M177" s="167">
        <f t="shared" si="47"/>
        <v>2.3860517626883397</v>
      </c>
      <c r="N177" s="167">
        <f t="shared" si="47"/>
        <v>2142.2706674917235</v>
      </c>
      <c r="O177" s="167">
        <f t="shared" si="47"/>
        <v>91.291614138535223</v>
      </c>
      <c r="P177" s="167">
        <f t="shared" si="47"/>
        <v>2483.0119303708225</v>
      </c>
      <c r="Q177" s="167">
        <f t="shared" si="47"/>
        <v>197.223846917755</v>
      </c>
      <c r="R177" s="167">
        <f t="shared" si="47"/>
        <v>-1.1010356340713969</v>
      </c>
      <c r="S177" s="167">
        <f t="shared" si="47"/>
        <v>0</v>
      </c>
      <c r="T177" s="167">
        <f t="shared" si="47"/>
        <v>-36.922747660725292</v>
      </c>
      <c r="U177" s="167">
        <f t="shared" si="47"/>
        <v>0</v>
      </c>
      <c r="V177" s="167">
        <f t="shared" si="47"/>
        <v>-5.82622848217685</v>
      </c>
      <c r="W177" s="167">
        <f t="shared" si="47"/>
        <v>0</v>
      </c>
      <c r="X177" s="167">
        <f t="shared" si="47"/>
        <v>-383.1247772396581</v>
      </c>
      <c r="Y177" s="167">
        <f t="shared" si="47"/>
        <v>0</v>
      </c>
      <c r="AQ177" s="3"/>
    </row>
    <row r="178" spans="2:43" x14ac:dyDescent="0.3">
      <c r="H178" s="166"/>
    </row>
    <row r="179" spans="2:43" x14ac:dyDescent="0.3">
      <c r="B179" s="30" t="s">
        <v>523</v>
      </c>
      <c r="C179" s="30"/>
      <c r="D179" s="30"/>
      <c r="E179" s="30"/>
      <c r="F179" s="30"/>
      <c r="G179" s="30"/>
      <c r="H179" s="30"/>
      <c r="I179" s="30"/>
      <c r="J179" s="133"/>
      <c r="K179" s="133"/>
      <c r="L179" s="133"/>
      <c r="M179" s="133"/>
      <c r="N179" s="133"/>
      <c r="O179" s="133"/>
      <c r="P179" s="133"/>
      <c r="Q179" s="133"/>
      <c r="R179" s="133"/>
      <c r="S179" s="133"/>
      <c r="T179" s="133"/>
      <c r="U179" s="133"/>
      <c r="V179" s="133"/>
      <c r="W179" s="133"/>
      <c r="X179" s="133"/>
      <c r="Y179" s="133"/>
      <c r="Z179" s="30"/>
      <c r="AA179" s="30"/>
      <c r="AQ179" s="3"/>
    </row>
    <row r="180" spans="2:43" x14ac:dyDescent="0.3">
      <c r="C180" s="32"/>
      <c r="J180" s="63"/>
      <c r="K180" s="63"/>
      <c r="L180" s="63"/>
      <c r="M180" s="63"/>
      <c r="N180" s="63"/>
      <c r="O180" s="63"/>
      <c r="P180" s="63"/>
      <c r="Q180" s="63"/>
      <c r="R180" s="63"/>
      <c r="S180" s="63"/>
      <c r="T180" s="63"/>
      <c r="U180" s="63"/>
      <c r="V180" s="63"/>
      <c r="W180" s="63"/>
      <c r="X180" s="63"/>
      <c r="Y180" s="63"/>
      <c r="AQ180" s="3"/>
    </row>
    <row r="181" spans="2:43" x14ac:dyDescent="0.3">
      <c r="C181" s="29" t="s">
        <v>524</v>
      </c>
      <c r="J181" s="63"/>
      <c r="K181" s="63"/>
      <c r="L181" s="63"/>
      <c r="M181" s="63"/>
      <c r="N181" s="63"/>
      <c r="O181" s="63"/>
      <c r="P181" s="63"/>
      <c r="Q181" s="63"/>
      <c r="R181" s="63"/>
      <c r="S181" s="63"/>
      <c r="T181" s="63"/>
      <c r="U181" s="63"/>
      <c r="V181" s="63"/>
      <c r="W181" s="63"/>
      <c r="X181" s="63"/>
      <c r="Y181" s="63"/>
      <c r="AQ181" s="3"/>
    </row>
    <row r="182" spans="2:43" x14ac:dyDescent="0.3">
      <c r="C182" s="29" t="s">
        <v>525</v>
      </c>
      <c r="J182" s="63"/>
      <c r="K182" s="63"/>
      <c r="L182" s="63"/>
      <c r="M182" s="63"/>
      <c r="N182" s="63"/>
      <c r="O182" s="63"/>
      <c r="P182" s="63"/>
      <c r="Q182" s="63"/>
      <c r="R182" s="63"/>
      <c r="S182" s="63"/>
      <c r="T182" s="63"/>
      <c r="U182" s="63"/>
      <c r="V182" s="63"/>
      <c r="W182" s="63"/>
      <c r="X182" s="63"/>
      <c r="Y182" s="63"/>
      <c r="AQ182" s="3"/>
    </row>
    <row r="183" spans="2:43" x14ac:dyDescent="0.3">
      <c r="C183" s="32"/>
      <c r="J183" s="63"/>
      <c r="K183" s="63"/>
      <c r="L183" s="63"/>
      <c r="M183" s="63"/>
      <c r="N183" s="63"/>
      <c r="O183" s="63"/>
      <c r="P183" s="63"/>
      <c r="Q183" s="63"/>
      <c r="R183" s="63"/>
      <c r="S183" s="63"/>
      <c r="T183" s="63"/>
      <c r="U183" s="63"/>
      <c r="V183" s="63"/>
      <c r="W183" s="63"/>
      <c r="X183" s="63"/>
      <c r="Y183" s="63"/>
      <c r="AQ183" s="3"/>
    </row>
    <row r="184" spans="2:43" x14ac:dyDescent="0.3">
      <c r="C184" s="31" t="str">
        <f ca="1">INDEX('Version control'!$H$34:$H$57,MATCH($A$1,'Version control'!$F$34:$F$57,0),1)&amp;"-E: Adjustment of import and exceeded capacity"</f>
        <v>Section 106-E: Adjustment of import and exceeded capacity</v>
      </c>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Q184" s="3"/>
    </row>
    <row r="185" spans="2:43" x14ac:dyDescent="0.3">
      <c r="C185" s="32"/>
      <c r="J185" s="63"/>
      <c r="K185" s="63"/>
      <c r="L185" s="63"/>
      <c r="M185" s="63"/>
      <c r="N185" s="63"/>
      <c r="O185" s="63"/>
      <c r="P185" s="63"/>
      <c r="Q185" s="63"/>
      <c r="R185" s="63"/>
      <c r="S185" s="63"/>
      <c r="T185" s="63"/>
      <c r="U185" s="63"/>
      <c r="V185" s="63"/>
      <c r="W185" s="63"/>
      <c r="X185" s="63"/>
      <c r="Y185" s="63"/>
      <c r="AQ185" s="3"/>
    </row>
    <row r="186" spans="2:43" x14ac:dyDescent="0.3">
      <c r="D186" s="29" t="s">
        <v>526</v>
      </c>
      <c r="E186" s="29"/>
      <c r="J186" s="63"/>
      <c r="K186" s="63"/>
      <c r="L186" s="63"/>
      <c r="M186" s="63"/>
      <c r="N186" s="63"/>
      <c r="O186" s="63"/>
      <c r="P186" s="63"/>
      <c r="Q186" s="63"/>
      <c r="R186" s="63"/>
      <c r="S186" s="63"/>
      <c r="T186" s="63"/>
      <c r="U186" s="63"/>
      <c r="V186" s="63"/>
      <c r="W186" s="63"/>
      <c r="X186" s="63"/>
      <c r="Y186" s="63"/>
      <c r="AQ186" s="3"/>
    </row>
    <row r="187" spans="2:43" x14ac:dyDescent="0.3">
      <c r="J187" s="63"/>
      <c r="K187" s="63"/>
      <c r="L187" s="63"/>
      <c r="M187" s="63"/>
      <c r="N187" s="63"/>
      <c r="O187" s="63"/>
      <c r="P187" s="63"/>
      <c r="Q187" s="63"/>
      <c r="R187" s="63"/>
      <c r="S187" s="63"/>
      <c r="T187" s="63"/>
      <c r="U187" s="63"/>
      <c r="V187" s="63"/>
      <c r="W187" s="63"/>
      <c r="X187" s="63"/>
      <c r="Y187" s="63"/>
      <c r="AQ187" s="3"/>
    </row>
    <row r="188" spans="2:43" x14ac:dyDescent="0.3">
      <c r="C188" s="32"/>
      <c r="E188" t="s">
        <v>250</v>
      </c>
      <c r="G188" t="s">
        <v>251</v>
      </c>
      <c r="J188" s="120">
        <f>'Volume adjustments'!J286</f>
        <v>0</v>
      </c>
      <c r="K188" s="120">
        <f>'Volume adjustments'!K286</f>
        <v>0</v>
      </c>
      <c r="L188" s="120">
        <f>'Volume adjustments'!L286</f>
        <v>0</v>
      </c>
      <c r="M188" s="120">
        <f>'Volume adjustments'!M286</f>
        <v>0</v>
      </c>
      <c r="N188" s="120">
        <f>'Volume adjustments'!N286</f>
        <v>1615029.31771687</v>
      </c>
      <c r="O188" s="120">
        <f>'Volume adjustments'!O286</f>
        <v>176263.4915536289</v>
      </c>
      <c r="P188" s="120">
        <f>'Volume adjustments'!P286</f>
        <v>2965995.1867516614</v>
      </c>
      <c r="Q188" s="120">
        <f>'Volume adjustments'!Q286</f>
        <v>0</v>
      </c>
      <c r="R188" s="120">
        <f>'Volume adjustments'!R286</f>
        <v>0</v>
      </c>
      <c r="S188" s="120">
        <f>'Volume adjustments'!S286</f>
        <v>0</v>
      </c>
      <c r="T188" s="120">
        <f>'Volume adjustments'!T286</f>
        <v>0</v>
      </c>
      <c r="U188" s="120">
        <f>'Volume adjustments'!U286</f>
        <v>0</v>
      </c>
      <c r="V188" s="120">
        <f>'Volume adjustments'!V286</f>
        <v>0</v>
      </c>
      <c r="W188" s="120">
        <f>'Volume adjustments'!W286</f>
        <v>0</v>
      </c>
      <c r="X188" s="120">
        <f>'Volume adjustments'!X286</f>
        <v>0</v>
      </c>
      <c r="Y188" s="120">
        <f>'Volume adjustments'!Y286</f>
        <v>0</v>
      </c>
      <c r="AQ188" s="3"/>
    </row>
    <row r="189" spans="2:43" x14ac:dyDescent="0.3">
      <c r="C189" s="32"/>
      <c r="E189" t="s">
        <v>252</v>
      </c>
      <c r="G189" t="s">
        <v>251</v>
      </c>
      <c r="J189" s="120">
        <f>'Volume adjustments'!J297</f>
        <v>0</v>
      </c>
      <c r="K189" s="120">
        <f>'Volume adjustments'!K297</f>
        <v>0</v>
      </c>
      <c r="L189" s="120">
        <f>'Volume adjustments'!L297</f>
        <v>0</v>
      </c>
      <c r="M189" s="120">
        <f>'Volume adjustments'!M297</f>
        <v>0</v>
      </c>
      <c r="N189" s="120">
        <f>'Volume adjustments'!N297</f>
        <v>32178.958925583273</v>
      </c>
      <c r="O189" s="120">
        <f>'Volume adjustments'!O297</f>
        <v>315.97343605843048</v>
      </c>
      <c r="P189" s="120">
        <f>'Volume adjustments'!P297</f>
        <v>38347.323630868916</v>
      </c>
      <c r="Q189" s="120">
        <f>'Volume adjustments'!Q297</f>
        <v>0</v>
      </c>
      <c r="R189" s="120">
        <f>'Volume adjustments'!R297</f>
        <v>0</v>
      </c>
      <c r="S189" s="120">
        <f>'Volume adjustments'!S297</f>
        <v>0</v>
      </c>
      <c r="T189" s="120">
        <f>'Volume adjustments'!T297</f>
        <v>0</v>
      </c>
      <c r="U189" s="120">
        <f>'Volume adjustments'!U297</f>
        <v>0</v>
      </c>
      <c r="V189" s="120">
        <f>'Volume adjustments'!V297</f>
        <v>0</v>
      </c>
      <c r="W189" s="120">
        <f>'Volume adjustments'!W297</f>
        <v>0</v>
      </c>
      <c r="X189" s="120">
        <f>'Volume adjustments'!X297</f>
        <v>0</v>
      </c>
      <c r="Y189" s="120">
        <f>'Volume adjustments'!Y297</f>
        <v>0</v>
      </c>
      <c r="AQ189" s="3"/>
    </row>
    <row r="190" spans="2:43" x14ac:dyDescent="0.3">
      <c r="C190" s="32"/>
      <c r="J190" s="120"/>
      <c r="K190" s="120"/>
      <c r="L190" s="120"/>
      <c r="M190" s="120"/>
      <c r="N190" s="120"/>
      <c r="O190" s="120"/>
      <c r="P190" s="120"/>
      <c r="Q190" s="120"/>
      <c r="R190" s="120"/>
      <c r="S190" s="120"/>
      <c r="T190" s="120"/>
      <c r="U190" s="120"/>
      <c r="V190" s="120"/>
      <c r="W190" s="120"/>
      <c r="X190" s="120"/>
      <c r="Y190" s="120"/>
      <c r="AQ190" s="3"/>
    </row>
    <row r="191" spans="2:43" x14ac:dyDescent="0.3">
      <c r="C191" s="32"/>
      <c r="E191" t="s">
        <v>527</v>
      </c>
      <c r="G191" t="s">
        <v>251</v>
      </c>
      <c r="J191" s="89">
        <f t="shared" ref="J191:Y191" si="48">SUM(J188:J189)</f>
        <v>0</v>
      </c>
      <c r="K191" s="89">
        <f t="shared" si="48"/>
        <v>0</v>
      </c>
      <c r="L191" s="89">
        <f t="shared" si="48"/>
        <v>0</v>
      </c>
      <c r="M191" s="89">
        <f t="shared" si="48"/>
        <v>0</v>
      </c>
      <c r="N191" s="89">
        <f t="shared" si="48"/>
        <v>1647208.2766424532</v>
      </c>
      <c r="O191" s="89">
        <f t="shared" si="48"/>
        <v>176579.46498968735</v>
      </c>
      <c r="P191" s="89">
        <f t="shared" si="48"/>
        <v>3004342.5103825303</v>
      </c>
      <c r="Q191" s="89">
        <f t="shared" si="48"/>
        <v>0</v>
      </c>
      <c r="R191" s="89">
        <f t="shared" si="48"/>
        <v>0</v>
      </c>
      <c r="S191" s="89">
        <f t="shared" si="48"/>
        <v>0</v>
      </c>
      <c r="T191" s="89">
        <f t="shared" si="48"/>
        <v>0</v>
      </c>
      <c r="U191" s="89">
        <f t="shared" si="48"/>
        <v>0</v>
      </c>
      <c r="V191" s="89">
        <f t="shared" si="48"/>
        <v>0</v>
      </c>
      <c r="W191" s="89">
        <f t="shared" si="48"/>
        <v>0</v>
      </c>
      <c r="X191" s="89">
        <f t="shared" si="48"/>
        <v>0</v>
      </c>
      <c r="Y191" s="89">
        <f t="shared" si="48"/>
        <v>0</v>
      </c>
      <c r="AQ191" s="3"/>
    </row>
    <row r="192" spans="2:43" x14ac:dyDescent="0.3">
      <c r="C192" s="32"/>
      <c r="E192" t="s">
        <v>528</v>
      </c>
      <c r="G192" t="s">
        <v>172</v>
      </c>
      <c r="J192" s="89">
        <f t="shared" ref="J192:Y192" si="49">J191 * PowerFactor / thousand</f>
        <v>0</v>
      </c>
      <c r="K192" s="89">
        <f t="shared" si="49"/>
        <v>0</v>
      </c>
      <c r="L192" s="89">
        <f t="shared" si="49"/>
        <v>0</v>
      </c>
      <c r="M192" s="89">
        <f t="shared" si="49"/>
        <v>0</v>
      </c>
      <c r="N192" s="89">
        <f t="shared" si="49"/>
        <v>1564.8478628103305</v>
      </c>
      <c r="O192" s="89">
        <f t="shared" si="49"/>
        <v>167.75049174020296</v>
      </c>
      <c r="P192" s="89">
        <f t="shared" si="49"/>
        <v>2854.1253848634037</v>
      </c>
      <c r="Q192" s="89">
        <f t="shared" si="49"/>
        <v>0</v>
      </c>
      <c r="R192" s="89">
        <f t="shared" si="49"/>
        <v>0</v>
      </c>
      <c r="S192" s="89">
        <f t="shared" si="49"/>
        <v>0</v>
      </c>
      <c r="T192" s="89">
        <f t="shared" si="49"/>
        <v>0</v>
      </c>
      <c r="U192" s="89">
        <f t="shared" si="49"/>
        <v>0</v>
      </c>
      <c r="V192" s="89">
        <f t="shared" si="49"/>
        <v>0</v>
      </c>
      <c r="W192" s="89">
        <f t="shared" si="49"/>
        <v>0</v>
      </c>
      <c r="X192" s="89">
        <f t="shared" si="49"/>
        <v>0</v>
      </c>
      <c r="Y192" s="89">
        <f t="shared" si="49"/>
        <v>0</v>
      </c>
      <c r="AQ192" s="3"/>
    </row>
    <row r="193" spans="3:43" x14ac:dyDescent="0.3">
      <c r="C193" s="32"/>
      <c r="J193" s="63"/>
      <c r="K193" s="63"/>
      <c r="L193" s="63"/>
      <c r="M193" s="63"/>
      <c r="N193" s="63"/>
      <c r="O193" s="63"/>
      <c r="P193" s="63"/>
      <c r="Q193" s="63"/>
      <c r="R193" s="63"/>
      <c r="S193" s="63"/>
      <c r="T193" s="63"/>
      <c r="U193" s="63"/>
      <c r="V193" s="63"/>
      <c r="W193" s="63"/>
      <c r="X193" s="63"/>
      <c r="Y193" s="63"/>
      <c r="AQ193" s="3"/>
    </row>
    <row r="194" spans="3:43" x14ac:dyDescent="0.3">
      <c r="C194" s="31" t="str">
        <f ca="1">INDEX('Version control'!$H$34:$H$57,MATCH($A$1,'Version control'!$F$34:$F$57,0),1)&amp;"-F: Calculation of LV circuit diversity factor"</f>
        <v>Section 106-F: Calculation of LV circuit diversity factor</v>
      </c>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Q194" s="3"/>
    </row>
    <row r="195" spans="3:43" x14ac:dyDescent="0.3">
      <c r="C195" s="32"/>
      <c r="J195" s="63"/>
      <c r="K195" s="63"/>
      <c r="L195" s="63"/>
      <c r="M195" s="63"/>
      <c r="N195" s="63"/>
      <c r="O195" s="63"/>
      <c r="P195" s="63"/>
      <c r="Q195" s="63"/>
      <c r="R195" s="63"/>
      <c r="S195" s="63"/>
      <c r="T195" s="63"/>
      <c r="U195" s="63"/>
      <c r="V195" s="63"/>
      <c r="W195" s="63"/>
      <c r="X195" s="63"/>
      <c r="Y195" s="63"/>
      <c r="AQ195" s="3"/>
    </row>
    <row r="196" spans="3:43" x14ac:dyDescent="0.3">
      <c r="C196" s="32"/>
      <c r="D196" s="29" t="s">
        <v>529</v>
      </c>
      <c r="J196" s="63"/>
      <c r="K196" s="63"/>
      <c r="L196" s="63"/>
      <c r="M196" s="63"/>
      <c r="N196" s="63"/>
      <c r="O196" s="63"/>
      <c r="P196" s="63"/>
      <c r="Q196" s="63"/>
      <c r="R196" s="63"/>
      <c r="S196" s="63"/>
      <c r="T196" s="63"/>
      <c r="U196" s="63"/>
      <c r="V196" s="63"/>
      <c r="W196" s="63"/>
      <c r="X196" s="63"/>
      <c r="Y196" s="63"/>
      <c r="AQ196" s="3"/>
    </row>
    <row r="197" spans="3:43" x14ac:dyDescent="0.3">
      <c r="D197" s="32"/>
      <c r="J197" s="63"/>
      <c r="K197" s="63"/>
      <c r="L197" s="63"/>
      <c r="M197" s="63"/>
      <c r="N197" s="63"/>
      <c r="O197" s="63"/>
      <c r="P197" s="63"/>
      <c r="Q197" s="63"/>
      <c r="R197" s="63"/>
      <c r="S197" s="63"/>
      <c r="T197" s="63"/>
      <c r="U197" s="63"/>
      <c r="V197" s="63"/>
      <c r="W197" s="63"/>
      <c r="X197" s="63"/>
      <c r="Y197" s="63"/>
      <c r="AQ197" s="3"/>
    </row>
    <row r="198" spans="3:43" x14ac:dyDescent="0.3">
      <c r="E198" t="s">
        <v>221</v>
      </c>
      <c r="G198" t="s">
        <v>209</v>
      </c>
      <c r="H198" s="166"/>
      <c r="I198" t="s">
        <v>154</v>
      </c>
      <c r="J198" s="169" t="b">
        <f>'Fixed inputs'!J131</f>
        <v>1</v>
      </c>
      <c r="K198" s="169" t="b">
        <f>'Fixed inputs'!K131</f>
        <v>0</v>
      </c>
      <c r="L198" s="169" t="b">
        <f>'Fixed inputs'!L131</f>
        <v>1</v>
      </c>
      <c r="M198" s="169" t="b">
        <f>'Fixed inputs'!M131</f>
        <v>0</v>
      </c>
      <c r="N198" s="169" t="b">
        <f>'Fixed inputs'!N131</f>
        <v>1</v>
      </c>
      <c r="O198" s="169" t="b">
        <f>'Fixed inputs'!O131</f>
        <v>1</v>
      </c>
      <c r="P198" s="169" t="b">
        <f>'Fixed inputs'!P131</f>
        <v>1</v>
      </c>
      <c r="Q198" s="169" t="b">
        <f>'Fixed inputs'!Q131</f>
        <v>1</v>
      </c>
      <c r="R198" s="169" t="b">
        <f>'Fixed inputs'!R131</f>
        <v>1</v>
      </c>
      <c r="S198" s="169" t="b">
        <f>'Fixed inputs'!S131</f>
        <v>1</v>
      </c>
      <c r="T198" s="169" t="b">
        <f>'Fixed inputs'!T131</f>
        <v>1</v>
      </c>
      <c r="U198" s="169" t="b">
        <f>'Fixed inputs'!U131</f>
        <v>1</v>
      </c>
      <c r="V198" s="169" t="b">
        <f>'Fixed inputs'!V131</f>
        <v>1</v>
      </c>
      <c r="W198" s="169" t="b">
        <f>'Fixed inputs'!W131</f>
        <v>1</v>
      </c>
      <c r="X198" s="169" t="b">
        <f>'Fixed inputs'!X131</f>
        <v>1</v>
      </c>
      <c r="Y198" s="169" t="b">
        <f>'Fixed inputs'!Y131</f>
        <v>1</v>
      </c>
      <c r="AA198" t="s">
        <v>530</v>
      </c>
    </row>
    <row r="199" spans="3:43" x14ac:dyDescent="0.3">
      <c r="D199" s="32"/>
      <c r="H199" s="170"/>
      <c r="J199" s="63"/>
      <c r="L199" s="63"/>
      <c r="AQ199" s="3"/>
    </row>
    <row r="200" spans="3:43" x14ac:dyDescent="0.3">
      <c r="C200" s="32"/>
      <c r="E200" t="s">
        <v>531</v>
      </c>
      <c r="G200" t="s">
        <v>172</v>
      </c>
      <c r="H200" s="63"/>
      <c r="I200" t="s">
        <v>154</v>
      </c>
      <c r="J200" s="121">
        <f t="shared" ref="J200:Q200" si="50">IF(J61 = 0, 0, J59 / (hours_in_year * J61))</f>
        <v>2112.6929518010884</v>
      </c>
      <c r="K200" s="121">
        <f t="shared" si="50"/>
        <v>10.973290498328069</v>
      </c>
      <c r="L200" s="121">
        <f t="shared" si="50"/>
        <v>733.62011211835545</v>
      </c>
      <c r="M200" s="121">
        <f t="shared" si="50"/>
        <v>2.0454605364011504</v>
      </c>
      <c r="N200" s="121">
        <f t="shared" si="50"/>
        <v>528.43301822234241</v>
      </c>
      <c r="O200" s="121">
        <f t="shared" si="50"/>
        <v>29.728779036538903</v>
      </c>
      <c r="P200" s="121">
        <f t="shared" si="50"/>
        <v>1136.9128464351452</v>
      </c>
      <c r="Q200" s="121">
        <f t="shared" si="50"/>
        <v>54.065424081434287</v>
      </c>
      <c r="R200" s="77"/>
      <c r="S200" s="77"/>
      <c r="T200" s="77"/>
      <c r="U200" s="77"/>
      <c r="V200" s="77"/>
      <c r="W200" s="77"/>
      <c r="X200" s="77"/>
      <c r="Y200" s="77"/>
      <c r="AA200" t="s">
        <v>530</v>
      </c>
      <c r="AQ200" s="3"/>
    </row>
    <row r="201" spans="3:43" x14ac:dyDescent="0.3">
      <c r="C201" s="32"/>
      <c r="H201" s="63"/>
      <c r="J201" s="89"/>
      <c r="K201" s="89"/>
      <c r="L201" s="89"/>
      <c r="M201" s="89"/>
      <c r="N201" s="89"/>
      <c r="O201" s="89"/>
      <c r="P201" s="89"/>
      <c r="Q201" s="89"/>
      <c r="R201" s="63"/>
      <c r="S201" s="63"/>
      <c r="T201" s="63"/>
      <c r="U201" s="63"/>
      <c r="V201" s="63"/>
      <c r="W201" s="63"/>
      <c r="X201" s="63"/>
      <c r="Y201" s="63"/>
      <c r="AQ201" s="3"/>
    </row>
    <row r="202" spans="3:43" x14ac:dyDescent="0.3">
      <c r="E202" t="s">
        <v>532</v>
      </c>
      <c r="G202" t="s">
        <v>172</v>
      </c>
      <c r="H202" s="63"/>
      <c r="I202" t="s">
        <v>154</v>
      </c>
      <c r="J202" s="89">
        <f t="shared" ref="J202:Y202" si="51">J192 * J42 / $H53</f>
        <v>0</v>
      </c>
      <c r="K202" s="89">
        <f t="shared" si="51"/>
        <v>0</v>
      </c>
      <c r="L202" s="89">
        <f t="shared" si="51"/>
        <v>0</v>
      </c>
      <c r="M202" s="89">
        <f t="shared" si="51"/>
        <v>0</v>
      </c>
      <c r="N202" s="89">
        <f t="shared" si="51"/>
        <v>1564.8478628103305</v>
      </c>
      <c r="O202" s="89">
        <f t="shared" si="51"/>
        <v>0</v>
      </c>
      <c r="P202" s="89">
        <f t="shared" si="51"/>
        <v>0</v>
      </c>
      <c r="Q202" s="89">
        <f t="shared" si="51"/>
        <v>0</v>
      </c>
      <c r="R202" s="89">
        <f t="shared" si="51"/>
        <v>0</v>
      </c>
      <c r="S202" s="89">
        <f t="shared" si="51"/>
        <v>0</v>
      </c>
      <c r="T202" s="89">
        <f t="shared" si="51"/>
        <v>0</v>
      </c>
      <c r="U202" s="89">
        <f t="shared" si="51"/>
        <v>0</v>
      </c>
      <c r="V202" s="89">
        <f t="shared" si="51"/>
        <v>0</v>
      </c>
      <c r="W202" s="89">
        <f t="shared" si="51"/>
        <v>0</v>
      </c>
      <c r="X202" s="89">
        <f t="shared" si="51"/>
        <v>0</v>
      </c>
      <c r="Y202" s="89">
        <f t="shared" si="51"/>
        <v>0</v>
      </c>
      <c r="AA202" t="s">
        <v>530</v>
      </c>
    </row>
    <row r="203" spans="3:43" x14ac:dyDescent="0.3">
      <c r="H203" s="63"/>
      <c r="J203" s="89"/>
      <c r="K203" s="89"/>
      <c r="L203" s="89"/>
      <c r="M203" s="89"/>
      <c r="N203" s="89"/>
      <c r="O203" s="89"/>
      <c r="P203" s="89"/>
      <c r="Q203" s="89"/>
      <c r="R203" s="89"/>
      <c r="S203" s="89"/>
      <c r="T203" s="89"/>
      <c r="U203" s="89"/>
      <c r="V203" s="89"/>
      <c r="W203" s="89"/>
      <c r="X203" s="89"/>
      <c r="Y203" s="89"/>
    </row>
    <row r="204" spans="3:43" x14ac:dyDescent="0.3">
      <c r="E204" t="s">
        <v>533</v>
      </c>
      <c r="G204" t="s">
        <v>172</v>
      </c>
      <c r="H204" s="63"/>
      <c r="J204" s="89">
        <f t="shared" ref="J204:Y204" si="52">IF(J198, J$200 * J42 / $H53, 0)</f>
        <v>2112.6929518010884</v>
      </c>
      <c r="K204" s="89">
        <f t="shared" si="52"/>
        <v>0</v>
      </c>
      <c r="L204" s="89">
        <f t="shared" si="52"/>
        <v>733.62011211835545</v>
      </c>
      <c r="M204" s="89">
        <f t="shared" si="52"/>
        <v>0</v>
      </c>
      <c r="N204" s="89">
        <f t="shared" si="52"/>
        <v>528.43301822234241</v>
      </c>
      <c r="O204" s="89">
        <f t="shared" si="52"/>
        <v>0</v>
      </c>
      <c r="P204" s="89">
        <f t="shared" si="52"/>
        <v>0</v>
      </c>
      <c r="Q204" s="89">
        <f t="shared" si="52"/>
        <v>54.065424081434287</v>
      </c>
      <c r="R204" s="89">
        <f t="shared" si="52"/>
        <v>0</v>
      </c>
      <c r="S204" s="89">
        <f t="shared" si="52"/>
        <v>0</v>
      </c>
      <c r="T204" s="89">
        <f t="shared" si="52"/>
        <v>0</v>
      </c>
      <c r="U204" s="89">
        <f t="shared" si="52"/>
        <v>0</v>
      </c>
      <c r="V204" s="89">
        <f t="shared" si="52"/>
        <v>0</v>
      </c>
      <c r="W204" s="89">
        <f t="shared" si="52"/>
        <v>0</v>
      </c>
      <c r="X204" s="89">
        <f t="shared" si="52"/>
        <v>0</v>
      </c>
      <c r="Y204" s="89">
        <f t="shared" si="52"/>
        <v>0</v>
      </c>
    </row>
    <row r="205" spans="3:43" x14ac:dyDescent="0.3">
      <c r="H205" s="63"/>
      <c r="J205" s="89"/>
      <c r="K205" s="89"/>
      <c r="L205" s="89"/>
      <c r="M205" s="89"/>
      <c r="N205" s="89"/>
      <c r="O205" s="89"/>
      <c r="P205" s="89"/>
      <c r="Q205" s="89"/>
      <c r="R205" s="89"/>
      <c r="S205" s="89"/>
      <c r="T205" s="89"/>
      <c r="U205" s="89"/>
      <c r="V205" s="89"/>
      <c r="W205" s="89"/>
      <c r="X205" s="89"/>
      <c r="Y205" s="89"/>
    </row>
    <row r="206" spans="3:43" x14ac:dyDescent="0.3">
      <c r="E206" t="s">
        <v>534</v>
      </c>
      <c r="G206" t="s">
        <v>172</v>
      </c>
      <c r="H206" s="63"/>
      <c r="J206" s="89">
        <f t="shared" ref="J206:Y206" si="53">IF(J202 = 0, J204, J202)</f>
        <v>2112.6929518010884</v>
      </c>
      <c r="K206" s="89">
        <f t="shared" si="53"/>
        <v>0</v>
      </c>
      <c r="L206" s="89">
        <f t="shared" si="53"/>
        <v>733.62011211835545</v>
      </c>
      <c r="M206" s="89">
        <f t="shared" si="53"/>
        <v>0</v>
      </c>
      <c r="N206" s="89">
        <f t="shared" si="53"/>
        <v>1564.8478628103305</v>
      </c>
      <c r="O206" s="89">
        <f t="shared" si="53"/>
        <v>0</v>
      </c>
      <c r="P206" s="89">
        <f t="shared" si="53"/>
        <v>0</v>
      </c>
      <c r="Q206" s="89">
        <f t="shared" si="53"/>
        <v>54.065424081434287</v>
      </c>
      <c r="R206" s="89">
        <f t="shared" si="53"/>
        <v>0</v>
      </c>
      <c r="S206" s="89">
        <f t="shared" si="53"/>
        <v>0</v>
      </c>
      <c r="T206" s="89">
        <f t="shared" si="53"/>
        <v>0</v>
      </c>
      <c r="U206" s="89">
        <f t="shared" si="53"/>
        <v>0</v>
      </c>
      <c r="V206" s="89">
        <f t="shared" si="53"/>
        <v>0</v>
      </c>
      <c r="W206" s="89">
        <f t="shared" si="53"/>
        <v>0</v>
      </c>
      <c r="X206" s="89">
        <f t="shared" si="53"/>
        <v>0</v>
      </c>
      <c r="Y206" s="89">
        <f t="shared" si="53"/>
        <v>0</v>
      </c>
    </row>
    <row r="207" spans="3:43" x14ac:dyDescent="0.3">
      <c r="H207" s="63"/>
      <c r="J207" s="89"/>
      <c r="K207" s="89"/>
      <c r="L207" s="89"/>
      <c r="M207" s="89"/>
      <c r="N207" s="89"/>
      <c r="O207" s="89"/>
      <c r="P207" s="89"/>
      <c r="Q207" s="89"/>
      <c r="R207" s="89"/>
      <c r="S207" s="89"/>
      <c r="T207" s="89"/>
      <c r="U207" s="89"/>
      <c r="V207" s="89"/>
      <c r="W207" s="89"/>
      <c r="X207" s="89"/>
      <c r="Y207" s="89"/>
    </row>
    <row r="208" spans="3:43" x14ac:dyDescent="0.3">
      <c r="E208" t="s">
        <v>535</v>
      </c>
      <c r="G208" t="s">
        <v>172</v>
      </c>
      <c r="H208" s="63"/>
      <c r="I208" t="s">
        <v>154</v>
      </c>
      <c r="J208" s="89">
        <f t="shared" ref="J208:Y208" si="54">J150</f>
        <v>1582.6424300692977</v>
      </c>
      <c r="K208" s="89">
        <f t="shared" si="54"/>
        <v>0.92271681266555272</v>
      </c>
      <c r="L208" s="89">
        <f t="shared" si="54"/>
        <v>627.57007915694692</v>
      </c>
      <c r="M208" s="89">
        <f t="shared" si="54"/>
        <v>0.41192457378132485</v>
      </c>
      <c r="N208" s="89">
        <f t="shared" si="54"/>
        <v>445.18701374057372</v>
      </c>
      <c r="O208" s="89">
        <f t="shared" si="54"/>
        <v>0</v>
      </c>
      <c r="P208" s="89">
        <f t="shared" si="54"/>
        <v>0</v>
      </c>
      <c r="Q208" s="89">
        <f t="shared" si="54"/>
        <v>29.520263673360986</v>
      </c>
      <c r="R208" s="89">
        <f t="shared" si="54"/>
        <v>0</v>
      </c>
      <c r="S208" s="89">
        <f t="shared" si="54"/>
        <v>0</v>
      </c>
      <c r="T208" s="89">
        <f t="shared" si="54"/>
        <v>0</v>
      </c>
      <c r="U208" s="89">
        <f t="shared" si="54"/>
        <v>0</v>
      </c>
      <c r="V208" s="89">
        <f t="shared" si="54"/>
        <v>0</v>
      </c>
      <c r="W208" s="89">
        <f t="shared" si="54"/>
        <v>0</v>
      </c>
      <c r="X208" s="89">
        <f t="shared" si="54"/>
        <v>0</v>
      </c>
      <c r="Y208" s="89">
        <f t="shared" si="54"/>
        <v>0</v>
      </c>
      <c r="AA208" t="s">
        <v>530</v>
      </c>
    </row>
    <row r="209" spans="5:43" x14ac:dyDescent="0.3">
      <c r="H209" s="63"/>
      <c r="J209" s="63"/>
      <c r="K209" s="63"/>
      <c r="L209" s="63"/>
      <c r="M209" s="63"/>
      <c r="N209" s="63"/>
      <c r="O209" s="63"/>
      <c r="P209" s="63"/>
      <c r="Q209" s="63"/>
      <c r="R209" s="63"/>
      <c r="S209" s="63"/>
      <c r="T209" s="63"/>
      <c r="U209" s="63"/>
      <c r="V209" s="63"/>
      <c r="W209" s="63"/>
      <c r="X209" s="63"/>
      <c r="Y209" s="63"/>
    </row>
    <row r="210" spans="5:43" x14ac:dyDescent="0.3">
      <c r="E210" t="s">
        <v>536</v>
      </c>
      <c r="G210" t="s">
        <v>167</v>
      </c>
      <c r="H210" s="171">
        <f>SUM(J206:Y206) / SUM(J208:Y208) - 1</f>
        <v>0.66224997313134248</v>
      </c>
      <c r="J210" s="63"/>
      <c r="K210" s="63"/>
      <c r="L210" s="63"/>
      <c r="M210" s="63"/>
      <c r="N210" s="63"/>
      <c r="O210" s="63"/>
      <c r="P210" s="63"/>
      <c r="Q210" s="63"/>
      <c r="R210" s="63"/>
      <c r="S210" s="63"/>
      <c r="T210" s="63"/>
      <c r="U210" s="63"/>
      <c r="V210" s="63"/>
      <c r="W210" s="63"/>
      <c r="X210" s="63"/>
      <c r="Y210" s="63"/>
    </row>
    <row r="211" spans="5:43" x14ac:dyDescent="0.3">
      <c r="H211" s="166"/>
    </row>
    <row r="212" spans="5:43" x14ac:dyDescent="0.3">
      <c r="E212" s="32" t="s">
        <v>390</v>
      </c>
      <c r="J212" s="63"/>
      <c r="L212" s="63"/>
      <c r="AA212" t="s">
        <v>530</v>
      </c>
      <c r="AQ212" s="3"/>
    </row>
    <row r="213" spans="5:43" x14ac:dyDescent="0.3">
      <c r="E213" s="29" t="s">
        <v>537</v>
      </c>
      <c r="F213" s="29"/>
      <c r="J213" s="63"/>
      <c r="L213" s="63"/>
      <c r="AQ213" s="3"/>
    </row>
    <row r="214" spans="5:43" x14ac:dyDescent="0.3">
      <c r="E214" s="32"/>
      <c r="F214" s="23" t="s">
        <v>191</v>
      </c>
      <c r="G214" s="23" t="s">
        <v>167</v>
      </c>
      <c r="H214" s="107">
        <f t="array" ref="H214:H222">TRANSPOSE('Load &amp; loss characteristics'!K23:S23)</f>
        <v>5.649040831841079E-2</v>
      </c>
      <c r="J214" s="63"/>
      <c r="K214" s="84"/>
      <c r="L214" s="63"/>
      <c r="M214" s="84"/>
      <c r="AQ214" s="3"/>
    </row>
    <row r="215" spans="5:43" x14ac:dyDescent="0.3">
      <c r="E215" s="32"/>
      <c r="F215" t="s">
        <v>192</v>
      </c>
      <c r="G215" t="s">
        <v>167</v>
      </c>
      <c r="H215" s="25">
        <v>8.3503476129090037E-2</v>
      </c>
      <c r="J215" s="63"/>
      <c r="L215" s="63"/>
      <c r="AQ215" s="3"/>
    </row>
    <row r="216" spans="5:43" x14ac:dyDescent="0.3">
      <c r="E216" s="32"/>
      <c r="F216" t="s">
        <v>193</v>
      </c>
      <c r="G216" t="s">
        <v>167</v>
      </c>
      <c r="H216" s="25">
        <v>8.3503476129090037E-2</v>
      </c>
      <c r="J216" s="63"/>
      <c r="L216" s="63"/>
      <c r="AQ216" s="3"/>
    </row>
    <row r="217" spans="5:43" x14ac:dyDescent="0.3">
      <c r="E217" s="32"/>
      <c r="F217" t="s">
        <v>194</v>
      </c>
      <c r="G217" t="s">
        <v>167</v>
      </c>
      <c r="H217" s="25">
        <v>0.11235890369236912</v>
      </c>
      <c r="J217" s="63"/>
      <c r="L217" s="63"/>
      <c r="AQ217" s="3"/>
    </row>
    <row r="218" spans="5:43" x14ac:dyDescent="0.3">
      <c r="E218" s="32"/>
      <c r="F218" t="s">
        <v>195</v>
      </c>
      <c r="G218" t="s">
        <v>167</v>
      </c>
      <c r="H218" s="25">
        <v>0.11235890369236912</v>
      </c>
      <c r="J218" s="63"/>
      <c r="L218" s="63"/>
      <c r="AQ218" s="3"/>
    </row>
    <row r="219" spans="5:43" x14ac:dyDescent="0.3">
      <c r="E219" s="32"/>
      <c r="F219" t="s">
        <v>196</v>
      </c>
      <c r="G219" t="s">
        <v>167</v>
      </c>
      <c r="H219" s="25">
        <v>8.3503476129090037E-2</v>
      </c>
      <c r="J219" s="63"/>
      <c r="L219" s="63"/>
      <c r="AQ219" s="3"/>
    </row>
    <row r="220" spans="5:43" x14ac:dyDescent="0.3">
      <c r="E220" s="32"/>
      <c r="F220" t="s">
        <v>197</v>
      </c>
      <c r="G220" t="s">
        <v>167</v>
      </c>
      <c r="H220" s="25">
        <v>0.49056093094777475</v>
      </c>
      <c r="J220" s="63"/>
      <c r="L220" s="63"/>
      <c r="AQ220" s="3"/>
    </row>
    <row r="221" spans="5:43" x14ac:dyDescent="0.3">
      <c r="E221" s="32"/>
      <c r="F221" t="s">
        <v>198</v>
      </c>
      <c r="G221" t="s">
        <v>167</v>
      </c>
      <c r="H221" s="25">
        <v>0.49056093094777475</v>
      </c>
      <c r="J221" s="63"/>
      <c r="L221" s="63"/>
      <c r="AQ221" s="3"/>
    </row>
    <row r="222" spans="5:43" x14ac:dyDescent="0.3">
      <c r="E222" s="32"/>
      <c r="F222" s="37" t="s">
        <v>199</v>
      </c>
      <c r="G222" s="37" t="s">
        <v>167</v>
      </c>
      <c r="H222" s="141">
        <v>0.49056093094777475</v>
      </c>
      <c r="J222" s="63"/>
      <c r="L222" s="63"/>
      <c r="AQ222" s="3"/>
    </row>
    <row r="223" spans="5:43" x14ac:dyDescent="0.3">
      <c r="H223" s="166"/>
    </row>
    <row r="224" spans="5:43" x14ac:dyDescent="0.3">
      <c r="E224" s="32" t="s">
        <v>538</v>
      </c>
      <c r="J224" s="63"/>
      <c r="L224" s="63"/>
      <c r="AA224" t="s">
        <v>530</v>
      </c>
      <c r="AQ224" s="3"/>
    </row>
    <row r="225" spans="3:43" x14ac:dyDescent="0.3">
      <c r="E225" s="29" t="s">
        <v>539</v>
      </c>
      <c r="F225" s="29"/>
      <c r="J225" s="63"/>
      <c r="L225" s="63"/>
      <c r="AQ225" s="3"/>
    </row>
    <row r="226" spans="3:43" x14ac:dyDescent="0.3">
      <c r="C226" s="32"/>
      <c r="F226" s="23" t="s">
        <v>191</v>
      </c>
      <c r="G226" s="23" t="s">
        <v>167</v>
      </c>
      <c r="H226" s="172">
        <f t="shared" ref="H226:H233" si="55">IF(F226 = $F$234, $H$210, H214)</f>
        <v>5.649040831841079E-2</v>
      </c>
      <c r="J226" s="63"/>
      <c r="L226" s="63"/>
      <c r="AQ226" s="3"/>
    </row>
    <row r="227" spans="3:43" x14ac:dyDescent="0.3">
      <c r="C227" s="32"/>
      <c r="F227" t="s">
        <v>192</v>
      </c>
      <c r="G227" t="s">
        <v>167</v>
      </c>
      <c r="H227" s="111">
        <f t="shared" si="55"/>
        <v>8.3503476129090037E-2</v>
      </c>
      <c r="J227" s="63"/>
      <c r="L227" s="63"/>
      <c r="AQ227" s="3"/>
    </row>
    <row r="228" spans="3:43" x14ac:dyDescent="0.3">
      <c r="C228" s="32"/>
      <c r="F228" t="s">
        <v>193</v>
      </c>
      <c r="G228" t="s">
        <v>167</v>
      </c>
      <c r="H228" s="111">
        <f t="shared" si="55"/>
        <v>8.3503476129090037E-2</v>
      </c>
      <c r="J228" s="63"/>
      <c r="L228" s="63"/>
      <c r="AQ228" s="3"/>
    </row>
    <row r="229" spans="3:43" x14ac:dyDescent="0.3">
      <c r="C229" s="32"/>
      <c r="F229" t="s">
        <v>194</v>
      </c>
      <c r="G229" t="s">
        <v>167</v>
      </c>
      <c r="H229" s="111">
        <f t="shared" si="55"/>
        <v>0.11235890369236912</v>
      </c>
      <c r="J229" s="63"/>
      <c r="L229" s="63"/>
      <c r="AQ229" s="3"/>
    </row>
    <row r="230" spans="3:43" x14ac:dyDescent="0.3">
      <c r="C230" s="32"/>
      <c r="F230" t="s">
        <v>195</v>
      </c>
      <c r="G230" t="s">
        <v>167</v>
      </c>
      <c r="H230" s="111">
        <f t="shared" si="55"/>
        <v>0.11235890369236912</v>
      </c>
      <c r="J230" s="63"/>
      <c r="L230" s="63"/>
      <c r="AQ230" s="3"/>
    </row>
    <row r="231" spans="3:43" x14ac:dyDescent="0.3">
      <c r="C231" s="32"/>
      <c r="F231" t="s">
        <v>196</v>
      </c>
      <c r="G231" t="s">
        <v>167</v>
      </c>
      <c r="H231" s="111">
        <f t="shared" si="55"/>
        <v>8.3503476129090037E-2</v>
      </c>
      <c r="J231" s="63"/>
      <c r="L231" s="63"/>
      <c r="AQ231" s="3"/>
    </row>
    <row r="232" spans="3:43" x14ac:dyDescent="0.3">
      <c r="C232" s="32"/>
      <c r="F232" t="s">
        <v>197</v>
      </c>
      <c r="G232" t="s">
        <v>167</v>
      </c>
      <c r="H232" s="111">
        <f t="shared" si="55"/>
        <v>0.49056093094777475</v>
      </c>
      <c r="J232" s="63"/>
      <c r="L232" s="63"/>
      <c r="AQ232" s="3"/>
    </row>
    <row r="233" spans="3:43" x14ac:dyDescent="0.3">
      <c r="C233" s="32"/>
      <c r="F233" t="s">
        <v>198</v>
      </c>
      <c r="G233" t="s">
        <v>167</v>
      </c>
      <c r="H233" s="111">
        <f t="shared" si="55"/>
        <v>0.49056093094777475</v>
      </c>
      <c r="J233" s="63"/>
      <c r="L233" s="63"/>
      <c r="AQ233" s="3"/>
    </row>
    <row r="234" spans="3:43" x14ac:dyDescent="0.3">
      <c r="C234" s="32"/>
      <c r="F234" s="37" t="s">
        <v>199</v>
      </c>
      <c r="G234" s="37" t="s">
        <v>167</v>
      </c>
      <c r="H234" s="143">
        <f>IF(F234 = $F$234, $H$210, H222)</f>
        <v>0.66224997313134248</v>
      </c>
      <c r="J234" s="63"/>
      <c r="L234" s="63"/>
      <c r="AQ234" s="3"/>
    </row>
    <row r="235" spans="3:43" x14ac:dyDescent="0.3">
      <c r="H235" s="166"/>
    </row>
    <row r="236" spans="3:43" x14ac:dyDescent="0.3">
      <c r="C236" s="31" t="str">
        <f ca="1">INDEX('Version control'!$H$34:$H$57,MATCH($A$1,'Version control'!$F$34:$F$57,0),1)&amp;"-G: Import/exceeded capacity contribution to system peak"</f>
        <v>Section 106-G: Import/exceeded capacity contribution to system peak</v>
      </c>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Q236" s="3"/>
    </row>
    <row r="237" spans="3:43" x14ac:dyDescent="0.3">
      <c r="H237" s="166"/>
    </row>
    <row r="238" spans="3:43" x14ac:dyDescent="0.3">
      <c r="E238" s="32" t="s">
        <v>540</v>
      </c>
      <c r="F238" s="29"/>
      <c r="H238" s="173"/>
    </row>
    <row r="239" spans="3:43" x14ac:dyDescent="0.3">
      <c r="C239" s="32"/>
      <c r="F239" s="23" t="s">
        <v>191</v>
      </c>
      <c r="G239" s="23" t="s">
        <v>172</v>
      </c>
      <c r="H239" s="129"/>
      <c r="I239" s="23"/>
      <c r="J239" s="158">
        <f t="shared" ref="J239:Y239" si="56">J$192 * J23 * J34 / (1 + $H226) / $H45</f>
        <v>0</v>
      </c>
      <c r="K239" s="158">
        <f t="shared" si="56"/>
        <v>0</v>
      </c>
      <c r="L239" s="158">
        <f t="shared" si="56"/>
        <v>0</v>
      </c>
      <c r="M239" s="158">
        <f t="shared" si="56"/>
        <v>0</v>
      </c>
      <c r="N239" s="158">
        <f t="shared" si="56"/>
        <v>0</v>
      </c>
      <c r="O239" s="158">
        <f t="shared" si="56"/>
        <v>0</v>
      </c>
      <c r="P239" s="158">
        <f t="shared" si="56"/>
        <v>0</v>
      </c>
      <c r="Q239" s="158">
        <f t="shared" si="56"/>
        <v>0</v>
      </c>
      <c r="R239" s="158">
        <f t="shared" si="56"/>
        <v>0</v>
      </c>
      <c r="S239" s="158">
        <f t="shared" si="56"/>
        <v>0</v>
      </c>
      <c r="T239" s="158">
        <f t="shared" si="56"/>
        <v>0</v>
      </c>
      <c r="U239" s="158">
        <f t="shared" si="56"/>
        <v>0</v>
      </c>
      <c r="V239" s="158">
        <f t="shared" si="56"/>
        <v>0</v>
      </c>
      <c r="W239" s="158">
        <f t="shared" si="56"/>
        <v>0</v>
      </c>
      <c r="X239" s="158">
        <f t="shared" si="56"/>
        <v>0</v>
      </c>
      <c r="Y239" s="158">
        <f t="shared" si="56"/>
        <v>0</v>
      </c>
      <c r="AQ239" s="3"/>
    </row>
    <row r="240" spans="3:43" x14ac:dyDescent="0.3">
      <c r="C240" s="32"/>
      <c r="F240" t="s">
        <v>192</v>
      </c>
      <c r="G240" t="s">
        <v>172</v>
      </c>
      <c r="H240" s="63"/>
      <c r="J240" s="89">
        <f t="shared" ref="J240:Y240" si="57">J$192 * J24 * J35 / (1 + $H227) / $H46</f>
        <v>0</v>
      </c>
      <c r="K240" s="89">
        <f t="shared" si="57"/>
        <v>0</v>
      </c>
      <c r="L240" s="89">
        <f t="shared" si="57"/>
        <v>0</v>
      </c>
      <c r="M240" s="89">
        <f t="shared" si="57"/>
        <v>0</v>
      </c>
      <c r="N240" s="89">
        <f t="shared" si="57"/>
        <v>0</v>
      </c>
      <c r="O240" s="89">
        <f t="shared" si="57"/>
        <v>0</v>
      </c>
      <c r="P240" s="89">
        <f t="shared" si="57"/>
        <v>381.56657490537765</v>
      </c>
      <c r="Q240" s="89">
        <f t="shared" si="57"/>
        <v>0</v>
      </c>
      <c r="R240" s="89">
        <f t="shared" si="57"/>
        <v>0</v>
      </c>
      <c r="S240" s="89">
        <f t="shared" si="57"/>
        <v>0</v>
      </c>
      <c r="T240" s="89">
        <f t="shared" si="57"/>
        <v>0</v>
      </c>
      <c r="U240" s="89">
        <f t="shared" si="57"/>
        <v>0</v>
      </c>
      <c r="V240" s="89">
        <f t="shared" si="57"/>
        <v>0</v>
      </c>
      <c r="W240" s="89">
        <f t="shared" si="57"/>
        <v>0</v>
      </c>
      <c r="X240" s="89">
        <f t="shared" si="57"/>
        <v>0</v>
      </c>
      <c r="Y240" s="89">
        <f t="shared" si="57"/>
        <v>0</v>
      </c>
      <c r="AQ240" s="3"/>
    </row>
    <row r="241" spans="3:43" x14ac:dyDescent="0.3">
      <c r="C241" s="32"/>
      <c r="F241" t="s">
        <v>193</v>
      </c>
      <c r="G241" t="s">
        <v>172</v>
      </c>
      <c r="H241" s="63"/>
      <c r="J241" s="89">
        <f t="shared" ref="J241:Y241" si="58">J$192 * J25 * J36 / (1 + $H228) / $H47</f>
        <v>0</v>
      </c>
      <c r="K241" s="89">
        <f t="shared" si="58"/>
        <v>0</v>
      </c>
      <c r="L241" s="89">
        <f t="shared" si="58"/>
        <v>0</v>
      </c>
      <c r="M241" s="89">
        <f t="shared" si="58"/>
        <v>0</v>
      </c>
      <c r="N241" s="89">
        <f t="shared" si="58"/>
        <v>0</v>
      </c>
      <c r="O241" s="89">
        <f t="shared" si="58"/>
        <v>0</v>
      </c>
      <c r="P241" s="89">
        <f t="shared" si="58"/>
        <v>0</v>
      </c>
      <c r="Q241" s="89">
        <f t="shared" si="58"/>
        <v>0</v>
      </c>
      <c r="R241" s="89">
        <f t="shared" si="58"/>
        <v>0</v>
      </c>
      <c r="S241" s="89">
        <f t="shared" si="58"/>
        <v>0</v>
      </c>
      <c r="T241" s="89">
        <f t="shared" si="58"/>
        <v>0</v>
      </c>
      <c r="U241" s="89">
        <f t="shared" si="58"/>
        <v>0</v>
      </c>
      <c r="V241" s="89">
        <f t="shared" si="58"/>
        <v>0</v>
      </c>
      <c r="W241" s="89">
        <f t="shared" si="58"/>
        <v>0</v>
      </c>
      <c r="X241" s="89">
        <f t="shared" si="58"/>
        <v>0</v>
      </c>
      <c r="Y241" s="89">
        <f t="shared" si="58"/>
        <v>0</v>
      </c>
      <c r="AQ241" s="3"/>
    </row>
    <row r="242" spans="3:43" x14ac:dyDescent="0.3">
      <c r="C242" s="32"/>
      <c r="F242" t="s">
        <v>194</v>
      </c>
      <c r="G242" t="s">
        <v>172</v>
      </c>
      <c r="H242" s="63"/>
      <c r="J242" s="89">
        <f t="shared" ref="J242:Y242" si="59">J$192 * J26 * J37 / (1 + $H229) / $H48</f>
        <v>0</v>
      </c>
      <c r="K242" s="89">
        <f t="shared" si="59"/>
        <v>0</v>
      </c>
      <c r="L242" s="89">
        <f t="shared" si="59"/>
        <v>0</v>
      </c>
      <c r="M242" s="89">
        <f t="shared" si="59"/>
        <v>0</v>
      </c>
      <c r="N242" s="89">
        <f t="shared" si="59"/>
        <v>0</v>
      </c>
      <c r="O242" s="89">
        <f t="shared" si="59"/>
        <v>0</v>
      </c>
      <c r="P242" s="89">
        <f t="shared" si="59"/>
        <v>161.45176624574046</v>
      </c>
      <c r="Q242" s="89">
        <f t="shared" si="59"/>
        <v>0</v>
      </c>
      <c r="R242" s="89">
        <f t="shared" si="59"/>
        <v>0</v>
      </c>
      <c r="S242" s="89">
        <f t="shared" si="59"/>
        <v>0</v>
      </c>
      <c r="T242" s="89">
        <f t="shared" si="59"/>
        <v>0</v>
      </c>
      <c r="U242" s="89">
        <f t="shared" si="59"/>
        <v>0</v>
      </c>
      <c r="V242" s="89">
        <f t="shared" si="59"/>
        <v>0</v>
      </c>
      <c r="W242" s="89">
        <f t="shared" si="59"/>
        <v>0</v>
      </c>
      <c r="X242" s="89">
        <f t="shared" si="59"/>
        <v>0</v>
      </c>
      <c r="Y242" s="89">
        <f t="shared" si="59"/>
        <v>0</v>
      </c>
      <c r="AQ242" s="3"/>
    </row>
    <row r="243" spans="3:43" x14ac:dyDescent="0.3">
      <c r="C243" s="32"/>
      <c r="F243" t="s">
        <v>195</v>
      </c>
      <c r="G243" t="s">
        <v>172</v>
      </c>
      <c r="H243" s="63"/>
      <c r="J243" s="89">
        <f t="shared" ref="J243:Y243" si="60">J$192 * J27 * J38 / (1 + $H230) / $H49</f>
        <v>0</v>
      </c>
      <c r="K243" s="89">
        <f t="shared" si="60"/>
        <v>0</v>
      </c>
      <c r="L243" s="89">
        <f t="shared" si="60"/>
        <v>0</v>
      </c>
      <c r="M243" s="89">
        <f t="shared" si="60"/>
        <v>0</v>
      </c>
      <c r="N243" s="89">
        <f t="shared" si="60"/>
        <v>0</v>
      </c>
      <c r="O243" s="89">
        <f t="shared" si="60"/>
        <v>0</v>
      </c>
      <c r="P243" s="89">
        <f t="shared" si="60"/>
        <v>802.57000936290137</v>
      </c>
      <c r="Q243" s="89">
        <f t="shared" si="60"/>
        <v>0</v>
      </c>
      <c r="R243" s="89">
        <f t="shared" si="60"/>
        <v>0</v>
      </c>
      <c r="S243" s="89">
        <f t="shared" si="60"/>
        <v>0</v>
      </c>
      <c r="T243" s="89">
        <f t="shared" si="60"/>
        <v>0</v>
      </c>
      <c r="U243" s="89">
        <f t="shared" si="60"/>
        <v>0</v>
      </c>
      <c r="V243" s="89">
        <f t="shared" si="60"/>
        <v>0</v>
      </c>
      <c r="W243" s="89">
        <f t="shared" si="60"/>
        <v>0</v>
      </c>
      <c r="X243" s="89">
        <f t="shared" si="60"/>
        <v>0</v>
      </c>
      <c r="Y243" s="89">
        <f t="shared" si="60"/>
        <v>0</v>
      </c>
      <c r="AQ243" s="3"/>
    </row>
    <row r="244" spans="3:43" x14ac:dyDescent="0.3">
      <c r="C244" s="32"/>
      <c r="F244" t="s">
        <v>196</v>
      </c>
      <c r="G244" t="s">
        <v>172</v>
      </c>
      <c r="H244" s="63"/>
      <c r="J244" s="89">
        <f t="shared" ref="J244:Y244" si="61">J$192 * J28 * J39 / (1 + $H231) / $H50</f>
        <v>0</v>
      </c>
      <c r="K244" s="89">
        <f t="shared" si="61"/>
        <v>0</v>
      </c>
      <c r="L244" s="89">
        <f t="shared" si="61"/>
        <v>0</v>
      </c>
      <c r="M244" s="89">
        <f t="shared" si="61"/>
        <v>0</v>
      </c>
      <c r="N244" s="89">
        <f t="shared" si="61"/>
        <v>0</v>
      </c>
      <c r="O244" s="89">
        <f t="shared" si="61"/>
        <v>0</v>
      </c>
      <c r="P244" s="89">
        <f t="shared" si="61"/>
        <v>1856.120076379015</v>
      </c>
      <c r="Q244" s="89">
        <f t="shared" si="61"/>
        <v>0</v>
      </c>
      <c r="R244" s="89">
        <f t="shared" si="61"/>
        <v>0</v>
      </c>
      <c r="S244" s="89">
        <f t="shared" si="61"/>
        <v>0</v>
      </c>
      <c r="T244" s="89">
        <f t="shared" si="61"/>
        <v>0</v>
      </c>
      <c r="U244" s="89">
        <f t="shared" si="61"/>
        <v>0</v>
      </c>
      <c r="V244" s="89">
        <f t="shared" si="61"/>
        <v>0</v>
      </c>
      <c r="W244" s="89">
        <f t="shared" si="61"/>
        <v>0</v>
      </c>
      <c r="X244" s="89">
        <f t="shared" si="61"/>
        <v>0</v>
      </c>
      <c r="Y244" s="89">
        <f t="shared" si="61"/>
        <v>0</v>
      </c>
      <c r="AQ244" s="3"/>
    </row>
    <row r="245" spans="3:43" x14ac:dyDescent="0.3">
      <c r="C245" s="32"/>
      <c r="F245" t="s">
        <v>197</v>
      </c>
      <c r="G245" t="s">
        <v>172</v>
      </c>
      <c r="H245" s="63"/>
      <c r="J245" s="89">
        <f t="shared" ref="J245:Y245" si="62">J$192 * J29 * J40 / (1 + $H232) / $H51</f>
        <v>0</v>
      </c>
      <c r="K245" s="89">
        <f t="shared" si="62"/>
        <v>0</v>
      </c>
      <c r="L245" s="89">
        <f t="shared" si="62"/>
        <v>0</v>
      </c>
      <c r="M245" s="89">
        <f t="shared" si="62"/>
        <v>0</v>
      </c>
      <c r="N245" s="89">
        <f t="shared" si="62"/>
        <v>217.75902577878719</v>
      </c>
      <c r="O245" s="89">
        <f t="shared" si="62"/>
        <v>114.25514651277869</v>
      </c>
      <c r="P245" s="89">
        <f t="shared" si="62"/>
        <v>1914.7995399615129</v>
      </c>
      <c r="Q245" s="89">
        <f t="shared" si="62"/>
        <v>0</v>
      </c>
      <c r="R245" s="89">
        <f t="shared" si="62"/>
        <v>0</v>
      </c>
      <c r="S245" s="89">
        <f t="shared" si="62"/>
        <v>0</v>
      </c>
      <c r="T245" s="89">
        <f t="shared" si="62"/>
        <v>0</v>
      </c>
      <c r="U245" s="89">
        <f t="shared" si="62"/>
        <v>0</v>
      </c>
      <c r="V245" s="89">
        <f t="shared" si="62"/>
        <v>0</v>
      </c>
      <c r="W245" s="89">
        <f t="shared" si="62"/>
        <v>0</v>
      </c>
      <c r="X245" s="89">
        <f t="shared" si="62"/>
        <v>0</v>
      </c>
      <c r="Y245" s="89">
        <f t="shared" si="62"/>
        <v>0</v>
      </c>
      <c r="AQ245" s="3"/>
    </row>
    <row r="246" spans="3:43" x14ac:dyDescent="0.3">
      <c r="C246" s="32"/>
      <c r="F246" t="s">
        <v>198</v>
      </c>
      <c r="G246" t="s">
        <v>172</v>
      </c>
      <c r="H246" s="63"/>
      <c r="J246" s="89">
        <f t="shared" ref="J246:Y246" si="63">J$192 * J30 * J41 / (1 + $H233) / $H52</f>
        <v>0</v>
      </c>
      <c r="K246" s="89">
        <f t="shared" si="63"/>
        <v>0</v>
      </c>
      <c r="L246" s="89">
        <f t="shared" si="63"/>
        <v>0</v>
      </c>
      <c r="M246" s="89">
        <f t="shared" si="63"/>
        <v>0</v>
      </c>
      <c r="N246" s="89">
        <f t="shared" si="63"/>
        <v>1072.4683040932771</v>
      </c>
      <c r="O246" s="89">
        <f t="shared" si="63"/>
        <v>112.54185471877264</v>
      </c>
      <c r="P246" s="89">
        <f t="shared" si="63"/>
        <v>0</v>
      </c>
      <c r="Q246" s="89">
        <f t="shared" si="63"/>
        <v>0</v>
      </c>
      <c r="R246" s="89">
        <f t="shared" si="63"/>
        <v>0</v>
      </c>
      <c r="S246" s="89">
        <f t="shared" si="63"/>
        <v>0</v>
      </c>
      <c r="T246" s="89">
        <f t="shared" si="63"/>
        <v>0</v>
      </c>
      <c r="U246" s="89">
        <f t="shared" si="63"/>
        <v>0</v>
      </c>
      <c r="V246" s="89">
        <f t="shared" si="63"/>
        <v>0</v>
      </c>
      <c r="W246" s="89">
        <f t="shared" si="63"/>
        <v>0</v>
      </c>
      <c r="X246" s="89">
        <f t="shared" si="63"/>
        <v>0</v>
      </c>
      <c r="Y246" s="89">
        <f t="shared" si="63"/>
        <v>0</v>
      </c>
      <c r="AQ246" s="3"/>
    </row>
    <row r="247" spans="3:43" x14ac:dyDescent="0.3">
      <c r="C247" s="32"/>
      <c r="F247" s="37" t="s">
        <v>199</v>
      </c>
      <c r="G247" s="37" t="s">
        <v>172</v>
      </c>
      <c r="H247" s="130"/>
      <c r="I247" s="37"/>
      <c r="J247" s="82">
        <f t="shared" ref="J247:Y247" si="64">J$192 * J31 * J42 / (1 + $H234) / $H53</f>
        <v>0</v>
      </c>
      <c r="K247" s="82">
        <f t="shared" si="64"/>
        <v>0</v>
      </c>
      <c r="L247" s="82">
        <f t="shared" si="64"/>
        <v>0</v>
      </c>
      <c r="M247" s="82">
        <f t="shared" si="64"/>
        <v>0</v>
      </c>
      <c r="N247" s="82">
        <f t="shared" si="64"/>
        <v>941.4034520105746</v>
      </c>
      <c r="O247" s="82">
        <f t="shared" si="64"/>
        <v>0</v>
      </c>
      <c r="P247" s="82">
        <f t="shared" si="64"/>
        <v>0</v>
      </c>
      <c r="Q247" s="82">
        <f t="shared" si="64"/>
        <v>0</v>
      </c>
      <c r="R247" s="82">
        <f t="shared" si="64"/>
        <v>0</v>
      </c>
      <c r="S247" s="82">
        <f t="shared" si="64"/>
        <v>0</v>
      </c>
      <c r="T247" s="82">
        <f t="shared" si="64"/>
        <v>0</v>
      </c>
      <c r="U247" s="82">
        <f t="shared" si="64"/>
        <v>0</v>
      </c>
      <c r="V247" s="82">
        <f t="shared" si="64"/>
        <v>0</v>
      </c>
      <c r="W247" s="82">
        <f t="shared" si="64"/>
        <v>0</v>
      </c>
      <c r="X247" s="82">
        <f t="shared" si="64"/>
        <v>0</v>
      </c>
      <c r="Y247" s="82">
        <f t="shared" si="64"/>
        <v>0</v>
      </c>
      <c r="AQ247" s="3"/>
    </row>
    <row r="248" spans="3:43" x14ac:dyDescent="0.3">
      <c r="H248" s="166"/>
      <c r="J248" s="89"/>
      <c r="K248" s="89"/>
      <c r="L248" s="89"/>
      <c r="M248" s="89"/>
      <c r="N248" s="89"/>
      <c r="O248" s="89"/>
      <c r="P248" s="89"/>
      <c r="Q248" s="89"/>
      <c r="R248" s="89"/>
      <c r="S248" s="89"/>
      <c r="T248" s="89"/>
      <c r="U248" s="89"/>
      <c r="V248" s="89"/>
      <c r="W248" s="89"/>
      <c r="X248" s="89"/>
      <c r="Y248" s="89"/>
    </row>
    <row r="249" spans="3:43" x14ac:dyDescent="0.3">
      <c r="C249" s="31" t="str">
        <f ca="1">INDEX('Version control'!$H$34:$H$57,MATCH($A$1,'Version control'!$F$34:$F$57,0),1)&amp;"-H: Estimated capacity contribution to system peak"</f>
        <v>Section 106-H: Estimated capacity contribution to system peak</v>
      </c>
      <c r="D249" s="31"/>
      <c r="E249" s="31"/>
      <c r="F249" s="31"/>
      <c r="G249" s="31"/>
      <c r="H249" s="31"/>
      <c r="I249" s="31"/>
      <c r="J249" s="90"/>
      <c r="K249" s="90"/>
      <c r="L249" s="90"/>
      <c r="M249" s="90"/>
      <c r="N249" s="90"/>
      <c r="O249" s="90"/>
      <c r="P249" s="90"/>
      <c r="Q249" s="90"/>
      <c r="R249" s="90"/>
      <c r="S249" s="90"/>
      <c r="T249" s="90"/>
      <c r="U249" s="90"/>
      <c r="V249" s="90"/>
      <c r="W249" s="90"/>
      <c r="X249" s="90"/>
      <c r="Y249" s="90"/>
      <c r="Z249" s="31"/>
      <c r="AA249" s="31"/>
      <c r="AQ249" s="3"/>
    </row>
    <row r="250" spans="3:43" x14ac:dyDescent="0.3">
      <c r="H250" s="166"/>
      <c r="J250" s="89"/>
      <c r="K250" s="89"/>
      <c r="L250" s="89"/>
      <c r="M250" s="89"/>
      <c r="N250" s="89"/>
      <c r="O250" s="89"/>
      <c r="P250" s="89"/>
      <c r="Q250" s="89"/>
      <c r="R250" s="89"/>
      <c r="S250" s="89"/>
      <c r="T250" s="89"/>
      <c r="U250" s="89"/>
      <c r="V250" s="89"/>
      <c r="W250" s="89"/>
      <c r="X250" s="89"/>
      <c r="Y250" s="89"/>
    </row>
    <row r="251" spans="3:43" x14ac:dyDescent="0.3">
      <c r="E251" s="32" t="s">
        <v>541</v>
      </c>
      <c r="F251" s="29"/>
      <c r="H251" s="166"/>
      <c r="J251" s="89"/>
      <c r="K251" s="89"/>
      <c r="L251" s="89"/>
      <c r="M251" s="89"/>
      <c r="N251" s="89"/>
      <c r="O251" s="89"/>
      <c r="P251" s="89"/>
      <c r="Q251" s="89"/>
      <c r="R251" s="89"/>
      <c r="S251" s="89"/>
      <c r="T251" s="89"/>
      <c r="U251" s="89"/>
      <c r="V251" s="89"/>
      <c r="W251" s="89"/>
      <c r="X251" s="89"/>
      <c r="Y251" s="89"/>
    </row>
    <row r="252" spans="3:43" x14ac:dyDescent="0.3">
      <c r="C252" s="32"/>
      <c r="F252" s="23" t="s">
        <v>191</v>
      </c>
      <c r="G252" s="129" t="s">
        <v>172</v>
      </c>
      <c r="H252" s="129"/>
      <c r="I252" s="23"/>
      <c r="J252" s="158">
        <f t="shared" ref="J252:Y252" si="65">IF(AND(J$192 = 0, J$198), J$200 * J23 * J34 / (1 + $H226) / $H45, 0)</f>
        <v>0</v>
      </c>
      <c r="K252" s="158">
        <f t="shared" si="65"/>
        <v>0</v>
      </c>
      <c r="L252" s="158">
        <f t="shared" si="65"/>
        <v>0</v>
      </c>
      <c r="M252" s="158">
        <f t="shared" si="65"/>
        <v>0</v>
      </c>
      <c r="N252" s="158">
        <f t="shared" si="65"/>
        <v>0</v>
      </c>
      <c r="O252" s="158">
        <f t="shared" si="65"/>
        <v>0</v>
      </c>
      <c r="P252" s="158">
        <f t="shared" si="65"/>
        <v>0</v>
      </c>
      <c r="Q252" s="158">
        <f t="shared" si="65"/>
        <v>0</v>
      </c>
      <c r="R252" s="158">
        <f t="shared" si="65"/>
        <v>0</v>
      </c>
      <c r="S252" s="158">
        <f t="shared" si="65"/>
        <v>0</v>
      </c>
      <c r="T252" s="158">
        <f t="shared" si="65"/>
        <v>0</v>
      </c>
      <c r="U252" s="158">
        <f t="shared" si="65"/>
        <v>0</v>
      </c>
      <c r="V252" s="158">
        <f t="shared" si="65"/>
        <v>0</v>
      </c>
      <c r="W252" s="158">
        <f t="shared" si="65"/>
        <v>0</v>
      </c>
      <c r="X252" s="158">
        <f t="shared" si="65"/>
        <v>0</v>
      </c>
      <c r="Y252" s="158">
        <f t="shared" si="65"/>
        <v>0</v>
      </c>
      <c r="AQ252" s="3"/>
    </row>
    <row r="253" spans="3:43" x14ac:dyDescent="0.3">
      <c r="C253" s="32"/>
      <c r="F253" t="s">
        <v>192</v>
      </c>
      <c r="G253" s="63" t="s">
        <v>172</v>
      </c>
      <c r="H253" s="63"/>
      <c r="J253" s="89">
        <f t="shared" ref="J253:Y253" si="66">IF(AND(J$192 = 0, J$198), J$200 * J24 * J35 / (1 + $H227) / $H46, 0)</f>
        <v>0</v>
      </c>
      <c r="K253" s="89">
        <f t="shared" si="66"/>
        <v>0</v>
      </c>
      <c r="L253" s="89">
        <f t="shared" si="66"/>
        <v>0</v>
      </c>
      <c r="M253" s="89">
        <f t="shared" si="66"/>
        <v>0</v>
      </c>
      <c r="N253" s="89">
        <f t="shared" si="66"/>
        <v>0</v>
      </c>
      <c r="O253" s="89">
        <f t="shared" si="66"/>
        <v>0</v>
      </c>
      <c r="P253" s="89">
        <f t="shared" si="66"/>
        <v>0</v>
      </c>
      <c r="Q253" s="89">
        <f t="shared" si="66"/>
        <v>0</v>
      </c>
      <c r="R253" s="89">
        <f t="shared" si="66"/>
        <v>0</v>
      </c>
      <c r="S253" s="89">
        <f t="shared" si="66"/>
        <v>0</v>
      </c>
      <c r="T253" s="89">
        <f t="shared" si="66"/>
        <v>0</v>
      </c>
      <c r="U253" s="89">
        <f t="shared" si="66"/>
        <v>0</v>
      </c>
      <c r="V253" s="89">
        <f t="shared" si="66"/>
        <v>0</v>
      </c>
      <c r="W253" s="89">
        <f t="shared" si="66"/>
        <v>0</v>
      </c>
      <c r="X253" s="89">
        <f t="shared" si="66"/>
        <v>0</v>
      </c>
      <c r="Y253" s="89">
        <f t="shared" si="66"/>
        <v>0</v>
      </c>
      <c r="AQ253" s="3"/>
    </row>
    <row r="254" spans="3:43" x14ac:dyDescent="0.3">
      <c r="C254" s="32"/>
      <c r="F254" t="s">
        <v>193</v>
      </c>
      <c r="G254" s="63" t="s">
        <v>172</v>
      </c>
      <c r="H254" s="63"/>
      <c r="J254" s="89">
        <f t="shared" ref="J254:Y254" si="67">IF(AND(J$192 = 0, J$198), J$200 * J25 * J36 / (1 + $H228) / $H47, 0)</f>
        <v>0</v>
      </c>
      <c r="K254" s="89">
        <f t="shared" si="67"/>
        <v>0</v>
      </c>
      <c r="L254" s="89">
        <f t="shared" si="67"/>
        <v>0</v>
      </c>
      <c r="M254" s="89">
        <f t="shared" si="67"/>
        <v>0</v>
      </c>
      <c r="N254" s="89">
        <f t="shared" si="67"/>
        <v>0</v>
      </c>
      <c r="O254" s="89">
        <f t="shared" si="67"/>
        <v>0</v>
      </c>
      <c r="P254" s="89">
        <f t="shared" si="67"/>
        <v>0</v>
      </c>
      <c r="Q254" s="89">
        <f t="shared" si="67"/>
        <v>0</v>
      </c>
      <c r="R254" s="89">
        <f t="shared" si="67"/>
        <v>0</v>
      </c>
      <c r="S254" s="89">
        <f t="shared" si="67"/>
        <v>0</v>
      </c>
      <c r="T254" s="89">
        <f t="shared" si="67"/>
        <v>0</v>
      </c>
      <c r="U254" s="89">
        <f t="shared" si="67"/>
        <v>0</v>
      </c>
      <c r="V254" s="89">
        <f t="shared" si="67"/>
        <v>0</v>
      </c>
      <c r="W254" s="89">
        <f t="shared" si="67"/>
        <v>0</v>
      </c>
      <c r="X254" s="89">
        <f t="shared" si="67"/>
        <v>0</v>
      </c>
      <c r="Y254" s="89">
        <f t="shared" si="67"/>
        <v>0</v>
      </c>
      <c r="AQ254" s="3"/>
    </row>
    <row r="255" spans="3:43" x14ac:dyDescent="0.3">
      <c r="C255" s="32"/>
      <c r="F255" t="s">
        <v>194</v>
      </c>
      <c r="G255" s="63" t="s">
        <v>172</v>
      </c>
      <c r="H255" s="63"/>
      <c r="J255" s="89">
        <f t="shared" ref="J255:Y255" si="68">IF(AND(J$192 = 0, J$198), J$200 * J26 * J37 / (1 + $H229) / $H48, 0)</f>
        <v>0</v>
      </c>
      <c r="K255" s="89">
        <f t="shared" si="68"/>
        <v>0</v>
      </c>
      <c r="L255" s="89">
        <f t="shared" si="68"/>
        <v>0</v>
      </c>
      <c r="M255" s="89">
        <f t="shared" si="68"/>
        <v>0</v>
      </c>
      <c r="N255" s="89">
        <f t="shared" si="68"/>
        <v>0</v>
      </c>
      <c r="O255" s="89">
        <f t="shared" si="68"/>
        <v>0</v>
      </c>
      <c r="P255" s="89">
        <f t="shared" si="68"/>
        <v>0</v>
      </c>
      <c r="Q255" s="89">
        <f t="shared" si="68"/>
        <v>0</v>
      </c>
      <c r="R255" s="89">
        <f t="shared" si="68"/>
        <v>0</v>
      </c>
      <c r="S255" s="89">
        <f t="shared" si="68"/>
        <v>0</v>
      </c>
      <c r="T255" s="89">
        <f t="shared" si="68"/>
        <v>0</v>
      </c>
      <c r="U255" s="89">
        <f t="shared" si="68"/>
        <v>0</v>
      </c>
      <c r="V255" s="89">
        <f t="shared" si="68"/>
        <v>0</v>
      </c>
      <c r="W255" s="89">
        <f t="shared" si="68"/>
        <v>0</v>
      </c>
      <c r="X255" s="89">
        <f t="shared" si="68"/>
        <v>0</v>
      </c>
      <c r="Y255" s="89">
        <f t="shared" si="68"/>
        <v>0</v>
      </c>
      <c r="AQ255" s="3"/>
    </row>
    <row r="256" spans="3:43" x14ac:dyDescent="0.3">
      <c r="C256" s="32"/>
      <c r="F256" t="s">
        <v>195</v>
      </c>
      <c r="G256" s="63" t="s">
        <v>172</v>
      </c>
      <c r="H256" s="63"/>
      <c r="J256" s="89">
        <f t="shared" ref="J256:Y256" si="69">IF(AND(J$192 = 0, J$198), J$200 * J27 * J38 / (1 + $H230) / $H49, 0)</f>
        <v>0</v>
      </c>
      <c r="K256" s="89">
        <f t="shared" si="69"/>
        <v>0</v>
      </c>
      <c r="L256" s="89">
        <f t="shared" si="69"/>
        <v>0</v>
      </c>
      <c r="M256" s="89">
        <f t="shared" si="69"/>
        <v>0</v>
      </c>
      <c r="N256" s="89">
        <f t="shared" si="69"/>
        <v>0</v>
      </c>
      <c r="O256" s="89">
        <f t="shared" si="69"/>
        <v>0</v>
      </c>
      <c r="P256" s="89">
        <f t="shared" si="69"/>
        <v>0</v>
      </c>
      <c r="Q256" s="89">
        <f t="shared" si="69"/>
        <v>0</v>
      </c>
      <c r="R256" s="89">
        <f t="shared" si="69"/>
        <v>0</v>
      </c>
      <c r="S256" s="89">
        <f t="shared" si="69"/>
        <v>0</v>
      </c>
      <c r="T256" s="89">
        <f t="shared" si="69"/>
        <v>0</v>
      </c>
      <c r="U256" s="89">
        <f t="shared" si="69"/>
        <v>0</v>
      </c>
      <c r="V256" s="89">
        <f t="shared" si="69"/>
        <v>0</v>
      </c>
      <c r="W256" s="89">
        <f t="shared" si="69"/>
        <v>0</v>
      </c>
      <c r="X256" s="89">
        <f t="shared" si="69"/>
        <v>0</v>
      </c>
      <c r="Y256" s="89">
        <f t="shared" si="69"/>
        <v>0</v>
      </c>
      <c r="AQ256" s="3"/>
    </row>
    <row r="257" spans="2:43" x14ac:dyDescent="0.3">
      <c r="C257" s="32"/>
      <c r="F257" t="s">
        <v>196</v>
      </c>
      <c r="G257" s="63" t="s">
        <v>172</v>
      </c>
      <c r="H257" s="63"/>
      <c r="J257" s="89">
        <f t="shared" ref="J257:Y257" si="70">IF(AND(J$192 = 0, J$198), J$200 * J28 * J39 / (1 + $H231) / $H50, 0)</f>
        <v>0</v>
      </c>
      <c r="K257" s="89">
        <f t="shared" si="70"/>
        <v>0</v>
      </c>
      <c r="L257" s="89">
        <f t="shared" si="70"/>
        <v>0</v>
      </c>
      <c r="M257" s="89">
        <f t="shared" si="70"/>
        <v>0</v>
      </c>
      <c r="N257" s="89">
        <f t="shared" si="70"/>
        <v>0</v>
      </c>
      <c r="O257" s="89">
        <f t="shared" si="70"/>
        <v>0</v>
      </c>
      <c r="P257" s="89">
        <f t="shared" si="70"/>
        <v>0</v>
      </c>
      <c r="Q257" s="89">
        <f t="shared" si="70"/>
        <v>0</v>
      </c>
      <c r="R257" s="89">
        <f t="shared" si="70"/>
        <v>0</v>
      </c>
      <c r="S257" s="89">
        <f t="shared" si="70"/>
        <v>0</v>
      </c>
      <c r="T257" s="89">
        <f t="shared" si="70"/>
        <v>0</v>
      </c>
      <c r="U257" s="89">
        <f t="shared" si="70"/>
        <v>0</v>
      </c>
      <c r="V257" s="89">
        <f t="shared" si="70"/>
        <v>0</v>
      </c>
      <c r="W257" s="89">
        <f t="shared" si="70"/>
        <v>0</v>
      </c>
      <c r="X257" s="89">
        <f t="shared" si="70"/>
        <v>0</v>
      </c>
      <c r="Y257" s="89">
        <f t="shared" si="70"/>
        <v>0</v>
      </c>
      <c r="AQ257" s="3"/>
    </row>
    <row r="258" spans="2:43" x14ac:dyDescent="0.3">
      <c r="C258" s="32"/>
      <c r="F258" t="s">
        <v>197</v>
      </c>
      <c r="G258" s="63" t="s">
        <v>172</v>
      </c>
      <c r="H258" s="63"/>
      <c r="J258" s="89">
        <f t="shared" ref="J258:Y258" si="71">IF(AND(J$192 = 0, J$198), J$200 * J29 * J40 / (1 + $H232) / $H51, 0)</f>
        <v>0</v>
      </c>
      <c r="K258" s="89">
        <f t="shared" si="71"/>
        <v>0</v>
      </c>
      <c r="L258" s="89">
        <f t="shared" si="71"/>
        <v>0</v>
      </c>
      <c r="M258" s="89">
        <f t="shared" si="71"/>
        <v>0</v>
      </c>
      <c r="N258" s="89">
        <f t="shared" si="71"/>
        <v>0</v>
      </c>
      <c r="O258" s="89">
        <f t="shared" si="71"/>
        <v>0</v>
      </c>
      <c r="P258" s="89">
        <f t="shared" si="71"/>
        <v>0</v>
      </c>
      <c r="Q258" s="89">
        <f t="shared" si="71"/>
        <v>0</v>
      </c>
      <c r="R258" s="89">
        <f t="shared" si="71"/>
        <v>0</v>
      </c>
      <c r="S258" s="89">
        <f t="shared" si="71"/>
        <v>0</v>
      </c>
      <c r="T258" s="89">
        <f t="shared" si="71"/>
        <v>0</v>
      </c>
      <c r="U258" s="89">
        <f t="shared" si="71"/>
        <v>0</v>
      </c>
      <c r="V258" s="89">
        <f t="shared" si="71"/>
        <v>0</v>
      </c>
      <c r="W258" s="89">
        <f t="shared" si="71"/>
        <v>0</v>
      </c>
      <c r="X258" s="89">
        <f t="shared" si="71"/>
        <v>0</v>
      </c>
      <c r="Y258" s="89">
        <f t="shared" si="71"/>
        <v>0</v>
      </c>
      <c r="AQ258" s="3"/>
    </row>
    <row r="259" spans="2:43" x14ac:dyDescent="0.3">
      <c r="C259" s="32"/>
      <c r="F259" t="s">
        <v>198</v>
      </c>
      <c r="G259" s="63" t="s">
        <v>172</v>
      </c>
      <c r="H259" s="63"/>
      <c r="J259" s="89">
        <f t="shared" ref="J259:Y259" si="72">IF(AND(J$192 = 0, J$198), J$200 * J30 * J41 / (1 + $H233) / $H52, 0)</f>
        <v>0</v>
      </c>
      <c r="K259" s="89">
        <f t="shared" si="72"/>
        <v>0</v>
      </c>
      <c r="L259" s="89">
        <f t="shared" si="72"/>
        <v>0</v>
      </c>
      <c r="M259" s="89">
        <f t="shared" si="72"/>
        <v>0</v>
      </c>
      <c r="N259" s="89">
        <f t="shared" si="72"/>
        <v>0</v>
      </c>
      <c r="O259" s="89">
        <f t="shared" si="72"/>
        <v>0</v>
      </c>
      <c r="P259" s="89">
        <f t="shared" si="72"/>
        <v>0</v>
      </c>
      <c r="Q259" s="89">
        <f t="shared" si="72"/>
        <v>0</v>
      </c>
      <c r="R259" s="89">
        <f t="shared" si="72"/>
        <v>0</v>
      </c>
      <c r="S259" s="89">
        <f t="shared" si="72"/>
        <v>0</v>
      </c>
      <c r="T259" s="89">
        <f t="shared" si="72"/>
        <v>0</v>
      </c>
      <c r="U259" s="89">
        <f t="shared" si="72"/>
        <v>0</v>
      </c>
      <c r="V259" s="89">
        <f t="shared" si="72"/>
        <v>0</v>
      </c>
      <c r="W259" s="89">
        <f t="shared" si="72"/>
        <v>0</v>
      </c>
      <c r="X259" s="89">
        <f t="shared" si="72"/>
        <v>0</v>
      </c>
      <c r="Y259" s="89">
        <f t="shared" si="72"/>
        <v>0</v>
      </c>
      <c r="AQ259" s="3"/>
    </row>
    <row r="260" spans="2:43" x14ac:dyDescent="0.3">
      <c r="C260" s="32"/>
      <c r="F260" s="37" t="s">
        <v>199</v>
      </c>
      <c r="G260" s="130" t="s">
        <v>172</v>
      </c>
      <c r="H260" s="130"/>
      <c r="I260" s="37"/>
      <c r="J260" s="82">
        <f t="shared" ref="J260:Y260" si="73">IF(AND(J$192 = 0, J$198), J$200 * J31 * J42 / (1 + $H234) / $H53, 0)</f>
        <v>1270.9838989025234</v>
      </c>
      <c r="K260" s="82">
        <f t="shared" si="73"/>
        <v>0</v>
      </c>
      <c r="L260" s="82">
        <f t="shared" si="73"/>
        <v>441.34162970468492</v>
      </c>
      <c r="M260" s="82">
        <f t="shared" si="73"/>
        <v>0</v>
      </c>
      <c r="N260" s="82">
        <f t="shared" si="73"/>
        <v>0</v>
      </c>
      <c r="O260" s="82">
        <f t="shared" si="73"/>
        <v>0</v>
      </c>
      <c r="P260" s="82">
        <f t="shared" si="73"/>
        <v>0</v>
      </c>
      <c r="Q260" s="82">
        <f t="shared" si="73"/>
        <v>0</v>
      </c>
      <c r="R260" s="82">
        <f t="shared" si="73"/>
        <v>0</v>
      </c>
      <c r="S260" s="82">
        <f t="shared" si="73"/>
        <v>0</v>
      </c>
      <c r="T260" s="82">
        <f t="shared" si="73"/>
        <v>0</v>
      </c>
      <c r="U260" s="82">
        <f t="shared" si="73"/>
        <v>0</v>
      </c>
      <c r="V260" s="82">
        <f t="shared" si="73"/>
        <v>0</v>
      </c>
      <c r="W260" s="82">
        <f t="shared" si="73"/>
        <v>0</v>
      </c>
      <c r="X260" s="82">
        <f t="shared" si="73"/>
        <v>0</v>
      </c>
      <c r="Y260" s="82">
        <f t="shared" si="73"/>
        <v>0</v>
      </c>
      <c r="AQ260" s="3"/>
    </row>
    <row r="261" spans="2:43" x14ac:dyDescent="0.3">
      <c r="H261" s="166"/>
    </row>
    <row r="262" spans="2:43" x14ac:dyDescent="0.3">
      <c r="B262" s="30" t="s">
        <v>542</v>
      </c>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Q262" s="3"/>
    </row>
    <row r="263" spans="2:43" x14ac:dyDescent="0.3">
      <c r="H263" s="166"/>
      <c r="J263" s="63"/>
      <c r="K263" s="63"/>
      <c r="L263" s="63"/>
      <c r="M263" s="63"/>
      <c r="N263" s="63"/>
      <c r="O263" s="63"/>
      <c r="P263" s="63"/>
      <c r="Q263" s="63"/>
      <c r="R263" s="63"/>
      <c r="S263" s="63"/>
      <c r="T263" s="63"/>
      <c r="U263" s="63"/>
      <c r="V263" s="63"/>
      <c r="W263" s="63"/>
      <c r="X263" s="63"/>
      <c r="Y263" s="63"/>
    </row>
    <row r="264" spans="2:43" x14ac:dyDescent="0.3">
      <c r="C264" s="29" t="s">
        <v>543</v>
      </c>
      <c r="H264" s="166"/>
      <c r="J264" s="63"/>
      <c r="K264" s="63"/>
      <c r="L264" s="63"/>
      <c r="M264" s="63"/>
      <c r="N264" s="63"/>
      <c r="O264" s="63"/>
      <c r="P264" s="63"/>
      <c r="Q264" s="63"/>
      <c r="R264" s="63"/>
      <c r="S264" s="63"/>
      <c r="T264" s="63"/>
      <c r="U264" s="63"/>
      <c r="V264" s="63"/>
      <c r="W264" s="63"/>
      <c r="X264" s="63"/>
      <c r="Y264" s="63"/>
    </row>
    <row r="265" spans="2:43" x14ac:dyDescent="0.3">
      <c r="H265" s="166"/>
      <c r="J265" s="63"/>
      <c r="K265" s="63"/>
      <c r="L265" s="63"/>
      <c r="M265" s="63"/>
      <c r="N265" s="63"/>
      <c r="O265" s="63"/>
      <c r="P265" s="63"/>
      <c r="Q265" s="63"/>
      <c r="R265" s="63"/>
      <c r="S265" s="63"/>
      <c r="T265" s="63"/>
      <c r="U265" s="63"/>
      <c r="V265" s="63"/>
      <c r="W265" s="63"/>
      <c r="X265" s="63"/>
      <c r="Y265" s="63"/>
    </row>
    <row r="266" spans="2:43" x14ac:dyDescent="0.3">
      <c r="C266" s="31" t="str">
        <f ca="1">INDEX('Version control'!$H$34:$H$57,MATCH($A$1,'Version control'!$F$34:$F$57,0),1)&amp;"-I: System peak based on chargeable load"</f>
        <v>Section 106-I: System peak based on chargeable load</v>
      </c>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Q266" s="3"/>
    </row>
    <row r="267" spans="2:43" x14ac:dyDescent="0.3">
      <c r="H267" s="166"/>
    </row>
    <row r="268" spans="2:43" x14ac:dyDescent="0.3">
      <c r="E268" s="32" t="s">
        <v>544</v>
      </c>
      <c r="F268" s="29"/>
      <c r="H268" s="173" t="s">
        <v>545</v>
      </c>
      <c r="J268" s="63"/>
      <c r="K268" s="63"/>
      <c r="L268" s="63"/>
      <c r="M268" s="63"/>
      <c r="N268" s="63"/>
      <c r="O268" s="63"/>
      <c r="P268" s="63"/>
      <c r="Q268" s="63"/>
      <c r="R268" s="63"/>
      <c r="S268" s="63"/>
      <c r="T268" s="63"/>
      <c r="U268" s="63"/>
      <c r="V268" s="63"/>
      <c r="W268" s="63"/>
      <c r="X268" s="63"/>
      <c r="Y268" s="63"/>
    </row>
    <row r="269" spans="2:43" x14ac:dyDescent="0.3">
      <c r="C269" s="32"/>
      <c r="F269" s="23" t="s">
        <v>191</v>
      </c>
      <c r="G269" s="23" t="s">
        <v>172</v>
      </c>
      <c r="H269" s="101">
        <f t="shared" ref="H269:H277" si="74">SUM(J269:Y269)</f>
        <v>3941.7907962086988</v>
      </c>
      <c r="I269" s="158"/>
      <c r="J269" s="158">
        <f t="shared" ref="J269:Y269" si="75">J239 + J252 + J168</f>
        <v>1761.0595494023396</v>
      </c>
      <c r="K269" s="158">
        <f t="shared" si="75"/>
        <v>0.72668967392095407</v>
      </c>
      <c r="L269" s="158">
        <f t="shared" si="75"/>
        <v>705.33651175713669</v>
      </c>
      <c r="M269" s="158">
        <f t="shared" si="75"/>
        <v>0.39647514880629875</v>
      </c>
      <c r="N269" s="158">
        <f t="shared" si="75"/>
        <v>500.84621072645405</v>
      </c>
      <c r="O269" s="158">
        <f t="shared" si="75"/>
        <v>26.345775648657003</v>
      </c>
      <c r="P269" s="158">
        <f t="shared" si="75"/>
        <v>1035.5209397097231</v>
      </c>
      <c r="Q269" s="158">
        <f t="shared" si="75"/>
        <v>28.496363899590293</v>
      </c>
      <c r="R269" s="158">
        <f t="shared" si="75"/>
        <v>-0.20472204087812759</v>
      </c>
      <c r="S269" s="158">
        <f t="shared" si="75"/>
        <v>0</v>
      </c>
      <c r="T269" s="158">
        <f t="shared" si="75"/>
        <v>-6.7810841956402212</v>
      </c>
      <c r="U269" s="158">
        <f t="shared" si="75"/>
        <v>0</v>
      </c>
      <c r="V269" s="158">
        <f t="shared" si="75"/>
        <v>-1.2897977362998747</v>
      </c>
      <c r="W269" s="158">
        <f t="shared" si="75"/>
        <v>0</v>
      </c>
      <c r="X269" s="158">
        <f t="shared" si="75"/>
        <v>-108.66211578511104</v>
      </c>
      <c r="Y269" s="158">
        <f t="shared" si="75"/>
        <v>0</v>
      </c>
      <c r="AQ269" s="3"/>
    </row>
    <row r="270" spans="2:43" x14ac:dyDescent="0.3">
      <c r="C270" s="32"/>
      <c r="F270" t="s">
        <v>192</v>
      </c>
      <c r="G270" t="s">
        <v>172</v>
      </c>
      <c r="H270" s="121">
        <f t="shared" si="74"/>
        <v>4126.8758872146782</v>
      </c>
      <c r="I270" s="89"/>
      <c r="J270" s="89">
        <f t="shared" ref="J270:Y270" si="76">J240 + J253 + J169</f>
        <v>1716.1381300609755</v>
      </c>
      <c r="K270" s="89">
        <f t="shared" si="76"/>
        <v>0.97162616764483678</v>
      </c>
      <c r="L270" s="89">
        <f t="shared" si="76"/>
        <v>703.17879084687513</v>
      </c>
      <c r="M270" s="89">
        <f t="shared" si="76"/>
        <v>0.44117309842947322</v>
      </c>
      <c r="N270" s="89">
        <f t="shared" si="76"/>
        <v>496.14901333285445</v>
      </c>
      <c r="O270" s="89">
        <f t="shared" si="76"/>
        <v>25.228262073729038</v>
      </c>
      <c r="P270" s="89">
        <f t="shared" si="76"/>
        <v>1270.0831919339794</v>
      </c>
      <c r="Q270" s="89">
        <f t="shared" si="76"/>
        <v>29.912159394877975</v>
      </c>
      <c r="R270" s="89">
        <f t="shared" si="76"/>
        <v>-0.2076956511044693</v>
      </c>
      <c r="S270" s="89">
        <f t="shared" si="76"/>
        <v>0</v>
      </c>
      <c r="T270" s="89">
        <f t="shared" si="76"/>
        <v>-6.8985590493887212</v>
      </c>
      <c r="U270" s="89">
        <f t="shared" si="76"/>
        <v>0</v>
      </c>
      <c r="V270" s="89">
        <f t="shared" si="76"/>
        <v>-1.2922040261403112</v>
      </c>
      <c r="W270" s="89">
        <f t="shared" si="76"/>
        <v>0</v>
      </c>
      <c r="X270" s="89">
        <f t="shared" si="76"/>
        <v>-106.82800096805343</v>
      </c>
      <c r="Y270" s="89">
        <f t="shared" si="76"/>
        <v>0</v>
      </c>
      <c r="AQ270" s="3"/>
    </row>
    <row r="271" spans="2:43" x14ac:dyDescent="0.3">
      <c r="C271" s="32"/>
      <c r="F271" t="s">
        <v>193</v>
      </c>
      <c r="G271" t="s">
        <v>172</v>
      </c>
      <c r="H271" s="121">
        <f t="shared" si="74"/>
        <v>1190.617823012273</v>
      </c>
      <c r="I271" s="89"/>
      <c r="J271" s="89">
        <f t="shared" ref="J271:Y271" si="77">J241 + J254 + J170</f>
        <v>525.50827106754946</v>
      </c>
      <c r="K271" s="89">
        <f t="shared" si="77"/>
        <v>0.29752709210236206</v>
      </c>
      <c r="L271" s="89">
        <f t="shared" si="77"/>
        <v>215.32431693955888</v>
      </c>
      <c r="M271" s="89">
        <f t="shared" si="77"/>
        <v>0.13509408603895359</v>
      </c>
      <c r="N271" s="89">
        <f t="shared" si="77"/>
        <v>151.92856893119378</v>
      </c>
      <c r="O271" s="89">
        <f t="shared" si="77"/>
        <v>7.725287465020851</v>
      </c>
      <c r="P271" s="89">
        <f t="shared" si="77"/>
        <v>315.82332727898154</v>
      </c>
      <c r="Q271" s="89">
        <f t="shared" si="77"/>
        <v>9.1595699041666148</v>
      </c>
      <c r="R271" s="89">
        <f t="shared" si="77"/>
        <v>-6.3599648890897045E-2</v>
      </c>
      <c r="S271" s="89">
        <f t="shared" si="77"/>
        <v>0</v>
      </c>
      <c r="T271" s="89">
        <f t="shared" si="77"/>
        <v>-2.1124464140732413</v>
      </c>
      <c r="U271" s="89">
        <f t="shared" si="77"/>
        <v>0</v>
      </c>
      <c r="V271" s="89">
        <f t="shared" si="77"/>
        <v>-0.39569303411456397</v>
      </c>
      <c r="W271" s="89">
        <f t="shared" si="77"/>
        <v>0</v>
      </c>
      <c r="X271" s="89">
        <f t="shared" si="77"/>
        <v>-32.712400655260545</v>
      </c>
      <c r="Y271" s="89">
        <f t="shared" si="77"/>
        <v>0</v>
      </c>
      <c r="AQ271" s="3"/>
    </row>
    <row r="272" spans="2:43" x14ac:dyDescent="0.3">
      <c r="C272" s="32"/>
      <c r="F272" t="s">
        <v>194</v>
      </c>
      <c r="G272" t="s">
        <v>172</v>
      </c>
      <c r="H272" s="121">
        <f t="shared" si="74"/>
        <v>1254.6403348783017</v>
      </c>
      <c r="I272" s="89"/>
      <c r="J272" s="89">
        <f t="shared" ref="J272:Y272" si="78">J242 + J255 + J171</f>
        <v>516.40599894517277</v>
      </c>
      <c r="K272" s="89">
        <f t="shared" si="78"/>
        <v>0.30107653398828488</v>
      </c>
      <c r="L272" s="89">
        <f t="shared" si="78"/>
        <v>204.77206188700126</v>
      </c>
      <c r="M272" s="89">
        <f t="shared" si="78"/>
        <v>0.134408326841266</v>
      </c>
      <c r="N272" s="89">
        <f t="shared" si="78"/>
        <v>145.26164608012752</v>
      </c>
      <c r="O272" s="89">
        <f t="shared" si="78"/>
        <v>7.518663181856283</v>
      </c>
      <c r="P272" s="89">
        <f t="shared" si="78"/>
        <v>404.60281259925671</v>
      </c>
      <c r="Q272" s="89">
        <f t="shared" si="78"/>
        <v>9.6322712962392796</v>
      </c>
      <c r="R272" s="89">
        <f t="shared" si="78"/>
        <v>-5.8418561292255158E-2</v>
      </c>
      <c r="S272" s="89">
        <f t="shared" si="78"/>
        <v>0</v>
      </c>
      <c r="T272" s="89">
        <f t="shared" si="78"/>
        <v>-1.9850179777877079</v>
      </c>
      <c r="U272" s="89">
        <f t="shared" si="78"/>
        <v>0</v>
      </c>
      <c r="V272" s="89">
        <f t="shared" si="78"/>
        <v>-0.38236855255416441</v>
      </c>
      <c r="W272" s="89">
        <f t="shared" si="78"/>
        <v>0</v>
      </c>
      <c r="X272" s="89">
        <f t="shared" si="78"/>
        <v>-31.562798880547547</v>
      </c>
      <c r="Y272" s="89">
        <f t="shared" si="78"/>
        <v>0</v>
      </c>
      <c r="AQ272" s="3"/>
    </row>
    <row r="273" spans="2:43" x14ac:dyDescent="0.3">
      <c r="C273" s="32"/>
      <c r="F273" t="s">
        <v>195</v>
      </c>
      <c r="G273" t="s">
        <v>172</v>
      </c>
      <c r="H273" s="121">
        <f t="shared" si="74"/>
        <v>1647.6702372240627</v>
      </c>
      <c r="I273" s="89"/>
      <c r="J273" s="89">
        <f t="shared" ref="J273:Y273" si="79">J243 + J256 + J172</f>
        <v>513.40654493387467</v>
      </c>
      <c r="K273" s="89">
        <f t="shared" si="79"/>
        <v>0.29932778354885631</v>
      </c>
      <c r="L273" s="89">
        <f t="shared" si="79"/>
        <v>203.5826791461281</v>
      </c>
      <c r="M273" s="89">
        <f t="shared" si="79"/>
        <v>0.13362763956048418</v>
      </c>
      <c r="N273" s="89">
        <f t="shared" si="79"/>
        <v>144.41791919098836</v>
      </c>
      <c r="O273" s="89">
        <f t="shared" si="79"/>
        <v>7.4749923405289476</v>
      </c>
      <c r="P273" s="89">
        <f t="shared" si="79"/>
        <v>802.57000936290137</v>
      </c>
      <c r="Q273" s="89">
        <f t="shared" si="79"/>
        <v>9.5763239314982957</v>
      </c>
      <c r="R273" s="89">
        <f t="shared" si="79"/>
        <v>-5.8079247286685419E-2</v>
      </c>
      <c r="S273" s="89">
        <f t="shared" si="79"/>
        <v>0</v>
      </c>
      <c r="T273" s="89">
        <f t="shared" si="79"/>
        <v>-1.9734883477134326</v>
      </c>
      <c r="U273" s="89">
        <f t="shared" si="79"/>
        <v>0</v>
      </c>
      <c r="V273" s="89">
        <f t="shared" si="79"/>
        <v>-0.380147631629358</v>
      </c>
      <c r="W273" s="89">
        <f t="shared" si="79"/>
        <v>0</v>
      </c>
      <c r="X273" s="89">
        <f t="shared" si="79"/>
        <v>-31.379471878337203</v>
      </c>
      <c r="Y273" s="89">
        <f t="shared" si="79"/>
        <v>0</v>
      </c>
      <c r="AQ273" s="3"/>
    </row>
    <row r="274" spans="2:43" x14ac:dyDescent="0.3">
      <c r="C274" s="32"/>
      <c r="F274" t="s">
        <v>196</v>
      </c>
      <c r="G274" t="s">
        <v>172</v>
      </c>
      <c r="H274" s="121">
        <f t="shared" si="74"/>
        <v>3781.0077942514363</v>
      </c>
      <c r="I274" s="89"/>
      <c r="J274" s="89">
        <f t="shared" ref="J274:Y274" si="80">J244 + J257 + J173</f>
        <v>1156.3223380485215</v>
      </c>
      <c r="K274" s="89">
        <f t="shared" si="80"/>
        <v>0.65467518156028814</v>
      </c>
      <c r="L274" s="89">
        <f t="shared" si="80"/>
        <v>473.7971432808273</v>
      </c>
      <c r="M274" s="89">
        <f t="shared" si="80"/>
        <v>0.29725946864309433</v>
      </c>
      <c r="N274" s="89">
        <f t="shared" si="80"/>
        <v>334.30187061756448</v>
      </c>
      <c r="O274" s="89">
        <f t="shared" si="80"/>
        <v>16.998633428743119</v>
      </c>
      <c r="P274" s="89">
        <f t="shared" si="80"/>
        <v>1856.120076379015</v>
      </c>
      <c r="Q274" s="89">
        <f t="shared" si="80"/>
        <v>20.154611963744674</v>
      </c>
      <c r="R274" s="89">
        <f t="shared" si="80"/>
        <v>-0.13994393381323961</v>
      </c>
      <c r="S274" s="89">
        <f t="shared" si="80"/>
        <v>0</v>
      </c>
      <c r="T274" s="89">
        <f t="shared" si="80"/>
        <v>-4.6482027229775067</v>
      </c>
      <c r="U274" s="89">
        <f t="shared" si="80"/>
        <v>0</v>
      </c>
      <c r="V274" s="89">
        <f t="shared" si="80"/>
        <v>-0.87067838804396702</v>
      </c>
      <c r="W274" s="89">
        <f t="shared" si="80"/>
        <v>0</v>
      </c>
      <c r="X274" s="89">
        <f t="shared" si="80"/>
        <v>-71.979989072348317</v>
      </c>
      <c r="Y274" s="89">
        <f t="shared" si="80"/>
        <v>0</v>
      </c>
      <c r="AQ274" s="3"/>
    </row>
    <row r="275" spans="2:43" x14ac:dyDescent="0.3">
      <c r="C275" s="32"/>
      <c r="F275" t="s">
        <v>197</v>
      </c>
      <c r="G275" t="s">
        <v>172</v>
      </c>
      <c r="H275" s="121">
        <f t="shared" si="74"/>
        <v>4932.6967126973232</v>
      </c>
      <c r="I275" s="89"/>
      <c r="J275" s="89">
        <f t="shared" ref="J275:Y275" si="81">J245 + J258 + J174</f>
        <v>1641.3703603953707</v>
      </c>
      <c r="K275" s="89">
        <f t="shared" si="81"/>
        <v>0.95695654215552117</v>
      </c>
      <c r="L275" s="89">
        <f t="shared" si="81"/>
        <v>650.85764631881284</v>
      </c>
      <c r="M275" s="89">
        <f t="shared" si="81"/>
        <v>0.42721007176179271</v>
      </c>
      <c r="N275" s="89">
        <f t="shared" si="81"/>
        <v>587.12446439132793</v>
      </c>
      <c r="O275" s="89">
        <f t="shared" si="81"/>
        <v>114.25514651277869</v>
      </c>
      <c r="P275" s="89">
        <f t="shared" si="81"/>
        <v>1914.7995399615129</v>
      </c>
      <c r="Q275" s="89">
        <f t="shared" si="81"/>
        <v>30.615687349156499</v>
      </c>
      <c r="R275" s="89">
        <f t="shared" si="81"/>
        <v>-0.18568044367785944</v>
      </c>
      <c r="S275" s="89">
        <f t="shared" si="81"/>
        <v>0</v>
      </c>
      <c r="T275" s="89">
        <f t="shared" si="81"/>
        <v>-6.3092792884821236</v>
      </c>
      <c r="U275" s="89">
        <f t="shared" si="81"/>
        <v>0</v>
      </c>
      <c r="V275" s="89">
        <f t="shared" si="81"/>
        <v>-1.2153391133946116</v>
      </c>
      <c r="W275" s="89">
        <f t="shared" si="81"/>
        <v>0</v>
      </c>
      <c r="X275" s="89">
        <f t="shared" si="81"/>
        <v>0</v>
      </c>
      <c r="Y275" s="89">
        <f t="shared" si="81"/>
        <v>0</v>
      </c>
      <c r="AQ275" s="3"/>
    </row>
    <row r="276" spans="2:43" x14ac:dyDescent="0.3">
      <c r="C276" s="32"/>
      <c r="F276" t="s">
        <v>198</v>
      </c>
      <c r="G276" t="s">
        <v>172</v>
      </c>
      <c r="H276" s="121">
        <f t="shared" si="74"/>
        <v>3467.9879272218882</v>
      </c>
      <c r="I276" s="89"/>
      <c r="J276" s="89">
        <f t="shared" ref="J276:Y276" si="82">J246 + J259 + J175</f>
        <v>1616.7574965094045</v>
      </c>
      <c r="K276" s="89">
        <f t="shared" si="82"/>
        <v>0.94260667835562573</v>
      </c>
      <c r="L276" s="89">
        <f t="shared" si="82"/>
        <v>641.09783156614083</v>
      </c>
      <c r="M276" s="89">
        <f t="shared" si="82"/>
        <v>0.42080392260697669</v>
      </c>
      <c r="N276" s="89">
        <f t="shared" si="82"/>
        <v>1072.4683040932771</v>
      </c>
      <c r="O276" s="89">
        <f t="shared" si="82"/>
        <v>112.54185471877264</v>
      </c>
      <c r="P276" s="89">
        <f t="shared" si="82"/>
        <v>0</v>
      </c>
      <c r="Q276" s="89">
        <f t="shared" si="82"/>
        <v>30.156595505120407</v>
      </c>
      <c r="R276" s="89">
        <f t="shared" si="82"/>
        <v>-0.18289610712786342</v>
      </c>
      <c r="S276" s="89">
        <f t="shared" si="82"/>
        <v>0</v>
      </c>
      <c r="T276" s="89">
        <f t="shared" si="82"/>
        <v>-6.2146696646623356</v>
      </c>
      <c r="U276" s="89">
        <f t="shared" si="82"/>
        <v>0</v>
      </c>
      <c r="V276" s="89">
        <f t="shared" si="82"/>
        <v>0</v>
      </c>
      <c r="W276" s="89">
        <f t="shared" si="82"/>
        <v>0</v>
      </c>
      <c r="X276" s="89">
        <f t="shared" si="82"/>
        <v>0</v>
      </c>
      <c r="Y276" s="89">
        <f t="shared" si="82"/>
        <v>0</v>
      </c>
      <c r="AQ276" s="3"/>
    </row>
    <row r="277" spans="2:43" x14ac:dyDescent="0.3">
      <c r="C277" s="32"/>
      <c r="F277" s="37" t="s">
        <v>199</v>
      </c>
      <c r="G277" s="37" t="s">
        <v>172</v>
      </c>
      <c r="H277" s="131">
        <f t="shared" si="74"/>
        <v>2683.2492442911439</v>
      </c>
      <c r="I277" s="82"/>
      <c r="J277" s="82">
        <f t="shared" ref="J277:Y277" si="83">J247 + J260 + J176</f>
        <v>1270.9838989025234</v>
      </c>
      <c r="K277" s="82">
        <f t="shared" si="83"/>
        <v>0</v>
      </c>
      <c r="L277" s="82">
        <f t="shared" si="83"/>
        <v>441.34162970468492</v>
      </c>
      <c r="M277" s="82">
        <f t="shared" si="83"/>
        <v>0</v>
      </c>
      <c r="N277" s="82">
        <f t="shared" si="83"/>
        <v>941.4034520105746</v>
      </c>
      <c r="O277" s="82">
        <f t="shared" si="83"/>
        <v>0</v>
      </c>
      <c r="P277" s="82">
        <f t="shared" si="83"/>
        <v>0</v>
      </c>
      <c r="Q277" s="82">
        <f t="shared" si="83"/>
        <v>29.520263673360986</v>
      </c>
      <c r="R277" s="82">
        <f t="shared" si="83"/>
        <v>0</v>
      </c>
      <c r="S277" s="82">
        <f t="shared" si="83"/>
        <v>0</v>
      </c>
      <c r="T277" s="82">
        <f t="shared" si="83"/>
        <v>0</v>
      </c>
      <c r="U277" s="82">
        <f t="shared" si="83"/>
        <v>0</v>
      </c>
      <c r="V277" s="82">
        <f t="shared" si="83"/>
        <v>0</v>
      </c>
      <c r="W277" s="82">
        <f t="shared" si="83"/>
        <v>0</v>
      </c>
      <c r="X277" s="82">
        <f t="shared" si="83"/>
        <v>0</v>
      </c>
      <c r="Y277" s="82">
        <f t="shared" si="83"/>
        <v>0</v>
      </c>
      <c r="AQ277" s="3"/>
    </row>
    <row r="278" spans="2:43" x14ac:dyDescent="0.3">
      <c r="H278" s="166"/>
    </row>
    <row r="279" spans="2:43" x14ac:dyDescent="0.3">
      <c r="B279" s="30" t="s">
        <v>231</v>
      </c>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C279" s="30"/>
      <c r="AD279" s="30"/>
      <c r="AE279" s="30"/>
      <c r="AF279" s="30"/>
      <c r="AG279" s="30"/>
      <c r="AH279" s="30"/>
      <c r="AI279" s="30"/>
      <c r="AJ279" s="30"/>
      <c r="AK279" s="30"/>
      <c r="AL279" s="30"/>
      <c r="AM279" s="30"/>
      <c r="AN279" s="30"/>
      <c r="AO279" s="30"/>
      <c r="AQ279" s="30"/>
    </row>
    <row r="281" spans="2:43" x14ac:dyDescent="0.3">
      <c r="E281" t="s">
        <v>232</v>
      </c>
      <c r="G281" s="6" t="s">
        <v>55</v>
      </c>
      <c r="H281" s="103">
        <f t="array" ref="H281">SUM(IF(ISERROR(H23:Y277), 1))</f>
        <v>0</v>
      </c>
    </row>
    <row r="283" spans="2:43" x14ac:dyDescent="0.3">
      <c r="B283" s="30" t="s">
        <v>106</v>
      </c>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C283" s="30"/>
      <c r="AD283" s="30"/>
      <c r="AE283" s="30"/>
      <c r="AF283" s="30"/>
      <c r="AG283" s="30"/>
      <c r="AH283" s="30"/>
      <c r="AI283" s="30"/>
      <c r="AJ283" s="30"/>
      <c r="AK283" s="30"/>
      <c r="AL283" s="30"/>
      <c r="AM283" s="30"/>
      <c r="AN283" s="30"/>
      <c r="AO283" s="30"/>
      <c r="AQ283" s="30"/>
    </row>
    <row r="288" spans="2:43" x14ac:dyDescent="0.3">
      <c r="J288" s="63"/>
      <c r="L288" s="63"/>
    </row>
    <row r="289" spans="10:12" x14ac:dyDescent="0.3">
      <c r="J289" s="63"/>
      <c r="L289" s="63"/>
    </row>
    <row r="290" spans="10:12" x14ac:dyDescent="0.3">
      <c r="J290" s="63"/>
      <c r="L290" s="63"/>
    </row>
    <row r="291" spans="10:12" x14ac:dyDescent="0.3">
      <c r="J291" s="63"/>
      <c r="L291" s="63"/>
    </row>
    <row r="292" spans="10:12" x14ac:dyDescent="0.3">
      <c r="J292" s="63"/>
      <c r="L292" s="63"/>
    </row>
    <row r="293" spans="10:12" x14ac:dyDescent="0.3">
      <c r="J293" s="63"/>
      <c r="L293" s="63"/>
    </row>
    <row r="294" spans="10:12" x14ac:dyDescent="0.3">
      <c r="J294" s="63"/>
      <c r="L294" s="63"/>
    </row>
    <row r="295" spans="10:12" x14ac:dyDescent="0.3">
      <c r="J295" s="63"/>
      <c r="L295" s="63"/>
    </row>
    <row r="296" spans="10:12" x14ac:dyDescent="0.3">
      <c r="J296" s="63"/>
      <c r="L296" s="63"/>
    </row>
    <row r="297" spans="10:12" x14ac:dyDescent="0.3">
      <c r="J297" s="63"/>
      <c r="L297" s="63"/>
    </row>
    <row r="298" spans="10:12" x14ac:dyDescent="0.3">
      <c r="J298" s="63"/>
      <c r="L298" s="63"/>
    </row>
    <row r="299" spans="10:12" x14ac:dyDescent="0.3">
      <c r="J299" s="63"/>
      <c r="L299" s="63"/>
    </row>
    <row r="300" spans="10:12" x14ac:dyDescent="0.3">
      <c r="J300" s="63"/>
      <c r="L300" s="63"/>
    </row>
    <row r="301" spans="10:12" x14ac:dyDescent="0.3">
      <c r="J301" s="63"/>
      <c r="L301" s="63"/>
    </row>
    <row r="302" spans="10:12" x14ac:dyDescent="0.3">
      <c r="J302" s="63"/>
      <c r="L302" s="63"/>
    </row>
    <row r="303" spans="10:12" x14ac:dyDescent="0.3">
      <c r="J303" s="63"/>
      <c r="L303" s="63"/>
    </row>
    <row r="304" spans="10:12" x14ac:dyDescent="0.3">
      <c r="J304" s="63"/>
      <c r="L304" s="63"/>
    </row>
    <row r="305" spans="10:12" x14ac:dyDescent="0.3">
      <c r="J305" s="63"/>
      <c r="L305" s="63"/>
    </row>
    <row r="306" spans="10:12" x14ac:dyDescent="0.3">
      <c r="J306" s="63"/>
      <c r="L306" s="63"/>
    </row>
    <row r="307" spans="10:12" x14ac:dyDescent="0.3">
      <c r="J307" s="63"/>
      <c r="L307" s="63"/>
    </row>
    <row r="308" spans="10:12" x14ac:dyDescent="0.3">
      <c r="J308" s="63"/>
      <c r="L308" s="63"/>
    </row>
    <row r="309" spans="10:12" x14ac:dyDescent="0.3">
      <c r="J309" s="63"/>
      <c r="L309" s="63"/>
    </row>
    <row r="310" spans="10:12" x14ac:dyDescent="0.3">
      <c r="J310" s="63"/>
      <c r="L310" s="63"/>
    </row>
    <row r="311" spans="10:12" x14ac:dyDescent="0.3">
      <c r="J311" s="63"/>
      <c r="L311" s="63"/>
    </row>
    <row r="312" spans="10:12" x14ac:dyDescent="0.3">
      <c r="J312" s="63"/>
      <c r="L312" s="63"/>
    </row>
    <row r="313" spans="10:12" x14ac:dyDescent="0.3">
      <c r="J313" s="63"/>
      <c r="L313" s="63"/>
    </row>
    <row r="314" spans="10:12" x14ac:dyDescent="0.3">
      <c r="J314" s="63"/>
      <c r="L314" s="63"/>
    </row>
    <row r="315" spans="10:12" x14ac:dyDescent="0.3">
      <c r="J315" s="63"/>
      <c r="L315" s="63"/>
    </row>
    <row r="316" spans="10:12" x14ac:dyDescent="0.3">
      <c r="J316" s="63"/>
      <c r="L316" s="63"/>
    </row>
    <row r="317" spans="10:12" x14ac:dyDescent="0.3">
      <c r="J317" s="63"/>
      <c r="L317" s="63"/>
    </row>
    <row r="318" spans="10:12" x14ac:dyDescent="0.3">
      <c r="J318" s="63"/>
      <c r="L318" s="63"/>
    </row>
    <row r="319" spans="10:12" x14ac:dyDescent="0.3">
      <c r="J319" s="63"/>
      <c r="L319" s="63"/>
    </row>
    <row r="320" spans="10:12" x14ac:dyDescent="0.3">
      <c r="J320" s="63"/>
      <c r="L320" s="63"/>
    </row>
  </sheetData>
  <sheetProtection sheet="1" objects="1" formatCells="0" formatColumns="0" formatRows="0" sort="0" autoFilter="0"/>
  <conditionalFormatting sqref="A4:I4 Z4:XFD4">
    <cfRule type="expression" dxfId="145" priority="10">
      <formula>LEFT($A$4,1) &lt;&gt; "0"</formula>
    </cfRule>
  </conditionalFormatting>
  <conditionalFormatting sqref="N4:P4">
    <cfRule type="expression" dxfId="144" priority="9">
      <formula>LEFT($A$4,1) &lt;&gt; "0"</formula>
    </cfRule>
  </conditionalFormatting>
  <conditionalFormatting sqref="L4:M4">
    <cfRule type="expression" dxfId="143" priority="8">
      <formula>LEFT($A$4,1) &lt;&gt; "0"</formula>
    </cfRule>
  </conditionalFormatting>
  <conditionalFormatting sqref="J4:K4">
    <cfRule type="expression" dxfId="142" priority="7">
      <formula>LEFT($A$4,1) &lt;&gt; "0"</formula>
    </cfRule>
  </conditionalFormatting>
  <conditionalFormatting sqref="Q4">
    <cfRule type="expression" dxfId="141" priority="6">
      <formula>LEFT($A$4,1) &lt;&gt; "0"</formula>
    </cfRule>
  </conditionalFormatting>
  <conditionalFormatting sqref="R4:S4">
    <cfRule type="expression" dxfId="140" priority="5">
      <formula>LEFT($A$4,1) &lt;&gt; "0"</formula>
    </cfRule>
  </conditionalFormatting>
  <conditionalFormatting sqref="T4:U4">
    <cfRule type="expression" dxfId="139" priority="4">
      <formula>LEFT($A$4,1) &lt;&gt; "0"</formula>
    </cfRule>
  </conditionalFormatting>
  <conditionalFormatting sqref="V4:W4">
    <cfRule type="expression" dxfId="138" priority="3">
      <formula>LEFT($A$4,1) &lt;&gt; "0"</formula>
    </cfRule>
  </conditionalFormatting>
  <conditionalFormatting sqref="X4:Y4">
    <cfRule type="expression" dxfId="137" priority="2">
      <formula>LEFT($A$4,1) &lt;&gt; "0"</formula>
    </cfRule>
  </conditionalFormatting>
  <conditionalFormatting sqref="H281">
    <cfRule type="cellIs" dxfId="13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41" width="17" hidden="1" customWidth="1"/>
    <col min="42" max="42" width="3.5546875" hidden="1" customWidth="1"/>
    <col min="43" max="43" width="18.44140625" hidden="1" customWidth="1"/>
    <col min="44" max="44" width="4.44140625" hidden="1" customWidth="1"/>
    <col min="45" max="45" width="24.5546875" hidden="1" customWidth="1"/>
    <col min="46" max="46" width="3.5546875" hidden="1" customWidth="1"/>
    <col min="47" max="47" width="15.44140625" hidden="1" customWidth="1"/>
    <col min="48" max="323" width="24.5546875" hidden="1" customWidth="1"/>
    <col min="324" max="16384" width="8.77734375" hidden="1"/>
  </cols>
  <sheetData>
    <row r="1" spans="1:43" s="1" customFormat="1" x14ac:dyDescent="0.3">
      <c r="A1" s="1" t="str">
        <f ca="1">MID(CELL("filename",A1),FIND("]",CELL("filename",A1))+1,255)</f>
        <v>Service model assets</v>
      </c>
    </row>
    <row r="2" spans="1:43" s="1" customFormat="1" x14ac:dyDescent="0.3">
      <c r="A2" s="1" t="str">
        <f>Cover!D21&amp;" - "&amp;Cover!D23</f>
        <v>WPD Mid West - April 22 Pricing</v>
      </c>
    </row>
    <row r="3" spans="1:43" s="5" customFormat="1" x14ac:dyDescent="0.3">
      <c r="A3" s="5" t="str">
        <f>Cover!D2&amp;" - "&amp;Cover!D8&amp;" v"&amp;Cover!D10&amp;" - "&amp;Cover!D19</f>
        <v>CDCM charging model - Release for charge setting v7 - 2022/23</v>
      </c>
    </row>
    <row r="4" spans="1:43" x14ac:dyDescent="0.3">
      <c r="A4" s="12" t="str">
        <f>H38 &amp; IF(H38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3">
      <c r="C9" s="29" t="s">
        <v>546</v>
      </c>
    </row>
    <row r="10" spans="1:43" x14ac:dyDescent="0.3">
      <c r="C10" s="29" t="s">
        <v>547</v>
      </c>
    </row>
    <row r="11" spans="1:43" x14ac:dyDescent="0.3">
      <c r="D11" s="32"/>
      <c r="AQ11" s="3"/>
    </row>
    <row r="12" spans="1:43" x14ac:dyDescent="0.3">
      <c r="B12" s="30" t="s">
        <v>548</v>
      </c>
      <c r="C12" s="30"/>
      <c r="D12" s="30"/>
      <c r="E12" s="30"/>
      <c r="F12" s="30"/>
      <c r="G12" s="92"/>
      <c r="H12" s="30"/>
      <c r="I12" s="30"/>
      <c r="J12" s="30"/>
      <c r="K12" s="30"/>
      <c r="L12" s="30"/>
      <c r="M12" s="30"/>
      <c r="N12" s="30"/>
      <c r="O12" s="30"/>
      <c r="P12" s="30"/>
      <c r="Q12" s="30"/>
      <c r="R12" s="30"/>
      <c r="S12" s="30"/>
      <c r="T12" s="30"/>
      <c r="U12" s="30"/>
      <c r="V12" s="30"/>
      <c r="W12" s="30"/>
      <c r="X12" s="30"/>
      <c r="Y12" s="30"/>
      <c r="Z12" s="30"/>
      <c r="AA12" s="30"/>
    </row>
    <row r="13" spans="1:43" x14ac:dyDescent="0.3">
      <c r="G13" s="13"/>
    </row>
    <row r="14" spans="1:43" x14ac:dyDescent="0.3">
      <c r="C14" s="31" t="str">
        <f ca="1">INDEX('Version control'!$H$34:$H$57,MATCH($A$1,'Version control'!$F$34:$F$57,0),1)&amp;"-A: Service model notional asset values"</f>
        <v>Section 107-A: Service model notional asset values</v>
      </c>
      <c r="D14" s="31"/>
      <c r="E14" s="31"/>
      <c r="F14" s="31"/>
      <c r="G14" s="96"/>
      <c r="H14" s="31"/>
      <c r="I14" s="31"/>
      <c r="J14" s="31"/>
      <c r="K14" s="31"/>
      <c r="L14" s="31"/>
      <c r="M14" s="31"/>
      <c r="N14" s="31"/>
      <c r="O14" s="31"/>
      <c r="P14" s="31"/>
      <c r="Q14" s="31"/>
      <c r="R14" s="31"/>
      <c r="S14" s="31"/>
      <c r="T14" s="31"/>
      <c r="U14" s="31"/>
      <c r="V14" s="31"/>
      <c r="W14" s="31"/>
      <c r="X14" s="31"/>
      <c r="Y14" s="31"/>
      <c r="Z14" s="31"/>
      <c r="AA14" s="31"/>
    </row>
    <row r="16" spans="1:43" x14ac:dyDescent="0.3">
      <c r="E16" s="28" t="s">
        <v>549</v>
      </c>
      <c r="G16" s="28" t="s">
        <v>212</v>
      </c>
      <c r="J16" s="120">
        <f>'Volume adjustments'!J275</f>
        <v>2371479.4191347011</v>
      </c>
      <c r="K16" s="120">
        <f>'Volume adjustments'!K275</f>
        <v>0</v>
      </c>
      <c r="L16" s="120">
        <f>'Volume adjustments'!L275</f>
        <v>186963.63183969076</v>
      </c>
      <c r="M16" s="120">
        <f>'Volume adjustments'!M275</f>
        <v>0</v>
      </c>
      <c r="N16" s="120">
        <f>'Volume adjustments'!N275</f>
        <v>15044.021631328782</v>
      </c>
      <c r="O16" s="120">
        <f>'Volume adjustments'!O275</f>
        <v>399.86184324490995</v>
      </c>
      <c r="P16" s="120">
        <f>'Volume adjustments'!P275</f>
        <v>4136.1544018244804</v>
      </c>
      <c r="Q16" s="120">
        <f>'Volume adjustments'!Q275</f>
        <v>29.475632524712577</v>
      </c>
      <c r="R16" s="120">
        <f>'Volume adjustments'!R275</f>
        <v>0</v>
      </c>
      <c r="S16" s="120">
        <f>'Volume adjustments'!S275</f>
        <v>0</v>
      </c>
      <c r="T16" s="120">
        <f>'Volume adjustments'!T275</f>
        <v>654.93140614185506</v>
      </c>
      <c r="U16" s="120">
        <f>'Volume adjustments'!U275</f>
        <v>0</v>
      </c>
      <c r="V16" s="120">
        <f>'Volume adjustments'!V275</f>
        <v>27.058064434890188</v>
      </c>
      <c r="W16" s="120">
        <f>'Volume adjustments'!W275</f>
        <v>0</v>
      </c>
      <c r="X16" s="120">
        <f>'Volume adjustments'!X275</f>
        <v>316.31557457887271</v>
      </c>
      <c r="Y16" s="120">
        <f>'Volume adjustments'!Y275</f>
        <v>0</v>
      </c>
    </row>
    <row r="17" spans="5:27" x14ac:dyDescent="0.3">
      <c r="E17" s="28" t="s">
        <v>550</v>
      </c>
      <c r="G17" s="28" t="s">
        <v>207</v>
      </c>
      <c r="J17" s="124">
        <f>'Volume adjustments'!J264</f>
        <v>8243104.1171784895</v>
      </c>
      <c r="K17" s="124">
        <f>'Volume adjustments'!K264</f>
        <v>16567.448551798487</v>
      </c>
      <c r="L17" s="124">
        <f>'Volume adjustments'!L264</f>
        <v>2739735.3557335958</v>
      </c>
      <c r="M17" s="124">
        <f>'Volume adjustments'!M264</f>
        <v>4017.9633645050908</v>
      </c>
      <c r="N17" s="124">
        <f>'Volume adjustments'!N264</f>
        <v>2377867.5373323588</v>
      </c>
      <c r="O17" s="124">
        <f>'Volume adjustments'!O264</f>
        <v>139300.06127213477</v>
      </c>
      <c r="P17" s="124">
        <f>'Volume adjustments'!P264</f>
        <v>6652065.463077073</v>
      </c>
      <c r="Q17" s="124">
        <f>'Volume adjustments'!Q264</f>
        <v>246667.26158504939</v>
      </c>
      <c r="R17" s="124">
        <f>'Volume adjustments'!R264</f>
        <v>1133.5616397661845</v>
      </c>
      <c r="S17" s="124">
        <f>'Volume adjustments'!S264</f>
        <v>0</v>
      </c>
      <c r="T17" s="124">
        <f>'Volume adjustments'!T264</f>
        <v>47200.443429056759</v>
      </c>
      <c r="U17" s="124">
        <f>'Volume adjustments'!U264</f>
        <v>0</v>
      </c>
      <c r="V17" s="124">
        <f>'Volume adjustments'!V264</f>
        <v>9937.9707653078713</v>
      </c>
      <c r="W17" s="124">
        <f>'Volume adjustments'!W264</f>
        <v>0</v>
      </c>
      <c r="X17" s="124">
        <f>'Volume adjustments'!X264</f>
        <v>704532.76201741502</v>
      </c>
      <c r="Y17" s="124">
        <f>'Volume adjustments'!Y264</f>
        <v>0</v>
      </c>
    </row>
    <row r="18" spans="5:27" x14ac:dyDescent="0.3">
      <c r="J18" s="89"/>
      <c r="K18" s="89"/>
      <c r="L18" s="89"/>
      <c r="M18" s="89"/>
      <c r="N18" s="89"/>
      <c r="O18" s="89"/>
      <c r="P18" s="89"/>
      <c r="Q18" s="89"/>
      <c r="R18" s="89"/>
      <c r="S18" s="89"/>
      <c r="T18" s="89"/>
      <c r="U18" s="89"/>
      <c r="V18" s="89"/>
      <c r="W18" s="89"/>
      <c r="X18" s="89"/>
      <c r="Y18" s="89"/>
    </row>
    <row r="19" spans="5:27" x14ac:dyDescent="0.3">
      <c r="E19" s="88" t="s">
        <v>551</v>
      </c>
      <c r="J19" s="89"/>
      <c r="K19" s="89"/>
      <c r="L19" s="89"/>
      <c r="M19" s="89"/>
      <c r="N19" s="89"/>
      <c r="O19" s="89"/>
      <c r="P19" s="89"/>
      <c r="Q19" s="89"/>
      <c r="R19" s="89"/>
      <c r="S19" s="89"/>
      <c r="T19" s="89"/>
      <c r="U19" s="89"/>
      <c r="V19" s="89"/>
      <c r="W19" s="89"/>
      <c r="X19" s="89"/>
      <c r="Y19" s="89"/>
    </row>
    <row r="20" spans="5:27" x14ac:dyDescent="0.3">
      <c r="E20" s="29" t="s">
        <v>552</v>
      </c>
      <c r="J20" s="89"/>
      <c r="K20" s="89"/>
      <c r="L20" s="89"/>
      <c r="M20" s="89"/>
      <c r="N20" s="89"/>
      <c r="O20" s="89"/>
      <c r="P20" s="89"/>
      <c r="Q20" s="89"/>
      <c r="R20" s="89"/>
      <c r="S20" s="89"/>
      <c r="T20" s="89"/>
      <c r="U20" s="89"/>
      <c r="V20" s="89"/>
      <c r="W20" s="89"/>
      <c r="X20" s="89"/>
      <c r="Y20" s="89"/>
    </row>
    <row r="21" spans="5:27" x14ac:dyDescent="0.3">
      <c r="E21" s="88"/>
      <c r="F21" s="23" t="s">
        <v>376</v>
      </c>
      <c r="G21" s="23" t="s">
        <v>261</v>
      </c>
      <c r="H21" s="174"/>
      <c r="I21" s="23"/>
      <c r="J21" s="124">
        <f>'Inputs by customer type'!J187</f>
        <v>246.07148097562552</v>
      </c>
      <c r="K21" s="124">
        <f>'Inputs by customer type'!K187</f>
        <v>0</v>
      </c>
      <c r="L21" s="124">
        <f>'Inputs by customer type'!L187</f>
        <v>721.51511666882368</v>
      </c>
      <c r="M21" s="124">
        <f>'Inputs by customer type'!M187</f>
        <v>0</v>
      </c>
      <c r="N21" s="124">
        <f>'Inputs by customer type'!N187</f>
        <v>1439.5219888087429</v>
      </c>
      <c r="O21" s="124">
        <f>'Inputs by customer type'!O187</f>
        <v>1123.7016087154873</v>
      </c>
      <c r="P21" s="124">
        <f>'Inputs by customer type'!P187</f>
        <v>0</v>
      </c>
      <c r="Q21" s="83"/>
      <c r="R21" s="124">
        <f>'Inputs by customer type'!R187</f>
        <v>0</v>
      </c>
      <c r="S21" s="124">
        <f>'Inputs by customer type'!S187</f>
        <v>0</v>
      </c>
      <c r="T21" s="124">
        <f>'Inputs by customer type'!T187</f>
        <v>0</v>
      </c>
      <c r="U21" s="124">
        <f>'Inputs by customer type'!U187</f>
        <v>0</v>
      </c>
      <c r="V21" s="124">
        <f>'Inputs by customer type'!V187</f>
        <v>0</v>
      </c>
      <c r="W21" s="124">
        <f>'Inputs by customer type'!W187</f>
        <v>0</v>
      </c>
      <c r="X21" s="124">
        <f>'Inputs by customer type'!X187</f>
        <v>0</v>
      </c>
      <c r="Y21" s="124">
        <f>'Inputs by customer type'!Y187</f>
        <v>0</v>
      </c>
    </row>
    <row r="22" spans="5:27" x14ac:dyDescent="0.3">
      <c r="E22" s="88"/>
      <c r="F22" t="s">
        <v>377</v>
      </c>
      <c r="G22" t="s">
        <v>261</v>
      </c>
      <c r="H22" s="51"/>
      <c r="J22" s="120">
        <f>'Inputs by customer type'!J188</f>
        <v>0</v>
      </c>
      <c r="K22" s="120">
        <f>'Inputs by customer type'!K188</f>
        <v>0</v>
      </c>
      <c r="L22" s="120">
        <f>'Inputs by customer type'!L188</f>
        <v>0</v>
      </c>
      <c r="M22" s="120">
        <f>'Inputs by customer type'!M188</f>
        <v>0</v>
      </c>
      <c r="N22" s="120">
        <f>'Inputs by customer type'!N188</f>
        <v>0</v>
      </c>
      <c r="O22" s="120">
        <f>'Inputs by customer type'!O188</f>
        <v>0</v>
      </c>
      <c r="P22" s="120">
        <f>'Inputs by customer type'!P188</f>
        <v>10373.828569409405</v>
      </c>
      <c r="Q22" s="79"/>
      <c r="R22" s="120">
        <f>'Inputs by customer type'!R188</f>
        <v>0</v>
      </c>
      <c r="S22" s="120">
        <f>'Inputs by customer type'!S188</f>
        <v>0</v>
      </c>
      <c r="T22" s="120">
        <f>'Inputs by customer type'!T188</f>
        <v>0</v>
      </c>
      <c r="U22" s="120">
        <f>'Inputs by customer type'!U188</f>
        <v>0</v>
      </c>
      <c r="V22" s="120">
        <f>'Inputs by customer type'!V188</f>
        <v>0</v>
      </c>
      <c r="W22" s="120">
        <f>'Inputs by customer type'!W188</f>
        <v>0</v>
      </c>
      <c r="X22" s="120">
        <f>'Inputs by customer type'!X188</f>
        <v>6492.3847088006896</v>
      </c>
      <c r="Y22" s="120">
        <f>'Inputs by customer type'!Y188</f>
        <v>6492.3847088006896</v>
      </c>
    </row>
    <row r="23" spans="5:27" x14ac:dyDescent="0.3">
      <c r="E23" s="88"/>
      <c r="F23" s="37" t="s">
        <v>553</v>
      </c>
      <c r="G23" s="37" t="s">
        <v>264</v>
      </c>
      <c r="H23" s="37"/>
      <c r="I23" s="37"/>
      <c r="J23" s="306"/>
      <c r="K23" s="306"/>
      <c r="L23" s="306"/>
      <c r="M23" s="306"/>
      <c r="N23" s="306"/>
      <c r="O23" s="306"/>
      <c r="P23" s="306"/>
      <c r="Q23" s="217">
        <f>'Inputs by customer type'!Q190</f>
        <v>278.168192448421</v>
      </c>
      <c r="R23" s="306"/>
      <c r="S23" s="306"/>
      <c r="T23" s="306"/>
      <c r="U23" s="306"/>
      <c r="V23" s="306"/>
      <c r="W23" s="306"/>
      <c r="X23" s="306"/>
      <c r="Y23" s="306"/>
    </row>
    <row r="24" spans="5:27" x14ac:dyDescent="0.3">
      <c r="J24" s="89"/>
      <c r="K24" s="89"/>
      <c r="L24" s="89"/>
      <c r="M24" s="89"/>
      <c r="N24" s="89"/>
      <c r="O24" s="89"/>
      <c r="P24" s="89"/>
      <c r="Q24" s="89"/>
      <c r="R24" s="89"/>
      <c r="S24" s="89"/>
      <c r="T24" s="89"/>
      <c r="U24" s="89"/>
      <c r="V24" s="89"/>
      <c r="W24" s="89"/>
      <c r="X24" s="89"/>
      <c r="Y24" s="89"/>
    </row>
    <row r="25" spans="5:27" x14ac:dyDescent="0.3">
      <c r="E25" s="88" t="s">
        <v>554</v>
      </c>
      <c r="J25" s="89"/>
      <c r="K25" s="89"/>
      <c r="L25" s="89"/>
      <c r="M25" s="89"/>
      <c r="N25" s="89"/>
      <c r="O25" s="89"/>
      <c r="P25" s="89"/>
      <c r="Q25" s="89"/>
      <c r="R25" s="89"/>
      <c r="S25" s="89"/>
      <c r="T25" s="89"/>
      <c r="U25" s="89"/>
      <c r="V25" s="89"/>
      <c r="W25" s="89"/>
      <c r="X25" s="89"/>
      <c r="Y25" s="89"/>
    </row>
    <row r="26" spans="5:27" x14ac:dyDescent="0.3">
      <c r="E26" s="29" t="s">
        <v>555</v>
      </c>
      <c r="I26" t="s">
        <v>154</v>
      </c>
      <c r="J26" s="89"/>
      <c r="K26" s="89"/>
      <c r="L26" s="89"/>
      <c r="M26" s="89"/>
      <c r="N26" s="89"/>
      <c r="O26" s="89"/>
      <c r="P26" s="89"/>
      <c r="Q26" s="89"/>
      <c r="R26" s="89"/>
      <c r="S26" s="89"/>
      <c r="T26" s="89"/>
      <c r="U26" s="89"/>
      <c r="V26" s="89"/>
      <c r="W26" s="89"/>
      <c r="X26" s="89"/>
      <c r="Y26" s="89"/>
      <c r="AA26" t="s">
        <v>903</v>
      </c>
    </row>
    <row r="27" spans="5:27" x14ac:dyDescent="0.3">
      <c r="F27" s="23" t="s">
        <v>376</v>
      </c>
      <c r="G27" s="23" t="s">
        <v>277</v>
      </c>
      <c r="H27" s="129"/>
      <c r="I27" s="23"/>
      <c r="J27" s="126">
        <f t="shared" ref="J27:Y27" si="0">J21 * J$16</f>
        <v>583553452.76969206</v>
      </c>
      <c r="K27" s="126">
        <f t="shared" si="0"/>
        <v>0</v>
      </c>
      <c r="L27" s="126">
        <f t="shared" si="0"/>
        <v>134897086.63964146</v>
      </c>
      <c r="M27" s="126">
        <f t="shared" si="0"/>
        <v>0</v>
      </c>
      <c r="N27" s="126">
        <f t="shared" si="0"/>
        <v>21656199.938412156</v>
      </c>
      <c r="O27" s="126">
        <f t="shared" si="0"/>
        <v>449325.39651824534</v>
      </c>
      <c r="P27" s="126">
        <f t="shared" si="0"/>
        <v>0</v>
      </c>
      <c r="Q27" s="126">
        <f t="shared" si="0"/>
        <v>0</v>
      </c>
      <c r="R27" s="126">
        <f t="shared" si="0"/>
        <v>0</v>
      </c>
      <c r="S27" s="126">
        <f t="shared" si="0"/>
        <v>0</v>
      </c>
      <c r="T27" s="126">
        <f t="shared" si="0"/>
        <v>0</v>
      </c>
      <c r="U27" s="126">
        <f t="shared" si="0"/>
        <v>0</v>
      </c>
      <c r="V27" s="126">
        <f t="shared" si="0"/>
        <v>0</v>
      </c>
      <c r="W27" s="126">
        <f t="shared" si="0"/>
        <v>0</v>
      </c>
      <c r="X27" s="126">
        <f t="shared" si="0"/>
        <v>0</v>
      </c>
      <c r="Y27" s="126">
        <f t="shared" si="0"/>
        <v>0</v>
      </c>
    </row>
    <row r="28" spans="5:27" x14ac:dyDescent="0.3">
      <c r="F28" t="s">
        <v>377</v>
      </c>
      <c r="G28" t="s">
        <v>277</v>
      </c>
      <c r="H28" s="63"/>
      <c r="J28" s="98">
        <f t="shared" ref="J28:Y28" si="1">J22 * J$16</f>
        <v>0</v>
      </c>
      <c r="K28" s="98">
        <f t="shared" si="1"/>
        <v>0</v>
      </c>
      <c r="L28" s="98">
        <f t="shared" si="1"/>
        <v>0</v>
      </c>
      <c r="M28" s="98">
        <f t="shared" si="1"/>
        <v>0</v>
      </c>
      <c r="N28" s="98">
        <f t="shared" si="1"/>
        <v>0</v>
      </c>
      <c r="O28" s="98">
        <f t="shared" si="1"/>
        <v>0</v>
      </c>
      <c r="P28" s="98">
        <f t="shared" si="1"/>
        <v>42907756.701135263</v>
      </c>
      <c r="Q28" s="98">
        <f t="shared" si="1"/>
        <v>0</v>
      </c>
      <c r="R28" s="98">
        <f t="shared" si="1"/>
        <v>0</v>
      </c>
      <c r="S28" s="98">
        <f t="shared" si="1"/>
        <v>0</v>
      </c>
      <c r="T28" s="98">
        <f t="shared" si="1"/>
        <v>0</v>
      </c>
      <c r="U28" s="98">
        <f t="shared" si="1"/>
        <v>0</v>
      </c>
      <c r="V28" s="98">
        <f t="shared" si="1"/>
        <v>0</v>
      </c>
      <c r="W28" s="98">
        <f t="shared" si="1"/>
        <v>0</v>
      </c>
      <c r="X28" s="98">
        <f t="shared" si="1"/>
        <v>2053642.3995513774</v>
      </c>
      <c r="Y28" s="98">
        <f t="shared" si="1"/>
        <v>0</v>
      </c>
    </row>
    <row r="29" spans="5:27" x14ac:dyDescent="0.3">
      <c r="F29" s="37" t="s">
        <v>553</v>
      </c>
      <c r="G29" s="37" t="s">
        <v>277</v>
      </c>
      <c r="H29" s="130"/>
      <c r="I29" s="37"/>
      <c r="J29" s="306"/>
      <c r="K29" s="306"/>
      <c r="L29" s="306"/>
      <c r="M29" s="306"/>
      <c r="N29" s="306"/>
      <c r="O29" s="306"/>
      <c r="P29" s="306"/>
      <c r="Q29" s="153">
        <f t="shared" ref="Q29" si="2">Q23 * Q$17</f>
        <v>68614986.291315019</v>
      </c>
      <c r="R29" s="306"/>
      <c r="S29" s="306"/>
      <c r="T29" s="306"/>
      <c r="U29" s="306"/>
      <c r="V29" s="306"/>
      <c r="W29" s="306"/>
      <c r="X29" s="306"/>
      <c r="Y29" s="306"/>
    </row>
    <row r="30" spans="5:27" x14ac:dyDescent="0.3">
      <c r="J30" s="89"/>
      <c r="K30" s="89"/>
      <c r="L30" s="89"/>
      <c r="M30" s="89"/>
      <c r="N30" s="89"/>
      <c r="O30" s="89"/>
      <c r="P30" s="89"/>
      <c r="Q30" s="89"/>
      <c r="R30" s="89"/>
      <c r="S30" s="89"/>
      <c r="T30" s="89"/>
      <c r="U30" s="89"/>
      <c r="V30" s="89"/>
      <c r="W30" s="89"/>
      <c r="X30" s="89"/>
      <c r="Y30" s="89"/>
    </row>
    <row r="31" spans="5:27" x14ac:dyDescent="0.3">
      <c r="E31" s="88" t="s">
        <v>556</v>
      </c>
      <c r="J31" s="89"/>
      <c r="K31" s="89"/>
      <c r="L31" s="89"/>
      <c r="M31" s="89"/>
      <c r="N31" s="89"/>
      <c r="O31" s="89"/>
      <c r="P31" s="89"/>
      <c r="Q31" s="89"/>
      <c r="R31" s="89"/>
      <c r="S31" s="89"/>
      <c r="T31" s="89"/>
      <c r="U31" s="89"/>
      <c r="V31" s="89"/>
      <c r="W31" s="89"/>
      <c r="X31" s="89"/>
      <c r="Y31" s="89"/>
    </row>
    <row r="32" spans="5:27" x14ac:dyDescent="0.3">
      <c r="E32" s="29" t="s">
        <v>557</v>
      </c>
      <c r="H32" s="128" t="s">
        <v>545</v>
      </c>
      <c r="J32" s="89"/>
      <c r="K32" s="89"/>
      <c r="L32" s="89"/>
      <c r="M32" s="89"/>
      <c r="N32" s="89"/>
      <c r="O32" s="89"/>
      <c r="P32" s="89"/>
      <c r="Q32" s="89"/>
      <c r="R32" s="89"/>
      <c r="S32" s="89"/>
      <c r="T32" s="89"/>
      <c r="U32" s="89"/>
      <c r="V32" s="89"/>
      <c r="W32" s="89"/>
      <c r="X32" s="89"/>
      <c r="Y32" s="89"/>
    </row>
    <row r="33" spans="2:43" x14ac:dyDescent="0.3">
      <c r="F33" s="23" t="s">
        <v>558</v>
      </c>
      <c r="G33" s="23" t="s">
        <v>277</v>
      </c>
      <c r="H33" s="101">
        <f>SUM(J33:Y33)</f>
        <v>809171051.03557897</v>
      </c>
      <c r="I33" s="23"/>
      <c r="J33" s="158">
        <f t="shared" ref="J33:Y33" si="3">J27 +J29</f>
        <v>583553452.76969206</v>
      </c>
      <c r="K33" s="158">
        <f t="shared" si="3"/>
        <v>0</v>
      </c>
      <c r="L33" s="158">
        <f t="shared" si="3"/>
        <v>134897086.63964146</v>
      </c>
      <c r="M33" s="158">
        <f t="shared" si="3"/>
        <v>0</v>
      </c>
      <c r="N33" s="158">
        <f t="shared" si="3"/>
        <v>21656199.938412156</v>
      </c>
      <c r="O33" s="158">
        <f t="shared" si="3"/>
        <v>449325.39651824534</v>
      </c>
      <c r="P33" s="158">
        <f t="shared" si="3"/>
        <v>0</v>
      </c>
      <c r="Q33" s="158">
        <f t="shared" si="3"/>
        <v>68614986.291315019</v>
      </c>
      <c r="R33" s="158">
        <f t="shared" si="3"/>
        <v>0</v>
      </c>
      <c r="S33" s="158">
        <f t="shared" si="3"/>
        <v>0</v>
      </c>
      <c r="T33" s="158">
        <f t="shared" si="3"/>
        <v>0</v>
      </c>
      <c r="U33" s="158">
        <f t="shared" si="3"/>
        <v>0</v>
      </c>
      <c r="V33" s="158">
        <f t="shared" si="3"/>
        <v>0</v>
      </c>
      <c r="W33" s="158">
        <f t="shared" si="3"/>
        <v>0</v>
      </c>
      <c r="X33" s="158">
        <f t="shared" si="3"/>
        <v>0</v>
      </c>
      <c r="Y33" s="158">
        <f t="shared" si="3"/>
        <v>0</v>
      </c>
    </row>
    <row r="34" spans="2:43" x14ac:dyDescent="0.3">
      <c r="F34" s="37" t="s">
        <v>559</v>
      </c>
      <c r="G34" s="37" t="s">
        <v>277</v>
      </c>
      <c r="H34" s="131">
        <f>SUM(J34:Y34)</f>
        <v>44961399.10068664</v>
      </c>
      <c r="I34" s="37"/>
      <c r="J34" s="167">
        <f t="shared" ref="J34:Y34" si="4">J28</f>
        <v>0</v>
      </c>
      <c r="K34" s="167">
        <f t="shared" si="4"/>
        <v>0</v>
      </c>
      <c r="L34" s="167">
        <f t="shared" si="4"/>
        <v>0</v>
      </c>
      <c r="M34" s="167">
        <f t="shared" si="4"/>
        <v>0</v>
      </c>
      <c r="N34" s="167">
        <f t="shared" si="4"/>
        <v>0</v>
      </c>
      <c r="O34" s="167">
        <f t="shared" si="4"/>
        <v>0</v>
      </c>
      <c r="P34" s="167">
        <f t="shared" si="4"/>
        <v>42907756.701135263</v>
      </c>
      <c r="Q34" s="167">
        <f t="shared" si="4"/>
        <v>0</v>
      </c>
      <c r="R34" s="167">
        <f t="shared" si="4"/>
        <v>0</v>
      </c>
      <c r="S34" s="167">
        <f t="shared" si="4"/>
        <v>0</v>
      </c>
      <c r="T34" s="167">
        <f t="shared" si="4"/>
        <v>0</v>
      </c>
      <c r="U34" s="167">
        <f t="shared" si="4"/>
        <v>0</v>
      </c>
      <c r="V34" s="167">
        <f t="shared" si="4"/>
        <v>0</v>
      </c>
      <c r="W34" s="167">
        <f t="shared" si="4"/>
        <v>0</v>
      </c>
      <c r="X34" s="167">
        <f t="shared" si="4"/>
        <v>2053642.3995513774</v>
      </c>
      <c r="Y34" s="167">
        <f t="shared" si="4"/>
        <v>0</v>
      </c>
    </row>
    <row r="36" spans="2:43" x14ac:dyDescent="0.3">
      <c r="B36" s="30" t="s">
        <v>231</v>
      </c>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C36" s="30"/>
      <c r="AD36" s="30"/>
      <c r="AE36" s="30"/>
      <c r="AF36" s="30"/>
      <c r="AG36" s="30"/>
      <c r="AH36" s="30"/>
      <c r="AI36" s="30"/>
      <c r="AJ36" s="30"/>
      <c r="AK36" s="30"/>
      <c r="AL36" s="30"/>
      <c r="AM36" s="30"/>
      <c r="AN36" s="30"/>
      <c r="AO36" s="30"/>
      <c r="AQ36" s="30"/>
    </row>
    <row r="38" spans="2:43" x14ac:dyDescent="0.3">
      <c r="E38" t="s">
        <v>232</v>
      </c>
      <c r="G38" s="6" t="s">
        <v>55</v>
      </c>
      <c r="H38" s="103">
        <f t="array" ref="H38">SUM(IF(ISERROR(H16:Y35), 1))</f>
        <v>0</v>
      </c>
    </row>
    <row r="40" spans="2:43" x14ac:dyDescent="0.3">
      <c r="B40" s="30" t="s">
        <v>106</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C40" s="30"/>
      <c r="AD40" s="30"/>
      <c r="AE40" s="30"/>
      <c r="AF40" s="30"/>
      <c r="AG40" s="30"/>
      <c r="AH40" s="30"/>
      <c r="AI40" s="30"/>
      <c r="AJ40" s="30"/>
      <c r="AK40" s="30"/>
      <c r="AL40" s="30"/>
      <c r="AM40" s="30"/>
      <c r="AN40" s="30"/>
      <c r="AO40" s="30"/>
      <c r="AQ40" s="30"/>
    </row>
  </sheetData>
  <sheetProtection sheet="1" objects="1" formatCells="0" formatColumns="0" formatRows="0" sort="0" autoFilter="0"/>
  <conditionalFormatting sqref="A4:I4 Z4:XFD4">
    <cfRule type="expression" dxfId="135" priority="10">
      <formula>LEFT($A$4,1) &lt;&gt; "0"</formula>
    </cfRule>
  </conditionalFormatting>
  <conditionalFormatting sqref="N4:P4">
    <cfRule type="expression" dxfId="134" priority="9">
      <formula>LEFT($A$4,1) &lt;&gt; "0"</formula>
    </cfRule>
  </conditionalFormatting>
  <conditionalFormatting sqref="L4:M4">
    <cfRule type="expression" dxfId="133" priority="8">
      <formula>LEFT($A$4,1) &lt;&gt; "0"</formula>
    </cfRule>
  </conditionalFormatting>
  <conditionalFormatting sqref="J4:K4">
    <cfRule type="expression" dxfId="132" priority="7">
      <formula>LEFT($A$4,1) &lt;&gt; "0"</formula>
    </cfRule>
  </conditionalFormatting>
  <conditionalFormatting sqref="Q4">
    <cfRule type="expression" dxfId="131" priority="6">
      <formula>LEFT($A$4,1) &lt;&gt; "0"</formula>
    </cfRule>
  </conditionalFormatting>
  <conditionalFormatting sqref="R4:S4">
    <cfRule type="expression" dxfId="130" priority="5">
      <formula>LEFT($A$4,1) &lt;&gt; "0"</formula>
    </cfRule>
  </conditionalFormatting>
  <conditionalFormatting sqref="T4:U4">
    <cfRule type="expression" dxfId="129" priority="4">
      <formula>LEFT($A$4,1) &lt;&gt; "0"</formula>
    </cfRule>
  </conditionalFormatting>
  <conditionalFormatting sqref="V4:W4">
    <cfRule type="expression" dxfId="128" priority="3">
      <formula>LEFT($A$4,1) &lt;&gt; "0"</formula>
    </cfRule>
  </conditionalFormatting>
  <conditionalFormatting sqref="X4:Y4">
    <cfRule type="expression" dxfId="127" priority="2">
      <formula>LEFT($A$4,1) &lt;&gt; "0"</formula>
    </cfRule>
  </conditionalFormatting>
  <conditionalFormatting sqref="H38">
    <cfRule type="cellIs" dxfId="126"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formula1>0</formula1>
    </dataValidation>
    <dataValidation type="textLength" operator="equal" allowBlank="1" showInputMessage="1" showErrorMessage="1" error="This cell is not in use." sqref="Y23 Y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1" width="17" customWidth="1"/>
    <col min="22" max="22" width="2.44140625" customWidth="1"/>
    <col min="23" max="23" width="50.5546875" customWidth="1"/>
    <col min="24" max="24" width="2.44140625" customWidth="1"/>
    <col min="25" max="42" width="17" hidden="1" customWidth="1"/>
    <col min="43" max="43" width="2.44140625" hidden="1" customWidth="1"/>
    <col min="44" max="44" width="18.44140625" hidden="1" customWidth="1"/>
    <col min="45" max="45" width="4.44140625" hidden="1" customWidth="1"/>
    <col min="46" max="266" width="24.5546875" hidden="1" customWidth="1"/>
    <col min="267" max="16384" width="8.77734375" hidden="1"/>
  </cols>
  <sheetData>
    <row r="1" spans="1:23" s="1" customFormat="1" x14ac:dyDescent="0.3">
      <c r="A1" s="1" t="str">
        <f ca="1">MID(CELL("filename",A1),FIND("]",CELL("filename",A1))+1,255)</f>
        <v>Unit costs</v>
      </c>
    </row>
    <row r="2" spans="1:23" s="1" customFormat="1" x14ac:dyDescent="0.3">
      <c r="A2" s="1" t="str">
        <f>Cover!D21&amp;" - "&amp;Cover!D23</f>
        <v>WPD Mid West - April 22 Pricing</v>
      </c>
    </row>
    <row r="3" spans="1:23" s="5" customFormat="1" x14ac:dyDescent="0.3">
      <c r="A3" s="5" t="str">
        <f>Cover!D2&amp;" - "&amp;Cover!D8&amp;" v"&amp;Cover!D10&amp;" - "&amp;Cover!D19</f>
        <v>CDCM charging model - Release for charge setting v7 - 2022/23</v>
      </c>
    </row>
    <row r="4" spans="1:23" x14ac:dyDescent="0.3">
      <c r="A4" s="12" t="str">
        <f>H131 &amp; IF(H131 = 1, " issue", " issues") &amp;" identified in checks on this sheet"</f>
        <v>0 issues identified in checks on this sheet</v>
      </c>
      <c r="B4" s="13"/>
      <c r="C4" s="13"/>
      <c r="D4" s="13"/>
      <c r="E4" s="13"/>
      <c r="F4" s="13"/>
      <c r="G4" s="13"/>
      <c r="H4" s="14"/>
      <c r="I4" s="14"/>
      <c r="J4" s="13"/>
    </row>
    <row r="5" spans="1:23" x14ac:dyDescent="0.3">
      <c r="B5" s="59" t="s">
        <v>142</v>
      </c>
      <c r="C5" s="60"/>
      <c r="D5" s="60"/>
      <c r="E5" s="60"/>
      <c r="F5" s="60"/>
      <c r="G5" s="61" t="s">
        <v>143</v>
      </c>
      <c r="H5" s="62" t="s">
        <v>144</v>
      </c>
      <c r="I5" s="113"/>
      <c r="J5" s="93" t="s">
        <v>189</v>
      </c>
      <c r="K5" s="114" t="s">
        <v>191</v>
      </c>
      <c r="L5" s="114" t="s">
        <v>192</v>
      </c>
      <c r="M5" s="114" t="s">
        <v>193</v>
      </c>
      <c r="N5" s="114" t="s">
        <v>194</v>
      </c>
      <c r="O5" s="114" t="s">
        <v>195</v>
      </c>
      <c r="P5" s="114" t="s">
        <v>196</v>
      </c>
      <c r="Q5" s="114" t="s">
        <v>197</v>
      </c>
      <c r="R5" s="114" t="s">
        <v>198</v>
      </c>
      <c r="S5" s="114" t="s">
        <v>199</v>
      </c>
      <c r="T5" s="114" t="s">
        <v>376</v>
      </c>
      <c r="U5" s="114" t="s">
        <v>377</v>
      </c>
      <c r="W5" s="60" t="s">
        <v>145</v>
      </c>
    </row>
    <row r="6" spans="1:23" x14ac:dyDescent="0.3">
      <c r="H6" s="3"/>
      <c r="I6" s="3"/>
      <c r="J6" s="3"/>
      <c r="K6" s="3"/>
      <c r="L6" s="3"/>
      <c r="M6" s="3"/>
      <c r="N6" s="3"/>
      <c r="O6" s="3"/>
      <c r="P6" s="3"/>
      <c r="Q6" s="3"/>
      <c r="R6" s="3"/>
      <c r="S6" s="3"/>
      <c r="T6" s="3"/>
      <c r="U6" s="3"/>
      <c r="W6" s="3"/>
    </row>
    <row r="7" spans="1:23" x14ac:dyDescent="0.3">
      <c r="B7" s="30" t="s">
        <v>10</v>
      </c>
      <c r="C7" s="30"/>
      <c r="D7" s="30"/>
      <c r="E7" s="30"/>
      <c r="F7" s="30"/>
      <c r="G7" s="30"/>
      <c r="H7" s="30"/>
      <c r="I7" s="30"/>
      <c r="J7" s="30"/>
      <c r="K7" s="30"/>
      <c r="L7" s="30"/>
      <c r="M7" s="30"/>
      <c r="N7" s="30"/>
      <c r="O7" s="30"/>
      <c r="P7" s="30"/>
      <c r="Q7" s="30"/>
      <c r="R7" s="30"/>
      <c r="S7" s="30"/>
      <c r="T7" s="30"/>
      <c r="U7" s="30"/>
      <c r="V7" s="30"/>
      <c r="W7" s="30"/>
    </row>
    <row r="9" spans="1:23" x14ac:dyDescent="0.3">
      <c r="C9" s="29" t="s">
        <v>560</v>
      </c>
      <c r="D9" s="29"/>
    </row>
    <row r="10" spans="1:23" x14ac:dyDescent="0.3">
      <c r="C10" s="29" t="s">
        <v>561</v>
      </c>
      <c r="D10" s="29"/>
    </row>
    <row r="11" spans="1:23" x14ac:dyDescent="0.3">
      <c r="C11" s="29"/>
      <c r="D11" s="29" t="s">
        <v>562</v>
      </c>
    </row>
    <row r="12" spans="1:23" x14ac:dyDescent="0.3">
      <c r="C12" s="29"/>
      <c r="D12" s="29" t="s">
        <v>563</v>
      </c>
    </row>
    <row r="13" spans="1:23" x14ac:dyDescent="0.3">
      <c r="C13" s="29" t="s">
        <v>564</v>
      </c>
      <c r="D13" s="29"/>
    </row>
    <row r="15" spans="1:23" x14ac:dyDescent="0.3">
      <c r="B15" s="30" t="s">
        <v>565</v>
      </c>
      <c r="C15" s="30"/>
      <c r="D15" s="30"/>
      <c r="E15" s="30"/>
      <c r="F15" s="30"/>
      <c r="G15" s="30"/>
      <c r="H15" s="30"/>
      <c r="I15" s="30"/>
      <c r="J15" s="30"/>
      <c r="K15" s="30"/>
      <c r="L15" s="30"/>
      <c r="M15" s="30"/>
      <c r="N15" s="30"/>
      <c r="O15" s="30"/>
      <c r="P15" s="30"/>
      <c r="Q15" s="30"/>
      <c r="R15" s="30"/>
      <c r="S15" s="30"/>
      <c r="T15" s="30"/>
      <c r="U15" s="30"/>
      <c r="V15" s="30"/>
      <c r="W15" s="30"/>
    </row>
    <row r="16" spans="1:23" x14ac:dyDescent="0.3">
      <c r="H16" s="3"/>
      <c r="I16" s="3"/>
      <c r="J16" s="3"/>
      <c r="K16" s="3"/>
      <c r="L16" s="3"/>
      <c r="M16" s="3"/>
      <c r="N16" s="3"/>
      <c r="O16" s="3"/>
      <c r="P16" s="3"/>
      <c r="Q16" s="3"/>
      <c r="R16" s="3"/>
      <c r="S16" s="3"/>
      <c r="T16" s="3"/>
      <c r="U16" s="3"/>
      <c r="W16" s="3"/>
    </row>
    <row r="17" spans="3:25" x14ac:dyDescent="0.3">
      <c r="C17" s="29" t="s">
        <v>566</v>
      </c>
    </row>
    <row r="18" spans="3:25" x14ac:dyDescent="0.3">
      <c r="H18" s="3"/>
      <c r="I18" s="3"/>
      <c r="J18" s="3"/>
      <c r="K18" s="3"/>
      <c r="L18" s="3"/>
      <c r="M18" s="3"/>
      <c r="N18" s="3"/>
      <c r="O18" s="3"/>
      <c r="P18" s="3"/>
      <c r="Q18" s="3"/>
      <c r="R18" s="3"/>
      <c r="S18" s="3"/>
      <c r="T18" s="3"/>
      <c r="U18" s="3"/>
      <c r="W18" s="3"/>
    </row>
    <row r="19" spans="3:25" x14ac:dyDescent="0.3">
      <c r="C19" s="31" t="str">
        <f ca="1">INDEX('Version control'!$H$34:$H$57,MATCH($A$1,'Version control'!$F$34:$F$57,0),1)&amp;"-A: Financial data"</f>
        <v>Section 108-A: Financial data</v>
      </c>
      <c r="D19" s="31"/>
      <c r="E19" s="31"/>
      <c r="F19" s="31"/>
      <c r="G19" s="31"/>
      <c r="H19" s="175"/>
      <c r="I19" s="175"/>
      <c r="J19" s="175"/>
      <c r="K19" s="175"/>
      <c r="L19" s="175"/>
      <c r="M19" s="175"/>
      <c r="N19" s="175"/>
      <c r="O19" s="175"/>
      <c r="P19" s="175"/>
      <c r="Q19" s="175"/>
      <c r="R19" s="175"/>
      <c r="S19" s="175"/>
      <c r="T19" s="175"/>
      <c r="U19" s="175"/>
      <c r="V19" s="31"/>
      <c r="W19" s="175"/>
    </row>
    <row r="20" spans="3:25" x14ac:dyDescent="0.3">
      <c r="H20" s="3"/>
    </row>
    <row r="21" spans="3:25" x14ac:dyDescent="0.3">
      <c r="D21" s="29" t="s">
        <v>567</v>
      </c>
      <c r="I21" s="3" t="s">
        <v>154</v>
      </c>
      <c r="J21" s="3"/>
      <c r="K21" s="3"/>
      <c r="L21" s="3"/>
      <c r="M21" s="3"/>
      <c r="N21" s="3"/>
      <c r="O21" s="3"/>
      <c r="P21" s="3"/>
      <c r="Q21" s="3"/>
      <c r="R21" s="3"/>
      <c r="S21" s="3"/>
      <c r="T21" s="3"/>
      <c r="U21" s="3"/>
      <c r="W21" s="3" t="s">
        <v>165</v>
      </c>
    </row>
    <row r="22" spans="3:25" x14ac:dyDescent="0.3">
      <c r="D22" s="29"/>
    </row>
    <row r="23" spans="3:25" x14ac:dyDescent="0.3">
      <c r="D23" s="88"/>
      <c r="E23" s="28" t="s">
        <v>353</v>
      </c>
      <c r="G23" s="28" t="s">
        <v>167</v>
      </c>
      <c r="H23" s="116">
        <f>'General inputs'!H91</f>
        <v>3.2599999999999997E-2</v>
      </c>
      <c r="I23" s="3"/>
      <c r="J23" s="3"/>
      <c r="K23" s="3"/>
      <c r="L23" s="3"/>
      <c r="M23" s="3"/>
      <c r="N23" s="3"/>
      <c r="O23" s="3"/>
      <c r="P23" s="3"/>
      <c r="Q23" s="3"/>
      <c r="R23" s="3"/>
      <c r="S23" s="3"/>
      <c r="T23" s="3"/>
      <c r="U23" s="3"/>
    </row>
    <row r="24" spans="3:25" x14ac:dyDescent="0.3">
      <c r="D24" s="88"/>
      <c r="E24" s="28" t="s">
        <v>163</v>
      </c>
      <c r="G24" s="28" t="s">
        <v>164</v>
      </c>
      <c r="H24" s="52">
        <f>'Fixed inputs'!H35</f>
        <v>40</v>
      </c>
      <c r="I24" s="3"/>
      <c r="J24" s="3"/>
      <c r="K24" s="3"/>
      <c r="L24" s="3"/>
      <c r="M24" s="3"/>
      <c r="N24" s="3"/>
      <c r="O24" s="3"/>
      <c r="P24" s="3"/>
      <c r="Q24" s="3"/>
      <c r="R24" s="3"/>
      <c r="S24" s="3"/>
      <c r="T24" s="3"/>
      <c r="U24" s="3"/>
      <c r="W24" s="3"/>
    </row>
    <row r="25" spans="3:25" x14ac:dyDescent="0.3">
      <c r="E25" s="28" t="s">
        <v>568</v>
      </c>
      <c r="G25" s="28" t="s">
        <v>167</v>
      </c>
      <c r="H25" s="176">
        <f>H23 / (1 - (1 + H23) ^ -H24)</f>
        <v>4.5099271365789909E-2</v>
      </c>
      <c r="I25" s="3"/>
      <c r="J25" s="3"/>
      <c r="K25" s="3"/>
      <c r="L25" s="3"/>
      <c r="M25" s="3"/>
      <c r="N25" s="3"/>
      <c r="O25" s="3"/>
      <c r="P25" s="3"/>
      <c r="Q25" s="3"/>
      <c r="R25" s="3"/>
      <c r="S25" s="3"/>
      <c r="T25" s="3"/>
      <c r="U25" s="3"/>
      <c r="W25" s="3"/>
    </row>
    <row r="26" spans="3:25" x14ac:dyDescent="0.3">
      <c r="H26" s="3"/>
      <c r="I26" s="3"/>
      <c r="J26" s="3"/>
      <c r="K26" s="3"/>
      <c r="L26" s="3"/>
      <c r="M26" s="3"/>
      <c r="N26" s="3"/>
      <c r="O26" s="3"/>
      <c r="P26" s="3"/>
      <c r="Q26" s="3"/>
      <c r="R26" s="3"/>
      <c r="S26" s="3"/>
      <c r="T26" s="3"/>
      <c r="U26" s="3"/>
      <c r="W26" s="3"/>
    </row>
    <row r="27" spans="3:25" x14ac:dyDescent="0.3">
      <c r="C27" s="31" t="str">
        <f ca="1">INDEX('Version control'!$H$34:$H$57,MATCH($A$1,'Version control'!$F$34:$F$57,0),1)&amp;"-B: Diversity and loss adjustment factors"</f>
        <v>Section 108-B: Diversity and loss adjustment factors</v>
      </c>
      <c r="D27" s="31"/>
      <c r="E27" s="31"/>
      <c r="F27" s="31"/>
      <c r="G27" s="31"/>
      <c r="H27" s="175"/>
      <c r="I27" s="175"/>
      <c r="J27" s="175"/>
      <c r="K27" s="175"/>
      <c r="L27" s="175"/>
      <c r="M27" s="175"/>
      <c r="N27" s="175"/>
      <c r="O27" s="175"/>
      <c r="P27" s="175"/>
      <c r="Q27" s="175"/>
      <c r="R27" s="175"/>
      <c r="S27" s="175"/>
      <c r="T27" s="175"/>
      <c r="U27" s="175"/>
      <c r="V27" s="31"/>
      <c r="W27" s="175"/>
    </row>
    <row r="28" spans="3:25" x14ac:dyDescent="0.3">
      <c r="E28" s="32"/>
      <c r="F28" s="115"/>
      <c r="H28" s="3"/>
      <c r="I28" s="3"/>
      <c r="J28" s="3"/>
      <c r="K28" s="3"/>
      <c r="L28" s="3"/>
      <c r="M28" s="3"/>
      <c r="N28" s="3"/>
      <c r="O28" s="3"/>
      <c r="P28" s="3"/>
      <c r="Q28" s="3"/>
      <c r="R28" s="3"/>
      <c r="S28" s="3"/>
      <c r="T28" s="3"/>
      <c r="U28" s="3"/>
    </row>
    <row r="29" spans="3:25" x14ac:dyDescent="0.3">
      <c r="D29" s="29" t="s">
        <v>569</v>
      </c>
      <c r="F29" s="115"/>
      <c r="H29" s="3"/>
      <c r="I29" s="3"/>
      <c r="J29" s="3"/>
      <c r="K29" s="3"/>
      <c r="L29" s="3"/>
      <c r="M29" s="3"/>
      <c r="N29" s="3"/>
      <c r="O29" s="3"/>
      <c r="P29" s="3"/>
      <c r="Q29" s="3"/>
      <c r="R29" s="3"/>
      <c r="S29" s="3"/>
      <c r="T29" s="3"/>
      <c r="U29" s="3"/>
    </row>
    <row r="30" spans="3:25" x14ac:dyDescent="0.3">
      <c r="D30" s="29"/>
      <c r="F30" s="115"/>
      <c r="H30" s="3"/>
      <c r="I30" s="3"/>
      <c r="J30" s="3"/>
      <c r="K30" s="3"/>
      <c r="L30" s="3"/>
      <c r="M30" s="3"/>
      <c r="N30" s="3"/>
      <c r="O30" s="3"/>
      <c r="P30" s="3"/>
      <c r="Q30" s="3"/>
      <c r="R30" s="3"/>
      <c r="S30" s="3"/>
      <c r="T30" s="3"/>
      <c r="U30" s="3"/>
    </row>
    <row r="31" spans="3:25" x14ac:dyDescent="0.3">
      <c r="E31" t="s">
        <v>570</v>
      </c>
      <c r="F31" s="119"/>
      <c r="G31" s="28" t="s">
        <v>571</v>
      </c>
      <c r="H31" s="3"/>
      <c r="I31" s="3"/>
      <c r="J31" s="79"/>
      <c r="K31" s="120">
        <f>'Load &amp; loss characteristics'!K29</f>
        <v>1</v>
      </c>
      <c r="L31" s="120">
        <f>'Load &amp; loss characteristics'!L29</f>
        <v>1.0049999999999999</v>
      </c>
      <c r="M31" s="120">
        <f>'Load &amp; loss characteristics'!M29</f>
        <v>1.0089999999999999</v>
      </c>
      <c r="N31" s="120">
        <f>'Load &amp; loss characteristics'!N29</f>
        <v>1.0269999999999999</v>
      </c>
      <c r="O31" s="120">
        <f>'Load &amp; loss characteristics'!O29</f>
        <v>1.0329999999999999</v>
      </c>
      <c r="P31" s="120">
        <f>'Load &amp; loss characteristics'!P29</f>
        <v>1.0329999999999999</v>
      </c>
      <c r="Q31" s="120">
        <f>'Load &amp; loss characteristics'!Q29</f>
        <v>1.0509999999999999</v>
      </c>
      <c r="R31" s="120">
        <f>'Load &amp; loss characteristics'!R29</f>
        <v>1.0669999999999999</v>
      </c>
      <c r="S31" s="120">
        <f>'Load &amp; loss characteristics'!S29</f>
        <v>1.0900000000000001</v>
      </c>
      <c r="T31" s="79"/>
      <c r="U31" s="79"/>
    </row>
    <row r="32" spans="3:25" x14ac:dyDescent="0.3">
      <c r="E32" t="s">
        <v>572</v>
      </c>
      <c r="F32" s="177"/>
      <c r="G32" s="28" t="s">
        <v>167</v>
      </c>
      <c r="H32" s="3"/>
      <c r="I32" s="3"/>
      <c r="J32" s="178"/>
      <c r="K32" s="179">
        <f>'Load &amp; loss characteristics'!$K$23</f>
        <v>5.649040831841079E-2</v>
      </c>
      <c r="L32" s="180"/>
      <c r="M32" s="180"/>
      <c r="N32" s="180"/>
      <c r="O32" s="180"/>
      <c r="P32" s="178"/>
      <c r="Q32" s="180"/>
      <c r="R32" s="180"/>
      <c r="S32" s="180"/>
      <c r="T32" s="178"/>
      <c r="U32" s="178"/>
      <c r="Y32" s="181"/>
    </row>
    <row r="33" spans="3:23" x14ac:dyDescent="0.3">
      <c r="E33" t="s">
        <v>573</v>
      </c>
      <c r="F33" s="119"/>
      <c r="G33" s="28" t="s">
        <v>167</v>
      </c>
      <c r="H33" s="3"/>
      <c r="I33" s="3"/>
      <c r="J33" s="70"/>
      <c r="K33" s="176">
        <f xml:space="preserve"> 1 / (1 + K32)</f>
        <v>0.946530126659337</v>
      </c>
      <c r="L33" s="180"/>
      <c r="M33" s="180"/>
      <c r="N33" s="180"/>
      <c r="O33" s="180"/>
      <c r="P33" s="180"/>
      <c r="Q33" s="180"/>
      <c r="R33" s="180"/>
      <c r="S33" s="180"/>
      <c r="T33" s="178"/>
      <c r="U33" s="178"/>
      <c r="W33" s="3"/>
    </row>
    <row r="34" spans="3:23" x14ac:dyDescent="0.3">
      <c r="F34" s="119"/>
      <c r="G34" s="28"/>
      <c r="H34" s="3"/>
      <c r="I34" s="3"/>
      <c r="J34" s="3"/>
      <c r="K34" s="3"/>
      <c r="L34" s="3"/>
      <c r="M34" s="3"/>
      <c r="N34" s="3"/>
      <c r="O34" s="3"/>
      <c r="P34" s="3"/>
      <c r="Q34" s="3"/>
      <c r="R34" s="3"/>
      <c r="S34" s="3"/>
      <c r="T34" s="3"/>
      <c r="U34" s="3"/>
      <c r="V34" s="3"/>
      <c r="W34" s="3"/>
    </row>
    <row r="35" spans="3:23" x14ac:dyDescent="0.3">
      <c r="C35" s="31" t="str">
        <f ca="1">INDEX('Version control'!$H$34:$H$57,MATCH($A$1,'Version control'!$F$34:$F$57,0),1)&amp;"-C: Maximum demand"</f>
        <v>Section 108-C: Maximum demand</v>
      </c>
      <c r="D35" s="31"/>
      <c r="E35" s="31"/>
      <c r="F35" s="31"/>
      <c r="G35" s="31"/>
      <c r="H35" s="175"/>
      <c r="I35" s="175"/>
      <c r="J35" s="175"/>
      <c r="K35" s="175"/>
      <c r="L35" s="175"/>
      <c r="M35" s="175"/>
      <c r="N35" s="175"/>
      <c r="O35" s="175"/>
      <c r="P35" s="175"/>
      <c r="Q35" s="175"/>
      <c r="R35" s="175"/>
      <c r="S35" s="175"/>
      <c r="T35" s="175"/>
      <c r="U35" s="175"/>
      <c r="V35" s="31"/>
      <c r="W35" s="175"/>
    </row>
    <row r="36" spans="3:23" x14ac:dyDescent="0.3">
      <c r="E36" s="32"/>
      <c r="F36" s="115"/>
      <c r="H36" s="3"/>
      <c r="J36" s="3"/>
      <c r="K36" s="3"/>
      <c r="L36" s="3"/>
      <c r="M36" s="3"/>
      <c r="N36" s="3"/>
      <c r="O36" s="3"/>
      <c r="P36" s="3"/>
      <c r="Q36" s="3"/>
      <c r="R36" s="3"/>
      <c r="S36" s="3"/>
      <c r="T36" s="3"/>
      <c r="U36" s="3"/>
    </row>
    <row r="37" spans="3:23" x14ac:dyDescent="0.3">
      <c r="D37" s="29" t="s">
        <v>574</v>
      </c>
      <c r="F37" s="115"/>
      <c r="H37" s="3"/>
      <c r="I37" s="3"/>
      <c r="J37" s="3"/>
      <c r="K37" s="3"/>
      <c r="L37" s="3"/>
      <c r="M37" s="3"/>
      <c r="N37" s="3"/>
      <c r="O37" s="3"/>
      <c r="P37" s="3"/>
      <c r="Q37" s="3"/>
      <c r="R37" s="3"/>
      <c r="S37" s="3"/>
      <c r="T37" s="3"/>
      <c r="U37" s="3"/>
      <c r="W37" s="3"/>
    </row>
    <row r="38" spans="3:23" x14ac:dyDescent="0.3">
      <c r="D38" s="29"/>
      <c r="F38" s="115"/>
      <c r="H38" s="3"/>
      <c r="I38" s="3"/>
      <c r="J38" s="3"/>
      <c r="K38" s="3"/>
      <c r="L38" s="3"/>
      <c r="M38" s="3"/>
      <c r="N38" s="3"/>
      <c r="O38" s="3"/>
      <c r="P38" s="3"/>
      <c r="Q38" s="3"/>
      <c r="R38" s="3"/>
      <c r="S38" s="3"/>
      <c r="T38" s="3"/>
      <c r="U38" s="3"/>
      <c r="W38" s="3"/>
    </row>
    <row r="39" spans="3:23" x14ac:dyDescent="0.3">
      <c r="D39" s="88"/>
      <c r="E39" t="s">
        <v>171</v>
      </c>
      <c r="F39" s="119"/>
      <c r="G39" s="28" t="s">
        <v>172</v>
      </c>
      <c r="H39" s="120">
        <f>'Fixed inputs'!H41</f>
        <v>500</v>
      </c>
      <c r="I39" s="3"/>
      <c r="J39" s="79"/>
      <c r="K39" s="79"/>
      <c r="L39" s="79"/>
      <c r="M39" s="79"/>
      <c r="N39" s="79"/>
      <c r="O39" s="79"/>
      <c r="P39" s="79"/>
      <c r="Q39" s="79"/>
      <c r="R39" s="79"/>
      <c r="S39" s="79"/>
      <c r="T39" s="79"/>
      <c r="U39" s="79"/>
      <c r="W39" s="3"/>
    </row>
    <row r="40" spans="3:23" x14ac:dyDescent="0.3">
      <c r="E40" t="s">
        <v>575</v>
      </c>
      <c r="F40" s="119"/>
      <c r="G40" s="28" t="s">
        <v>172</v>
      </c>
      <c r="H40" s="3"/>
      <c r="I40" s="3" t="s">
        <v>154</v>
      </c>
      <c r="J40" s="79"/>
      <c r="K40" s="182">
        <f t="shared" ref="K40:S40" si="0">$H$39 * $K$33 / K31</f>
        <v>473.26506332966852</v>
      </c>
      <c r="L40" s="182">
        <f t="shared" si="0"/>
        <v>470.91051077578965</v>
      </c>
      <c r="M40" s="182">
        <f t="shared" si="0"/>
        <v>469.04367029699563</v>
      </c>
      <c r="N40" s="182">
        <f t="shared" si="0"/>
        <v>460.82284647484767</v>
      </c>
      <c r="O40" s="182">
        <f t="shared" si="0"/>
        <v>458.14623749241872</v>
      </c>
      <c r="P40" s="182">
        <f t="shared" si="0"/>
        <v>458.14623749241872</v>
      </c>
      <c r="Q40" s="182">
        <f t="shared" si="0"/>
        <v>450.29977481414704</v>
      </c>
      <c r="R40" s="182">
        <f t="shared" si="0"/>
        <v>443.54738831271652</v>
      </c>
      <c r="S40" s="182">
        <f t="shared" si="0"/>
        <v>434.18813149510868</v>
      </c>
      <c r="T40" s="79"/>
      <c r="U40" s="79"/>
      <c r="W40" s="3" t="s">
        <v>576</v>
      </c>
    </row>
    <row r="41" spans="3:23" x14ac:dyDescent="0.3">
      <c r="F41" s="119"/>
      <c r="G41" s="28"/>
      <c r="H41" s="3"/>
      <c r="I41" s="3"/>
      <c r="J41" s="3"/>
      <c r="K41" s="3"/>
      <c r="L41" s="3"/>
      <c r="M41" s="3"/>
      <c r="N41" s="3"/>
      <c r="O41" s="3"/>
      <c r="P41" s="3"/>
      <c r="Q41" s="3"/>
      <c r="R41" s="3"/>
      <c r="S41" s="3"/>
      <c r="T41" s="3"/>
      <c r="U41" s="3"/>
      <c r="V41" s="3"/>
      <c r="W41" s="3"/>
    </row>
    <row r="42" spans="3:23" x14ac:dyDescent="0.3">
      <c r="C42" s="31" t="str">
        <f ca="1">INDEX('Version control'!$H$34:$H$57,MATCH($A$1,'Version control'!$F$34:$F$57,0),1)&amp;"-D: Rerouting matrix"</f>
        <v>Section 108-D: Rerouting matrix</v>
      </c>
      <c r="D42" s="31"/>
      <c r="E42" s="31"/>
      <c r="F42" s="31"/>
      <c r="G42" s="31"/>
      <c r="H42" s="175"/>
      <c r="I42" s="175"/>
      <c r="J42" s="175"/>
      <c r="K42" s="175"/>
      <c r="L42" s="175"/>
      <c r="M42" s="175"/>
      <c r="N42" s="175"/>
      <c r="O42" s="175"/>
      <c r="P42" s="175"/>
      <c r="Q42" s="175"/>
      <c r="R42" s="175"/>
      <c r="S42" s="175"/>
      <c r="T42" s="175"/>
      <c r="U42" s="175"/>
      <c r="V42" s="31"/>
      <c r="W42" s="175"/>
    </row>
    <row r="43" spans="3:23" x14ac:dyDescent="0.3">
      <c r="E43" s="32"/>
      <c r="F43" s="115"/>
      <c r="H43" s="3"/>
      <c r="I43" s="3"/>
      <c r="J43" s="3"/>
      <c r="K43" s="3"/>
      <c r="L43" s="3"/>
      <c r="M43" s="3"/>
      <c r="N43" s="3"/>
      <c r="O43" s="3"/>
      <c r="P43" s="3"/>
      <c r="Q43" s="3"/>
      <c r="R43" s="3"/>
      <c r="S43" s="3"/>
      <c r="T43" s="3"/>
      <c r="U43" s="3"/>
      <c r="W43" s="3"/>
    </row>
    <row r="44" spans="3:23" x14ac:dyDescent="0.3">
      <c r="D44" s="29" t="s">
        <v>577</v>
      </c>
      <c r="F44" s="115"/>
      <c r="H44" s="3"/>
      <c r="I44" s="3"/>
      <c r="J44" s="3"/>
      <c r="K44" s="3"/>
      <c r="L44" s="3"/>
      <c r="M44" s="3"/>
      <c r="N44" s="3"/>
      <c r="O44" s="3"/>
      <c r="P44" s="3"/>
      <c r="Q44" s="3"/>
      <c r="R44" s="3"/>
      <c r="S44" s="3"/>
      <c r="T44" s="3"/>
      <c r="U44" s="3"/>
      <c r="W44" s="3"/>
    </row>
    <row r="45" spans="3:23" x14ac:dyDescent="0.3">
      <c r="D45" s="29"/>
      <c r="F45" s="115"/>
      <c r="H45" s="3"/>
      <c r="I45" s="3"/>
      <c r="J45" s="3"/>
      <c r="K45" s="3"/>
      <c r="L45" s="3"/>
      <c r="M45" s="3"/>
      <c r="N45" s="3"/>
      <c r="O45" s="3"/>
      <c r="P45" s="3"/>
      <c r="Q45" s="3"/>
      <c r="R45" s="3"/>
      <c r="S45" s="3"/>
      <c r="T45" s="3"/>
      <c r="U45" s="3"/>
      <c r="W45" s="3"/>
    </row>
    <row r="46" spans="3:23" x14ac:dyDescent="0.3">
      <c r="D46" s="88"/>
      <c r="E46" s="28" t="s">
        <v>281</v>
      </c>
      <c r="G46" s="28" t="s">
        <v>167</v>
      </c>
      <c r="H46" s="3"/>
      <c r="I46" s="3"/>
      <c r="J46" s="180"/>
      <c r="K46" s="180"/>
      <c r="L46" s="180"/>
      <c r="M46" s="180"/>
      <c r="N46" s="180"/>
      <c r="O46" s="180"/>
      <c r="P46" s="179">
        <f>'Inputs by network level'!P17</f>
        <v>0.69256562916818787</v>
      </c>
      <c r="Q46" s="180"/>
      <c r="R46" s="180"/>
      <c r="S46" s="180"/>
      <c r="T46" s="180"/>
      <c r="U46" s="180"/>
      <c r="W46" s="3"/>
    </row>
    <row r="47" spans="3:23" x14ac:dyDescent="0.3">
      <c r="E47" s="28" t="s">
        <v>578</v>
      </c>
      <c r="G47" s="28" t="s">
        <v>167</v>
      </c>
      <c r="H47" s="3"/>
      <c r="I47" s="3"/>
      <c r="J47" s="180"/>
      <c r="K47" s="180"/>
      <c r="L47" s="180"/>
      <c r="M47" s="176">
        <f>IF(M46 = "", 1 - $P$46, M46)</f>
        <v>0.30743437083181213</v>
      </c>
      <c r="N47" s="176">
        <f>IF(N46 = "", 1 - $P$46, N46)</f>
        <v>0.30743437083181213</v>
      </c>
      <c r="O47" s="176">
        <f>IF(O46 = "", 1 - $P$46, O46)</f>
        <v>0.30743437083181213</v>
      </c>
      <c r="P47" s="176">
        <f>IF(P46 = "", 1 - $P$46, P46)</f>
        <v>0.69256562916818787</v>
      </c>
      <c r="Q47" s="180"/>
      <c r="R47" s="180"/>
      <c r="S47" s="180"/>
      <c r="T47" s="180"/>
      <c r="U47" s="180"/>
      <c r="W47" s="3"/>
    </row>
    <row r="48" spans="3:23" x14ac:dyDescent="0.3">
      <c r="E48" s="28" t="s">
        <v>579</v>
      </c>
      <c r="G48" s="28" t="s">
        <v>172</v>
      </c>
      <c r="H48" s="3"/>
      <c r="I48" s="3"/>
      <c r="J48" s="79"/>
      <c r="K48" s="98">
        <f t="shared" ref="K48:S48" si="1">IF(K47 = "", K40, K47 * K40)</f>
        <v>473.26506332966852</v>
      </c>
      <c r="L48" s="98">
        <f t="shared" si="1"/>
        <v>470.91051077578965</v>
      </c>
      <c r="M48" s="98">
        <f t="shared" si="1"/>
        <v>144.20014567040079</v>
      </c>
      <c r="N48" s="98">
        <f t="shared" si="1"/>
        <v>141.67278187091955</v>
      </c>
      <c r="O48" s="98">
        <f t="shared" si="1"/>
        <v>140.84990027244373</v>
      </c>
      <c r="P48" s="98">
        <f t="shared" si="1"/>
        <v>317.29633721997499</v>
      </c>
      <c r="Q48" s="98">
        <f t="shared" si="1"/>
        <v>450.29977481414704</v>
      </c>
      <c r="R48" s="98">
        <f t="shared" si="1"/>
        <v>443.54738831271652</v>
      </c>
      <c r="S48" s="98">
        <f t="shared" si="1"/>
        <v>434.18813149510868</v>
      </c>
      <c r="T48" s="79"/>
      <c r="U48" s="79"/>
      <c r="W48" s="3"/>
    </row>
    <row r="49" spans="2:23" x14ac:dyDescent="0.3">
      <c r="E49" s="28"/>
      <c r="G49" s="28"/>
      <c r="H49" s="3"/>
      <c r="I49" s="3"/>
      <c r="J49" s="3"/>
      <c r="K49" s="3"/>
      <c r="L49" s="3"/>
      <c r="M49" s="3"/>
      <c r="N49" s="3"/>
      <c r="O49" s="3"/>
      <c r="P49" s="3"/>
      <c r="Q49" s="3"/>
      <c r="R49" s="3"/>
      <c r="S49" s="3"/>
      <c r="T49" s="3"/>
      <c r="U49" s="3"/>
      <c r="V49" s="3"/>
      <c r="W49" s="3"/>
    </row>
    <row r="50" spans="2:23" x14ac:dyDescent="0.3">
      <c r="C50" s="31" t="str">
        <f ca="1">INDEX('Version control'!$H$34:$H$57,MATCH($A$1,'Version control'!$F$34:$F$57,0),1)&amp;"-E: Annuitised cost of assets"</f>
        <v>Section 108-E: Annuitised cost of assets</v>
      </c>
      <c r="D50" s="31"/>
      <c r="E50" s="31"/>
      <c r="F50" s="31"/>
      <c r="G50" s="31"/>
      <c r="H50" s="175"/>
      <c r="I50" s="175"/>
      <c r="J50" s="175"/>
      <c r="K50" s="175"/>
      <c r="L50" s="175"/>
      <c r="M50" s="175"/>
      <c r="N50" s="175"/>
      <c r="O50" s="175"/>
      <c r="P50" s="175"/>
      <c r="Q50" s="175"/>
      <c r="R50" s="175"/>
      <c r="S50" s="175"/>
      <c r="T50" s="175"/>
      <c r="U50" s="175"/>
      <c r="V50" s="31"/>
      <c r="W50" s="175"/>
    </row>
    <row r="51" spans="2:23" x14ac:dyDescent="0.3">
      <c r="E51" s="32"/>
      <c r="F51" s="115"/>
      <c r="H51" s="3"/>
      <c r="J51" s="3"/>
      <c r="K51" s="3"/>
      <c r="L51" s="113"/>
      <c r="M51" s="113"/>
      <c r="N51" s="113"/>
      <c r="O51" s="113"/>
      <c r="P51" s="113"/>
      <c r="Q51" s="113"/>
      <c r="R51" s="113"/>
      <c r="S51" s="113"/>
      <c r="T51" s="113"/>
      <c r="U51" s="183"/>
    </row>
    <row r="52" spans="2:23" x14ac:dyDescent="0.3">
      <c r="D52" s="29" t="s">
        <v>580</v>
      </c>
      <c r="F52" s="115"/>
      <c r="H52" s="3"/>
      <c r="I52" s="3"/>
      <c r="J52" s="3"/>
      <c r="K52" s="3"/>
      <c r="L52" s="113"/>
      <c r="M52" s="113"/>
      <c r="N52" s="113"/>
      <c r="O52" s="113"/>
      <c r="P52" s="113"/>
      <c r="Q52" s="113"/>
      <c r="R52" s="113"/>
      <c r="S52" s="113"/>
      <c r="T52" s="113"/>
      <c r="U52" s="183"/>
    </row>
    <row r="53" spans="2:23" x14ac:dyDescent="0.3">
      <c r="D53" s="29"/>
      <c r="F53" s="115"/>
      <c r="H53" s="3"/>
      <c r="I53" s="3"/>
      <c r="J53" s="3"/>
      <c r="K53" s="3"/>
      <c r="L53" s="113"/>
      <c r="M53" s="113"/>
      <c r="N53" s="113"/>
      <c r="O53" s="113"/>
      <c r="P53" s="113"/>
      <c r="Q53" s="113"/>
      <c r="R53" s="113"/>
      <c r="S53" s="113"/>
      <c r="T53" s="113"/>
      <c r="U53" s="183"/>
    </row>
    <row r="54" spans="2:23" x14ac:dyDescent="0.3">
      <c r="E54" t="s">
        <v>581</v>
      </c>
      <c r="F54" s="177"/>
      <c r="G54" s="28" t="s">
        <v>277</v>
      </c>
      <c r="H54" s="3"/>
      <c r="I54" s="3"/>
      <c r="J54" s="79"/>
      <c r="K54" s="79"/>
      <c r="L54" s="120">
        <f>'Inputs by network level'!L33</f>
        <v>50859316.660207875</v>
      </c>
      <c r="M54" s="120">
        <f>'Inputs by network level'!M33</f>
        <v>12040801.082095377</v>
      </c>
      <c r="N54" s="120">
        <f>'Inputs by network level'!N33</f>
        <v>12238674.082866751</v>
      </c>
      <c r="O54" s="120">
        <f>'Inputs by network level'!O33</f>
        <v>23592346.894599915</v>
      </c>
      <c r="P54" s="120">
        <f>'Inputs by network level'!P33</f>
        <v>25187654.921688259</v>
      </c>
      <c r="Q54" s="120">
        <f>'Inputs by network level'!Q33</f>
        <v>150548924.49464691</v>
      </c>
      <c r="R54" s="120">
        <f>'Inputs by network level'!R33</f>
        <v>73348598.858690292</v>
      </c>
      <c r="S54" s="120">
        <f>'Inputs by network level'!S33</f>
        <v>168369595.05154186</v>
      </c>
      <c r="T54" s="79"/>
      <c r="U54" s="79"/>
      <c r="W54" s="3"/>
    </row>
    <row r="55" spans="2:23" x14ac:dyDescent="0.3">
      <c r="E55" t="s">
        <v>582</v>
      </c>
      <c r="F55" s="177"/>
      <c r="G55" s="28" t="s">
        <v>583</v>
      </c>
      <c r="H55" s="3"/>
      <c r="I55" s="3"/>
      <c r="J55" s="79"/>
      <c r="K55" s="79"/>
      <c r="L55" s="98">
        <f t="shared" ref="L55:S55" si="2">IF(L48 = 0, 0, L54 / (L48 * thousand))</f>
        <v>108.00208425252811</v>
      </c>
      <c r="M55" s="98">
        <f t="shared" si="2"/>
        <v>83.500616633336236</v>
      </c>
      <c r="N55" s="98">
        <f t="shared" si="2"/>
        <v>86.38691159475934</v>
      </c>
      <c r="O55" s="98">
        <f t="shared" si="2"/>
        <v>167.49991905543141</v>
      </c>
      <c r="P55" s="98">
        <f t="shared" si="2"/>
        <v>79.382116863915059</v>
      </c>
      <c r="Q55" s="98">
        <f t="shared" si="2"/>
        <v>334.33044588304136</v>
      </c>
      <c r="R55" s="98">
        <f t="shared" si="2"/>
        <v>165.36812253074737</v>
      </c>
      <c r="S55" s="98">
        <f t="shared" si="2"/>
        <v>387.78027964921154</v>
      </c>
      <c r="T55" s="79"/>
      <c r="U55" s="79"/>
      <c r="W55" s="3"/>
    </row>
    <row r="56" spans="2:23" x14ac:dyDescent="0.3">
      <c r="E56" t="s">
        <v>584</v>
      </c>
      <c r="F56" s="177"/>
      <c r="G56" s="28" t="s">
        <v>585</v>
      </c>
      <c r="H56" s="3"/>
      <c r="I56" s="3" t="s">
        <v>154</v>
      </c>
      <c r="J56" s="79"/>
      <c r="K56" s="79"/>
      <c r="L56" s="98">
        <f t="shared" ref="L56:S56" si="3">L55 * $H$25</f>
        <v>4.87081530577567</v>
      </c>
      <c r="M56" s="98">
        <f t="shared" si="3"/>
        <v>3.7658169687576213</v>
      </c>
      <c r="N56" s="98">
        <f t="shared" si="3"/>
        <v>3.8959867684645539</v>
      </c>
      <c r="O56" s="98">
        <f t="shared" si="3"/>
        <v>7.5541243032287451</v>
      </c>
      <c r="P56" s="98">
        <f t="shared" si="3"/>
        <v>3.5800756300365526</v>
      </c>
      <c r="Q56" s="98">
        <f t="shared" si="3"/>
        <v>15.07805950472482</v>
      </c>
      <c r="R56" s="98">
        <f t="shared" si="3"/>
        <v>7.4579818332653716</v>
      </c>
      <c r="S56" s="98">
        <f t="shared" si="3"/>
        <v>17.488608062201688</v>
      </c>
      <c r="T56" s="79"/>
      <c r="U56" s="79"/>
      <c r="W56" s="3" t="s">
        <v>586</v>
      </c>
    </row>
    <row r="57" spans="2:23" x14ac:dyDescent="0.3">
      <c r="H57" s="3"/>
      <c r="I57" s="3"/>
      <c r="J57" s="127"/>
      <c r="K57" s="127"/>
      <c r="L57" s="127"/>
      <c r="M57" s="127"/>
      <c r="N57" s="127"/>
      <c r="O57" s="127"/>
      <c r="P57" s="127"/>
      <c r="Q57" s="127"/>
      <c r="R57" s="127"/>
      <c r="S57" s="127"/>
      <c r="T57" s="127"/>
      <c r="U57" s="127"/>
      <c r="W57" s="3"/>
    </row>
    <row r="58" spans="2:23" x14ac:dyDescent="0.3">
      <c r="B58" s="30" t="s">
        <v>587</v>
      </c>
      <c r="C58" s="30"/>
      <c r="D58" s="30"/>
      <c r="E58" s="30"/>
      <c r="F58" s="30"/>
      <c r="G58" s="30"/>
      <c r="H58" s="30"/>
      <c r="I58" s="30"/>
      <c r="J58" s="184"/>
      <c r="K58" s="184"/>
      <c r="L58" s="184"/>
      <c r="M58" s="184"/>
      <c r="N58" s="184"/>
      <c r="O58" s="184"/>
      <c r="P58" s="184"/>
      <c r="Q58" s="184"/>
      <c r="R58" s="184"/>
      <c r="S58" s="184"/>
      <c r="T58" s="184"/>
      <c r="U58" s="184"/>
      <c r="V58" s="30"/>
      <c r="W58" s="30"/>
    </row>
    <row r="59" spans="2:23" x14ac:dyDescent="0.3">
      <c r="J59" s="89"/>
      <c r="K59" s="89"/>
      <c r="L59" s="89"/>
      <c r="M59" s="89"/>
      <c r="N59" s="89"/>
      <c r="O59" s="89"/>
      <c r="P59" s="89"/>
      <c r="Q59" s="89"/>
      <c r="R59" s="89"/>
      <c r="S59" s="89"/>
      <c r="T59" s="89"/>
      <c r="U59" s="89"/>
    </row>
    <row r="60" spans="2:23" x14ac:dyDescent="0.3">
      <c r="C60" s="29" t="s">
        <v>588</v>
      </c>
      <c r="J60" s="89"/>
      <c r="K60" s="89"/>
      <c r="L60" s="89"/>
      <c r="M60" s="89"/>
      <c r="N60" s="89"/>
      <c r="O60" s="89"/>
      <c r="P60" s="89"/>
      <c r="Q60" s="89"/>
      <c r="R60" s="89"/>
      <c r="S60" s="89"/>
      <c r="T60" s="89"/>
      <c r="U60" s="89"/>
    </row>
    <row r="61" spans="2:23" x14ac:dyDescent="0.3">
      <c r="J61" s="89"/>
      <c r="K61" s="89"/>
      <c r="L61" s="89"/>
      <c r="M61" s="89"/>
      <c r="N61" s="89"/>
      <c r="O61" s="89"/>
      <c r="P61" s="89"/>
      <c r="Q61" s="89"/>
      <c r="R61" s="89"/>
      <c r="S61" s="89"/>
      <c r="T61" s="89"/>
      <c r="U61" s="89"/>
    </row>
    <row r="62" spans="2:23" x14ac:dyDescent="0.3">
      <c r="C62" s="31" t="str">
        <f ca="1">INDEX('Version control'!$H$34:$H$57,MATCH($A$1,'Version control'!$F$34:$F$57,0),1)&amp;"-F: System simultaneous peak load based on charegable units"</f>
        <v>Section 108-F: System simultaneous peak load based on charegable units</v>
      </c>
      <c r="D62" s="31"/>
      <c r="E62" s="31"/>
      <c r="F62" s="31"/>
      <c r="G62" s="31"/>
      <c r="H62" s="175"/>
      <c r="I62" s="175"/>
      <c r="J62" s="185"/>
      <c r="K62" s="185"/>
      <c r="L62" s="185"/>
      <c r="M62" s="185"/>
      <c r="N62" s="185"/>
      <c r="O62" s="185"/>
      <c r="P62" s="185"/>
      <c r="Q62" s="185"/>
      <c r="R62" s="185"/>
      <c r="S62" s="185"/>
      <c r="T62" s="185"/>
      <c r="U62" s="185"/>
      <c r="V62" s="31"/>
      <c r="W62" s="175"/>
    </row>
    <row r="63" spans="2:23" x14ac:dyDescent="0.3">
      <c r="D63" s="32"/>
      <c r="J63" s="89"/>
      <c r="K63" s="89"/>
      <c r="L63" s="89"/>
      <c r="M63" s="89"/>
      <c r="N63" s="89"/>
      <c r="O63" s="89"/>
      <c r="P63" s="89"/>
      <c r="Q63" s="89"/>
      <c r="R63" s="89"/>
      <c r="S63" s="89"/>
      <c r="T63" s="89"/>
      <c r="U63" s="89"/>
    </row>
    <row r="64" spans="2:23" x14ac:dyDescent="0.3">
      <c r="E64" t="s">
        <v>589</v>
      </c>
      <c r="G64" t="s">
        <v>172</v>
      </c>
      <c r="J64" s="79"/>
      <c r="K64" s="120">
        <f t="array" ref="K64:S64">TRANSPOSE('System peak demand'!H269:H277)</f>
        <v>3941.7907962086988</v>
      </c>
      <c r="L64" s="120">
        <v>4126.8758872146782</v>
      </c>
      <c r="M64" s="120">
        <v>1190.617823012273</v>
      </c>
      <c r="N64" s="120">
        <v>1254.6403348783017</v>
      </c>
      <c r="O64" s="120">
        <v>1647.6702372240627</v>
      </c>
      <c r="P64" s="120">
        <v>3781.0077942514363</v>
      </c>
      <c r="Q64" s="120">
        <v>4932.6967126973232</v>
      </c>
      <c r="R64" s="120">
        <v>3467.9879272218882</v>
      </c>
      <c r="S64" s="120">
        <v>2683.2492442911439</v>
      </c>
      <c r="T64" s="79"/>
      <c r="U64" s="79"/>
    </row>
    <row r="65" spans="3:24" x14ac:dyDescent="0.3">
      <c r="E65" s="28" t="s">
        <v>590</v>
      </c>
      <c r="F65" s="28"/>
      <c r="G65" s="28" t="s">
        <v>172</v>
      </c>
      <c r="H65" s="102"/>
      <c r="J65" s="98">
        <f>K64</f>
        <v>3941.7907962086988</v>
      </c>
      <c r="K65" s="79"/>
      <c r="L65" s="79"/>
      <c r="M65" s="79"/>
      <c r="N65" s="79"/>
      <c r="O65" s="79"/>
      <c r="P65" s="79"/>
      <c r="Q65" s="79"/>
      <c r="R65" s="79"/>
      <c r="S65" s="79"/>
      <c r="T65" s="79"/>
      <c r="U65" s="79"/>
      <c r="W65" s="63"/>
      <c r="X65" s="63"/>
    </row>
    <row r="66" spans="3:24" x14ac:dyDescent="0.3">
      <c r="J66" s="89"/>
      <c r="K66" s="89"/>
      <c r="L66" s="89"/>
      <c r="M66" s="89"/>
      <c r="N66" s="89"/>
      <c r="O66" s="89"/>
      <c r="P66" s="89"/>
      <c r="Q66" s="89"/>
      <c r="R66" s="89"/>
      <c r="S66" s="89"/>
      <c r="T66" s="89"/>
      <c r="U66" s="89"/>
      <c r="X66" s="63"/>
    </row>
    <row r="67" spans="3:24" x14ac:dyDescent="0.3">
      <c r="E67" s="28" t="s">
        <v>589</v>
      </c>
      <c r="F67" s="28"/>
      <c r="G67" s="28" t="s">
        <v>520</v>
      </c>
      <c r="H67" s="102"/>
      <c r="J67" s="98">
        <f t="shared" ref="J67:S67" si="4">SUM(J64:J65) * thousand</f>
        <v>3941790.7962086988</v>
      </c>
      <c r="K67" s="98">
        <f t="shared" si="4"/>
        <v>3941790.7962086988</v>
      </c>
      <c r="L67" s="98">
        <f t="shared" si="4"/>
        <v>4126875.8872146783</v>
      </c>
      <c r="M67" s="98">
        <f t="shared" si="4"/>
        <v>1190617.8230122731</v>
      </c>
      <c r="N67" s="98">
        <f t="shared" si="4"/>
        <v>1254640.3348783017</v>
      </c>
      <c r="O67" s="98">
        <f t="shared" si="4"/>
        <v>1647670.2372240627</v>
      </c>
      <c r="P67" s="98">
        <f t="shared" si="4"/>
        <v>3781007.7942514364</v>
      </c>
      <c r="Q67" s="98">
        <f t="shared" si="4"/>
        <v>4932696.7126973234</v>
      </c>
      <c r="R67" s="98">
        <f t="shared" si="4"/>
        <v>3467987.9272218882</v>
      </c>
      <c r="S67" s="98">
        <f t="shared" si="4"/>
        <v>2683249.244291144</v>
      </c>
      <c r="T67" s="79"/>
      <c r="U67" s="79"/>
      <c r="W67" s="63"/>
      <c r="X67" s="63"/>
    </row>
    <row r="68" spans="3:24" x14ac:dyDescent="0.3">
      <c r="J68" s="89"/>
      <c r="K68" s="89"/>
      <c r="L68" s="89"/>
      <c r="M68" s="89"/>
      <c r="N68" s="89"/>
      <c r="O68" s="89"/>
      <c r="P68" s="89"/>
      <c r="Q68" s="89"/>
      <c r="R68" s="89"/>
      <c r="S68" s="89"/>
      <c r="T68" s="89"/>
      <c r="U68" s="89"/>
    </row>
    <row r="69" spans="3:24" x14ac:dyDescent="0.3">
      <c r="C69" s="31" t="str">
        <f ca="1">INDEX('Version control'!$H$34:$H$57,MATCH($A$1,'Version control'!$F$34:$F$57,0),1)&amp;"-G: Notional asset values, by network level"</f>
        <v>Section 108-G: Notional asset values, by network level</v>
      </c>
      <c r="D69" s="31"/>
      <c r="E69" s="31"/>
      <c r="F69" s="31"/>
      <c r="G69" s="31"/>
      <c r="H69" s="175"/>
      <c r="I69" s="175"/>
      <c r="J69" s="185"/>
      <c r="K69" s="185"/>
      <c r="L69" s="185"/>
      <c r="M69" s="185"/>
      <c r="N69" s="185"/>
      <c r="O69" s="185"/>
      <c r="P69" s="185"/>
      <c r="Q69" s="185"/>
      <c r="R69" s="185"/>
      <c r="S69" s="185"/>
      <c r="T69" s="185"/>
      <c r="U69" s="185"/>
      <c r="V69" s="31"/>
      <c r="W69" s="175"/>
    </row>
    <row r="70" spans="3:24" x14ac:dyDescent="0.3">
      <c r="E70" s="32"/>
      <c r="J70" s="89"/>
      <c r="K70" s="89"/>
      <c r="L70" s="89"/>
      <c r="M70" s="89"/>
      <c r="N70" s="89"/>
      <c r="O70" s="89"/>
      <c r="P70" s="89"/>
      <c r="Q70" s="89"/>
      <c r="R70" s="89"/>
      <c r="S70" s="89"/>
      <c r="T70" s="89"/>
      <c r="U70" s="89"/>
      <c r="X70" s="63"/>
    </row>
    <row r="71" spans="3:24" x14ac:dyDescent="0.3">
      <c r="D71" s="29" t="s">
        <v>591</v>
      </c>
      <c r="J71" s="89"/>
      <c r="K71" s="89"/>
      <c r="L71" s="89"/>
      <c r="M71" s="89"/>
      <c r="N71" s="89"/>
      <c r="O71" s="89"/>
      <c r="P71" s="89"/>
      <c r="Q71" s="89"/>
      <c r="R71" s="89"/>
      <c r="S71" s="89"/>
      <c r="T71" s="89"/>
      <c r="U71" s="89"/>
      <c r="X71" s="63"/>
    </row>
    <row r="72" spans="3:24" x14ac:dyDescent="0.3">
      <c r="D72" s="29"/>
      <c r="J72" s="89"/>
      <c r="K72" s="89"/>
      <c r="L72" s="89"/>
      <c r="M72" s="89"/>
      <c r="N72" s="89"/>
      <c r="O72" s="89"/>
      <c r="P72" s="89"/>
      <c r="Q72" s="89"/>
      <c r="R72" s="89"/>
      <c r="S72" s="89"/>
      <c r="T72" s="89"/>
      <c r="U72" s="89"/>
      <c r="X72" s="63"/>
    </row>
    <row r="73" spans="3:24" x14ac:dyDescent="0.3">
      <c r="E73" s="28" t="s">
        <v>592</v>
      </c>
      <c r="F73" s="28"/>
      <c r="G73" s="28" t="s">
        <v>277</v>
      </c>
      <c r="J73" s="79"/>
      <c r="K73" s="79"/>
      <c r="L73" s="98">
        <f t="shared" ref="L73:S73" si="5">L67 * L55</f>
        <v>445711197.27068639</v>
      </c>
      <c r="M73" s="98">
        <f t="shared" si="5"/>
        <v>99417322.396165192</v>
      </c>
      <c r="N73" s="98">
        <f t="shared" si="5"/>
        <v>108384503.6923511</v>
      </c>
      <c r="O73" s="98">
        <f t="shared" si="5"/>
        <v>275984631.36507398</v>
      </c>
      <c r="P73" s="98">
        <f t="shared" si="5"/>
        <v>300144402.58664125</v>
      </c>
      <c r="Q73" s="98">
        <f t="shared" si="5"/>
        <v>1649150691.3619084</v>
      </c>
      <c r="R73" s="98">
        <f t="shared" si="5"/>
        <v>573494652.48398185</v>
      </c>
      <c r="S73" s="98">
        <f t="shared" si="5"/>
        <v>1040511142.3197553</v>
      </c>
      <c r="T73" s="79"/>
      <c r="U73" s="79"/>
      <c r="X73" s="63"/>
    </row>
    <row r="74" spans="3:24" x14ac:dyDescent="0.3">
      <c r="E74" s="28" t="s">
        <v>593</v>
      </c>
      <c r="F74" s="28"/>
      <c r="G74" s="28" t="s">
        <v>277</v>
      </c>
      <c r="J74" s="79"/>
      <c r="K74" s="79"/>
      <c r="L74" s="79"/>
      <c r="M74" s="79"/>
      <c r="N74" s="79"/>
      <c r="O74" s="79"/>
      <c r="P74" s="79"/>
      <c r="Q74" s="79"/>
      <c r="R74" s="79"/>
      <c r="S74" s="79"/>
      <c r="T74" s="120">
        <f>'Service model assets'!H33</f>
        <v>809171051.03557897</v>
      </c>
      <c r="U74" s="120">
        <f>'Service model assets'!H34</f>
        <v>44961399.10068664</v>
      </c>
      <c r="X74" s="63"/>
    </row>
    <row r="75" spans="3:24" x14ac:dyDescent="0.3">
      <c r="J75" s="89"/>
      <c r="K75" s="89"/>
      <c r="L75" s="89"/>
      <c r="M75" s="89"/>
      <c r="N75" s="89"/>
      <c r="O75" s="89"/>
      <c r="P75" s="89"/>
      <c r="Q75" s="89"/>
      <c r="R75" s="89"/>
      <c r="S75" s="89"/>
      <c r="T75" s="89"/>
      <c r="U75" s="89"/>
      <c r="X75" s="63"/>
    </row>
    <row r="76" spans="3:24" x14ac:dyDescent="0.3">
      <c r="E76" s="28" t="s">
        <v>594</v>
      </c>
      <c r="F76" s="28"/>
      <c r="G76" s="28" t="s">
        <v>277</v>
      </c>
      <c r="I76" t="s">
        <v>154</v>
      </c>
      <c r="J76" s="79"/>
      <c r="K76" s="98">
        <f t="shared" ref="K76:U76" si="6">K73 + K74</f>
        <v>0</v>
      </c>
      <c r="L76" s="98">
        <f t="shared" si="6"/>
        <v>445711197.27068639</v>
      </c>
      <c r="M76" s="98">
        <f t="shared" si="6"/>
        <v>99417322.396165192</v>
      </c>
      <c r="N76" s="98">
        <f t="shared" si="6"/>
        <v>108384503.6923511</v>
      </c>
      <c r="O76" s="98">
        <f t="shared" si="6"/>
        <v>275984631.36507398</v>
      </c>
      <c r="P76" s="98">
        <f t="shared" si="6"/>
        <v>300144402.58664125</v>
      </c>
      <c r="Q76" s="98">
        <f t="shared" si="6"/>
        <v>1649150691.3619084</v>
      </c>
      <c r="R76" s="98">
        <f t="shared" si="6"/>
        <v>573494652.48398185</v>
      </c>
      <c r="S76" s="98">
        <f t="shared" si="6"/>
        <v>1040511142.3197553</v>
      </c>
      <c r="T76" s="98">
        <f t="shared" si="6"/>
        <v>809171051.03557897</v>
      </c>
      <c r="U76" s="98">
        <f t="shared" si="6"/>
        <v>44961399.10068664</v>
      </c>
      <c r="W76" s="3" t="s">
        <v>595</v>
      </c>
      <c r="X76" s="63"/>
    </row>
    <row r="77" spans="3:24" x14ac:dyDescent="0.3">
      <c r="L77" s="63"/>
      <c r="M77" s="63"/>
      <c r="N77" s="63"/>
      <c r="O77" s="63"/>
      <c r="P77" s="63"/>
      <c r="Q77" s="63"/>
      <c r="R77" s="63"/>
      <c r="S77" s="63"/>
      <c r="T77" s="63"/>
      <c r="U77" s="63"/>
      <c r="X77" s="63"/>
    </row>
    <row r="78" spans="3:24" x14ac:dyDescent="0.3">
      <c r="E78" s="28" t="s">
        <v>596</v>
      </c>
      <c r="F78" s="28"/>
      <c r="G78" s="28" t="s">
        <v>167</v>
      </c>
      <c r="J78" s="180"/>
      <c r="K78" s="145">
        <f t="shared" ref="K78:U78" si="7">K76 / SUM($K$76:$U$76)</f>
        <v>0</v>
      </c>
      <c r="L78" s="145">
        <f t="shared" si="7"/>
        <v>8.3358322335393933E-2</v>
      </c>
      <c r="M78" s="145">
        <f t="shared" si="7"/>
        <v>1.8593343081278597E-2</v>
      </c>
      <c r="N78" s="145">
        <f t="shared" si="7"/>
        <v>2.027041377975921E-2</v>
      </c>
      <c r="O78" s="145">
        <f t="shared" si="7"/>
        <v>5.1615521444872046E-2</v>
      </c>
      <c r="P78" s="145">
        <f t="shared" si="7"/>
        <v>5.6133958516610453E-2</v>
      </c>
      <c r="Q78" s="145">
        <f t="shared" si="7"/>
        <v>0.30842939498039151</v>
      </c>
      <c r="R78" s="145">
        <f t="shared" si="7"/>
        <v>0.10725678958061162</v>
      </c>
      <c r="S78" s="145">
        <f t="shared" si="7"/>
        <v>0.19459969533227506</v>
      </c>
      <c r="T78" s="145">
        <f t="shared" si="7"/>
        <v>0.15133373742847503</v>
      </c>
      <c r="U78" s="145">
        <f t="shared" si="7"/>
        <v>8.4088235203325489E-3</v>
      </c>
      <c r="X78" s="63"/>
    </row>
    <row r="79" spans="3:24" x14ac:dyDescent="0.3">
      <c r="E79" s="32"/>
      <c r="L79" s="63"/>
      <c r="M79" s="63"/>
      <c r="N79" s="63"/>
      <c r="O79" s="63"/>
      <c r="P79" s="63"/>
      <c r="Q79" s="63"/>
      <c r="R79" s="63"/>
      <c r="S79" s="63"/>
      <c r="T79" s="63"/>
      <c r="U79" s="63"/>
    </row>
    <row r="80" spans="3:24" x14ac:dyDescent="0.3">
      <c r="C80" s="31" t="str">
        <f ca="1">INDEX('Version control'!$H$34:$H$57,MATCH($A$1,'Version control'!$F$34:$F$57,0),1)&amp;"-H: Other operating costs"</f>
        <v>Section 108-H: Other operating costs</v>
      </c>
      <c r="D80" s="31"/>
      <c r="E80" s="31"/>
      <c r="F80" s="31"/>
      <c r="G80" s="31"/>
      <c r="H80" s="175"/>
      <c r="I80" s="175"/>
      <c r="J80" s="175"/>
      <c r="K80" s="175"/>
      <c r="L80" s="175"/>
      <c r="M80" s="175"/>
      <c r="N80" s="175"/>
      <c r="O80" s="175"/>
      <c r="P80" s="175"/>
      <c r="Q80" s="175"/>
      <c r="R80" s="175"/>
      <c r="S80" s="175"/>
      <c r="T80" s="175"/>
      <c r="U80" s="175"/>
      <c r="V80" s="31"/>
      <c r="W80" s="175"/>
    </row>
    <row r="81" spans="3:23" x14ac:dyDescent="0.3">
      <c r="E81" s="32"/>
      <c r="L81" s="63"/>
      <c r="M81" s="63"/>
      <c r="N81" s="63"/>
      <c r="O81" s="63"/>
      <c r="P81" s="63"/>
      <c r="Q81" s="63"/>
      <c r="R81" s="63"/>
      <c r="S81" s="63"/>
      <c r="T81" s="63"/>
      <c r="U81" s="63"/>
    </row>
    <row r="82" spans="3:23" x14ac:dyDescent="0.3">
      <c r="D82" s="29" t="s">
        <v>597</v>
      </c>
      <c r="L82" s="63"/>
      <c r="M82" s="63"/>
      <c r="N82" s="63"/>
      <c r="O82" s="63"/>
      <c r="P82" s="63"/>
      <c r="Q82" s="63"/>
      <c r="R82" s="63"/>
      <c r="S82" s="63"/>
      <c r="T82" s="63"/>
      <c r="U82" s="63"/>
    </row>
    <row r="83" spans="3:23" x14ac:dyDescent="0.3">
      <c r="D83" s="29"/>
      <c r="L83" s="63"/>
      <c r="M83" s="63"/>
      <c r="N83" s="63"/>
      <c r="O83" s="63"/>
      <c r="P83" s="63"/>
      <c r="Q83" s="63"/>
      <c r="R83" s="63"/>
      <c r="S83" s="63"/>
      <c r="T83" s="63"/>
      <c r="U83" s="63"/>
    </row>
    <row r="84" spans="3:23" x14ac:dyDescent="0.3">
      <c r="E84" s="28" t="s">
        <v>169</v>
      </c>
      <c r="F84" s="28"/>
      <c r="G84" s="28" t="s">
        <v>167</v>
      </c>
      <c r="H84" s="25">
        <f>'Fixed inputs'!H39</f>
        <v>0.6</v>
      </c>
      <c r="L84" s="63"/>
      <c r="M84" s="63"/>
      <c r="N84" s="63"/>
      <c r="O84" s="63"/>
      <c r="P84" s="63"/>
      <c r="Q84" s="63"/>
      <c r="R84" s="63"/>
      <c r="S84" s="63"/>
      <c r="T84" s="63"/>
      <c r="U84" s="63"/>
    </row>
    <row r="85" spans="3:23" x14ac:dyDescent="0.3">
      <c r="F85" s="28"/>
      <c r="G85" s="28"/>
      <c r="H85" s="25"/>
      <c r="L85" s="63"/>
      <c r="M85" s="63"/>
      <c r="N85" s="63"/>
      <c r="O85" s="63"/>
      <c r="P85" s="63"/>
      <c r="Q85" s="63"/>
      <c r="R85" s="63"/>
      <c r="S85" s="63"/>
      <c r="T85" s="63"/>
      <c r="U85" s="63"/>
    </row>
    <row r="86" spans="3:23" x14ac:dyDescent="0.3">
      <c r="E86" s="28" t="s">
        <v>360</v>
      </c>
      <c r="F86" s="28"/>
      <c r="G86" s="28" t="s">
        <v>357</v>
      </c>
      <c r="H86" s="120">
        <f>'General inputs'!H102</f>
        <v>54877324.45348423</v>
      </c>
      <c r="L86" s="63"/>
      <c r="M86" s="63"/>
      <c r="N86" s="63"/>
      <c r="O86" s="63"/>
      <c r="P86" s="63"/>
      <c r="Q86" s="63"/>
      <c r="R86" s="63"/>
      <c r="S86" s="63"/>
      <c r="T86" s="63"/>
      <c r="U86" s="63"/>
    </row>
    <row r="87" spans="3:23" x14ac:dyDescent="0.3">
      <c r="E87" s="28" t="s">
        <v>361</v>
      </c>
      <c r="F87" s="28"/>
      <c r="G87" s="28" t="s">
        <v>357</v>
      </c>
      <c r="H87" s="120">
        <f>'General inputs'!H103</f>
        <v>137597202.16465038</v>
      </c>
      <c r="L87" s="63"/>
      <c r="M87" s="63"/>
      <c r="N87" s="63"/>
      <c r="O87" s="63"/>
      <c r="P87" s="63"/>
      <c r="Q87" s="63"/>
      <c r="R87" s="63"/>
      <c r="S87" s="63"/>
      <c r="T87" s="63"/>
      <c r="U87" s="63"/>
    </row>
    <row r="88" spans="3:23" x14ac:dyDescent="0.3">
      <c r="E88" s="28" t="s">
        <v>362</v>
      </c>
      <c r="F88" s="28"/>
      <c r="G88" s="28" t="s">
        <v>357</v>
      </c>
      <c r="H88" s="120">
        <f>'General inputs'!H104</f>
        <v>31873549.986733001</v>
      </c>
      <c r="J88" s="63"/>
      <c r="L88" s="63"/>
      <c r="M88" s="63"/>
      <c r="N88" s="63"/>
      <c r="O88" s="63"/>
      <c r="P88" s="63"/>
      <c r="Q88" s="63"/>
      <c r="R88" s="63"/>
      <c r="S88" s="63"/>
      <c r="T88" s="63"/>
      <c r="U88" s="63"/>
    </row>
    <row r="89" spans="3:23" x14ac:dyDescent="0.3">
      <c r="E89" s="28"/>
      <c r="F89" s="28"/>
      <c r="G89" s="28"/>
      <c r="H89" s="120"/>
      <c r="J89" s="63"/>
      <c r="L89" s="63"/>
      <c r="M89" s="63"/>
      <c r="N89" s="63"/>
      <c r="O89" s="63"/>
      <c r="P89" s="63"/>
      <c r="Q89" s="63"/>
      <c r="R89" s="63"/>
      <c r="S89" s="63"/>
      <c r="T89" s="63"/>
      <c r="U89" s="63"/>
    </row>
    <row r="90" spans="3:23" x14ac:dyDescent="0.3">
      <c r="E90" s="28" t="s">
        <v>598</v>
      </c>
      <c r="F90" s="28"/>
      <c r="G90" s="28" t="s">
        <v>357</v>
      </c>
      <c r="H90" s="98">
        <f>H86 + H87 * H84 + H88</f>
        <v>169309195.73900744</v>
      </c>
      <c r="L90" s="63"/>
      <c r="M90" s="63"/>
      <c r="N90" s="63"/>
      <c r="O90" s="63"/>
      <c r="P90" s="63"/>
      <c r="Q90" s="63"/>
      <c r="R90" s="63"/>
      <c r="S90" s="63"/>
      <c r="T90" s="63"/>
      <c r="U90" s="63"/>
    </row>
    <row r="91" spans="3:23" x14ac:dyDescent="0.3">
      <c r="E91" s="32"/>
      <c r="L91" s="63"/>
      <c r="M91" s="63"/>
      <c r="N91" s="63"/>
      <c r="O91" s="63"/>
      <c r="P91" s="63"/>
      <c r="Q91" s="63"/>
      <c r="R91" s="63"/>
      <c r="S91" s="63"/>
      <c r="T91" s="63"/>
      <c r="U91" s="63"/>
    </row>
    <row r="92" spans="3:23" x14ac:dyDescent="0.3">
      <c r="C92" s="31" t="str">
        <f ca="1">INDEX('Version control'!$H$34:$H$57,MATCH($A$1,'Version control'!$F$34:$F$57,0),1)&amp;"-I: Other operating costs by network level"</f>
        <v>Section 108-I: Other operating costs by network level</v>
      </c>
      <c r="D92" s="31"/>
      <c r="E92" s="31"/>
      <c r="F92" s="31"/>
      <c r="G92" s="31"/>
      <c r="H92" s="175"/>
      <c r="I92" s="175"/>
      <c r="J92" s="175"/>
      <c r="K92" s="175"/>
      <c r="L92" s="175"/>
      <c r="M92" s="175"/>
      <c r="N92" s="175"/>
      <c r="O92" s="175"/>
      <c r="P92" s="175"/>
      <c r="Q92" s="175"/>
      <c r="R92" s="175"/>
      <c r="S92" s="175"/>
      <c r="T92" s="175"/>
      <c r="U92" s="175"/>
      <c r="V92" s="31"/>
      <c r="W92" s="175"/>
    </row>
    <row r="93" spans="3:23" x14ac:dyDescent="0.3">
      <c r="E93" s="32"/>
      <c r="H93" s="63"/>
      <c r="L93" s="63"/>
      <c r="M93" s="63"/>
      <c r="N93" s="63"/>
      <c r="O93" s="63"/>
      <c r="P93" s="63"/>
      <c r="Q93" s="63"/>
      <c r="R93" s="63"/>
      <c r="S93" s="63"/>
      <c r="T93" s="63"/>
      <c r="U93" s="63"/>
    </row>
    <row r="94" spans="3:23" x14ac:dyDescent="0.3">
      <c r="D94" s="29" t="s">
        <v>599</v>
      </c>
      <c r="H94" s="63"/>
      <c r="L94" s="63"/>
      <c r="M94" s="63"/>
      <c r="N94" s="63"/>
      <c r="O94" s="63"/>
      <c r="P94" s="63"/>
      <c r="Q94" s="63"/>
      <c r="R94" s="63"/>
      <c r="S94" s="63"/>
      <c r="T94" s="63"/>
      <c r="U94" s="63"/>
    </row>
    <row r="95" spans="3:23" x14ac:dyDescent="0.3">
      <c r="D95" s="29" t="s">
        <v>600</v>
      </c>
      <c r="H95" s="63"/>
      <c r="L95" s="63"/>
      <c r="M95" s="63"/>
      <c r="N95" s="63"/>
      <c r="O95" s="63"/>
      <c r="P95" s="63"/>
      <c r="Q95" s="63"/>
      <c r="R95" s="63"/>
      <c r="S95" s="63"/>
      <c r="T95" s="63"/>
      <c r="U95" s="63"/>
    </row>
    <row r="96" spans="3:23" x14ac:dyDescent="0.3">
      <c r="D96" s="29"/>
      <c r="H96" s="63"/>
      <c r="L96" s="63"/>
      <c r="M96" s="63"/>
      <c r="N96" s="63"/>
      <c r="O96" s="63"/>
      <c r="P96" s="63"/>
      <c r="Q96" s="63"/>
      <c r="R96" s="63"/>
      <c r="S96" s="63"/>
      <c r="T96" s="63"/>
      <c r="U96" s="63"/>
    </row>
    <row r="97" spans="2:23" x14ac:dyDescent="0.3">
      <c r="E97" s="28" t="s">
        <v>601</v>
      </c>
      <c r="F97" s="28"/>
      <c r="G97" s="28" t="s">
        <v>357</v>
      </c>
      <c r="I97" t="s">
        <v>154</v>
      </c>
      <c r="J97" s="79"/>
      <c r="K97" s="98">
        <f t="shared" ref="K97:U97" si="8">K78 * $H$90</f>
        <v>0</v>
      </c>
      <c r="L97" s="98">
        <f t="shared" si="8"/>
        <v>14113330.512758488</v>
      </c>
      <c r="M97" s="98">
        <f t="shared" si="8"/>
        <v>3148023.9631907176</v>
      </c>
      <c r="N97" s="98">
        <f t="shared" si="8"/>
        <v>3431967.4543479257</v>
      </c>
      <c r="O97" s="98">
        <f t="shared" si="8"/>
        <v>8738982.4234807771</v>
      </c>
      <c r="P97" s="98">
        <f t="shared" si="8"/>
        <v>9503995.3700941224</v>
      </c>
      <c r="Q97" s="98">
        <f t="shared" si="8"/>
        <v>52219932.806398749</v>
      </c>
      <c r="R97" s="98">
        <f t="shared" si="8"/>
        <v>18159560.781441309</v>
      </c>
      <c r="S97" s="98">
        <f t="shared" si="8"/>
        <v>32947517.907763369</v>
      </c>
      <c r="T97" s="98">
        <f t="shared" si="8"/>
        <v>25622193.372193236</v>
      </c>
      <c r="U97" s="98">
        <f t="shared" si="8"/>
        <v>1423691.1473387531</v>
      </c>
      <c r="W97" s="3" t="s">
        <v>602</v>
      </c>
    </row>
    <row r="98" spans="2:23" x14ac:dyDescent="0.3">
      <c r="E98" s="28" t="s">
        <v>356</v>
      </c>
      <c r="F98" s="28"/>
      <c r="G98" s="28" t="s">
        <v>357</v>
      </c>
      <c r="H98" s="63"/>
      <c r="I98" s="63"/>
      <c r="J98" s="120">
        <f>'General inputs'!$H$97</f>
        <v>13815110.913975246</v>
      </c>
      <c r="K98" s="79"/>
      <c r="L98" s="79"/>
      <c r="M98" s="79"/>
      <c r="N98" s="79"/>
      <c r="O98" s="79"/>
      <c r="P98" s="79"/>
      <c r="Q98" s="79"/>
      <c r="R98" s="79"/>
      <c r="S98" s="79"/>
      <c r="T98" s="79"/>
      <c r="U98" s="79"/>
    </row>
    <row r="99" spans="2:23" x14ac:dyDescent="0.3">
      <c r="J99" s="89"/>
      <c r="K99" s="89"/>
      <c r="L99" s="89"/>
      <c r="M99" s="89"/>
      <c r="N99" s="89"/>
      <c r="O99" s="89"/>
      <c r="P99" s="89"/>
      <c r="Q99" s="89"/>
      <c r="R99" s="89"/>
      <c r="S99" s="89"/>
      <c r="T99" s="89"/>
      <c r="U99" s="89"/>
    </row>
    <row r="100" spans="2:23" x14ac:dyDescent="0.3">
      <c r="E100" s="28" t="s">
        <v>603</v>
      </c>
      <c r="F100" s="28"/>
      <c r="G100" s="28" t="s">
        <v>604</v>
      </c>
      <c r="I100" t="s">
        <v>154</v>
      </c>
      <c r="J100" s="98">
        <f t="shared" ref="J100:S100" si="9">IF(J$67 = 0, 0, SUM(J97:J98) / J$67)</f>
        <v>3.5047803468573027</v>
      </c>
      <c r="K100" s="98">
        <f t="shared" si="9"/>
        <v>0</v>
      </c>
      <c r="L100" s="98">
        <f t="shared" si="9"/>
        <v>3.4198582410686194</v>
      </c>
      <c r="M100" s="98">
        <f t="shared" si="9"/>
        <v>2.6440255658412628</v>
      </c>
      <c r="N100" s="98">
        <f t="shared" si="9"/>
        <v>2.7354193540101845</v>
      </c>
      <c r="O100" s="98">
        <f t="shared" si="9"/>
        <v>5.3038418890201653</v>
      </c>
      <c r="P100" s="98">
        <f t="shared" si="9"/>
        <v>2.5136143291065927</v>
      </c>
      <c r="Q100" s="98">
        <f t="shared" si="9"/>
        <v>10.58648764518173</v>
      </c>
      <c r="R100" s="98">
        <f t="shared" si="9"/>
        <v>5.2363390999427279</v>
      </c>
      <c r="S100" s="98">
        <f t="shared" si="9"/>
        <v>12.2789628946555</v>
      </c>
      <c r="T100" s="79"/>
      <c r="U100" s="79"/>
      <c r="W100" s="3" t="s">
        <v>605</v>
      </c>
    </row>
    <row r="101" spans="2:23" x14ac:dyDescent="0.3">
      <c r="J101" s="89"/>
      <c r="K101" s="89"/>
      <c r="L101" s="89"/>
      <c r="M101" s="89"/>
      <c r="N101" s="89"/>
      <c r="O101" s="89"/>
      <c r="P101" s="89"/>
      <c r="Q101" s="89"/>
      <c r="R101" s="89"/>
      <c r="S101" s="89"/>
      <c r="T101" s="89"/>
      <c r="U101" s="89"/>
    </row>
    <row r="102" spans="2:23" x14ac:dyDescent="0.3">
      <c r="B102" s="30" t="s">
        <v>606</v>
      </c>
      <c r="C102" s="30"/>
      <c r="D102" s="30"/>
      <c r="E102" s="30"/>
      <c r="F102" s="30"/>
      <c r="G102" s="30"/>
      <c r="H102" s="30"/>
      <c r="I102" s="30"/>
      <c r="J102" s="184"/>
      <c r="K102" s="184"/>
      <c r="L102" s="184"/>
      <c r="M102" s="184"/>
      <c r="N102" s="184"/>
      <c r="O102" s="184"/>
      <c r="P102" s="184"/>
      <c r="Q102" s="184"/>
      <c r="R102" s="184"/>
      <c r="S102" s="184"/>
      <c r="T102" s="184"/>
      <c r="U102" s="184"/>
      <c r="V102" s="30"/>
      <c r="W102" s="30"/>
    </row>
    <row r="103" spans="2:23" x14ac:dyDescent="0.3">
      <c r="B103" s="29"/>
      <c r="J103" s="89"/>
      <c r="K103" s="89"/>
      <c r="L103" s="89"/>
      <c r="M103" s="89"/>
      <c r="N103" s="89"/>
      <c r="O103" s="89"/>
      <c r="P103" s="89"/>
      <c r="Q103" s="89"/>
      <c r="R103" s="89"/>
      <c r="S103" s="89"/>
      <c r="T103" s="89"/>
      <c r="U103" s="89"/>
    </row>
    <row r="104" spans="2:23" x14ac:dyDescent="0.3">
      <c r="C104" s="31" t="str">
        <f ca="1">INDEX('Version control'!$H$34:$H$57,MATCH($A$1,'Version control'!$F$34:$F$57,0),1)&amp;"-J: Notional asset values by network level"</f>
        <v>Section 108-J: Notional asset values by network level</v>
      </c>
      <c r="D104" s="31"/>
      <c r="E104" s="31"/>
      <c r="F104" s="31"/>
      <c r="G104" s="31"/>
      <c r="H104" s="175"/>
      <c r="I104" s="175"/>
      <c r="J104" s="185"/>
      <c r="K104" s="185"/>
      <c r="L104" s="185"/>
      <c r="M104" s="185"/>
      <c r="N104" s="185"/>
      <c r="O104" s="185"/>
      <c r="P104" s="185"/>
      <c r="Q104" s="185"/>
      <c r="R104" s="185"/>
      <c r="S104" s="185"/>
      <c r="T104" s="185"/>
      <c r="U104" s="185"/>
      <c r="V104" s="31"/>
      <c r="W104" s="175"/>
    </row>
    <row r="105" spans="2:23" x14ac:dyDescent="0.3">
      <c r="B105" s="29"/>
      <c r="J105" s="89"/>
      <c r="K105" s="89"/>
      <c r="L105" s="89"/>
      <c r="M105" s="89"/>
      <c r="N105" s="89"/>
      <c r="O105" s="89"/>
      <c r="P105" s="89"/>
      <c r="Q105" s="89"/>
      <c r="R105" s="89"/>
      <c r="S105" s="89"/>
      <c r="T105" s="89"/>
      <c r="U105" s="89"/>
    </row>
    <row r="106" spans="2:23" x14ac:dyDescent="0.3">
      <c r="B106" s="29"/>
      <c r="D106" s="29" t="s">
        <v>607</v>
      </c>
      <c r="J106" s="89"/>
      <c r="K106" s="89"/>
      <c r="L106" s="89"/>
      <c r="M106" s="89"/>
      <c r="N106" s="89"/>
      <c r="O106" s="89"/>
      <c r="P106" s="89"/>
      <c r="Q106" s="89"/>
      <c r="R106" s="89"/>
      <c r="S106" s="89"/>
      <c r="T106" s="89"/>
      <c r="U106" s="89"/>
    </row>
    <row r="107" spans="2:23" x14ac:dyDescent="0.3">
      <c r="B107" s="29"/>
      <c r="D107" s="29"/>
      <c r="J107" s="89"/>
      <c r="K107" s="89"/>
      <c r="L107" s="89"/>
      <c r="M107" s="89"/>
      <c r="N107" s="89"/>
      <c r="O107" s="89"/>
      <c r="P107" s="89"/>
      <c r="Q107" s="89"/>
      <c r="R107" s="89"/>
      <c r="S107" s="89"/>
      <c r="T107" s="89"/>
      <c r="U107" s="89"/>
    </row>
    <row r="108" spans="2:23" x14ac:dyDescent="0.3">
      <c r="B108" s="29"/>
      <c r="E108" s="28" t="s">
        <v>594</v>
      </c>
      <c r="F108" s="28"/>
      <c r="G108" s="28" t="s">
        <v>277</v>
      </c>
      <c r="J108" s="79"/>
      <c r="K108" s="121">
        <f t="shared" ref="K108:U108" si="10">K76</f>
        <v>0</v>
      </c>
      <c r="L108" s="121">
        <f t="shared" si="10"/>
        <v>445711197.27068639</v>
      </c>
      <c r="M108" s="121">
        <f t="shared" si="10"/>
        <v>99417322.396165192</v>
      </c>
      <c r="N108" s="121">
        <f t="shared" si="10"/>
        <v>108384503.6923511</v>
      </c>
      <c r="O108" s="121">
        <f t="shared" si="10"/>
        <v>275984631.36507398</v>
      </c>
      <c r="P108" s="121">
        <f t="shared" si="10"/>
        <v>300144402.58664125</v>
      </c>
      <c r="Q108" s="121">
        <f t="shared" si="10"/>
        <v>1649150691.3619084</v>
      </c>
      <c r="R108" s="121">
        <f t="shared" si="10"/>
        <v>573494652.48398185</v>
      </c>
      <c r="S108" s="121">
        <f t="shared" si="10"/>
        <v>1040511142.3197553</v>
      </c>
      <c r="T108" s="121">
        <f t="shared" si="10"/>
        <v>809171051.03557897</v>
      </c>
      <c r="U108" s="121">
        <f t="shared" si="10"/>
        <v>44961399.10068664</v>
      </c>
    </row>
    <row r="109" spans="2:23" x14ac:dyDescent="0.3">
      <c r="B109" s="29"/>
    </row>
    <row r="110" spans="2:23" x14ac:dyDescent="0.3">
      <c r="C110" s="31" t="str">
        <f ca="1">INDEX('Version control'!$H$34:$H$57,MATCH($A$1,'Version control'!$F$34:$F$57,0),1)&amp;"-K: Unit costs"</f>
        <v>Section 108-K: Unit costs</v>
      </c>
      <c r="D110" s="31"/>
      <c r="E110" s="31"/>
      <c r="F110" s="31"/>
      <c r="G110" s="31"/>
      <c r="H110" s="175"/>
      <c r="I110" s="175"/>
      <c r="J110" s="175"/>
      <c r="K110" s="175"/>
      <c r="L110" s="175"/>
      <c r="M110" s="175"/>
      <c r="N110" s="175"/>
      <c r="O110" s="175"/>
      <c r="P110" s="175"/>
      <c r="Q110" s="175"/>
      <c r="R110" s="175"/>
      <c r="S110" s="175"/>
      <c r="T110" s="175"/>
      <c r="U110" s="175"/>
      <c r="V110" s="31"/>
      <c r="W110" s="175"/>
    </row>
    <row r="111" spans="2:23" x14ac:dyDescent="0.3">
      <c r="B111" s="29"/>
    </row>
    <row r="112" spans="2:23" x14ac:dyDescent="0.3">
      <c r="B112" s="29"/>
      <c r="D112" s="29" t="s">
        <v>608</v>
      </c>
    </row>
    <row r="113" spans="2:24" x14ac:dyDescent="0.3">
      <c r="B113" s="29"/>
      <c r="D113" s="29"/>
    </row>
    <row r="114" spans="2:24" x14ac:dyDescent="0.3">
      <c r="E114" t="s">
        <v>584</v>
      </c>
      <c r="F114" s="177"/>
      <c r="G114" s="28" t="s">
        <v>604</v>
      </c>
      <c r="H114" s="3"/>
      <c r="I114" s="3"/>
      <c r="J114" s="79"/>
      <c r="K114" s="79"/>
      <c r="L114" s="121">
        <f t="shared" ref="L114:S114" si="11">L56</f>
        <v>4.87081530577567</v>
      </c>
      <c r="M114" s="121">
        <f t="shared" si="11"/>
        <v>3.7658169687576213</v>
      </c>
      <c r="N114" s="121">
        <f t="shared" si="11"/>
        <v>3.8959867684645539</v>
      </c>
      <c r="O114" s="121">
        <f t="shared" si="11"/>
        <v>7.5541243032287451</v>
      </c>
      <c r="P114" s="121">
        <f t="shared" si="11"/>
        <v>3.5800756300365526</v>
      </c>
      <c r="Q114" s="121">
        <f t="shared" si="11"/>
        <v>15.07805950472482</v>
      </c>
      <c r="R114" s="121">
        <f t="shared" si="11"/>
        <v>7.4579818332653716</v>
      </c>
      <c r="S114" s="121">
        <f t="shared" si="11"/>
        <v>17.488608062201688</v>
      </c>
      <c r="T114" s="79"/>
      <c r="U114" s="79"/>
    </row>
    <row r="115" spans="2:24" x14ac:dyDescent="0.3">
      <c r="B115" s="29"/>
      <c r="E115" t="s">
        <v>603</v>
      </c>
      <c r="F115" s="28"/>
      <c r="G115" s="28" t="s">
        <v>604</v>
      </c>
      <c r="J115" s="121">
        <f t="shared" ref="J115:S115" si="12">J100</f>
        <v>3.5047803468573027</v>
      </c>
      <c r="K115" s="121">
        <f t="shared" si="12"/>
        <v>0</v>
      </c>
      <c r="L115" s="121">
        <f t="shared" si="12"/>
        <v>3.4198582410686194</v>
      </c>
      <c r="M115" s="121">
        <f t="shared" si="12"/>
        <v>2.6440255658412628</v>
      </c>
      <c r="N115" s="121">
        <f t="shared" si="12"/>
        <v>2.7354193540101845</v>
      </c>
      <c r="O115" s="121">
        <f t="shared" si="12"/>
        <v>5.3038418890201653</v>
      </c>
      <c r="P115" s="121">
        <f t="shared" si="12"/>
        <v>2.5136143291065927</v>
      </c>
      <c r="Q115" s="121">
        <f t="shared" si="12"/>
        <v>10.58648764518173</v>
      </c>
      <c r="R115" s="121">
        <f t="shared" si="12"/>
        <v>5.2363390999427279</v>
      </c>
      <c r="S115" s="121">
        <f t="shared" si="12"/>
        <v>12.2789628946555</v>
      </c>
      <c r="T115" s="79"/>
      <c r="U115" s="79"/>
    </row>
    <row r="116" spans="2:24" x14ac:dyDescent="0.3">
      <c r="B116" s="29"/>
    </row>
    <row r="117" spans="2:24" x14ac:dyDescent="0.3">
      <c r="C117" s="31" t="str">
        <f ca="1">INDEX('Version control'!$H$34:$H$57,MATCH($A$1,'Version control'!$F$34:$F$57,0),1)&amp;"-L: Values used for allocating costs to service models"</f>
        <v>Section 108-L: Values used for allocating costs to service models</v>
      </c>
      <c r="D117" s="31"/>
      <c r="E117" s="31"/>
      <c r="F117" s="31"/>
      <c r="G117" s="31"/>
      <c r="H117" s="175"/>
      <c r="I117" s="175"/>
      <c r="J117" s="175"/>
      <c r="K117" s="175"/>
      <c r="L117" s="175"/>
      <c r="M117" s="175"/>
      <c r="N117" s="175"/>
      <c r="O117" s="175"/>
      <c r="P117" s="175"/>
      <c r="Q117" s="175"/>
      <c r="R117" s="175"/>
      <c r="S117" s="175"/>
      <c r="T117" s="175"/>
      <c r="U117" s="175"/>
      <c r="V117" s="31"/>
      <c r="W117" s="175"/>
    </row>
    <row r="118" spans="2:24" x14ac:dyDescent="0.3">
      <c r="B118" s="29"/>
    </row>
    <row r="119" spans="2:24" x14ac:dyDescent="0.3">
      <c r="B119" s="29"/>
      <c r="D119" s="29" t="s">
        <v>609</v>
      </c>
    </row>
    <row r="120" spans="2:24" x14ac:dyDescent="0.3">
      <c r="B120" s="29"/>
      <c r="D120" s="29"/>
    </row>
    <row r="121" spans="2:24" x14ac:dyDescent="0.3">
      <c r="B121" s="29"/>
      <c r="C121" s="32"/>
      <c r="E121" t="s">
        <v>568</v>
      </c>
      <c r="F121" s="28"/>
      <c r="G121" s="28" t="s">
        <v>167</v>
      </c>
      <c r="H121" s="186">
        <f>H25</f>
        <v>4.5099271365789909E-2</v>
      </c>
    </row>
    <row r="122" spans="2:24" x14ac:dyDescent="0.3">
      <c r="B122" s="29"/>
      <c r="C122" s="32"/>
      <c r="E122" t="s">
        <v>598</v>
      </c>
      <c r="F122" s="28"/>
      <c r="G122" s="28" t="s">
        <v>357</v>
      </c>
      <c r="H122" s="121">
        <f>H90</f>
        <v>169309195.73900744</v>
      </c>
    </row>
    <row r="123" spans="2:24" x14ac:dyDescent="0.3">
      <c r="E123" t="s">
        <v>594</v>
      </c>
      <c r="F123" s="28"/>
      <c r="G123" s="28" t="s">
        <v>277</v>
      </c>
      <c r="H123" s="121">
        <f>SUM(K76:U76)</f>
        <v>5346930993.6128292</v>
      </c>
      <c r="X123" s="63"/>
    </row>
    <row r="124" spans="2:24" x14ac:dyDescent="0.3">
      <c r="B124" s="29"/>
      <c r="C124" s="32"/>
    </row>
    <row r="125" spans="2:24" x14ac:dyDescent="0.3">
      <c r="B125" s="30" t="s">
        <v>231</v>
      </c>
      <c r="C125" s="30"/>
      <c r="D125" s="30"/>
      <c r="E125" s="30"/>
      <c r="F125" s="30"/>
      <c r="G125" s="30"/>
      <c r="H125" s="30"/>
      <c r="I125" s="30"/>
      <c r="J125" s="30"/>
      <c r="K125" s="30"/>
      <c r="L125" s="30"/>
      <c r="M125" s="30"/>
      <c r="N125" s="30"/>
      <c r="O125" s="30"/>
      <c r="P125" s="30"/>
      <c r="Q125" s="30"/>
      <c r="R125" s="30"/>
      <c r="S125" s="30"/>
      <c r="T125" s="30"/>
      <c r="U125" s="30"/>
      <c r="V125" s="30"/>
      <c r="W125" s="30"/>
    </row>
    <row r="127" spans="2:24" x14ac:dyDescent="0.3">
      <c r="E127" t="s">
        <v>232</v>
      </c>
      <c r="G127" s="6" t="s">
        <v>55</v>
      </c>
      <c r="H127" s="187">
        <f t="array" ref="H127">SUM(IF(ISERROR(H23:U123), 1))</f>
        <v>0</v>
      </c>
    </row>
    <row r="129" spans="2:23" x14ac:dyDescent="0.3">
      <c r="E129" t="s">
        <v>610</v>
      </c>
      <c r="G129" s="6" t="s">
        <v>55</v>
      </c>
      <c r="H129" s="187">
        <f>SUM(J129:U129)</f>
        <v>0</v>
      </c>
      <c r="J129" s="188"/>
      <c r="K129" s="188"/>
      <c r="L129" s="188"/>
      <c r="M129" s="188"/>
      <c r="N129" s="187">
        <f t="shared" ref="N129:U129" si="13">IFERROR(IF(OR(AND(N54&gt;0, N48=0), AND(N48&gt;0, N54=0)), 1, 0),1)</f>
        <v>0</v>
      </c>
      <c r="O129" s="187">
        <f t="shared" si="13"/>
        <v>0</v>
      </c>
      <c r="P129" s="187">
        <f t="shared" si="13"/>
        <v>0</v>
      </c>
      <c r="Q129" s="187">
        <f t="shared" si="13"/>
        <v>0</v>
      </c>
      <c r="R129" s="187">
        <f t="shared" si="13"/>
        <v>0</v>
      </c>
      <c r="S129" s="187">
        <f t="shared" si="13"/>
        <v>0</v>
      </c>
      <c r="T129" s="187">
        <f t="shared" si="13"/>
        <v>0</v>
      </c>
      <c r="U129" s="187">
        <f t="shared" si="13"/>
        <v>0</v>
      </c>
    </row>
    <row r="131" spans="2:23" x14ac:dyDescent="0.3">
      <c r="E131" t="s">
        <v>239</v>
      </c>
      <c r="G131" s="6" t="s">
        <v>55</v>
      </c>
      <c r="H131" s="103">
        <f>H127 + H129</f>
        <v>0</v>
      </c>
    </row>
    <row r="133" spans="2:23" x14ac:dyDescent="0.3">
      <c r="B133" s="30" t="s">
        <v>106</v>
      </c>
      <c r="C133" s="30"/>
      <c r="D133" s="30"/>
      <c r="E133" s="30"/>
      <c r="F133" s="30"/>
      <c r="G133" s="30"/>
      <c r="H133" s="30"/>
      <c r="I133" s="30"/>
      <c r="J133" s="30"/>
      <c r="K133" s="30"/>
      <c r="L133" s="30"/>
      <c r="M133" s="30"/>
      <c r="N133" s="30"/>
      <c r="O133" s="30"/>
      <c r="P133" s="30"/>
      <c r="Q133" s="30"/>
      <c r="R133" s="30"/>
      <c r="S133" s="30"/>
      <c r="T133" s="30"/>
      <c r="U133" s="30"/>
      <c r="V133" s="30"/>
      <c r="W133" s="30"/>
    </row>
  </sheetData>
  <sheetProtection sheet="1" objects="1" formatCells="0" formatColumns="0" formatRows="0" sort="0" autoFilter="0"/>
  <conditionalFormatting sqref="H127">
    <cfRule type="cellIs" dxfId="125" priority="6" operator="greaterThan">
      <formula>0</formula>
    </cfRule>
  </conditionalFormatting>
  <conditionalFormatting sqref="H129">
    <cfRule type="cellIs" dxfId="124" priority="5" operator="greaterThan">
      <formula>0</formula>
    </cfRule>
  </conditionalFormatting>
  <conditionalFormatting sqref="J129:U129">
    <cfRule type="cellIs" dxfId="123" priority="4" operator="greaterThan">
      <formula>0</formula>
    </cfRule>
  </conditionalFormatting>
  <conditionalFormatting sqref="H132">
    <cfRule type="cellIs" dxfId="122" priority="3" operator="greaterThan">
      <formula>0</formula>
    </cfRule>
  </conditionalFormatting>
  <conditionalFormatting sqref="A4:XFD4">
    <cfRule type="expression" dxfId="121" priority="2">
      <formula>LEFT($A$4,1) &lt;&gt; "0"</formula>
    </cfRule>
  </conditionalFormatting>
  <conditionalFormatting sqref="H131">
    <cfRule type="cellIs" dxfId="12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84" width="24.5546875" hidden="1" customWidth="1"/>
    <col min="285" max="16384" width="8.77734375" hidden="1"/>
  </cols>
  <sheetData>
    <row r="1" spans="1:27" s="1" customFormat="1" x14ac:dyDescent="0.3">
      <c r="A1" s="1" t="str">
        <f ca="1">MID(CELL("filename",A1),FIND("]",CELL("filename",A1))+1,255)</f>
        <v>Initial unit rates</v>
      </c>
    </row>
    <row r="2" spans="1:27" s="1" customFormat="1" x14ac:dyDescent="0.3">
      <c r="A2" s="1" t="str">
        <f>Cover!D21&amp;" - "&amp;Cover!D23</f>
        <v>WPD Mid West - April 22 Pricing</v>
      </c>
    </row>
    <row r="3" spans="1:27" s="5" customFormat="1" x14ac:dyDescent="0.3">
      <c r="A3" s="5" t="str">
        <f>Cover!D2&amp;" - "&amp;Cover!D8&amp;" v"&amp;Cover!D10&amp;" - "&amp;Cover!D19</f>
        <v>CDCM charging model - Release for charge setting v7 - 2022/23</v>
      </c>
    </row>
    <row r="4" spans="1:27" x14ac:dyDescent="0.3">
      <c r="A4" s="12" t="str">
        <f>H241 &amp; IF(H241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6" spans="1:27" x14ac:dyDescent="0.3">
      <c r="H6" s="3"/>
      <c r="I6" s="3"/>
      <c r="J6" s="3"/>
      <c r="K6" s="3"/>
      <c r="L6" s="3"/>
      <c r="M6" s="3"/>
      <c r="N6" s="3"/>
      <c r="P6" s="3"/>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611</v>
      </c>
      <c r="E9" s="28"/>
    </row>
    <row r="11" spans="1:27" x14ac:dyDescent="0.3">
      <c r="B11" s="30" t="s">
        <v>612</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row>
    <row r="13" spans="1:27" x14ac:dyDescent="0.3">
      <c r="C13" s="31" t="str">
        <f ca="1">INDEX('Version control'!$H$34:$H$57,MATCH($A$1,'Version control'!$F$34:$F$57,0),1)&amp;"-A: Inputs for yardstick and unit rate calculations"</f>
        <v>Section 109-A: Inputs for yardstick and unit rate calculations</v>
      </c>
      <c r="D13" s="31"/>
      <c r="E13" s="31"/>
      <c r="F13" s="31"/>
      <c r="G13" s="31"/>
      <c r="H13" s="31"/>
      <c r="I13" s="31"/>
      <c r="J13" s="189"/>
      <c r="K13" s="189"/>
      <c r="L13" s="189"/>
      <c r="M13" s="189"/>
      <c r="N13" s="189"/>
      <c r="O13" s="189"/>
      <c r="P13" s="189"/>
      <c r="Q13" s="189"/>
      <c r="R13" s="189"/>
      <c r="S13" s="189"/>
      <c r="T13" s="189"/>
      <c r="U13" s="189"/>
      <c r="V13" s="189"/>
      <c r="W13" s="189"/>
      <c r="X13" s="189"/>
      <c r="Y13" s="189"/>
      <c r="Z13" s="31"/>
      <c r="AA13" s="31"/>
    </row>
    <row r="14" spans="1:27" x14ac:dyDescent="0.3">
      <c r="C14" s="32"/>
      <c r="D14" s="32"/>
      <c r="E14" s="32"/>
      <c r="J14" s="63"/>
      <c r="L14" s="63"/>
    </row>
    <row r="15" spans="1:27" x14ac:dyDescent="0.3">
      <c r="D15" s="29" t="s">
        <v>613</v>
      </c>
    </row>
    <row r="17" spans="5:27" x14ac:dyDescent="0.3">
      <c r="E17" s="32" t="s">
        <v>614</v>
      </c>
      <c r="G17" s="28"/>
      <c r="H17" s="3"/>
      <c r="I17" s="3" t="s">
        <v>154</v>
      </c>
      <c r="AA17" t="s">
        <v>615</v>
      </c>
    </row>
    <row r="18" spans="5:27" x14ac:dyDescent="0.3">
      <c r="F18" s="190" t="s">
        <v>189</v>
      </c>
      <c r="G18" s="64" t="s">
        <v>585</v>
      </c>
      <c r="H18" s="83"/>
    </row>
    <row r="19" spans="5:27" x14ac:dyDescent="0.3">
      <c r="F19" s="191" t="s">
        <v>191</v>
      </c>
      <c r="G19" s="28" t="s">
        <v>585</v>
      </c>
      <c r="H19" s="79"/>
    </row>
    <row r="20" spans="5:27" x14ac:dyDescent="0.3">
      <c r="F20" s="191" t="s">
        <v>192</v>
      </c>
      <c r="G20" s="28" t="s">
        <v>585</v>
      </c>
      <c r="H20" s="194">
        <f t="array" ref="H20:H27">TRANSPOSE('Unit costs'!L114:S114)</f>
        <v>4.87081530577567</v>
      </c>
    </row>
    <row r="21" spans="5:27" x14ac:dyDescent="0.3">
      <c r="F21" s="191" t="s">
        <v>193</v>
      </c>
      <c r="G21" s="28" t="s">
        <v>585</v>
      </c>
      <c r="H21" s="194">
        <v>3.7658169687576213</v>
      </c>
    </row>
    <row r="22" spans="5:27" x14ac:dyDescent="0.3">
      <c r="F22" s="191" t="s">
        <v>194</v>
      </c>
      <c r="G22" s="28" t="s">
        <v>585</v>
      </c>
      <c r="H22" s="194">
        <v>3.8959867684645539</v>
      </c>
    </row>
    <row r="23" spans="5:27" x14ac:dyDescent="0.3">
      <c r="F23" s="191" t="s">
        <v>195</v>
      </c>
      <c r="G23" s="28" t="s">
        <v>585</v>
      </c>
      <c r="H23" s="194">
        <v>7.5541243032287451</v>
      </c>
    </row>
    <row r="24" spans="5:27" x14ac:dyDescent="0.3">
      <c r="F24" s="191" t="s">
        <v>196</v>
      </c>
      <c r="G24" s="28" t="s">
        <v>585</v>
      </c>
      <c r="H24" s="194">
        <v>3.5800756300365526</v>
      </c>
    </row>
    <row r="25" spans="5:27" x14ac:dyDescent="0.3">
      <c r="F25" s="191" t="s">
        <v>197</v>
      </c>
      <c r="G25" s="28" t="s">
        <v>585</v>
      </c>
      <c r="H25" s="194">
        <v>15.07805950472482</v>
      </c>
    </row>
    <row r="26" spans="5:27" x14ac:dyDescent="0.3">
      <c r="F26" s="191" t="s">
        <v>198</v>
      </c>
      <c r="G26" s="28" t="s">
        <v>585</v>
      </c>
      <c r="H26" s="194">
        <v>7.4579818332653716</v>
      </c>
    </row>
    <row r="27" spans="5:27" x14ac:dyDescent="0.3">
      <c r="F27" s="192" t="s">
        <v>199</v>
      </c>
      <c r="G27" s="67" t="s">
        <v>585</v>
      </c>
      <c r="H27" s="195">
        <v>17.488608062201688</v>
      </c>
    </row>
    <row r="28" spans="5:27" x14ac:dyDescent="0.3">
      <c r="F28" s="191"/>
      <c r="G28" s="28"/>
      <c r="H28" s="120"/>
    </row>
    <row r="29" spans="5:27" x14ac:dyDescent="0.3">
      <c r="E29" s="32" t="s">
        <v>616</v>
      </c>
      <c r="G29" s="28"/>
      <c r="H29" s="89"/>
    </row>
    <row r="30" spans="5:27" x14ac:dyDescent="0.3">
      <c r="F30" s="190" t="s">
        <v>189</v>
      </c>
      <c r="G30" s="64" t="s">
        <v>604</v>
      </c>
      <c r="H30" s="193">
        <f t="array" ref="H30:H39">TRANSPOSE('Unit costs'!J115:S115)</f>
        <v>3.5047803468573027</v>
      </c>
    </row>
    <row r="31" spans="5:27" x14ac:dyDescent="0.3">
      <c r="F31" s="191" t="s">
        <v>191</v>
      </c>
      <c r="G31" s="28" t="s">
        <v>604</v>
      </c>
      <c r="H31" s="194">
        <v>0</v>
      </c>
    </row>
    <row r="32" spans="5:27" x14ac:dyDescent="0.3">
      <c r="F32" s="191" t="s">
        <v>192</v>
      </c>
      <c r="G32" s="28" t="s">
        <v>604</v>
      </c>
      <c r="H32" s="194">
        <v>3.4198582410686194</v>
      </c>
    </row>
    <row r="33" spans="5:16" x14ac:dyDescent="0.3">
      <c r="F33" s="191" t="s">
        <v>193</v>
      </c>
      <c r="G33" s="28" t="s">
        <v>604</v>
      </c>
      <c r="H33" s="194">
        <v>2.6440255658412628</v>
      </c>
      <c r="J33" s="63"/>
      <c r="K33" s="63"/>
      <c r="L33" s="63"/>
      <c r="M33" s="63"/>
      <c r="N33" s="63"/>
    </row>
    <row r="34" spans="5:16" x14ac:dyDescent="0.3">
      <c r="F34" s="191" t="s">
        <v>194</v>
      </c>
      <c r="G34" s="28" t="s">
        <v>604</v>
      </c>
      <c r="H34" s="194">
        <v>2.7354193540101845</v>
      </c>
      <c r="J34" s="63"/>
      <c r="K34" s="63"/>
      <c r="L34" s="63"/>
      <c r="M34" s="63"/>
      <c r="N34" s="63"/>
    </row>
    <row r="35" spans="5:16" x14ac:dyDescent="0.3">
      <c r="F35" s="191" t="s">
        <v>195</v>
      </c>
      <c r="G35" s="28" t="s">
        <v>604</v>
      </c>
      <c r="H35" s="194">
        <v>5.3038418890201653</v>
      </c>
      <c r="J35" s="63"/>
      <c r="K35" s="63"/>
      <c r="L35" s="63"/>
      <c r="M35" s="63"/>
      <c r="N35" s="63"/>
    </row>
    <row r="36" spans="5:16" x14ac:dyDescent="0.3">
      <c r="F36" s="191" t="s">
        <v>196</v>
      </c>
      <c r="G36" s="28" t="s">
        <v>604</v>
      </c>
      <c r="H36" s="194">
        <v>2.5136143291065927</v>
      </c>
      <c r="J36" s="63"/>
      <c r="K36" s="63"/>
      <c r="L36" s="63"/>
      <c r="M36" s="63"/>
      <c r="N36" s="63"/>
    </row>
    <row r="37" spans="5:16" x14ac:dyDescent="0.3">
      <c r="F37" s="191" t="s">
        <v>197</v>
      </c>
      <c r="G37" s="28" t="s">
        <v>604</v>
      </c>
      <c r="H37" s="194">
        <v>10.58648764518173</v>
      </c>
      <c r="J37" s="63"/>
      <c r="K37" s="63"/>
      <c r="L37" s="63"/>
      <c r="M37" s="63"/>
      <c r="N37" s="63"/>
      <c r="O37" s="63"/>
    </row>
    <row r="38" spans="5:16" x14ac:dyDescent="0.3">
      <c r="F38" s="191" t="s">
        <v>198</v>
      </c>
      <c r="G38" s="28" t="s">
        <v>604</v>
      </c>
      <c r="H38" s="194">
        <v>5.2363390999427279</v>
      </c>
      <c r="J38" s="63"/>
      <c r="K38" s="63"/>
      <c r="L38" s="63"/>
      <c r="M38" s="63"/>
      <c r="N38" s="63"/>
      <c r="O38" s="63"/>
    </row>
    <row r="39" spans="5:16" x14ac:dyDescent="0.3">
      <c r="F39" s="192" t="s">
        <v>199</v>
      </c>
      <c r="G39" s="67" t="s">
        <v>604</v>
      </c>
      <c r="H39" s="195">
        <v>12.2789628946555</v>
      </c>
      <c r="J39" s="63"/>
      <c r="K39" s="63"/>
      <c r="L39" s="63"/>
      <c r="M39" s="63"/>
      <c r="N39" s="63"/>
      <c r="O39" s="63"/>
    </row>
    <row r="40" spans="5:16" x14ac:dyDescent="0.3">
      <c r="G40" s="28"/>
      <c r="H40" s="89"/>
      <c r="J40" s="63"/>
      <c r="K40" s="63"/>
      <c r="L40" s="63"/>
      <c r="M40" s="63"/>
      <c r="N40" s="63"/>
      <c r="O40" s="63"/>
    </row>
    <row r="41" spans="5:16" x14ac:dyDescent="0.3">
      <c r="E41" s="32" t="s">
        <v>617</v>
      </c>
      <c r="F41" s="32"/>
      <c r="H41" s="127"/>
      <c r="I41" s="3"/>
      <c r="J41" s="63"/>
      <c r="K41" s="63"/>
      <c r="L41" s="63"/>
      <c r="M41" s="63"/>
      <c r="N41" s="63"/>
      <c r="O41" s="63"/>
      <c r="P41" s="3"/>
    </row>
    <row r="42" spans="5:16" x14ac:dyDescent="0.3">
      <c r="E42" s="29" t="s">
        <v>618</v>
      </c>
      <c r="F42" s="29"/>
      <c r="H42" s="127"/>
      <c r="I42" s="3"/>
      <c r="J42" s="63"/>
      <c r="K42" s="63"/>
      <c r="L42" s="63"/>
      <c r="M42" s="63"/>
      <c r="N42" s="63"/>
      <c r="O42" s="63"/>
      <c r="P42" s="3"/>
    </row>
    <row r="43" spans="5:16" x14ac:dyDescent="0.3">
      <c r="F43" s="23" t="s">
        <v>189</v>
      </c>
      <c r="G43" s="23" t="s">
        <v>283</v>
      </c>
      <c r="H43" s="124">
        <f t="array" ref="H43:H52">TRANSPOSE('Load &amp; loss characteristics'!J29:S29)</f>
        <v>1</v>
      </c>
      <c r="I43" s="3"/>
      <c r="J43" s="63"/>
      <c r="K43" s="63"/>
      <c r="L43" s="63"/>
      <c r="M43" s="63"/>
      <c r="N43" s="63"/>
      <c r="O43" s="63"/>
    </row>
    <row r="44" spans="5:16" x14ac:dyDescent="0.3">
      <c r="F44" t="s">
        <v>191</v>
      </c>
      <c r="G44" t="s">
        <v>283</v>
      </c>
      <c r="H44" s="120">
        <v>1</v>
      </c>
      <c r="I44" s="3"/>
      <c r="J44" s="63"/>
      <c r="K44" s="63"/>
      <c r="L44" s="63"/>
      <c r="M44" s="63"/>
      <c r="N44" s="63"/>
      <c r="O44" s="63"/>
    </row>
    <row r="45" spans="5:16" x14ac:dyDescent="0.3">
      <c r="F45" t="s">
        <v>192</v>
      </c>
      <c r="G45" t="s">
        <v>283</v>
      </c>
      <c r="H45" s="120">
        <v>1.0049999999999999</v>
      </c>
      <c r="I45" s="3"/>
      <c r="J45" s="63"/>
      <c r="K45" s="63"/>
      <c r="L45" s="63"/>
      <c r="M45" s="63"/>
      <c r="N45" s="63"/>
      <c r="O45" s="63"/>
    </row>
    <row r="46" spans="5:16" x14ac:dyDescent="0.3">
      <c r="F46" t="s">
        <v>193</v>
      </c>
      <c r="G46" t="s">
        <v>283</v>
      </c>
      <c r="H46" s="120">
        <v>1.0089999999999999</v>
      </c>
      <c r="J46" s="63"/>
      <c r="K46" s="63"/>
      <c r="L46" s="63"/>
      <c r="M46" s="63"/>
      <c r="N46" s="63"/>
      <c r="O46" s="63"/>
    </row>
    <row r="47" spans="5:16" x14ac:dyDescent="0.3">
      <c r="F47" t="s">
        <v>194</v>
      </c>
      <c r="G47" t="s">
        <v>283</v>
      </c>
      <c r="H47" s="120">
        <v>1.0269999999999999</v>
      </c>
      <c r="I47" s="3"/>
      <c r="J47" s="63"/>
      <c r="K47" s="63"/>
      <c r="L47" s="63"/>
      <c r="M47" s="63"/>
      <c r="N47" s="63"/>
      <c r="O47" s="63"/>
    </row>
    <row r="48" spans="5:16" x14ac:dyDescent="0.3">
      <c r="F48" t="s">
        <v>195</v>
      </c>
      <c r="G48" t="s">
        <v>283</v>
      </c>
      <c r="H48" s="120">
        <v>1.0329999999999999</v>
      </c>
      <c r="I48" s="3"/>
      <c r="J48" s="63"/>
      <c r="K48" s="63"/>
      <c r="L48" s="63"/>
      <c r="M48" s="63"/>
      <c r="N48" s="63"/>
      <c r="O48" s="63"/>
    </row>
    <row r="49" spans="4:25" x14ac:dyDescent="0.3">
      <c r="F49" t="s">
        <v>196</v>
      </c>
      <c r="G49" t="s">
        <v>283</v>
      </c>
      <c r="H49" s="120">
        <v>1.0329999999999999</v>
      </c>
      <c r="I49" s="3"/>
      <c r="J49" s="63"/>
      <c r="K49" s="63"/>
      <c r="L49" s="63"/>
      <c r="M49" s="63"/>
      <c r="N49" s="63"/>
      <c r="O49" s="63"/>
    </row>
    <row r="50" spans="4:25" x14ac:dyDescent="0.3">
      <c r="F50" t="s">
        <v>197</v>
      </c>
      <c r="G50" t="s">
        <v>283</v>
      </c>
      <c r="H50" s="120">
        <v>1.0509999999999999</v>
      </c>
      <c r="J50" s="63"/>
      <c r="K50" s="63"/>
      <c r="L50" s="63"/>
      <c r="M50" s="63"/>
      <c r="N50" s="63"/>
      <c r="O50" s="63"/>
    </row>
    <row r="51" spans="4:25" x14ac:dyDescent="0.3">
      <c r="F51" t="s">
        <v>198</v>
      </c>
      <c r="G51" t="s">
        <v>283</v>
      </c>
      <c r="H51" s="120">
        <v>1.0669999999999999</v>
      </c>
      <c r="I51" s="3"/>
      <c r="J51" s="63"/>
      <c r="K51" s="63"/>
      <c r="L51" s="63"/>
      <c r="M51" s="63"/>
      <c r="N51" s="63"/>
      <c r="O51" s="63"/>
    </row>
    <row r="52" spans="4:25" x14ac:dyDescent="0.3">
      <c r="F52" s="37" t="s">
        <v>199</v>
      </c>
      <c r="G52" s="37" t="s">
        <v>283</v>
      </c>
      <c r="H52" s="125">
        <v>1.0900000000000001</v>
      </c>
      <c r="I52" s="3"/>
      <c r="J52" s="63"/>
      <c r="K52" s="63"/>
      <c r="L52" s="63"/>
      <c r="M52" s="63"/>
      <c r="N52" s="63"/>
      <c r="O52" s="63"/>
    </row>
    <row r="53" spans="4:25" x14ac:dyDescent="0.3">
      <c r="G53" s="28"/>
      <c r="H53" s="3"/>
      <c r="I53" s="3"/>
      <c r="J53" s="63"/>
      <c r="K53" s="63"/>
      <c r="L53" s="63"/>
      <c r="M53" s="63"/>
      <c r="N53" s="63"/>
      <c r="O53" s="63"/>
    </row>
    <row r="54" spans="4:25" x14ac:dyDescent="0.3">
      <c r="E54" s="32" t="s">
        <v>408</v>
      </c>
      <c r="F54" s="32"/>
      <c r="J54" s="63"/>
      <c r="L54" s="63"/>
    </row>
    <row r="55" spans="4:25" x14ac:dyDescent="0.3">
      <c r="D55" s="32"/>
      <c r="E55" s="32"/>
      <c r="F55" s="190" t="s">
        <v>189</v>
      </c>
      <c r="G55" s="23" t="s">
        <v>283</v>
      </c>
      <c r="H55" s="23"/>
      <c r="I55" s="23"/>
      <c r="J55" s="193">
        <f t="array" ref="J55:Y64">TRANSPOSE('Load &amp; loss characteristics'!J145:S160)</f>
        <v>1.0900000000000001</v>
      </c>
      <c r="K55" s="193">
        <v>1.0900000000000001</v>
      </c>
      <c r="L55" s="193">
        <v>1.0900000000000001</v>
      </c>
      <c r="M55" s="193">
        <v>1.0900000000000001</v>
      </c>
      <c r="N55" s="193">
        <v>1.0900000000000001</v>
      </c>
      <c r="O55" s="193">
        <v>1.0669999999999999</v>
      </c>
      <c r="P55" s="193">
        <v>1.0509999999999999</v>
      </c>
      <c r="Q55" s="193">
        <v>1.0900000000000001</v>
      </c>
      <c r="R55" s="193">
        <v>-1.0900000000000001</v>
      </c>
      <c r="S55" s="193">
        <v>-1.0669999999999999</v>
      </c>
      <c r="T55" s="193">
        <v>-1.0900000000000001</v>
      </c>
      <c r="U55" s="193">
        <v>-1.0900000000000001</v>
      </c>
      <c r="V55" s="193">
        <v>-1.0669999999999999</v>
      </c>
      <c r="W55" s="193">
        <v>-1.0669999999999999</v>
      </c>
      <c r="X55" s="193">
        <v>-1.0509999999999999</v>
      </c>
      <c r="Y55" s="193">
        <v>-1.0509999999999999</v>
      </c>
    </row>
    <row r="56" spans="4:25" x14ac:dyDescent="0.3">
      <c r="D56" s="32"/>
      <c r="E56" s="32"/>
      <c r="F56" s="191" t="s">
        <v>191</v>
      </c>
      <c r="G56" t="s">
        <v>283</v>
      </c>
      <c r="J56" s="194">
        <v>1.0900000000000001</v>
      </c>
      <c r="K56" s="194">
        <v>1.0900000000000001</v>
      </c>
      <c r="L56" s="194">
        <v>1.0900000000000001</v>
      </c>
      <c r="M56" s="194">
        <v>1.0900000000000001</v>
      </c>
      <c r="N56" s="194">
        <v>1.0900000000000001</v>
      </c>
      <c r="O56" s="194">
        <v>1.0669999999999999</v>
      </c>
      <c r="P56" s="194">
        <v>1.0509999999999999</v>
      </c>
      <c r="Q56" s="194">
        <v>1.0900000000000001</v>
      </c>
      <c r="R56" s="194">
        <v>-1.0900000000000001</v>
      </c>
      <c r="S56" s="194">
        <v>-1.0669999999999999</v>
      </c>
      <c r="T56" s="194">
        <v>-1.0900000000000001</v>
      </c>
      <c r="U56" s="194">
        <v>-1.0900000000000001</v>
      </c>
      <c r="V56" s="194">
        <v>-1.0669999999999999</v>
      </c>
      <c r="W56" s="194">
        <v>-1.0669999999999999</v>
      </c>
      <c r="X56" s="194">
        <v>-1.0509999999999999</v>
      </c>
      <c r="Y56" s="194">
        <v>-1.0509999999999999</v>
      </c>
    </row>
    <row r="57" spans="4:25" x14ac:dyDescent="0.3">
      <c r="D57" s="32"/>
      <c r="E57" s="32"/>
      <c r="F57" s="191" t="s">
        <v>192</v>
      </c>
      <c r="G57" t="s">
        <v>283</v>
      </c>
      <c r="J57" s="194">
        <v>1.0900000000000001</v>
      </c>
      <c r="K57" s="194">
        <v>1.0900000000000001</v>
      </c>
      <c r="L57" s="194">
        <v>1.0900000000000001</v>
      </c>
      <c r="M57" s="194">
        <v>1.0900000000000001</v>
      </c>
      <c r="N57" s="194">
        <v>1.0900000000000001</v>
      </c>
      <c r="O57" s="194">
        <v>1.0669999999999999</v>
      </c>
      <c r="P57" s="194">
        <v>1.0509999999999999</v>
      </c>
      <c r="Q57" s="194">
        <v>1.0900000000000001</v>
      </c>
      <c r="R57" s="194">
        <v>-1.0900000000000001</v>
      </c>
      <c r="S57" s="194">
        <v>-1.0669999999999999</v>
      </c>
      <c r="T57" s="194">
        <v>-1.0900000000000001</v>
      </c>
      <c r="U57" s="194">
        <v>-1.0900000000000001</v>
      </c>
      <c r="V57" s="194">
        <v>-1.0669999999999999</v>
      </c>
      <c r="W57" s="194">
        <v>-1.0669999999999999</v>
      </c>
      <c r="X57" s="194">
        <v>-1.0509999999999999</v>
      </c>
      <c r="Y57" s="194">
        <v>-1.0509999999999999</v>
      </c>
    </row>
    <row r="58" spans="4:25" x14ac:dyDescent="0.3">
      <c r="D58" s="32"/>
      <c r="E58" s="32"/>
      <c r="F58" s="191" t="s">
        <v>193</v>
      </c>
      <c r="G58" t="s">
        <v>283</v>
      </c>
      <c r="J58" s="194">
        <v>0.33510346420667525</v>
      </c>
      <c r="K58" s="194">
        <v>0.33510346420667525</v>
      </c>
      <c r="L58" s="194">
        <v>0.33510346420667525</v>
      </c>
      <c r="M58" s="194">
        <v>0.33510346420667525</v>
      </c>
      <c r="N58" s="194">
        <v>0.33510346420667525</v>
      </c>
      <c r="O58" s="194">
        <v>0.32803247367754351</v>
      </c>
      <c r="P58" s="194">
        <v>0.32311352374423452</v>
      </c>
      <c r="Q58" s="194">
        <v>0.33510346420667525</v>
      </c>
      <c r="R58" s="194">
        <v>-0.33510346420667525</v>
      </c>
      <c r="S58" s="194">
        <v>-0.32803247367754351</v>
      </c>
      <c r="T58" s="194">
        <v>-0.33510346420667525</v>
      </c>
      <c r="U58" s="194">
        <v>-0.33510346420667525</v>
      </c>
      <c r="V58" s="194">
        <v>-0.32803247367754351</v>
      </c>
      <c r="W58" s="194">
        <v>-0.32803247367754351</v>
      </c>
      <c r="X58" s="194">
        <v>-0.32311352374423452</v>
      </c>
      <c r="Y58" s="194">
        <v>-0.32311352374423452</v>
      </c>
    </row>
    <row r="59" spans="4:25" x14ac:dyDescent="0.3">
      <c r="D59" s="32"/>
      <c r="E59" s="32"/>
      <c r="F59" s="191" t="s">
        <v>194</v>
      </c>
      <c r="G59" t="s">
        <v>283</v>
      </c>
      <c r="J59" s="194">
        <v>0.33510346420667525</v>
      </c>
      <c r="K59" s="194">
        <v>0.33510346420667525</v>
      </c>
      <c r="L59" s="194">
        <v>0.33510346420667525</v>
      </c>
      <c r="M59" s="194">
        <v>0.33510346420667525</v>
      </c>
      <c r="N59" s="194">
        <v>0.33510346420667525</v>
      </c>
      <c r="O59" s="194">
        <v>0.32803247367754351</v>
      </c>
      <c r="P59" s="194">
        <v>0.32311352374423452</v>
      </c>
      <c r="Q59" s="194">
        <v>0.33510346420667525</v>
      </c>
      <c r="R59" s="194">
        <v>-0.33510346420667525</v>
      </c>
      <c r="S59" s="194">
        <v>-0.32803247367754351</v>
      </c>
      <c r="T59" s="194">
        <v>-0.33510346420667525</v>
      </c>
      <c r="U59" s="194">
        <v>-0.33510346420667525</v>
      </c>
      <c r="V59" s="194">
        <v>-0.32803247367754351</v>
      </c>
      <c r="W59" s="194">
        <v>-0.32803247367754351</v>
      </c>
      <c r="X59" s="194">
        <v>-0.32311352374423452</v>
      </c>
      <c r="Y59" s="194">
        <v>-0.32311352374423452</v>
      </c>
    </row>
    <row r="60" spans="4:25" x14ac:dyDescent="0.3">
      <c r="D60" s="32"/>
      <c r="E60" s="32"/>
      <c r="F60" s="191" t="s">
        <v>195</v>
      </c>
      <c r="G60" t="s">
        <v>283</v>
      </c>
      <c r="J60" s="194">
        <v>0.33510346420667525</v>
      </c>
      <c r="K60" s="194">
        <v>0.33510346420667525</v>
      </c>
      <c r="L60" s="194">
        <v>0.33510346420667525</v>
      </c>
      <c r="M60" s="194">
        <v>0.33510346420667525</v>
      </c>
      <c r="N60" s="194">
        <v>0.33510346420667525</v>
      </c>
      <c r="O60" s="194">
        <v>0.32803247367754351</v>
      </c>
      <c r="P60" s="194">
        <v>0.32311352374423452</v>
      </c>
      <c r="Q60" s="194">
        <v>0.33510346420667525</v>
      </c>
      <c r="R60" s="194">
        <v>-0.33510346420667525</v>
      </c>
      <c r="S60" s="194">
        <v>-0.32803247367754351</v>
      </c>
      <c r="T60" s="194">
        <v>-0.33510346420667525</v>
      </c>
      <c r="U60" s="194">
        <v>-0.33510346420667525</v>
      </c>
      <c r="V60" s="194">
        <v>-0.32803247367754351</v>
      </c>
      <c r="W60" s="194">
        <v>-0.32803247367754351</v>
      </c>
      <c r="X60" s="194">
        <v>-0.32311352374423452</v>
      </c>
      <c r="Y60" s="194">
        <v>-0.32311352374423452</v>
      </c>
    </row>
    <row r="61" spans="4:25" x14ac:dyDescent="0.3">
      <c r="D61" s="32"/>
      <c r="E61" s="32"/>
      <c r="F61" s="191" t="s">
        <v>196</v>
      </c>
      <c r="G61" t="s">
        <v>283</v>
      </c>
      <c r="J61" s="194">
        <v>0.75489653579332483</v>
      </c>
      <c r="K61" s="194">
        <v>0.75489653579332483</v>
      </c>
      <c r="L61" s="194">
        <v>0.75489653579332483</v>
      </c>
      <c r="M61" s="194">
        <v>0.75489653579332483</v>
      </c>
      <c r="N61" s="194">
        <v>0.75489653579332483</v>
      </c>
      <c r="O61" s="194">
        <v>0.73896752632245644</v>
      </c>
      <c r="P61" s="194">
        <v>0.72788647625576541</v>
      </c>
      <c r="Q61" s="194">
        <v>0.75489653579332483</v>
      </c>
      <c r="R61" s="194">
        <v>-0.75489653579332483</v>
      </c>
      <c r="S61" s="194">
        <v>-0.73896752632245644</v>
      </c>
      <c r="T61" s="194">
        <v>-0.75489653579332483</v>
      </c>
      <c r="U61" s="194">
        <v>-0.75489653579332483</v>
      </c>
      <c r="V61" s="194">
        <v>-0.73896752632245644</v>
      </c>
      <c r="W61" s="194">
        <v>-0.73896752632245644</v>
      </c>
      <c r="X61" s="194">
        <v>-0.72788647625576541</v>
      </c>
      <c r="Y61" s="194">
        <v>-0.72788647625576541</v>
      </c>
    </row>
    <row r="62" spans="4:25" x14ac:dyDescent="0.3">
      <c r="D62" s="32"/>
      <c r="E62" s="32"/>
      <c r="F62" s="191" t="s">
        <v>197</v>
      </c>
      <c r="G62" t="s">
        <v>283</v>
      </c>
      <c r="J62" s="194">
        <v>1.0900000000000001</v>
      </c>
      <c r="K62" s="194">
        <v>1.0900000000000001</v>
      </c>
      <c r="L62" s="194">
        <v>1.0900000000000001</v>
      </c>
      <c r="M62" s="194">
        <v>1.0900000000000001</v>
      </c>
      <c r="N62" s="194">
        <v>1.0900000000000001</v>
      </c>
      <c r="O62" s="194">
        <v>1.0669999999999999</v>
      </c>
      <c r="P62" s="194">
        <v>1.0509999999999999</v>
      </c>
      <c r="Q62" s="194">
        <v>1.0900000000000001</v>
      </c>
      <c r="R62" s="194">
        <v>-1.0900000000000001</v>
      </c>
      <c r="S62" s="194">
        <v>-1.0669999999999999</v>
      </c>
      <c r="T62" s="194">
        <v>-1.0900000000000001</v>
      </c>
      <c r="U62" s="194">
        <v>-1.0900000000000001</v>
      </c>
      <c r="V62" s="194">
        <v>-1.0669999999999999</v>
      </c>
      <c r="W62" s="194">
        <v>-1.0669999999999999</v>
      </c>
      <c r="X62" s="194">
        <v>0</v>
      </c>
      <c r="Y62" s="194">
        <v>0</v>
      </c>
    </row>
    <row r="63" spans="4:25" x14ac:dyDescent="0.3">
      <c r="D63" s="32"/>
      <c r="E63" s="32"/>
      <c r="F63" s="191" t="s">
        <v>198</v>
      </c>
      <c r="G63" t="s">
        <v>283</v>
      </c>
      <c r="J63" s="194">
        <v>1.0900000000000001</v>
      </c>
      <c r="K63" s="194">
        <v>1.0900000000000001</v>
      </c>
      <c r="L63" s="194">
        <v>1.0900000000000001</v>
      </c>
      <c r="M63" s="194">
        <v>1.0900000000000001</v>
      </c>
      <c r="N63" s="194">
        <v>1.0900000000000001</v>
      </c>
      <c r="O63" s="194">
        <v>1.0669999999999999</v>
      </c>
      <c r="P63" s="194">
        <v>0</v>
      </c>
      <c r="Q63" s="194">
        <v>1.0900000000000001</v>
      </c>
      <c r="R63" s="194">
        <v>-1.0900000000000001</v>
      </c>
      <c r="S63" s="194">
        <v>0</v>
      </c>
      <c r="T63" s="194">
        <v>-1.0900000000000001</v>
      </c>
      <c r="U63" s="194">
        <v>-1.0900000000000001</v>
      </c>
      <c r="V63" s="194">
        <v>0</v>
      </c>
      <c r="W63" s="194">
        <v>0</v>
      </c>
      <c r="X63" s="194">
        <v>0</v>
      </c>
      <c r="Y63" s="194">
        <v>0</v>
      </c>
    </row>
    <row r="64" spans="4:25" x14ac:dyDescent="0.3">
      <c r="D64" s="32"/>
      <c r="E64" s="32"/>
      <c r="F64" s="192" t="s">
        <v>199</v>
      </c>
      <c r="G64" s="37" t="s">
        <v>283</v>
      </c>
      <c r="H64" s="37"/>
      <c r="I64" s="37"/>
      <c r="J64" s="195">
        <v>1.0900000000000001</v>
      </c>
      <c r="K64" s="195">
        <v>1.0900000000000001</v>
      </c>
      <c r="L64" s="195">
        <v>1.0900000000000001</v>
      </c>
      <c r="M64" s="195">
        <v>1.0900000000000001</v>
      </c>
      <c r="N64" s="195">
        <v>1.0900000000000001</v>
      </c>
      <c r="O64" s="195">
        <v>0</v>
      </c>
      <c r="P64" s="195">
        <v>0</v>
      </c>
      <c r="Q64" s="195">
        <v>1.0900000000000001</v>
      </c>
      <c r="R64" s="195">
        <v>0</v>
      </c>
      <c r="S64" s="195">
        <v>0</v>
      </c>
      <c r="T64" s="195">
        <v>0</v>
      </c>
      <c r="U64" s="195">
        <v>0</v>
      </c>
      <c r="V64" s="195">
        <v>0</v>
      </c>
      <c r="W64" s="195">
        <v>0</v>
      </c>
      <c r="X64" s="195">
        <v>0</v>
      </c>
      <c r="Y64" s="195">
        <v>0</v>
      </c>
    </row>
    <row r="65" spans="3:25" x14ac:dyDescent="0.3">
      <c r="D65" s="32"/>
      <c r="E65" s="32"/>
      <c r="J65" s="163"/>
      <c r="K65" s="163"/>
      <c r="L65" s="163"/>
      <c r="M65" s="163"/>
      <c r="N65" s="163"/>
      <c r="O65" s="163"/>
      <c r="P65" s="163"/>
      <c r="Q65" s="163"/>
      <c r="R65" s="163"/>
      <c r="S65" s="163"/>
      <c r="T65" s="163"/>
      <c r="U65" s="163"/>
      <c r="V65" s="163"/>
      <c r="W65" s="163"/>
      <c r="X65" s="163"/>
      <c r="Y65" s="163"/>
    </row>
    <row r="66" spans="3:25" x14ac:dyDescent="0.3">
      <c r="E66" s="32" t="s">
        <v>416</v>
      </c>
      <c r="J66" s="163"/>
      <c r="K66" s="163"/>
      <c r="L66" s="163"/>
      <c r="M66" s="163"/>
      <c r="N66" s="163"/>
      <c r="O66" s="163"/>
      <c r="P66" s="163"/>
      <c r="Q66" s="163"/>
      <c r="R66" s="163"/>
      <c r="S66" s="163"/>
      <c r="T66" s="163"/>
      <c r="U66" s="163"/>
      <c r="V66" s="163"/>
      <c r="W66" s="163"/>
      <c r="X66" s="163"/>
      <c r="Y66" s="163"/>
    </row>
    <row r="67" spans="3:25" x14ac:dyDescent="0.3">
      <c r="D67" s="32"/>
      <c r="E67" s="32"/>
      <c r="F67" s="190" t="s">
        <v>189</v>
      </c>
      <c r="G67" s="64" t="s">
        <v>167</v>
      </c>
      <c r="H67" s="23"/>
      <c r="I67" s="23"/>
      <c r="J67" s="196"/>
      <c r="K67" s="196"/>
      <c r="L67" s="196"/>
      <c r="M67" s="196"/>
      <c r="N67" s="196"/>
      <c r="O67" s="196"/>
      <c r="P67" s="196"/>
      <c r="Q67" s="196"/>
      <c r="R67" s="196"/>
      <c r="S67" s="196"/>
      <c r="T67" s="196"/>
      <c r="U67" s="196"/>
      <c r="V67" s="196"/>
      <c r="W67" s="196"/>
      <c r="X67" s="196"/>
      <c r="Y67" s="196"/>
    </row>
    <row r="68" spans="3:25" x14ac:dyDescent="0.3">
      <c r="D68" s="32"/>
      <c r="E68" s="32"/>
      <c r="F68" s="191" t="s">
        <v>191</v>
      </c>
      <c r="G68" s="28" t="s">
        <v>167</v>
      </c>
      <c r="J68" s="197"/>
      <c r="K68" s="197"/>
      <c r="L68" s="197"/>
      <c r="M68" s="197"/>
      <c r="N68" s="197"/>
      <c r="O68" s="197"/>
      <c r="P68" s="197"/>
      <c r="Q68" s="197"/>
      <c r="R68" s="197"/>
      <c r="S68" s="197"/>
      <c r="T68" s="197"/>
      <c r="U68" s="197"/>
      <c r="V68" s="197"/>
      <c r="W68" s="197"/>
      <c r="X68" s="197"/>
      <c r="Y68" s="197"/>
    </row>
    <row r="69" spans="3:25" x14ac:dyDescent="0.3">
      <c r="D69" s="32"/>
      <c r="E69" s="32"/>
      <c r="F69" s="191" t="s">
        <v>192</v>
      </c>
      <c r="G69" s="28" t="s">
        <v>167</v>
      </c>
      <c r="J69" s="194">
        <f t="array" ref="J69:Y76">TRANSPOSE('Customer contributions'!L51:S66)</f>
        <v>0</v>
      </c>
      <c r="K69" s="194">
        <v>0</v>
      </c>
      <c r="L69" s="194">
        <v>0</v>
      </c>
      <c r="M69" s="194">
        <v>0</v>
      </c>
      <c r="N69" s="194">
        <v>0</v>
      </c>
      <c r="O69" s="194">
        <v>0</v>
      </c>
      <c r="P69" s="194">
        <v>0</v>
      </c>
      <c r="Q69" s="194">
        <v>0</v>
      </c>
      <c r="R69" s="194">
        <v>0</v>
      </c>
      <c r="S69" s="194">
        <v>0</v>
      </c>
      <c r="T69" s="194">
        <v>0</v>
      </c>
      <c r="U69" s="194">
        <v>0</v>
      </c>
      <c r="V69" s="194">
        <v>0</v>
      </c>
      <c r="W69" s="194">
        <v>0</v>
      </c>
      <c r="X69" s="194">
        <v>0</v>
      </c>
      <c r="Y69" s="194">
        <v>0</v>
      </c>
    </row>
    <row r="70" spans="3:25" x14ac:dyDescent="0.3">
      <c r="D70" s="32"/>
      <c r="E70" s="32"/>
      <c r="F70" s="191" t="s">
        <v>193</v>
      </c>
      <c r="G70" s="28" t="s">
        <v>167</v>
      </c>
      <c r="J70" s="194">
        <v>0</v>
      </c>
      <c r="K70" s="194">
        <v>0</v>
      </c>
      <c r="L70" s="194">
        <v>0</v>
      </c>
      <c r="M70" s="194">
        <v>0</v>
      </c>
      <c r="N70" s="194">
        <v>0</v>
      </c>
      <c r="O70" s="194">
        <v>0</v>
      </c>
      <c r="P70" s="194">
        <v>0</v>
      </c>
      <c r="Q70" s="194">
        <v>0</v>
      </c>
      <c r="R70" s="194">
        <v>0</v>
      </c>
      <c r="S70" s="194">
        <v>0</v>
      </c>
      <c r="T70" s="194">
        <v>0</v>
      </c>
      <c r="U70" s="194">
        <v>0</v>
      </c>
      <c r="V70" s="194">
        <v>0</v>
      </c>
      <c r="W70" s="194">
        <v>0</v>
      </c>
      <c r="X70" s="194">
        <v>0</v>
      </c>
      <c r="Y70" s="194">
        <v>0</v>
      </c>
    </row>
    <row r="71" spans="3:25" x14ac:dyDescent="0.3">
      <c r="D71" s="32"/>
      <c r="E71" s="32"/>
      <c r="F71" s="191" t="s">
        <v>194</v>
      </c>
      <c r="G71" s="28" t="s">
        <v>167</v>
      </c>
      <c r="J71" s="194">
        <v>0</v>
      </c>
      <c r="K71" s="194">
        <v>0</v>
      </c>
      <c r="L71" s="194">
        <v>0</v>
      </c>
      <c r="M71" s="194">
        <v>0</v>
      </c>
      <c r="N71" s="194">
        <v>0</v>
      </c>
      <c r="O71" s="194">
        <v>0</v>
      </c>
      <c r="P71" s="194">
        <v>0</v>
      </c>
      <c r="Q71" s="194">
        <v>0</v>
      </c>
      <c r="R71" s="194">
        <v>0</v>
      </c>
      <c r="S71" s="194">
        <v>0</v>
      </c>
      <c r="T71" s="194">
        <v>0</v>
      </c>
      <c r="U71" s="194">
        <v>0</v>
      </c>
      <c r="V71" s="194">
        <v>0</v>
      </c>
      <c r="W71" s="194">
        <v>0</v>
      </c>
      <c r="X71" s="194">
        <v>0</v>
      </c>
      <c r="Y71" s="194">
        <v>0</v>
      </c>
    </row>
    <row r="72" spans="3:25" x14ac:dyDescent="0.3">
      <c r="D72" s="32"/>
      <c r="E72" s="32"/>
      <c r="F72" s="191" t="s">
        <v>195</v>
      </c>
      <c r="G72" s="28" t="s">
        <v>167</v>
      </c>
      <c r="J72" s="194">
        <v>0</v>
      </c>
      <c r="K72" s="194">
        <v>0</v>
      </c>
      <c r="L72" s="194">
        <v>0</v>
      </c>
      <c r="M72" s="194">
        <v>0</v>
      </c>
      <c r="N72" s="194">
        <v>0</v>
      </c>
      <c r="O72" s="194">
        <v>0</v>
      </c>
      <c r="P72" s="194">
        <v>0.25764106948138837</v>
      </c>
      <c r="Q72" s="194">
        <v>0</v>
      </c>
      <c r="R72" s="194">
        <v>0</v>
      </c>
      <c r="S72" s="194">
        <v>0</v>
      </c>
      <c r="T72" s="194">
        <v>0</v>
      </c>
      <c r="U72" s="194">
        <v>0</v>
      </c>
      <c r="V72" s="194">
        <v>0</v>
      </c>
      <c r="W72" s="194">
        <v>0</v>
      </c>
      <c r="X72" s="194">
        <v>0.25764106948138837</v>
      </c>
      <c r="Y72" s="194">
        <v>0.25764106948138837</v>
      </c>
    </row>
    <row r="73" spans="3:25" x14ac:dyDescent="0.3">
      <c r="D73" s="32"/>
      <c r="E73" s="32"/>
      <c r="F73" s="191" t="s">
        <v>196</v>
      </c>
      <c r="G73" s="28" t="s">
        <v>167</v>
      </c>
      <c r="J73" s="194">
        <v>0</v>
      </c>
      <c r="K73" s="194">
        <v>0</v>
      </c>
      <c r="L73" s="194">
        <v>0</v>
      </c>
      <c r="M73" s="194">
        <v>0</v>
      </c>
      <c r="N73" s="194">
        <v>0</v>
      </c>
      <c r="O73" s="194">
        <v>0</v>
      </c>
      <c r="P73" s="194">
        <v>0.25764106948138837</v>
      </c>
      <c r="Q73" s="194">
        <v>0</v>
      </c>
      <c r="R73" s="194">
        <v>0</v>
      </c>
      <c r="S73" s="194">
        <v>0</v>
      </c>
      <c r="T73" s="194">
        <v>0</v>
      </c>
      <c r="U73" s="194">
        <v>0</v>
      </c>
      <c r="V73" s="194">
        <v>0</v>
      </c>
      <c r="W73" s="194">
        <v>0</v>
      </c>
      <c r="X73" s="194">
        <v>0.25764106948138837</v>
      </c>
      <c r="Y73" s="194">
        <v>0.25764106948138837</v>
      </c>
    </row>
    <row r="74" spans="3:25" x14ac:dyDescent="0.3">
      <c r="D74" s="32"/>
      <c r="E74" s="32"/>
      <c r="F74" s="191" t="s">
        <v>197</v>
      </c>
      <c r="G74" s="28" t="s">
        <v>167</v>
      </c>
      <c r="J74" s="194">
        <v>0.38684969697494365</v>
      </c>
      <c r="K74" s="194">
        <v>0.38684969697494365</v>
      </c>
      <c r="L74" s="194">
        <v>0.38684969697494365</v>
      </c>
      <c r="M74" s="194">
        <v>0.38684969697494365</v>
      </c>
      <c r="N74" s="194">
        <v>0.38684969697494365</v>
      </c>
      <c r="O74" s="194">
        <v>0.38684969697494365</v>
      </c>
      <c r="P74" s="194">
        <v>0.51528213896277675</v>
      </c>
      <c r="Q74" s="194">
        <v>0.38684969697494365</v>
      </c>
      <c r="R74" s="194">
        <v>0.38684969697494365</v>
      </c>
      <c r="S74" s="194">
        <v>0.38684969697494365</v>
      </c>
      <c r="T74" s="194">
        <v>0.38684969697494365</v>
      </c>
      <c r="U74" s="194">
        <v>0.38684969697494365</v>
      </c>
      <c r="V74" s="194">
        <v>0.38684969697494365</v>
      </c>
      <c r="W74" s="194">
        <v>0.38684969697494365</v>
      </c>
      <c r="X74" s="194">
        <v>0.51528213896277675</v>
      </c>
      <c r="Y74" s="194">
        <v>0.51528213896277675</v>
      </c>
    </row>
    <row r="75" spans="3:25" x14ac:dyDescent="0.3">
      <c r="D75" s="32"/>
      <c r="E75" s="32"/>
      <c r="F75" s="191" t="s">
        <v>198</v>
      </c>
      <c r="G75" s="28" t="s">
        <v>167</v>
      </c>
      <c r="J75" s="194">
        <v>0.64124825573068889</v>
      </c>
      <c r="K75" s="194">
        <v>0.64124825573068889</v>
      </c>
      <c r="L75" s="194">
        <v>0.64124825573068889</v>
      </c>
      <c r="M75" s="194">
        <v>0.64124825573068889</v>
      </c>
      <c r="N75" s="194">
        <v>0.64124825573068889</v>
      </c>
      <c r="O75" s="194">
        <v>0.64124825573068889</v>
      </c>
      <c r="P75" s="194">
        <v>0</v>
      </c>
      <c r="Q75" s="194">
        <v>0.64124825573068889</v>
      </c>
      <c r="R75" s="194">
        <v>0.64124825573068889</v>
      </c>
      <c r="S75" s="194">
        <v>0.64124825573068889</v>
      </c>
      <c r="T75" s="194">
        <v>0.64124825573068889</v>
      </c>
      <c r="U75" s="194">
        <v>0.64124825573068889</v>
      </c>
      <c r="V75" s="194">
        <v>0.64124825573068889</v>
      </c>
      <c r="W75" s="194">
        <v>0.64124825573068889</v>
      </c>
      <c r="X75" s="194">
        <v>0</v>
      </c>
      <c r="Y75" s="194">
        <v>0</v>
      </c>
    </row>
    <row r="76" spans="3:25" x14ac:dyDescent="0.3">
      <c r="D76" s="32"/>
      <c r="E76" s="32"/>
      <c r="F76" s="192" t="s">
        <v>199</v>
      </c>
      <c r="G76" s="67" t="s">
        <v>167</v>
      </c>
      <c r="H76" s="37"/>
      <c r="I76" s="37"/>
      <c r="J76" s="195">
        <v>0.89564681448643413</v>
      </c>
      <c r="K76" s="195">
        <v>0.89564681448643413</v>
      </c>
      <c r="L76" s="195">
        <v>0.89564681448643413</v>
      </c>
      <c r="M76" s="195">
        <v>0.89564681448643413</v>
      </c>
      <c r="N76" s="195">
        <v>0.89564681448643413</v>
      </c>
      <c r="O76" s="195">
        <v>0</v>
      </c>
      <c r="P76" s="195">
        <v>0</v>
      </c>
      <c r="Q76" s="195">
        <v>0.89564681448643413</v>
      </c>
      <c r="R76" s="195">
        <v>0.89564681448643413</v>
      </c>
      <c r="S76" s="195">
        <v>0</v>
      </c>
      <c r="T76" s="195">
        <v>0.89564681448643413</v>
      </c>
      <c r="U76" s="195">
        <v>0.89564681448643413</v>
      </c>
      <c r="V76" s="195">
        <v>0</v>
      </c>
      <c r="W76" s="195">
        <v>0</v>
      </c>
      <c r="X76" s="195">
        <v>0</v>
      </c>
      <c r="Y76" s="195">
        <v>0</v>
      </c>
    </row>
    <row r="77" spans="3:25" x14ac:dyDescent="0.3">
      <c r="C77" s="32"/>
      <c r="D77" s="32"/>
      <c r="J77" s="163"/>
      <c r="K77" s="163"/>
      <c r="L77" s="163"/>
      <c r="M77" s="163"/>
      <c r="N77" s="163"/>
      <c r="O77" s="163"/>
      <c r="P77" s="163"/>
      <c r="Q77" s="163"/>
      <c r="R77" s="163"/>
      <c r="S77" s="163"/>
      <c r="T77" s="163"/>
      <c r="U77" s="163"/>
      <c r="V77" s="163"/>
      <c r="W77" s="163"/>
      <c r="X77" s="163"/>
      <c r="Y77" s="163"/>
    </row>
    <row r="78" spans="3:25" x14ac:dyDescent="0.3">
      <c r="E78" s="28" t="s">
        <v>472</v>
      </c>
      <c r="F78" s="28"/>
      <c r="G78" s="28" t="s">
        <v>283</v>
      </c>
      <c r="J78" s="194">
        <f>'Pseudo-load coefficients'!J267</f>
        <v>1.8009028622717524</v>
      </c>
      <c r="K78" s="194">
        <f>'Pseudo-load coefficients'!K267</f>
        <v>1.8009028622717524</v>
      </c>
      <c r="L78" s="194">
        <f>'Pseudo-load coefficients'!L267</f>
        <v>1.9582918442356276</v>
      </c>
      <c r="M78" s="194">
        <f>'Pseudo-load coefficients'!M267</f>
        <v>1.9582918442356276</v>
      </c>
      <c r="N78" s="194">
        <f>'Pseudo-load coefficients'!N267</f>
        <v>1.6437845539770384</v>
      </c>
      <c r="O78" s="194">
        <f>'Pseudo-load coefficients'!O267</f>
        <v>1.6751286584755001</v>
      </c>
      <c r="P78" s="194">
        <f>'Pseudo-load coefficients'!P267</f>
        <v>1.2547949163175354</v>
      </c>
      <c r="Q78" s="194">
        <f>'Pseudo-load coefficients'!Q267</f>
        <v>1.3010672833460855</v>
      </c>
      <c r="R78" s="194">
        <f>'Pseudo-load coefficients'!R267</f>
        <v>1</v>
      </c>
      <c r="S78" s="194">
        <f>'Pseudo-load coefficients'!S267</f>
        <v>1</v>
      </c>
      <c r="T78" s="194">
        <f>'Pseudo-load coefficients'!T267</f>
        <v>1</v>
      </c>
      <c r="U78" s="194">
        <f>'Pseudo-load coefficients'!U267</f>
        <v>1</v>
      </c>
      <c r="V78" s="194">
        <f>'Pseudo-load coefficients'!V267</f>
        <v>1</v>
      </c>
      <c r="W78" s="194">
        <f>'Pseudo-load coefficients'!W267</f>
        <v>1</v>
      </c>
      <c r="X78" s="194">
        <f>'Pseudo-load coefficients'!X267</f>
        <v>1</v>
      </c>
      <c r="Y78" s="194">
        <f>'Pseudo-load coefficients'!Y267</f>
        <v>1</v>
      </c>
    </row>
    <row r="79" spans="3:25" x14ac:dyDescent="0.3">
      <c r="D79" s="32"/>
      <c r="J79" s="163"/>
      <c r="K79" s="163"/>
      <c r="L79" s="163"/>
      <c r="M79" s="163"/>
      <c r="N79" s="163"/>
      <c r="O79" s="163"/>
      <c r="P79" s="163"/>
      <c r="Q79" s="163"/>
      <c r="R79" s="163"/>
      <c r="S79" s="163"/>
      <c r="T79" s="163"/>
      <c r="U79" s="163"/>
      <c r="V79" s="163"/>
      <c r="W79" s="163"/>
      <c r="X79" s="163"/>
      <c r="Y79" s="163"/>
    </row>
    <row r="80" spans="3:25" x14ac:dyDescent="0.3">
      <c r="E80" s="32" t="s">
        <v>507</v>
      </c>
      <c r="J80" s="163"/>
      <c r="K80" s="163"/>
      <c r="L80" s="163"/>
      <c r="M80" s="163"/>
      <c r="N80" s="163"/>
      <c r="O80" s="163"/>
      <c r="P80" s="163"/>
      <c r="Q80" s="163"/>
      <c r="R80" s="163"/>
      <c r="S80" s="163"/>
      <c r="T80" s="163"/>
      <c r="U80" s="163"/>
      <c r="V80" s="163"/>
      <c r="W80" s="163"/>
      <c r="X80" s="163"/>
      <c r="Y80" s="163"/>
    </row>
    <row r="81" spans="5:25" x14ac:dyDescent="0.3">
      <c r="E81" s="32"/>
      <c r="F81" s="190" t="s">
        <v>189</v>
      </c>
      <c r="G81" s="64" t="s">
        <v>283</v>
      </c>
      <c r="H81" s="23"/>
      <c r="I81" s="23"/>
      <c r="J81" s="433">
        <f>'Pseudo-load coefficients'!J272</f>
        <v>10.895163278637472</v>
      </c>
      <c r="K81" s="433">
        <f>'Pseudo-load coefficients'!K272</f>
        <v>10.895163278637472</v>
      </c>
      <c r="L81" s="433">
        <f>'Pseudo-load coefficients'!L272</f>
        <v>12.40307106449656</v>
      </c>
      <c r="M81" s="433">
        <f>'Pseudo-load coefficients'!M272</f>
        <v>12.40307106449656</v>
      </c>
      <c r="N81" s="433">
        <f>'Pseudo-load coefficients'!N272</f>
        <v>9.9778802736104044</v>
      </c>
      <c r="O81" s="433">
        <f>'Pseudo-load coefficients'!O272</f>
        <v>7.4590004471621851</v>
      </c>
      <c r="P81" s="433">
        <f>'Pseudo-load coefficients'!P272</f>
        <v>8.5135159223890078</v>
      </c>
      <c r="Q81" s="433">
        <f>'Pseudo-load coefficients'!Q272</f>
        <v>17.306798680581313</v>
      </c>
      <c r="R81" s="433">
        <f>'Pseudo-load coefficients'!R272</f>
        <v>7.6034304864135018</v>
      </c>
      <c r="S81" s="433">
        <f>'Pseudo-load coefficients'!S272</f>
        <v>7.6034304864135018</v>
      </c>
      <c r="T81" s="433">
        <f>'Pseudo-load coefficients'!T272</f>
        <v>7.6034304864135018</v>
      </c>
      <c r="U81" s="433">
        <f>'Pseudo-load coefficients'!U272</f>
        <v>7.6034304864135018</v>
      </c>
      <c r="V81" s="433">
        <f>'Pseudo-load coefficients'!V272</f>
        <v>7.6034304864135018</v>
      </c>
      <c r="W81" s="433">
        <f>'Pseudo-load coefficients'!W272</f>
        <v>7.6034304864135018</v>
      </c>
      <c r="X81" s="433">
        <f>'Pseudo-load coefficients'!X272</f>
        <v>7.6034304864135018</v>
      </c>
      <c r="Y81" s="433">
        <f>'Pseudo-load coefficients'!Y272</f>
        <v>7.6034304864135018</v>
      </c>
    </row>
    <row r="82" spans="5:25" x14ac:dyDescent="0.3">
      <c r="E82" s="32"/>
      <c r="F82" s="191" t="s">
        <v>191</v>
      </c>
      <c r="G82" s="28" t="s">
        <v>283</v>
      </c>
      <c r="J82" s="194">
        <f>'Pseudo-load coefficients'!J272</f>
        <v>10.895163278637472</v>
      </c>
      <c r="K82" s="194">
        <f>'Pseudo-load coefficients'!K272</f>
        <v>10.895163278637472</v>
      </c>
      <c r="L82" s="194">
        <f>'Pseudo-load coefficients'!L272</f>
        <v>12.40307106449656</v>
      </c>
      <c r="M82" s="194">
        <f>'Pseudo-load coefficients'!M272</f>
        <v>12.40307106449656</v>
      </c>
      <c r="N82" s="194">
        <f>'Pseudo-load coefficients'!N272</f>
        <v>9.9778802736104044</v>
      </c>
      <c r="O82" s="194">
        <f>'Pseudo-load coefficients'!O272</f>
        <v>7.4590004471621851</v>
      </c>
      <c r="P82" s="194">
        <f>'Pseudo-load coefficients'!P272</f>
        <v>8.5135159223890078</v>
      </c>
      <c r="Q82" s="194">
        <f>'Pseudo-load coefficients'!Q272</f>
        <v>17.306798680581313</v>
      </c>
      <c r="R82" s="194">
        <f>'Pseudo-load coefficients'!R272</f>
        <v>7.6034304864135018</v>
      </c>
      <c r="S82" s="194">
        <f>'Pseudo-load coefficients'!S272</f>
        <v>7.6034304864135018</v>
      </c>
      <c r="T82" s="194">
        <f>'Pseudo-load coefficients'!T272</f>
        <v>7.6034304864135018</v>
      </c>
      <c r="U82" s="194">
        <f>'Pseudo-load coefficients'!U272</f>
        <v>7.6034304864135018</v>
      </c>
      <c r="V82" s="194">
        <f>'Pseudo-load coefficients'!V272</f>
        <v>7.6034304864135018</v>
      </c>
      <c r="W82" s="194">
        <f>'Pseudo-load coefficients'!W272</f>
        <v>7.6034304864135018</v>
      </c>
      <c r="X82" s="194">
        <f>'Pseudo-load coefficients'!X272</f>
        <v>7.6034304864135018</v>
      </c>
      <c r="Y82" s="194">
        <f>'Pseudo-load coefficients'!Y272</f>
        <v>7.6034304864135018</v>
      </c>
    </row>
    <row r="83" spans="5:25" x14ac:dyDescent="0.3">
      <c r="E83" s="32"/>
      <c r="F83" s="191" t="s">
        <v>192</v>
      </c>
      <c r="G83" s="28" t="s">
        <v>283</v>
      </c>
      <c r="J83" s="194">
        <f>'Pseudo-load coefficients'!J273</f>
        <v>9.1794613041077078</v>
      </c>
      <c r="K83" s="194">
        <f>'Pseudo-load coefficients'!K273</f>
        <v>9.1794613041077078</v>
      </c>
      <c r="L83" s="194">
        <f>'Pseudo-load coefficients'!L273</f>
        <v>10.449913230018382</v>
      </c>
      <c r="M83" s="194">
        <f>'Pseudo-load coefficients'!M273</f>
        <v>10.449913230018382</v>
      </c>
      <c r="N83" s="194">
        <f>'Pseudo-load coefficients'!N273</f>
        <v>8.4066262731659211</v>
      </c>
      <c r="O83" s="194">
        <f>'Pseudo-load coefficients'!O273</f>
        <v>6.2844038424186</v>
      </c>
      <c r="P83" s="194">
        <f>'Pseudo-load coefficients'!P273</f>
        <v>7.172860834927107</v>
      </c>
      <c r="Q83" s="194">
        <f>'Pseudo-load coefficients'!Q273</f>
        <v>18.548739588234714</v>
      </c>
      <c r="R83" s="194">
        <f>'Pseudo-load coefficients'!R273</f>
        <v>6.4060899450085209</v>
      </c>
      <c r="S83" s="194">
        <f>'Pseudo-load coefficients'!S273</f>
        <v>6.4060899450085209</v>
      </c>
      <c r="T83" s="194">
        <f>'Pseudo-load coefficients'!T273</f>
        <v>6.4060899450085209</v>
      </c>
      <c r="U83" s="194">
        <f>'Pseudo-load coefficients'!U273</f>
        <v>6.4060899450085209</v>
      </c>
      <c r="V83" s="194">
        <f>'Pseudo-load coefficients'!V273</f>
        <v>6.4060899450085209</v>
      </c>
      <c r="W83" s="194">
        <f>'Pseudo-load coefficients'!W273</f>
        <v>6.4060899450085209</v>
      </c>
      <c r="X83" s="194">
        <f>'Pseudo-load coefficients'!X273</f>
        <v>6.4060899450085209</v>
      </c>
      <c r="Y83" s="194">
        <f>'Pseudo-load coefficients'!Y273</f>
        <v>6.4060899450085209</v>
      </c>
    </row>
    <row r="84" spans="5:25" x14ac:dyDescent="0.3">
      <c r="E84" s="32"/>
      <c r="F84" s="191" t="s">
        <v>193</v>
      </c>
      <c r="G84" s="28" t="s">
        <v>283</v>
      </c>
      <c r="J84" s="194">
        <f>'Pseudo-load coefficients'!J274</f>
        <v>9.1794613041077078</v>
      </c>
      <c r="K84" s="194">
        <f>'Pseudo-load coefficients'!K274</f>
        <v>9.1794613041077078</v>
      </c>
      <c r="L84" s="194">
        <f>'Pseudo-load coefficients'!L274</f>
        <v>10.449913230018382</v>
      </c>
      <c r="M84" s="194">
        <f>'Pseudo-load coefficients'!M274</f>
        <v>10.449913230018382</v>
      </c>
      <c r="N84" s="194">
        <f>'Pseudo-load coefficients'!N274</f>
        <v>8.4066262731659211</v>
      </c>
      <c r="O84" s="194">
        <f>'Pseudo-load coefficients'!O274</f>
        <v>6.2844038424186</v>
      </c>
      <c r="P84" s="194">
        <f>'Pseudo-load coefficients'!P274</f>
        <v>7.172860834927107</v>
      </c>
      <c r="Q84" s="194">
        <f>'Pseudo-load coefficients'!Q274</f>
        <v>18.548739588234714</v>
      </c>
      <c r="R84" s="194">
        <f>'Pseudo-load coefficients'!R274</f>
        <v>6.4060899450085209</v>
      </c>
      <c r="S84" s="194">
        <f>'Pseudo-load coefficients'!S274</f>
        <v>6.4060899450085209</v>
      </c>
      <c r="T84" s="194">
        <f>'Pseudo-load coefficients'!T274</f>
        <v>6.4060899450085209</v>
      </c>
      <c r="U84" s="194">
        <f>'Pseudo-load coefficients'!U274</f>
        <v>6.4060899450085209</v>
      </c>
      <c r="V84" s="194">
        <f>'Pseudo-load coefficients'!V274</f>
        <v>6.4060899450085209</v>
      </c>
      <c r="W84" s="194">
        <f>'Pseudo-load coefficients'!W274</f>
        <v>6.4060899450085209</v>
      </c>
      <c r="X84" s="194">
        <f>'Pseudo-load coefficients'!X274</f>
        <v>6.4060899450085209</v>
      </c>
      <c r="Y84" s="194">
        <f>'Pseudo-load coefficients'!Y274</f>
        <v>6.4060899450085209</v>
      </c>
    </row>
    <row r="85" spans="5:25" x14ac:dyDescent="0.3">
      <c r="E85" s="32"/>
      <c r="F85" s="191" t="s">
        <v>194</v>
      </c>
      <c r="G85" s="28" t="s">
        <v>283</v>
      </c>
      <c r="J85" s="194">
        <f>'Pseudo-load coefficients'!J275</f>
        <v>9.8030745444975658</v>
      </c>
      <c r="K85" s="194">
        <f>'Pseudo-load coefficients'!K275</f>
        <v>9.8030745444975658</v>
      </c>
      <c r="L85" s="194">
        <f>'Pseudo-load coefficients'!L275</f>
        <v>11.159835526683924</v>
      </c>
      <c r="M85" s="194">
        <f>'Pseudo-load coefficients'!M275</f>
        <v>11.159835526683924</v>
      </c>
      <c r="N85" s="194">
        <f>'Pseudo-load coefficients'!N275</f>
        <v>8.9777364153928474</v>
      </c>
      <c r="O85" s="194">
        <f>'Pseudo-load coefficients'!O275</f>
        <v>6.7113392925779047</v>
      </c>
      <c r="P85" s="194">
        <f>'Pseudo-load coefficients'!P275</f>
        <v>7.6601542435427898</v>
      </c>
      <c r="Q85" s="194">
        <f>'Pseudo-load coefficients'!Q275</f>
        <v>19.95144716486757</v>
      </c>
      <c r="R85" s="194">
        <f>'Pseudo-load coefficients'!R275</f>
        <v>6.8412922271999577</v>
      </c>
      <c r="S85" s="194">
        <f>'Pseudo-load coefficients'!S275</f>
        <v>6.8412922271999577</v>
      </c>
      <c r="T85" s="194">
        <f>'Pseudo-load coefficients'!T275</f>
        <v>6.8412922271999577</v>
      </c>
      <c r="U85" s="194">
        <f>'Pseudo-load coefficients'!U275</f>
        <v>6.8412922271999577</v>
      </c>
      <c r="V85" s="194">
        <f>'Pseudo-load coefficients'!V275</f>
        <v>6.8412922271999577</v>
      </c>
      <c r="W85" s="194">
        <f>'Pseudo-load coefficients'!W275</f>
        <v>6.8412922271999577</v>
      </c>
      <c r="X85" s="194">
        <f>'Pseudo-load coefficients'!X275</f>
        <v>6.8412922271999577</v>
      </c>
      <c r="Y85" s="194">
        <f>'Pseudo-load coefficients'!Y275</f>
        <v>6.8412922271999577</v>
      </c>
    </row>
    <row r="86" spans="5:25" x14ac:dyDescent="0.3">
      <c r="E86" s="32"/>
      <c r="F86" s="191" t="s">
        <v>195</v>
      </c>
      <c r="G86" s="28" t="s">
        <v>283</v>
      </c>
      <c r="J86" s="194">
        <f>'Pseudo-load coefficients'!J276</f>
        <v>9.8030745444975658</v>
      </c>
      <c r="K86" s="194">
        <f>'Pseudo-load coefficients'!K276</f>
        <v>9.8030745444975658</v>
      </c>
      <c r="L86" s="194">
        <f>'Pseudo-load coefficients'!L276</f>
        <v>11.159835526683924</v>
      </c>
      <c r="M86" s="194">
        <f>'Pseudo-load coefficients'!M276</f>
        <v>11.159835526683924</v>
      </c>
      <c r="N86" s="194">
        <f>'Pseudo-load coefficients'!N276</f>
        <v>8.9777364153928474</v>
      </c>
      <c r="O86" s="194">
        <f>'Pseudo-load coefficients'!O276</f>
        <v>6.7113392925779047</v>
      </c>
      <c r="P86" s="194">
        <f>'Pseudo-load coefficients'!P276</f>
        <v>7.6601542435427898</v>
      </c>
      <c r="Q86" s="194">
        <f>'Pseudo-load coefficients'!Q276</f>
        <v>19.95144716486757</v>
      </c>
      <c r="R86" s="194">
        <f>'Pseudo-load coefficients'!R276</f>
        <v>6.8412922271999577</v>
      </c>
      <c r="S86" s="194">
        <f>'Pseudo-load coefficients'!S276</f>
        <v>6.8412922271999577</v>
      </c>
      <c r="T86" s="194">
        <f>'Pseudo-load coefficients'!T276</f>
        <v>6.8412922271999577</v>
      </c>
      <c r="U86" s="194">
        <f>'Pseudo-load coefficients'!U276</f>
        <v>6.8412922271999577</v>
      </c>
      <c r="V86" s="194">
        <f>'Pseudo-load coefficients'!V276</f>
        <v>6.8412922271999577</v>
      </c>
      <c r="W86" s="194">
        <f>'Pseudo-load coefficients'!W276</f>
        <v>6.8412922271999577</v>
      </c>
      <c r="X86" s="194">
        <f>'Pseudo-load coefficients'!X276</f>
        <v>6.8412922271999577</v>
      </c>
      <c r="Y86" s="194">
        <f>'Pseudo-load coefficients'!Y276</f>
        <v>6.8412922271999577</v>
      </c>
    </row>
    <row r="87" spans="5:25" x14ac:dyDescent="0.3">
      <c r="E87" s="32"/>
      <c r="F87" s="191" t="s">
        <v>196</v>
      </c>
      <c r="G87" s="28" t="s">
        <v>283</v>
      </c>
      <c r="J87" s="194">
        <f>'Pseudo-load coefficients'!J277</f>
        <v>9.1794613041077078</v>
      </c>
      <c r="K87" s="194">
        <f>'Pseudo-load coefficients'!K277</f>
        <v>9.1794613041077078</v>
      </c>
      <c r="L87" s="194">
        <f>'Pseudo-load coefficients'!L277</f>
        <v>10.449913230018382</v>
      </c>
      <c r="M87" s="194">
        <f>'Pseudo-load coefficients'!M277</f>
        <v>10.449913230018382</v>
      </c>
      <c r="N87" s="194">
        <f>'Pseudo-load coefficients'!N277</f>
        <v>8.4066262731659211</v>
      </c>
      <c r="O87" s="194">
        <f>'Pseudo-load coefficients'!O277</f>
        <v>6.2844038424186</v>
      </c>
      <c r="P87" s="194">
        <f>'Pseudo-load coefficients'!P277</f>
        <v>7.172860834927107</v>
      </c>
      <c r="Q87" s="194">
        <f>'Pseudo-load coefficients'!Q277</f>
        <v>18.548739588234714</v>
      </c>
      <c r="R87" s="194">
        <f>'Pseudo-load coefficients'!R277</f>
        <v>6.4060899450085209</v>
      </c>
      <c r="S87" s="194">
        <f>'Pseudo-load coefficients'!S277</f>
        <v>6.4060899450085209</v>
      </c>
      <c r="T87" s="194">
        <f>'Pseudo-load coefficients'!T277</f>
        <v>6.4060899450085209</v>
      </c>
      <c r="U87" s="194">
        <f>'Pseudo-load coefficients'!U277</f>
        <v>6.4060899450085209</v>
      </c>
      <c r="V87" s="194">
        <f>'Pseudo-load coefficients'!V277</f>
        <v>6.4060899450085209</v>
      </c>
      <c r="W87" s="194">
        <f>'Pseudo-load coefficients'!W277</f>
        <v>6.4060899450085209</v>
      </c>
      <c r="X87" s="194">
        <f>'Pseudo-load coefficients'!X277</f>
        <v>6.4060899450085209</v>
      </c>
      <c r="Y87" s="194">
        <f>'Pseudo-load coefficients'!Y277</f>
        <v>6.4060899450085209</v>
      </c>
    </row>
    <row r="88" spans="5:25" x14ac:dyDescent="0.3">
      <c r="E88" s="32"/>
      <c r="F88" s="191" t="s">
        <v>197</v>
      </c>
      <c r="G88" s="28" t="s">
        <v>283</v>
      </c>
      <c r="J88" s="194">
        <f>'Pseudo-load coefficients'!J278</f>
        <v>9.8030745444975658</v>
      </c>
      <c r="K88" s="194">
        <f>'Pseudo-load coefficients'!K278</f>
        <v>9.8030745444975658</v>
      </c>
      <c r="L88" s="194">
        <f>'Pseudo-load coefficients'!L278</f>
        <v>11.159835526683924</v>
      </c>
      <c r="M88" s="194">
        <f>'Pseudo-load coefficients'!M278</f>
        <v>11.159835526683924</v>
      </c>
      <c r="N88" s="194">
        <f>'Pseudo-load coefficients'!N278</f>
        <v>8.9777364153928474</v>
      </c>
      <c r="O88" s="194">
        <f>'Pseudo-load coefficients'!O278</f>
        <v>6.7113392925779047</v>
      </c>
      <c r="P88" s="194">
        <f>'Pseudo-load coefficients'!P278</f>
        <v>7.6601542435427898</v>
      </c>
      <c r="Q88" s="194">
        <f>'Pseudo-load coefficients'!Q278</f>
        <v>19.95144716486757</v>
      </c>
      <c r="R88" s="194">
        <f>'Pseudo-load coefficients'!R278</f>
        <v>6.8412922271999577</v>
      </c>
      <c r="S88" s="194">
        <f>'Pseudo-load coefficients'!S278</f>
        <v>6.8412922271999577</v>
      </c>
      <c r="T88" s="194">
        <f>'Pseudo-load coefficients'!T278</f>
        <v>6.8412922271999577</v>
      </c>
      <c r="U88" s="194">
        <f>'Pseudo-load coefficients'!U278</f>
        <v>6.8412922271999577</v>
      </c>
      <c r="V88" s="194">
        <f>'Pseudo-load coefficients'!V278</f>
        <v>6.8412922271999577</v>
      </c>
      <c r="W88" s="194">
        <f>'Pseudo-load coefficients'!W278</f>
        <v>6.8412922271999577</v>
      </c>
      <c r="X88" s="194">
        <f>'Pseudo-load coefficients'!X278</f>
        <v>6.8412922271999577</v>
      </c>
      <c r="Y88" s="194">
        <f>'Pseudo-load coefficients'!Y278</f>
        <v>6.8412922271999577</v>
      </c>
    </row>
    <row r="89" spans="5:25" x14ac:dyDescent="0.3">
      <c r="E89" s="32"/>
      <c r="F89" s="191" t="s">
        <v>198</v>
      </c>
      <c r="G89" s="28" t="s">
        <v>283</v>
      </c>
      <c r="J89" s="194">
        <f>'Pseudo-load coefficients'!J279</f>
        <v>9.8030745444975658</v>
      </c>
      <c r="K89" s="194">
        <f>'Pseudo-load coefficients'!K279</f>
        <v>9.8030745444975658</v>
      </c>
      <c r="L89" s="194">
        <f>'Pseudo-load coefficients'!L279</f>
        <v>11.159835526683924</v>
      </c>
      <c r="M89" s="194">
        <f>'Pseudo-load coefficients'!M279</f>
        <v>11.159835526683924</v>
      </c>
      <c r="N89" s="194">
        <f>'Pseudo-load coefficients'!N279</f>
        <v>8.9777364153928474</v>
      </c>
      <c r="O89" s="194">
        <f>'Pseudo-load coefficients'!O279</f>
        <v>6.7113392925779047</v>
      </c>
      <c r="P89" s="194">
        <f>'Pseudo-load coefficients'!P279</f>
        <v>7.6601542435427898</v>
      </c>
      <c r="Q89" s="194">
        <f>'Pseudo-load coefficients'!Q279</f>
        <v>19.95144716486757</v>
      </c>
      <c r="R89" s="194">
        <f>'Pseudo-load coefficients'!R279</f>
        <v>6.8412922271999577</v>
      </c>
      <c r="S89" s="194">
        <f>'Pseudo-load coefficients'!S279</f>
        <v>6.8412922271999577</v>
      </c>
      <c r="T89" s="194">
        <f>'Pseudo-load coefficients'!T279</f>
        <v>6.8412922271999577</v>
      </c>
      <c r="U89" s="194">
        <f>'Pseudo-load coefficients'!U279</f>
        <v>6.8412922271999577</v>
      </c>
      <c r="V89" s="194">
        <f>'Pseudo-load coefficients'!V279</f>
        <v>6.8412922271999577</v>
      </c>
      <c r="W89" s="194">
        <f>'Pseudo-load coefficients'!W279</f>
        <v>6.8412922271999577</v>
      </c>
      <c r="X89" s="194">
        <f>'Pseudo-load coefficients'!X279</f>
        <v>6.8412922271999577</v>
      </c>
      <c r="Y89" s="194">
        <f>'Pseudo-load coefficients'!Y279</f>
        <v>6.8412922271999577</v>
      </c>
    </row>
    <row r="90" spans="5:25" x14ac:dyDescent="0.3">
      <c r="E90" s="32"/>
      <c r="F90" s="192" t="s">
        <v>199</v>
      </c>
      <c r="G90" s="67" t="s">
        <v>283</v>
      </c>
      <c r="H90" s="37"/>
      <c r="I90" s="37"/>
      <c r="J90" s="195">
        <f>'Pseudo-load coefficients'!J280</f>
        <v>9.8030745444975658</v>
      </c>
      <c r="K90" s="195">
        <f>'Pseudo-load coefficients'!K280</f>
        <v>9.8030745444975658</v>
      </c>
      <c r="L90" s="195">
        <f>'Pseudo-load coefficients'!L280</f>
        <v>11.159835526683924</v>
      </c>
      <c r="M90" s="195">
        <f>'Pseudo-load coefficients'!M280</f>
        <v>11.159835526683924</v>
      </c>
      <c r="N90" s="195">
        <f>'Pseudo-load coefficients'!N280</f>
        <v>8.9777364153928474</v>
      </c>
      <c r="O90" s="195">
        <f>'Pseudo-load coefficients'!O280</f>
        <v>6.7113392925779047</v>
      </c>
      <c r="P90" s="195">
        <f>'Pseudo-load coefficients'!P280</f>
        <v>7.6601542435427898</v>
      </c>
      <c r="Q90" s="195">
        <f>'Pseudo-load coefficients'!Q280</f>
        <v>19.95144716486757</v>
      </c>
      <c r="R90" s="195">
        <f>'Pseudo-load coefficients'!R280</f>
        <v>6.8412922271999577</v>
      </c>
      <c r="S90" s="195">
        <f>'Pseudo-load coefficients'!S280</f>
        <v>6.8412922271999577</v>
      </c>
      <c r="T90" s="195">
        <f>'Pseudo-load coefficients'!T280</f>
        <v>6.8412922271999577</v>
      </c>
      <c r="U90" s="195">
        <f>'Pseudo-load coefficients'!U280</f>
        <v>6.8412922271999577</v>
      </c>
      <c r="V90" s="195">
        <f>'Pseudo-load coefficients'!V280</f>
        <v>6.8412922271999577</v>
      </c>
      <c r="W90" s="195">
        <f>'Pseudo-load coefficients'!W280</f>
        <v>6.8412922271999577</v>
      </c>
      <c r="X90" s="195">
        <f>'Pseudo-load coefficients'!X280</f>
        <v>6.8412922271999577</v>
      </c>
      <c r="Y90" s="195">
        <f>'Pseudo-load coefficients'!Y280</f>
        <v>6.8412922271999577</v>
      </c>
    </row>
    <row r="91" spans="5:25" x14ac:dyDescent="0.3">
      <c r="E91" s="32"/>
      <c r="J91" s="163"/>
      <c r="K91" s="163"/>
      <c r="L91" s="163"/>
      <c r="M91" s="163"/>
      <c r="N91" s="163"/>
      <c r="O91" s="163"/>
      <c r="P91" s="163"/>
      <c r="Q91" s="163"/>
      <c r="R91" s="163"/>
      <c r="S91" s="163"/>
      <c r="T91" s="163"/>
      <c r="U91" s="163"/>
      <c r="V91" s="163"/>
      <c r="W91" s="163"/>
      <c r="X91" s="163"/>
      <c r="Y91" s="163"/>
    </row>
    <row r="92" spans="5:25" x14ac:dyDescent="0.3">
      <c r="E92" s="32" t="s">
        <v>510</v>
      </c>
      <c r="J92" s="163"/>
      <c r="K92" s="163"/>
      <c r="L92" s="163"/>
      <c r="M92" s="163"/>
      <c r="N92" s="163"/>
      <c r="O92" s="163"/>
      <c r="P92" s="163"/>
      <c r="Q92" s="163"/>
      <c r="R92" s="163"/>
      <c r="S92" s="163"/>
      <c r="T92" s="163"/>
      <c r="U92" s="163"/>
      <c r="V92" s="163"/>
      <c r="W92" s="163"/>
      <c r="X92" s="163"/>
      <c r="Y92" s="163"/>
    </row>
    <row r="93" spans="5:25" x14ac:dyDescent="0.3">
      <c r="E93" s="32"/>
      <c r="F93" s="190" t="s">
        <v>189</v>
      </c>
      <c r="G93" s="64" t="s">
        <v>283</v>
      </c>
      <c r="H93" s="23"/>
      <c r="I93" s="23"/>
      <c r="J93" s="433">
        <f>'Pseudo-load coefficients'!J283</f>
        <v>1.4674440745559578</v>
      </c>
      <c r="K93" s="433">
        <f>'Pseudo-load coefficients'!K283</f>
        <v>1.4674440745559578</v>
      </c>
      <c r="L93" s="433">
        <f>'Pseudo-load coefficients'!L283</f>
        <v>1.6705406494989299</v>
      </c>
      <c r="M93" s="433">
        <f>'Pseudo-load coefficients'!M283</f>
        <v>1.6705406494989299</v>
      </c>
      <c r="N93" s="433">
        <f>'Pseudo-load coefficients'!N283</f>
        <v>1.3438973707578492</v>
      </c>
      <c r="O93" s="433">
        <f>'Pseudo-load coefficients'!O283</f>
        <v>1.004635334815031</v>
      </c>
      <c r="P93" s="433">
        <f>'Pseudo-load coefficients'!P283</f>
        <v>1.1466655592434511</v>
      </c>
      <c r="Q93" s="433">
        <f>'Pseudo-load coefficients'!Q283</f>
        <v>1.2565230255946662</v>
      </c>
      <c r="R93" s="433">
        <f>'Pseudo-load coefficients'!R283</f>
        <v>1.02408827919658</v>
      </c>
      <c r="S93" s="433">
        <f>'Pseudo-load coefficients'!S283</f>
        <v>1.02408827919658</v>
      </c>
      <c r="T93" s="433">
        <f>'Pseudo-load coefficients'!T283</f>
        <v>1.02408827919658</v>
      </c>
      <c r="U93" s="433">
        <f>'Pseudo-load coefficients'!U283</f>
        <v>1.02408827919658</v>
      </c>
      <c r="V93" s="433">
        <f>'Pseudo-load coefficients'!V283</f>
        <v>1.02408827919658</v>
      </c>
      <c r="W93" s="433">
        <f>'Pseudo-load coefficients'!W283</f>
        <v>1.02408827919658</v>
      </c>
      <c r="X93" s="433">
        <f>'Pseudo-load coefficients'!X283</f>
        <v>1.02408827919658</v>
      </c>
      <c r="Y93" s="433">
        <f>'Pseudo-load coefficients'!Y283</f>
        <v>1.02408827919658</v>
      </c>
    </row>
    <row r="94" spans="5:25" x14ac:dyDescent="0.3">
      <c r="E94" s="32"/>
      <c r="F94" s="191" t="s">
        <v>191</v>
      </c>
      <c r="G94" s="28" t="s">
        <v>283</v>
      </c>
      <c r="J94" s="194">
        <f>'Pseudo-load coefficients'!J283</f>
        <v>1.4674440745559578</v>
      </c>
      <c r="K94" s="194">
        <f>'Pseudo-load coefficients'!K283</f>
        <v>1.4674440745559578</v>
      </c>
      <c r="L94" s="194">
        <f>'Pseudo-load coefficients'!L283</f>
        <v>1.6705406494989299</v>
      </c>
      <c r="M94" s="194">
        <f>'Pseudo-load coefficients'!M283</f>
        <v>1.6705406494989299</v>
      </c>
      <c r="N94" s="194">
        <f>'Pseudo-load coefficients'!N283</f>
        <v>1.3438973707578492</v>
      </c>
      <c r="O94" s="194">
        <f>'Pseudo-load coefficients'!O283</f>
        <v>1.004635334815031</v>
      </c>
      <c r="P94" s="194">
        <f>'Pseudo-load coefficients'!P283</f>
        <v>1.1466655592434511</v>
      </c>
      <c r="Q94" s="194">
        <f>'Pseudo-load coefficients'!Q283</f>
        <v>1.2565230255946662</v>
      </c>
      <c r="R94" s="194">
        <f>'Pseudo-load coefficients'!R283</f>
        <v>1.02408827919658</v>
      </c>
      <c r="S94" s="194">
        <f>'Pseudo-load coefficients'!S283</f>
        <v>1.02408827919658</v>
      </c>
      <c r="T94" s="194">
        <f>'Pseudo-load coefficients'!T283</f>
        <v>1.02408827919658</v>
      </c>
      <c r="U94" s="194">
        <f>'Pseudo-load coefficients'!U283</f>
        <v>1.02408827919658</v>
      </c>
      <c r="V94" s="194">
        <f>'Pseudo-load coefficients'!V283</f>
        <v>1.02408827919658</v>
      </c>
      <c r="W94" s="194">
        <f>'Pseudo-load coefficients'!W283</f>
        <v>1.02408827919658</v>
      </c>
      <c r="X94" s="194">
        <f>'Pseudo-load coefficients'!X283</f>
        <v>1.02408827919658</v>
      </c>
      <c r="Y94" s="194">
        <f>'Pseudo-load coefficients'!Y283</f>
        <v>1.02408827919658</v>
      </c>
    </row>
    <row r="95" spans="5:25" x14ac:dyDescent="0.3">
      <c r="E95" s="32"/>
      <c r="F95" s="191" t="s">
        <v>192</v>
      </c>
      <c r="G95" s="28" t="s">
        <v>283</v>
      </c>
      <c r="J95" s="194">
        <f>'Pseudo-load coefficients'!J284</f>
        <v>1.8189083746122479</v>
      </c>
      <c r="K95" s="194">
        <f>'Pseudo-load coefficients'!K284</f>
        <v>1.8189083746122479</v>
      </c>
      <c r="L95" s="194">
        <f>'Pseudo-load coefficients'!L284</f>
        <v>2.0706481631494147</v>
      </c>
      <c r="M95" s="194">
        <f>'Pseudo-load coefficients'!M284</f>
        <v>2.0706481631494147</v>
      </c>
      <c r="N95" s="194">
        <f>'Pseudo-load coefficients'!N284</f>
        <v>1.665771271747106</v>
      </c>
      <c r="O95" s="194">
        <f>'Pseudo-load coefficients'!O284</f>
        <v>1.2452533323829627</v>
      </c>
      <c r="P95" s="194">
        <f>'Pseudo-load coefficients'!P284</f>
        <v>1.4213009032173627</v>
      </c>
      <c r="Q95" s="194">
        <f>'Pseudo-load coefficients'!Q284</f>
        <v>1.0789236245869944</v>
      </c>
      <c r="R95" s="194">
        <f>'Pseudo-load coefficients'!R284</f>
        <v>1.2693654086521537</v>
      </c>
      <c r="S95" s="194">
        <f>'Pseudo-load coefficients'!S284</f>
        <v>1.2693654086521537</v>
      </c>
      <c r="T95" s="194">
        <f>'Pseudo-load coefficients'!T284</f>
        <v>1.2693654086521537</v>
      </c>
      <c r="U95" s="194">
        <f>'Pseudo-load coefficients'!U284</f>
        <v>1.2693654086521537</v>
      </c>
      <c r="V95" s="194">
        <f>'Pseudo-load coefficients'!V284</f>
        <v>1.2693654086521537</v>
      </c>
      <c r="W95" s="194">
        <f>'Pseudo-load coefficients'!W284</f>
        <v>1.2693654086521537</v>
      </c>
      <c r="X95" s="194">
        <f>'Pseudo-load coefficients'!X284</f>
        <v>1.2693654086521537</v>
      </c>
      <c r="Y95" s="194">
        <f>'Pseudo-load coefficients'!Y284</f>
        <v>1.2693654086521537</v>
      </c>
    </row>
    <row r="96" spans="5:25" x14ac:dyDescent="0.3">
      <c r="E96" s="32"/>
      <c r="F96" s="191" t="s">
        <v>193</v>
      </c>
      <c r="G96" s="28" t="s">
        <v>283</v>
      </c>
      <c r="J96" s="194">
        <f>'Pseudo-load coefficients'!J285</f>
        <v>1.8189083746122479</v>
      </c>
      <c r="K96" s="194">
        <f>'Pseudo-load coefficients'!K285</f>
        <v>1.8189083746122479</v>
      </c>
      <c r="L96" s="194">
        <f>'Pseudo-load coefficients'!L285</f>
        <v>2.0706481631494147</v>
      </c>
      <c r="M96" s="194">
        <f>'Pseudo-load coefficients'!M285</f>
        <v>2.0706481631494147</v>
      </c>
      <c r="N96" s="194">
        <f>'Pseudo-load coefficients'!N285</f>
        <v>1.665771271747106</v>
      </c>
      <c r="O96" s="194">
        <f>'Pseudo-load coefficients'!O285</f>
        <v>1.2452533323829627</v>
      </c>
      <c r="P96" s="194">
        <f>'Pseudo-load coefficients'!P285</f>
        <v>1.4213009032173627</v>
      </c>
      <c r="Q96" s="194">
        <f>'Pseudo-load coefficients'!Q285</f>
        <v>1.0789236245869944</v>
      </c>
      <c r="R96" s="194">
        <f>'Pseudo-load coefficients'!R285</f>
        <v>1.2693654086521537</v>
      </c>
      <c r="S96" s="194">
        <f>'Pseudo-load coefficients'!S285</f>
        <v>1.2693654086521537</v>
      </c>
      <c r="T96" s="194">
        <f>'Pseudo-load coefficients'!T285</f>
        <v>1.2693654086521537</v>
      </c>
      <c r="U96" s="194">
        <f>'Pseudo-load coefficients'!U285</f>
        <v>1.2693654086521537</v>
      </c>
      <c r="V96" s="194">
        <f>'Pseudo-load coefficients'!V285</f>
        <v>1.2693654086521537</v>
      </c>
      <c r="W96" s="194">
        <f>'Pseudo-load coefficients'!W285</f>
        <v>1.2693654086521537</v>
      </c>
      <c r="X96" s="194">
        <f>'Pseudo-load coefficients'!X285</f>
        <v>1.2693654086521537</v>
      </c>
      <c r="Y96" s="194">
        <f>'Pseudo-load coefficients'!Y285</f>
        <v>1.2693654086521537</v>
      </c>
    </row>
    <row r="97" spans="3:25" x14ac:dyDescent="0.3">
      <c r="E97" s="32"/>
      <c r="F97" s="191" t="s">
        <v>194</v>
      </c>
      <c r="G97" s="28" t="s">
        <v>283</v>
      </c>
      <c r="J97" s="194">
        <f>'Pseudo-load coefficients'!J286</f>
        <v>1.4123467660372284</v>
      </c>
      <c r="K97" s="194">
        <f>'Pseudo-load coefficients'!K286</f>
        <v>1.4123467660372284</v>
      </c>
      <c r="L97" s="194">
        <f>'Pseudo-load coefficients'!L286</f>
        <v>1.6078177865602703</v>
      </c>
      <c r="M97" s="194">
        <f>'Pseudo-load coefficients'!M286</f>
        <v>1.6078177865602703</v>
      </c>
      <c r="N97" s="194">
        <f>'Pseudo-load coefficients'!N286</f>
        <v>1.2934388017820193</v>
      </c>
      <c r="O97" s="194">
        <f>'Pseudo-load coefficients'!O286</f>
        <v>0.96691484927770621</v>
      </c>
      <c r="P97" s="194">
        <f>'Pseudo-load coefficients'!P286</f>
        <v>1.1036123436689118</v>
      </c>
      <c r="Q97" s="194">
        <f>'Pseudo-load coefficients'!Q286</f>
        <v>0.83726548118631694</v>
      </c>
      <c r="R97" s="194">
        <f>'Pseudo-load coefficients'!R286</f>
        <v>0.98563740474919592</v>
      </c>
      <c r="S97" s="194">
        <f>'Pseudo-load coefficients'!S286</f>
        <v>0.98563740474919592</v>
      </c>
      <c r="T97" s="194">
        <f>'Pseudo-load coefficients'!T286</f>
        <v>0.98563740474919592</v>
      </c>
      <c r="U97" s="194">
        <f>'Pseudo-load coefficients'!U286</f>
        <v>0.98563740474919592</v>
      </c>
      <c r="V97" s="194">
        <f>'Pseudo-load coefficients'!V286</f>
        <v>0.98563740474919592</v>
      </c>
      <c r="W97" s="194">
        <f>'Pseudo-load coefficients'!W286</f>
        <v>0.98563740474919592</v>
      </c>
      <c r="X97" s="194">
        <f>'Pseudo-load coefficients'!X286</f>
        <v>0.98563740474919592</v>
      </c>
      <c r="Y97" s="194">
        <f>'Pseudo-load coefficients'!Y286</f>
        <v>0.98563740474919592</v>
      </c>
    </row>
    <row r="98" spans="3:25" x14ac:dyDescent="0.3">
      <c r="E98" s="32"/>
      <c r="F98" s="191" t="s">
        <v>195</v>
      </c>
      <c r="G98" s="28" t="s">
        <v>283</v>
      </c>
      <c r="J98" s="194">
        <f>'Pseudo-load coefficients'!J287</f>
        <v>1.4123467660372284</v>
      </c>
      <c r="K98" s="194">
        <f>'Pseudo-load coefficients'!K287</f>
        <v>1.4123467660372284</v>
      </c>
      <c r="L98" s="194">
        <f>'Pseudo-load coefficients'!L287</f>
        <v>1.6078177865602703</v>
      </c>
      <c r="M98" s="194">
        <f>'Pseudo-load coefficients'!M287</f>
        <v>1.6078177865602703</v>
      </c>
      <c r="N98" s="194">
        <f>'Pseudo-load coefficients'!N287</f>
        <v>1.2934388017820193</v>
      </c>
      <c r="O98" s="194">
        <f>'Pseudo-load coefficients'!O287</f>
        <v>0.96691484927770621</v>
      </c>
      <c r="P98" s="194">
        <f>'Pseudo-load coefficients'!P287</f>
        <v>1.1036123436689118</v>
      </c>
      <c r="Q98" s="194">
        <f>'Pseudo-load coefficients'!Q287</f>
        <v>0.83726548118631694</v>
      </c>
      <c r="R98" s="194">
        <f>'Pseudo-load coefficients'!R287</f>
        <v>0.98563740474919592</v>
      </c>
      <c r="S98" s="194">
        <f>'Pseudo-load coefficients'!S287</f>
        <v>0.98563740474919592</v>
      </c>
      <c r="T98" s="194">
        <f>'Pseudo-load coefficients'!T287</f>
        <v>0.98563740474919592</v>
      </c>
      <c r="U98" s="194">
        <f>'Pseudo-load coefficients'!U287</f>
        <v>0.98563740474919592</v>
      </c>
      <c r="V98" s="194">
        <f>'Pseudo-load coefficients'!V287</f>
        <v>0.98563740474919592</v>
      </c>
      <c r="W98" s="194">
        <f>'Pseudo-load coefficients'!W287</f>
        <v>0.98563740474919592</v>
      </c>
      <c r="X98" s="194">
        <f>'Pseudo-load coefficients'!X287</f>
        <v>0.98563740474919592</v>
      </c>
      <c r="Y98" s="194">
        <f>'Pseudo-load coefficients'!Y287</f>
        <v>0.98563740474919592</v>
      </c>
    </row>
    <row r="99" spans="3:25" x14ac:dyDescent="0.3">
      <c r="E99" s="32"/>
      <c r="F99" s="191" t="s">
        <v>196</v>
      </c>
      <c r="G99" s="28" t="s">
        <v>283</v>
      </c>
      <c r="J99" s="194">
        <f>'Pseudo-load coefficients'!J288</f>
        <v>1.8189083746122479</v>
      </c>
      <c r="K99" s="194">
        <f>'Pseudo-load coefficients'!K288</f>
        <v>1.8189083746122479</v>
      </c>
      <c r="L99" s="194">
        <f>'Pseudo-load coefficients'!L288</f>
        <v>2.0706481631494147</v>
      </c>
      <c r="M99" s="194">
        <f>'Pseudo-load coefficients'!M288</f>
        <v>2.0706481631494147</v>
      </c>
      <c r="N99" s="194">
        <f>'Pseudo-load coefficients'!N288</f>
        <v>1.665771271747106</v>
      </c>
      <c r="O99" s="194">
        <f>'Pseudo-load coefficients'!O288</f>
        <v>1.2452533323829627</v>
      </c>
      <c r="P99" s="194">
        <f>'Pseudo-load coefficients'!P288</f>
        <v>1.4213009032173627</v>
      </c>
      <c r="Q99" s="194">
        <f>'Pseudo-load coefficients'!Q288</f>
        <v>1.0789236245869944</v>
      </c>
      <c r="R99" s="194">
        <f>'Pseudo-load coefficients'!R288</f>
        <v>1.2693654086521537</v>
      </c>
      <c r="S99" s="194">
        <f>'Pseudo-load coefficients'!S288</f>
        <v>1.2693654086521537</v>
      </c>
      <c r="T99" s="194">
        <f>'Pseudo-load coefficients'!T288</f>
        <v>1.2693654086521537</v>
      </c>
      <c r="U99" s="194">
        <f>'Pseudo-load coefficients'!U288</f>
        <v>1.2693654086521537</v>
      </c>
      <c r="V99" s="194">
        <f>'Pseudo-load coefficients'!V288</f>
        <v>1.2693654086521537</v>
      </c>
      <c r="W99" s="194">
        <f>'Pseudo-load coefficients'!W288</f>
        <v>1.2693654086521537</v>
      </c>
      <c r="X99" s="194">
        <f>'Pseudo-load coefficients'!X288</f>
        <v>1.2693654086521537</v>
      </c>
      <c r="Y99" s="194">
        <f>'Pseudo-load coefficients'!Y288</f>
        <v>1.2693654086521537</v>
      </c>
    </row>
    <row r="100" spans="3:25" x14ac:dyDescent="0.3">
      <c r="E100" s="32"/>
      <c r="F100" s="191" t="s">
        <v>197</v>
      </c>
      <c r="G100" s="28" t="s">
        <v>283</v>
      </c>
      <c r="J100" s="194">
        <f>'Pseudo-load coefficients'!J289</f>
        <v>1.4123467660372284</v>
      </c>
      <c r="K100" s="194">
        <f>'Pseudo-load coefficients'!K289</f>
        <v>1.4123467660372284</v>
      </c>
      <c r="L100" s="194">
        <f>'Pseudo-load coefficients'!L289</f>
        <v>1.6078177865602703</v>
      </c>
      <c r="M100" s="194">
        <f>'Pseudo-load coefficients'!M289</f>
        <v>1.6078177865602703</v>
      </c>
      <c r="N100" s="194">
        <f>'Pseudo-load coefficients'!N289</f>
        <v>1.2934388017820193</v>
      </c>
      <c r="O100" s="194">
        <f>'Pseudo-load coefficients'!O289</f>
        <v>0.96691484927770621</v>
      </c>
      <c r="P100" s="194">
        <f>'Pseudo-load coefficients'!P289</f>
        <v>1.1036123436689118</v>
      </c>
      <c r="Q100" s="194">
        <f>'Pseudo-load coefficients'!Q289</f>
        <v>0.83726548118631694</v>
      </c>
      <c r="R100" s="194">
        <f>'Pseudo-load coefficients'!R289</f>
        <v>0.98563740474919592</v>
      </c>
      <c r="S100" s="194">
        <f>'Pseudo-load coefficients'!S289</f>
        <v>0.98563740474919592</v>
      </c>
      <c r="T100" s="194">
        <f>'Pseudo-load coefficients'!T289</f>
        <v>0.98563740474919592</v>
      </c>
      <c r="U100" s="194">
        <f>'Pseudo-load coefficients'!U289</f>
        <v>0.98563740474919592</v>
      </c>
      <c r="V100" s="194">
        <f>'Pseudo-load coefficients'!V289</f>
        <v>0.98563740474919592</v>
      </c>
      <c r="W100" s="194">
        <f>'Pseudo-load coefficients'!W289</f>
        <v>0.98563740474919592</v>
      </c>
      <c r="X100" s="194">
        <f>'Pseudo-load coefficients'!X289</f>
        <v>0.98563740474919592</v>
      </c>
      <c r="Y100" s="194">
        <f>'Pseudo-load coefficients'!Y289</f>
        <v>0.98563740474919592</v>
      </c>
    </row>
    <row r="101" spans="3:25" x14ac:dyDescent="0.3">
      <c r="E101" s="32"/>
      <c r="F101" s="191" t="s">
        <v>198</v>
      </c>
      <c r="G101" s="28" t="s">
        <v>283</v>
      </c>
      <c r="J101" s="194">
        <f>'Pseudo-load coefficients'!J290</f>
        <v>1.4123467660372284</v>
      </c>
      <c r="K101" s="194">
        <f>'Pseudo-load coefficients'!K290</f>
        <v>1.4123467660372284</v>
      </c>
      <c r="L101" s="194">
        <f>'Pseudo-load coefficients'!L290</f>
        <v>1.6078177865602703</v>
      </c>
      <c r="M101" s="194">
        <f>'Pseudo-load coefficients'!M290</f>
        <v>1.6078177865602703</v>
      </c>
      <c r="N101" s="194">
        <f>'Pseudo-load coefficients'!N290</f>
        <v>1.2934388017820193</v>
      </c>
      <c r="O101" s="194">
        <f>'Pseudo-load coefficients'!O290</f>
        <v>0.96691484927770621</v>
      </c>
      <c r="P101" s="194">
        <f>'Pseudo-load coefficients'!P290</f>
        <v>1.1036123436689118</v>
      </c>
      <c r="Q101" s="194">
        <f>'Pseudo-load coefficients'!Q290</f>
        <v>0.83726548118631694</v>
      </c>
      <c r="R101" s="194">
        <f>'Pseudo-load coefficients'!R290</f>
        <v>0.98563740474919592</v>
      </c>
      <c r="S101" s="194">
        <f>'Pseudo-load coefficients'!S290</f>
        <v>0.98563740474919592</v>
      </c>
      <c r="T101" s="194">
        <f>'Pseudo-load coefficients'!T290</f>
        <v>0.98563740474919592</v>
      </c>
      <c r="U101" s="194">
        <f>'Pseudo-load coefficients'!U290</f>
        <v>0.98563740474919592</v>
      </c>
      <c r="V101" s="194">
        <f>'Pseudo-load coefficients'!V290</f>
        <v>0.98563740474919592</v>
      </c>
      <c r="W101" s="194">
        <f>'Pseudo-load coefficients'!W290</f>
        <v>0.98563740474919592</v>
      </c>
      <c r="X101" s="194">
        <f>'Pseudo-load coefficients'!X290</f>
        <v>0.98563740474919592</v>
      </c>
      <c r="Y101" s="194">
        <f>'Pseudo-load coefficients'!Y290</f>
        <v>0.98563740474919592</v>
      </c>
    </row>
    <row r="102" spans="3:25" x14ac:dyDescent="0.3">
      <c r="E102" s="32"/>
      <c r="F102" s="192" t="s">
        <v>199</v>
      </c>
      <c r="G102" s="67" t="s">
        <v>283</v>
      </c>
      <c r="H102" s="37"/>
      <c r="I102" s="37"/>
      <c r="J102" s="195">
        <f>'Pseudo-load coefficients'!J291</f>
        <v>1.4123467660372284</v>
      </c>
      <c r="K102" s="195">
        <f>'Pseudo-load coefficients'!K291</f>
        <v>1.4123467660372284</v>
      </c>
      <c r="L102" s="195">
        <f>'Pseudo-load coefficients'!L291</f>
        <v>1.6078177865602703</v>
      </c>
      <c r="M102" s="195">
        <f>'Pseudo-load coefficients'!M291</f>
        <v>1.6078177865602703</v>
      </c>
      <c r="N102" s="195">
        <f>'Pseudo-load coefficients'!N291</f>
        <v>1.2934388017820193</v>
      </c>
      <c r="O102" s="195">
        <f>'Pseudo-load coefficients'!O291</f>
        <v>0.96691484927770621</v>
      </c>
      <c r="P102" s="195">
        <f>'Pseudo-load coefficients'!P291</f>
        <v>1.1036123436689118</v>
      </c>
      <c r="Q102" s="195">
        <f>'Pseudo-load coefficients'!Q291</f>
        <v>0.83726548118631694</v>
      </c>
      <c r="R102" s="195">
        <f>'Pseudo-load coefficients'!R291</f>
        <v>0.98563740474919592</v>
      </c>
      <c r="S102" s="195">
        <f>'Pseudo-load coefficients'!S291</f>
        <v>0.98563740474919592</v>
      </c>
      <c r="T102" s="195">
        <f>'Pseudo-load coefficients'!T291</f>
        <v>0.98563740474919592</v>
      </c>
      <c r="U102" s="195">
        <f>'Pseudo-load coefficients'!U291</f>
        <v>0.98563740474919592</v>
      </c>
      <c r="V102" s="195">
        <f>'Pseudo-load coefficients'!V291</f>
        <v>0.98563740474919592</v>
      </c>
      <c r="W102" s="195">
        <f>'Pseudo-load coefficients'!W291</f>
        <v>0.98563740474919592</v>
      </c>
      <c r="X102" s="195">
        <f>'Pseudo-load coefficients'!X291</f>
        <v>0.98563740474919592</v>
      </c>
      <c r="Y102" s="195">
        <f>'Pseudo-load coefficients'!Y291</f>
        <v>0.98563740474919592</v>
      </c>
    </row>
    <row r="103" spans="3:25" x14ac:dyDescent="0.3">
      <c r="E103" s="32"/>
      <c r="J103" s="163"/>
      <c r="K103" s="163"/>
      <c r="L103" s="163"/>
      <c r="M103" s="163"/>
      <c r="N103" s="163"/>
      <c r="O103" s="163"/>
      <c r="P103" s="163"/>
      <c r="Q103" s="163"/>
      <c r="R103" s="163"/>
      <c r="S103" s="163"/>
      <c r="T103" s="163"/>
      <c r="U103" s="163"/>
      <c r="V103" s="163"/>
      <c r="W103" s="163"/>
      <c r="X103" s="163"/>
      <c r="Y103" s="163"/>
    </row>
    <row r="104" spans="3:25" x14ac:dyDescent="0.3">
      <c r="E104" s="32" t="s">
        <v>513</v>
      </c>
      <c r="J104" s="163"/>
      <c r="K104" s="163"/>
      <c r="L104" s="163"/>
      <c r="M104" s="163"/>
      <c r="N104" s="163"/>
      <c r="O104" s="163"/>
      <c r="P104" s="163"/>
      <c r="Q104" s="163"/>
      <c r="R104" s="163"/>
      <c r="S104" s="163"/>
      <c r="T104" s="163"/>
      <c r="U104" s="163"/>
      <c r="V104" s="163"/>
      <c r="W104" s="163"/>
      <c r="X104" s="163"/>
      <c r="Y104" s="163"/>
    </row>
    <row r="105" spans="3:25" x14ac:dyDescent="0.3">
      <c r="C105" s="32"/>
      <c r="E105" s="32"/>
      <c r="F105" s="190" t="s">
        <v>189</v>
      </c>
      <c r="G105" s="64" t="s">
        <v>283</v>
      </c>
      <c r="H105" s="23"/>
      <c r="I105" s="23"/>
      <c r="J105" s="433">
        <f>'Pseudo-load coefficients'!J294</f>
        <v>0</v>
      </c>
      <c r="K105" s="433">
        <f>'Pseudo-load coefficients'!K294</f>
        <v>0</v>
      </c>
      <c r="L105" s="433">
        <f>'Pseudo-load coefficients'!L294</f>
        <v>0</v>
      </c>
      <c r="M105" s="433">
        <f>'Pseudo-load coefficients'!M294</f>
        <v>0</v>
      </c>
      <c r="N105" s="433">
        <f>'Pseudo-load coefficients'!N294</f>
        <v>0</v>
      </c>
      <c r="O105" s="433">
        <f>'Pseudo-load coefficients'!O294</f>
        <v>0</v>
      </c>
      <c r="P105" s="433">
        <f>'Pseudo-load coefficients'!P294</f>
        <v>0</v>
      </c>
      <c r="Q105" s="433">
        <f>'Pseudo-load coefficients'!Q294</f>
        <v>0</v>
      </c>
      <c r="R105" s="433">
        <f>'Pseudo-load coefficients'!R294</f>
        <v>0</v>
      </c>
      <c r="S105" s="433">
        <f>'Pseudo-load coefficients'!S294</f>
        <v>0</v>
      </c>
      <c r="T105" s="433">
        <f>'Pseudo-load coefficients'!T294</f>
        <v>0</v>
      </c>
      <c r="U105" s="433">
        <f>'Pseudo-load coefficients'!U294</f>
        <v>0</v>
      </c>
      <c r="V105" s="433">
        <f>'Pseudo-load coefficients'!V294</f>
        <v>0</v>
      </c>
      <c r="W105" s="433">
        <f>'Pseudo-load coefficients'!W294</f>
        <v>0</v>
      </c>
      <c r="X105" s="433">
        <f>'Pseudo-load coefficients'!X294</f>
        <v>0</v>
      </c>
      <c r="Y105" s="433">
        <f>'Pseudo-load coefficients'!Y294</f>
        <v>0</v>
      </c>
    </row>
    <row r="106" spans="3:25" x14ac:dyDescent="0.3">
      <c r="C106" s="32"/>
      <c r="E106" s="32"/>
      <c r="F106" s="191" t="s">
        <v>191</v>
      </c>
      <c r="G106" s="28" t="s">
        <v>283</v>
      </c>
      <c r="J106" s="194">
        <f>'Pseudo-load coefficients'!J294</f>
        <v>0</v>
      </c>
      <c r="K106" s="194">
        <f>'Pseudo-load coefficients'!K294</f>
        <v>0</v>
      </c>
      <c r="L106" s="194">
        <f>'Pseudo-load coefficients'!L294</f>
        <v>0</v>
      </c>
      <c r="M106" s="194">
        <f>'Pseudo-load coefficients'!M294</f>
        <v>0</v>
      </c>
      <c r="N106" s="194">
        <f>'Pseudo-load coefficients'!N294</f>
        <v>0</v>
      </c>
      <c r="O106" s="194">
        <f>'Pseudo-load coefficients'!O294</f>
        <v>0</v>
      </c>
      <c r="P106" s="194">
        <f>'Pseudo-load coefficients'!P294</f>
        <v>0</v>
      </c>
      <c r="Q106" s="194">
        <f>'Pseudo-load coefficients'!Q294</f>
        <v>0</v>
      </c>
      <c r="R106" s="194">
        <f>'Pseudo-load coefficients'!R294</f>
        <v>0</v>
      </c>
      <c r="S106" s="194">
        <f>'Pseudo-load coefficients'!S294</f>
        <v>0</v>
      </c>
      <c r="T106" s="194">
        <f>'Pseudo-load coefficients'!T294</f>
        <v>0</v>
      </c>
      <c r="U106" s="194">
        <f>'Pseudo-load coefficients'!U294</f>
        <v>0</v>
      </c>
      <c r="V106" s="194">
        <f>'Pseudo-load coefficients'!V294</f>
        <v>0</v>
      </c>
      <c r="W106" s="194">
        <f>'Pseudo-load coefficients'!W294</f>
        <v>0</v>
      </c>
      <c r="X106" s="194">
        <f>'Pseudo-load coefficients'!X294</f>
        <v>0</v>
      </c>
      <c r="Y106" s="194">
        <f>'Pseudo-load coefficients'!Y294</f>
        <v>0</v>
      </c>
    </row>
    <row r="107" spans="3:25" x14ac:dyDescent="0.3">
      <c r="C107" s="32"/>
      <c r="E107" s="32"/>
      <c r="F107" s="191" t="s">
        <v>192</v>
      </c>
      <c r="G107" s="28" t="s">
        <v>283</v>
      </c>
      <c r="J107" s="194">
        <f>'Pseudo-load coefficients'!J295</f>
        <v>7.2607033658463507E-2</v>
      </c>
      <c r="K107" s="194">
        <f>'Pseudo-load coefficients'!K295</f>
        <v>7.2607033658463507E-2</v>
      </c>
      <c r="L107" s="194">
        <f>'Pseudo-load coefficients'!L295</f>
        <v>8.2655961660891925E-2</v>
      </c>
      <c r="M107" s="194">
        <f>'Pseudo-load coefficients'!M295</f>
        <v>8.2655961660891925E-2</v>
      </c>
      <c r="N107" s="194">
        <f>'Pseudo-load coefficients'!N295</f>
        <v>6.6494119485720066E-2</v>
      </c>
      <c r="O107" s="194">
        <f>'Pseudo-load coefficients'!O295</f>
        <v>4.9707919255096052E-2</v>
      </c>
      <c r="P107" s="194">
        <f>'Pseudo-load coefficients'!P295</f>
        <v>5.6735371588306036E-2</v>
      </c>
      <c r="Q107" s="194">
        <f>'Pseudo-load coefficients'!Q295</f>
        <v>4.9561747315186623E-2</v>
      </c>
      <c r="R107" s="194">
        <f>'Pseudo-load coefficients'!R295</f>
        <v>5.0670423116031767E-2</v>
      </c>
      <c r="S107" s="194">
        <f>'Pseudo-load coefficients'!S295</f>
        <v>5.0670423116031767E-2</v>
      </c>
      <c r="T107" s="194">
        <f>'Pseudo-load coefficients'!T295</f>
        <v>5.0670423116031767E-2</v>
      </c>
      <c r="U107" s="194">
        <f>'Pseudo-load coefficients'!U295</f>
        <v>5.0670423116031767E-2</v>
      </c>
      <c r="V107" s="194">
        <f>'Pseudo-load coefficients'!V295</f>
        <v>5.0670423116031767E-2</v>
      </c>
      <c r="W107" s="194">
        <f>'Pseudo-load coefficients'!W295</f>
        <v>5.0670423116031767E-2</v>
      </c>
      <c r="X107" s="194">
        <f>'Pseudo-load coefficients'!X295</f>
        <v>5.0670423116031767E-2</v>
      </c>
      <c r="Y107" s="194">
        <f>'Pseudo-load coefficients'!Y295</f>
        <v>5.0670423116031767E-2</v>
      </c>
    </row>
    <row r="108" spans="3:25" x14ac:dyDescent="0.3">
      <c r="C108" s="32"/>
      <c r="E108" s="32"/>
      <c r="F108" s="191" t="s">
        <v>193</v>
      </c>
      <c r="G108" s="28" t="s">
        <v>283</v>
      </c>
      <c r="J108" s="194">
        <f>'Pseudo-load coefficients'!J296</f>
        <v>7.2607033658463507E-2</v>
      </c>
      <c r="K108" s="194">
        <f>'Pseudo-load coefficients'!K296</f>
        <v>7.2607033658463507E-2</v>
      </c>
      <c r="L108" s="194">
        <f>'Pseudo-load coefficients'!L296</f>
        <v>8.2655961660891925E-2</v>
      </c>
      <c r="M108" s="194">
        <f>'Pseudo-load coefficients'!M296</f>
        <v>8.2655961660891925E-2</v>
      </c>
      <c r="N108" s="194">
        <f>'Pseudo-load coefficients'!N296</f>
        <v>6.6494119485720066E-2</v>
      </c>
      <c r="O108" s="194">
        <f>'Pseudo-load coefficients'!O296</f>
        <v>4.9707919255096052E-2</v>
      </c>
      <c r="P108" s="194">
        <f>'Pseudo-load coefficients'!P296</f>
        <v>5.6735371588306036E-2</v>
      </c>
      <c r="Q108" s="194">
        <f>'Pseudo-load coefficients'!Q296</f>
        <v>4.9561747315186623E-2</v>
      </c>
      <c r="R108" s="194">
        <f>'Pseudo-load coefficients'!R296</f>
        <v>5.0670423116031767E-2</v>
      </c>
      <c r="S108" s="194">
        <f>'Pseudo-load coefficients'!S296</f>
        <v>5.0670423116031767E-2</v>
      </c>
      <c r="T108" s="194">
        <f>'Pseudo-load coefficients'!T296</f>
        <v>5.0670423116031767E-2</v>
      </c>
      <c r="U108" s="194">
        <f>'Pseudo-load coefficients'!U296</f>
        <v>5.0670423116031767E-2</v>
      </c>
      <c r="V108" s="194">
        <f>'Pseudo-load coefficients'!V296</f>
        <v>5.0670423116031767E-2</v>
      </c>
      <c r="W108" s="194">
        <f>'Pseudo-load coefficients'!W296</f>
        <v>5.0670423116031767E-2</v>
      </c>
      <c r="X108" s="194">
        <f>'Pseudo-load coefficients'!X296</f>
        <v>5.0670423116031767E-2</v>
      </c>
      <c r="Y108" s="194">
        <f>'Pseudo-load coefficients'!Y296</f>
        <v>5.0670423116031767E-2</v>
      </c>
    </row>
    <row r="109" spans="3:25" x14ac:dyDescent="0.3">
      <c r="C109" s="32"/>
      <c r="E109" s="32"/>
      <c r="F109" s="191" t="s">
        <v>194</v>
      </c>
      <c r="G109" s="28" t="s">
        <v>283</v>
      </c>
      <c r="J109" s="194">
        <f>'Pseudo-load coefficients'!J297</f>
        <v>0.19213208303773974</v>
      </c>
      <c r="K109" s="194">
        <f>'Pseudo-load coefficients'!K297</f>
        <v>0.19213208303773974</v>
      </c>
      <c r="L109" s="194">
        <f>'Pseudo-load coefficients'!L297</f>
        <v>0.21872346643572804</v>
      </c>
      <c r="M109" s="194">
        <f>'Pseudo-load coefficients'!M297</f>
        <v>0.21872346643572804</v>
      </c>
      <c r="N109" s="194">
        <f>'Pseudo-load coefficients'!N297</f>
        <v>0.17595614423042263</v>
      </c>
      <c r="O109" s="194">
        <f>'Pseudo-load coefficients'!O297</f>
        <v>0.13153665132331316</v>
      </c>
      <c r="P109" s="194">
        <f>'Pseudo-load coefficients'!P297</f>
        <v>0.15013263283082473</v>
      </c>
      <c r="Q109" s="194">
        <f>'Pseudo-load coefficients'!Q297</f>
        <v>0.13114985244335103</v>
      </c>
      <c r="R109" s="194">
        <f>'Pseudo-load coefficients'!R297</f>
        <v>0.13408362043106281</v>
      </c>
      <c r="S109" s="194">
        <f>'Pseudo-load coefficients'!S297</f>
        <v>0.13408362043106281</v>
      </c>
      <c r="T109" s="194">
        <f>'Pseudo-load coefficients'!T297</f>
        <v>0.13408362043106281</v>
      </c>
      <c r="U109" s="194">
        <f>'Pseudo-load coefficients'!U297</f>
        <v>0.13408362043106281</v>
      </c>
      <c r="V109" s="194">
        <f>'Pseudo-load coefficients'!V297</f>
        <v>0.13408362043106281</v>
      </c>
      <c r="W109" s="194">
        <f>'Pseudo-load coefficients'!W297</f>
        <v>0.13408362043106281</v>
      </c>
      <c r="X109" s="194">
        <f>'Pseudo-load coefficients'!X297</f>
        <v>0.13408362043106281</v>
      </c>
      <c r="Y109" s="194">
        <f>'Pseudo-load coefficients'!Y297</f>
        <v>0.13408362043106281</v>
      </c>
    </row>
    <row r="110" spans="3:25" x14ac:dyDescent="0.3">
      <c r="C110" s="32"/>
      <c r="E110" s="32"/>
      <c r="F110" s="191" t="s">
        <v>195</v>
      </c>
      <c r="G110" s="28" t="s">
        <v>283</v>
      </c>
      <c r="J110" s="194">
        <f>'Pseudo-load coefficients'!J298</f>
        <v>0.19213208303773974</v>
      </c>
      <c r="K110" s="194">
        <f>'Pseudo-load coefficients'!K298</f>
        <v>0.19213208303773974</v>
      </c>
      <c r="L110" s="194">
        <f>'Pseudo-load coefficients'!L298</f>
        <v>0.21872346643572804</v>
      </c>
      <c r="M110" s="194">
        <f>'Pseudo-load coefficients'!M298</f>
        <v>0.21872346643572804</v>
      </c>
      <c r="N110" s="194">
        <f>'Pseudo-load coefficients'!N298</f>
        <v>0.17595614423042263</v>
      </c>
      <c r="O110" s="194">
        <f>'Pseudo-load coefficients'!O298</f>
        <v>0.13153665132331316</v>
      </c>
      <c r="P110" s="194">
        <f>'Pseudo-load coefficients'!P298</f>
        <v>0.15013263283082473</v>
      </c>
      <c r="Q110" s="194">
        <f>'Pseudo-load coefficients'!Q298</f>
        <v>0.13114985244335103</v>
      </c>
      <c r="R110" s="194">
        <f>'Pseudo-load coefficients'!R298</f>
        <v>0.13408362043106281</v>
      </c>
      <c r="S110" s="194">
        <f>'Pseudo-load coefficients'!S298</f>
        <v>0.13408362043106281</v>
      </c>
      <c r="T110" s="194">
        <f>'Pseudo-load coefficients'!T298</f>
        <v>0.13408362043106281</v>
      </c>
      <c r="U110" s="194">
        <f>'Pseudo-load coefficients'!U298</f>
        <v>0.13408362043106281</v>
      </c>
      <c r="V110" s="194">
        <f>'Pseudo-load coefficients'!V298</f>
        <v>0.13408362043106281</v>
      </c>
      <c r="W110" s="194">
        <f>'Pseudo-load coefficients'!W298</f>
        <v>0.13408362043106281</v>
      </c>
      <c r="X110" s="194">
        <f>'Pseudo-load coefficients'!X298</f>
        <v>0.13408362043106281</v>
      </c>
      <c r="Y110" s="194">
        <f>'Pseudo-load coefficients'!Y298</f>
        <v>0.13408362043106281</v>
      </c>
    </row>
    <row r="111" spans="3:25" x14ac:dyDescent="0.3">
      <c r="C111" s="32"/>
      <c r="E111" s="32"/>
      <c r="F111" s="191" t="s">
        <v>196</v>
      </c>
      <c r="G111" s="28" t="s">
        <v>283</v>
      </c>
      <c r="J111" s="194">
        <f>'Pseudo-load coefficients'!J299</f>
        <v>7.2607033658463507E-2</v>
      </c>
      <c r="K111" s="194">
        <f>'Pseudo-load coefficients'!K299</f>
        <v>7.2607033658463507E-2</v>
      </c>
      <c r="L111" s="194">
        <f>'Pseudo-load coefficients'!L299</f>
        <v>8.2655961660891925E-2</v>
      </c>
      <c r="M111" s="194">
        <f>'Pseudo-load coefficients'!M299</f>
        <v>8.2655961660891925E-2</v>
      </c>
      <c r="N111" s="194">
        <f>'Pseudo-load coefficients'!N299</f>
        <v>6.6494119485720066E-2</v>
      </c>
      <c r="O111" s="194">
        <f>'Pseudo-load coefficients'!O299</f>
        <v>4.9707919255096052E-2</v>
      </c>
      <c r="P111" s="194">
        <f>'Pseudo-load coefficients'!P299</f>
        <v>5.6735371588306036E-2</v>
      </c>
      <c r="Q111" s="194">
        <f>'Pseudo-load coefficients'!Q299</f>
        <v>4.9561747315186623E-2</v>
      </c>
      <c r="R111" s="194">
        <f>'Pseudo-load coefficients'!R299</f>
        <v>5.0670423116031767E-2</v>
      </c>
      <c r="S111" s="194">
        <f>'Pseudo-load coefficients'!S299</f>
        <v>5.0670423116031767E-2</v>
      </c>
      <c r="T111" s="194">
        <f>'Pseudo-load coefficients'!T299</f>
        <v>5.0670423116031767E-2</v>
      </c>
      <c r="U111" s="194">
        <f>'Pseudo-load coefficients'!U299</f>
        <v>5.0670423116031767E-2</v>
      </c>
      <c r="V111" s="194">
        <f>'Pseudo-load coefficients'!V299</f>
        <v>5.0670423116031767E-2</v>
      </c>
      <c r="W111" s="194">
        <f>'Pseudo-load coefficients'!W299</f>
        <v>5.0670423116031767E-2</v>
      </c>
      <c r="X111" s="194">
        <f>'Pseudo-load coefficients'!X299</f>
        <v>5.0670423116031767E-2</v>
      </c>
      <c r="Y111" s="194">
        <f>'Pseudo-load coefficients'!Y299</f>
        <v>5.0670423116031767E-2</v>
      </c>
    </row>
    <row r="112" spans="3:25" x14ac:dyDescent="0.3">
      <c r="C112" s="32"/>
      <c r="E112" s="32"/>
      <c r="F112" s="191" t="s">
        <v>197</v>
      </c>
      <c r="G112" s="28" t="s">
        <v>283</v>
      </c>
      <c r="J112" s="194">
        <f>'Pseudo-load coefficients'!J300</f>
        <v>0.19213208303773974</v>
      </c>
      <c r="K112" s="194">
        <f>'Pseudo-load coefficients'!K300</f>
        <v>0.19213208303773974</v>
      </c>
      <c r="L112" s="194">
        <f>'Pseudo-load coefficients'!L300</f>
        <v>0.21872346643572804</v>
      </c>
      <c r="M112" s="194">
        <f>'Pseudo-load coefficients'!M300</f>
        <v>0.21872346643572804</v>
      </c>
      <c r="N112" s="194">
        <f>'Pseudo-load coefficients'!N300</f>
        <v>0.17595614423042263</v>
      </c>
      <c r="O112" s="194">
        <f>'Pseudo-load coefficients'!O300</f>
        <v>0.13153665132331316</v>
      </c>
      <c r="P112" s="194">
        <f>'Pseudo-load coefficients'!P300</f>
        <v>0.15013263283082473</v>
      </c>
      <c r="Q112" s="194">
        <f>'Pseudo-load coefficients'!Q300</f>
        <v>0.13114985244335103</v>
      </c>
      <c r="R112" s="194">
        <f>'Pseudo-load coefficients'!R300</f>
        <v>0.13408362043106281</v>
      </c>
      <c r="S112" s="194">
        <f>'Pseudo-load coefficients'!S300</f>
        <v>0.13408362043106281</v>
      </c>
      <c r="T112" s="194">
        <f>'Pseudo-load coefficients'!T300</f>
        <v>0.13408362043106281</v>
      </c>
      <c r="U112" s="194">
        <f>'Pseudo-load coefficients'!U300</f>
        <v>0.13408362043106281</v>
      </c>
      <c r="V112" s="194">
        <f>'Pseudo-load coefficients'!V300</f>
        <v>0.13408362043106281</v>
      </c>
      <c r="W112" s="194">
        <f>'Pseudo-load coefficients'!W300</f>
        <v>0.13408362043106281</v>
      </c>
      <c r="X112" s="194">
        <f>'Pseudo-load coefficients'!X300</f>
        <v>0.13408362043106281</v>
      </c>
      <c r="Y112" s="194">
        <f>'Pseudo-load coefficients'!Y300</f>
        <v>0.13408362043106281</v>
      </c>
    </row>
    <row r="113" spans="2:27" x14ac:dyDescent="0.3">
      <c r="C113" s="32"/>
      <c r="E113" s="32"/>
      <c r="F113" s="191" t="s">
        <v>198</v>
      </c>
      <c r="G113" s="28" t="s">
        <v>283</v>
      </c>
      <c r="J113" s="194">
        <f>'Pseudo-load coefficients'!J301</f>
        <v>0.19213208303773974</v>
      </c>
      <c r="K113" s="194">
        <f>'Pseudo-load coefficients'!K301</f>
        <v>0.19213208303773974</v>
      </c>
      <c r="L113" s="194">
        <f>'Pseudo-load coefficients'!L301</f>
        <v>0.21872346643572804</v>
      </c>
      <c r="M113" s="194">
        <f>'Pseudo-load coefficients'!M301</f>
        <v>0.21872346643572804</v>
      </c>
      <c r="N113" s="194">
        <f>'Pseudo-load coefficients'!N301</f>
        <v>0.17595614423042263</v>
      </c>
      <c r="O113" s="194">
        <f>'Pseudo-load coefficients'!O301</f>
        <v>0.13153665132331316</v>
      </c>
      <c r="P113" s="194">
        <f>'Pseudo-load coefficients'!P301</f>
        <v>0.15013263283082473</v>
      </c>
      <c r="Q113" s="194">
        <f>'Pseudo-load coefficients'!Q301</f>
        <v>0.13114985244335103</v>
      </c>
      <c r="R113" s="194">
        <f>'Pseudo-load coefficients'!R301</f>
        <v>0.13408362043106281</v>
      </c>
      <c r="S113" s="194">
        <f>'Pseudo-load coefficients'!S301</f>
        <v>0.13408362043106281</v>
      </c>
      <c r="T113" s="194">
        <f>'Pseudo-load coefficients'!T301</f>
        <v>0.13408362043106281</v>
      </c>
      <c r="U113" s="194">
        <f>'Pseudo-load coefficients'!U301</f>
        <v>0.13408362043106281</v>
      </c>
      <c r="V113" s="194">
        <f>'Pseudo-load coefficients'!V301</f>
        <v>0.13408362043106281</v>
      </c>
      <c r="W113" s="194">
        <f>'Pseudo-load coefficients'!W301</f>
        <v>0.13408362043106281</v>
      </c>
      <c r="X113" s="194">
        <f>'Pseudo-load coefficients'!X301</f>
        <v>0.13408362043106281</v>
      </c>
      <c r="Y113" s="194">
        <f>'Pseudo-load coefficients'!Y301</f>
        <v>0.13408362043106281</v>
      </c>
    </row>
    <row r="114" spans="2:27" x14ac:dyDescent="0.3">
      <c r="C114" s="32"/>
      <c r="E114" s="32"/>
      <c r="F114" s="192" t="s">
        <v>199</v>
      </c>
      <c r="G114" s="67" t="s">
        <v>283</v>
      </c>
      <c r="H114" s="37"/>
      <c r="I114" s="37"/>
      <c r="J114" s="195">
        <f>'Pseudo-load coefficients'!J302</f>
        <v>0.19213208303773974</v>
      </c>
      <c r="K114" s="195">
        <f>'Pseudo-load coefficients'!K302</f>
        <v>0.19213208303773974</v>
      </c>
      <c r="L114" s="195">
        <f>'Pseudo-load coefficients'!L302</f>
        <v>0.21872346643572804</v>
      </c>
      <c r="M114" s="195">
        <f>'Pseudo-load coefficients'!M302</f>
        <v>0.21872346643572804</v>
      </c>
      <c r="N114" s="195">
        <f>'Pseudo-load coefficients'!N302</f>
        <v>0.17595614423042263</v>
      </c>
      <c r="O114" s="195">
        <f>'Pseudo-load coefficients'!O302</f>
        <v>0.13153665132331316</v>
      </c>
      <c r="P114" s="195">
        <f>'Pseudo-load coefficients'!P302</f>
        <v>0.15013263283082473</v>
      </c>
      <c r="Q114" s="195">
        <f>'Pseudo-load coefficients'!Q302</f>
        <v>0.13114985244335103</v>
      </c>
      <c r="R114" s="195">
        <f>'Pseudo-load coefficients'!R302</f>
        <v>0.13408362043106281</v>
      </c>
      <c r="S114" s="195">
        <f>'Pseudo-load coefficients'!S302</f>
        <v>0.13408362043106281</v>
      </c>
      <c r="T114" s="195">
        <f>'Pseudo-load coefficients'!T302</f>
        <v>0.13408362043106281</v>
      </c>
      <c r="U114" s="195">
        <f>'Pseudo-load coefficients'!U302</f>
        <v>0.13408362043106281</v>
      </c>
      <c r="V114" s="195">
        <f>'Pseudo-load coefficients'!V302</f>
        <v>0.13408362043106281</v>
      </c>
      <c r="W114" s="195">
        <f>'Pseudo-load coefficients'!W302</f>
        <v>0.13408362043106281</v>
      </c>
      <c r="X114" s="195">
        <f>'Pseudo-load coefficients'!X302</f>
        <v>0.13408362043106281</v>
      </c>
      <c r="Y114" s="195">
        <f>'Pseudo-load coefficients'!Y302</f>
        <v>0.13408362043106281</v>
      </c>
    </row>
    <row r="115" spans="2:27" x14ac:dyDescent="0.3">
      <c r="C115" s="32"/>
      <c r="D115" s="32"/>
      <c r="E115" s="32"/>
      <c r="J115" s="163"/>
      <c r="K115" s="163"/>
      <c r="L115" s="163"/>
      <c r="M115" s="163"/>
      <c r="N115" s="163"/>
      <c r="O115" s="163"/>
      <c r="P115" s="163"/>
      <c r="Q115" s="163"/>
      <c r="R115" s="163"/>
      <c r="S115" s="163"/>
      <c r="T115" s="163"/>
      <c r="U115" s="163"/>
      <c r="V115" s="163"/>
      <c r="W115" s="163"/>
      <c r="X115" s="163"/>
      <c r="Y115" s="163"/>
    </row>
    <row r="116" spans="2:27" x14ac:dyDescent="0.3">
      <c r="B116" s="30" t="s">
        <v>619</v>
      </c>
      <c r="C116" s="30"/>
      <c r="D116" s="30"/>
      <c r="E116" s="30"/>
      <c r="F116" s="30"/>
      <c r="G116" s="30"/>
      <c r="H116" s="30"/>
      <c r="I116" s="30"/>
      <c r="J116" s="184"/>
      <c r="K116" s="184"/>
      <c r="L116" s="184"/>
      <c r="M116" s="184"/>
      <c r="N116" s="184"/>
      <c r="O116" s="184"/>
      <c r="P116" s="184"/>
      <c r="Q116" s="184"/>
      <c r="R116" s="184"/>
      <c r="S116" s="184"/>
      <c r="T116" s="184"/>
      <c r="U116" s="184"/>
      <c r="V116" s="184"/>
      <c r="W116" s="184"/>
      <c r="X116" s="184"/>
      <c r="Y116" s="184"/>
      <c r="Z116" s="30"/>
      <c r="AA116" s="30"/>
    </row>
    <row r="117" spans="2:27" x14ac:dyDescent="0.3">
      <c r="J117" s="89"/>
      <c r="K117" s="89"/>
      <c r="L117" s="89"/>
      <c r="M117" s="89"/>
      <c r="N117" s="89"/>
      <c r="O117" s="89"/>
      <c r="P117" s="89"/>
      <c r="Q117" s="89"/>
      <c r="R117" s="89"/>
      <c r="S117" s="89"/>
      <c r="T117" s="89"/>
      <c r="U117" s="89"/>
      <c r="V117" s="89"/>
      <c r="W117" s="89"/>
      <c r="X117" s="89"/>
      <c r="Y117" s="89"/>
    </row>
    <row r="118" spans="2:27" x14ac:dyDescent="0.3">
      <c r="C118" s="31" t="str">
        <f ca="1">INDEX('Version control'!$H$34:$H$57,MATCH($A$1,'Version control'!$F$34:$F$57,0),1)&amp;"-B: Yardstick charges"</f>
        <v>Section 109-B: Yardstick charges</v>
      </c>
      <c r="D118" s="31"/>
      <c r="E118" s="31"/>
      <c r="F118" s="31"/>
      <c r="G118" s="31"/>
      <c r="H118" s="31"/>
      <c r="I118" s="31"/>
      <c r="J118" s="198"/>
      <c r="K118" s="198"/>
      <c r="L118" s="198"/>
      <c r="M118" s="198"/>
      <c r="N118" s="198"/>
      <c r="O118" s="198"/>
      <c r="P118" s="198"/>
      <c r="Q118" s="198"/>
      <c r="R118" s="198"/>
      <c r="S118" s="198"/>
      <c r="T118" s="198"/>
      <c r="U118" s="198"/>
      <c r="V118" s="198"/>
      <c r="W118" s="198"/>
      <c r="X118" s="198"/>
      <c r="Y118" s="198"/>
      <c r="Z118" s="31"/>
      <c r="AA118" s="31"/>
    </row>
    <row r="119" spans="2:27" x14ac:dyDescent="0.3">
      <c r="C119" s="32"/>
      <c r="D119" s="32"/>
      <c r="E119" s="32"/>
      <c r="J119" s="89"/>
      <c r="K119" s="89"/>
      <c r="L119" s="89"/>
      <c r="M119" s="89"/>
      <c r="N119" s="89"/>
      <c r="O119" s="89"/>
      <c r="P119" s="89"/>
      <c r="Q119" s="89"/>
      <c r="R119" s="89"/>
      <c r="S119" s="89"/>
      <c r="T119" s="89"/>
      <c r="U119" s="89"/>
      <c r="V119" s="89"/>
      <c r="W119" s="89"/>
      <c r="X119" s="89"/>
      <c r="Y119" s="89"/>
    </row>
    <row r="120" spans="2:27" x14ac:dyDescent="0.3">
      <c r="D120" s="29" t="s">
        <v>620</v>
      </c>
      <c r="E120" s="32"/>
      <c r="F120" s="32"/>
      <c r="J120" s="163"/>
      <c r="K120" s="163"/>
      <c r="L120" s="163"/>
      <c r="M120" s="163"/>
      <c r="N120" s="163"/>
      <c r="O120" s="163"/>
      <c r="P120" s="163"/>
      <c r="Q120" s="163"/>
      <c r="R120" s="163"/>
      <c r="S120" s="163"/>
      <c r="T120" s="163"/>
      <c r="U120" s="163"/>
      <c r="V120" s="163"/>
      <c r="W120" s="163"/>
      <c r="X120" s="163"/>
      <c r="Y120" s="163"/>
    </row>
    <row r="121" spans="2:27" x14ac:dyDescent="0.3">
      <c r="D121" s="32"/>
      <c r="E121" s="32"/>
      <c r="F121" s="32"/>
      <c r="I121" s="3" t="s">
        <v>154</v>
      </c>
      <c r="J121" s="163"/>
      <c r="K121" s="163"/>
      <c r="L121" s="163"/>
      <c r="M121" s="163"/>
      <c r="N121" s="163"/>
      <c r="O121" s="163"/>
      <c r="P121" s="163"/>
      <c r="Q121" s="163"/>
      <c r="R121" s="163"/>
      <c r="S121" s="163"/>
      <c r="T121" s="163"/>
      <c r="U121" s="163"/>
      <c r="V121" s="163"/>
      <c r="W121" s="163"/>
      <c r="X121" s="163"/>
      <c r="Y121" s="163"/>
      <c r="AA121" t="s">
        <v>615</v>
      </c>
    </row>
    <row r="122" spans="2:27" x14ac:dyDescent="0.3">
      <c r="E122" s="32" t="s">
        <v>621</v>
      </c>
      <c r="J122" s="89"/>
      <c r="K122" s="89"/>
      <c r="L122" s="89"/>
      <c r="M122" s="89"/>
      <c r="N122" s="89"/>
      <c r="O122" s="89"/>
      <c r="P122" s="89"/>
      <c r="Q122" s="89"/>
      <c r="R122" s="89"/>
      <c r="S122" s="89"/>
      <c r="T122" s="89"/>
      <c r="U122" s="89"/>
      <c r="V122" s="89"/>
      <c r="W122" s="89"/>
      <c r="X122" s="89"/>
      <c r="Y122" s="89"/>
    </row>
    <row r="123" spans="2:27" x14ac:dyDescent="0.3">
      <c r="E123" s="32"/>
      <c r="F123" s="190" t="s">
        <v>189</v>
      </c>
      <c r="G123" s="23" t="s">
        <v>269</v>
      </c>
      <c r="H123" s="266"/>
      <c r="I123" s="266"/>
      <c r="J123" s="274">
        <f t="shared" ref="J123:Y123" si="0">hundred * $H18 * J55 / $H43 * J$78 * (1 - J67) / hours_in_year</f>
        <v>0</v>
      </c>
      <c r="K123" s="274">
        <f t="shared" si="0"/>
        <v>0</v>
      </c>
      <c r="L123" s="274">
        <f t="shared" si="0"/>
        <v>0</v>
      </c>
      <c r="M123" s="274">
        <f t="shared" si="0"/>
        <v>0</v>
      </c>
      <c r="N123" s="274">
        <f t="shared" si="0"/>
        <v>0</v>
      </c>
      <c r="O123" s="274">
        <f t="shared" si="0"/>
        <v>0</v>
      </c>
      <c r="P123" s="274">
        <f t="shared" si="0"/>
        <v>0</v>
      </c>
      <c r="Q123" s="274">
        <f t="shared" si="0"/>
        <v>0</v>
      </c>
      <c r="R123" s="274">
        <f t="shared" si="0"/>
        <v>0</v>
      </c>
      <c r="S123" s="274">
        <f t="shared" si="0"/>
        <v>0</v>
      </c>
      <c r="T123" s="274">
        <f t="shared" si="0"/>
        <v>0</v>
      </c>
      <c r="U123" s="274">
        <f t="shared" si="0"/>
        <v>0</v>
      </c>
      <c r="V123" s="274">
        <f t="shared" si="0"/>
        <v>0</v>
      </c>
      <c r="W123" s="274">
        <f t="shared" si="0"/>
        <v>0</v>
      </c>
      <c r="X123" s="274">
        <f t="shared" si="0"/>
        <v>0</v>
      </c>
      <c r="Y123" s="274">
        <f t="shared" si="0"/>
        <v>0</v>
      </c>
      <c r="Z123" s="267"/>
      <c r="AA123" s="267"/>
    </row>
    <row r="124" spans="2:27" x14ac:dyDescent="0.3">
      <c r="E124" s="32"/>
      <c r="F124" s="191" t="s">
        <v>191</v>
      </c>
      <c r="G124" t="s">
        <v>269</v>
      </c>
      <c r="H124" s="267"/>
      <c r="I124" s="267"/>
      <c r="J124" s="275">
        <f t="shared" ref="J124:Y124" si="1">hundred * $H19 * J56 / $H44 * J$78 * (1 - J68) / hours_in_year</f>
        <v>0</v>
      </c>
      <c r="K124" s="275">
        <f t="shared" si="1"/>
        <v>0</v>
      </c>
      <c r="L124" s="275">
        <f t="shared" si="1"/>
        <v>0</v>
      </c>
      <c r="M124" s="275">
        <f t="shared" si="1"/>
        <v>0</v>
      </c>
      <c r="N124" s="275">
        <f t="shared" si="1"/>
        <v>0</v>
      </c>
      <c r="O124" s="275">
        <f t="shared" si="1"/>
        <v>0</v>
      </c>
      <c r="P124" s="275">
        <f t="shared" si="1"/>
        <v>0</v>
      </c>
      <c r="Q124" s="275">
        <f t="shared" si="1"/>
        <v>0</v>
      </c>
      <c r="R124" s="275">
        <f t="shared" si="1"/>
        <v>0</v>
      </c>
      <c r="S124" s="275">
        <f t="shared" si="1"/>
        <v>0</v>
      </c>
      <c r="T124" s="275">
        <f t="shared" si="1"/>
        <v>0</v>
      </c>
      <c r="U124" s="275">
        <f t="shared" si="1"/>
        <v>0</v>
      </c>
      <c r="V124" s="275">
        <f t="shared" si="1"/>
        <v>0</v>
      </c>
      <c r="W124" s="275">
        <f t="shared" si="1"/>
        <v>0</v>
      </c>
      <c r="X124" s="275">
        <f t="shared" si="1"/>
        <v>0</v>
      </c>
      <c r="Y124" s="275">
        <f t="shared" si="1"/>
        <v>0</v>
      </c>
      <c r="Z124" s="267"/>
      <c r="AA124" s="267"/>
    </row>
    <row r="125" spans="2:27" x14ac:dyDescent="0.3">
      <c r="E125" s="32"/>
      <c r="F125" s="191" t="s">
        <v>192</v>
      </c>
      <c r="G125" t="s">
        <v>269</v>
      </c>
      <c r="H125" s="267"/>
      <c r="I125" s="267"/>
      <c r="J125" s="275">
        <f t="shared" ref="J125:Y125" si="2">hundred * $H20 * J57 / $H45 * J$78 * (1 - J69) / hours_in_year</f>
        <v>0.10860461500815134</v>
      </c>
      <c r="K125" s="275">
        <f t="shared" si="2"/>
        <v>0.10860461500815134</v>
      </c>
      <c r="L125" s="275">
        <f t="shared" si="2"/>
        <v>0.1180960596334041</v>
      </c>
      <c r="M125" s="275">
        <f t="shared" si="2"/>
        <v>0.1180960596334041</v>
      </c>
      <c r="N125" s="275">
        <f t="shared" si="2"/>
        <v>9.9129493534051233E-2</v>
      </c>
      <c r="O125" s="275">
        <f t="shared" si="2"/>
        <v>9.8888111310327459E-2</v>
      </c>
      <c r="P125" s="275">
        <f t="shared" si="2"/>
        <v>7.2963718763413635E-2</v>
      </c>
      <c r="Q125" s="275">
        <f t="shared" si="2"/>
        <v>7.8461706273961596E-2</v>
      </c>
      <c r="R125" s="275">
        <f t="shared" si="2"/>
        <v>-6.0305648507411352E-2</v>
      </c>
      <c r="S125" s="275">
        <f t="shared" si="2"/>
        <v>-5.903314399762194E-2</v>
      </c>
      <c r="T125" s="275">
        <f t="shared" si="2"/>
        <v>-6.0305648507411352E-2</v>
      </c>
      <c r="U125" s="275">
        <f t="shared" si="2"/>
        <v>-6.0305648507411352E-2</v>
      </c>
      <c r="V125" s="275">
        <f t="shared" si="2"/>
        <v>-5.903314399762194E-2</v>
      </c>
      <c r="W125" s="275">
        <f t="shared" si="2"/>
        <v>-5.903314399762194E-2</v>
      </c>
      <c r="X125" s="275">
        <f t="shared" si="2"/>
        <v>-5.8147923469072778E-2</v>
      </c>
      <c r="Y125" s="275">
        <f t="shared" si="2"/>
        <v>-5.8147923469072778E-2</v>
      </c>
      <c r="Z125" s="267"/>
      <c r="AA125" s="267"/>
    </row>
    <row r="126" spans="2:27" x14ac:dyDescent="0.3">
      <c r="E126" s="32"/>
      <c r="F126" s="191" t="s">
        <v>193</v>
      </c>
      <c r="G126" t="s">
        <v>269</v>
      </c>
      <c r="H126" s="267"/>
      <c r="I126" s="267"/>
      <c r="J126" s="275">
        <f t="shared" ref="J126:Y126" si="3">hundred * $H21 * J58 / $H46 * J$78 * (1 - J70) / hours_in_year</f>
        <v>2.5711839084417525E-2</v>
      </c>
      <c r="K126" s="275">
        <f t="shared" si="3"/>
        <v>2.5711839084417525E-2</v>
      </c>
      <c r="L126" s="275">
        <f t="shared" si="3"/>
        <v>2.7958912073579562E-2</v>
      </c>
      <c r="M126" s="275">
        <f t="shared" si="3"/>
        <v>2.7958912073579562E-2</v>
      </c>
      <c r="N126" s="275">
        <f t="shared" si="3"/>
        <v>2.3468630555672353E-2</v>
      </c>
      <c r="O126" s="275">
        <f t="shared" si="3"/>
        <v>2.3411483988799862E-2</v>
      </c>
      <c r="P126" s="275">
        <f t="shared" si="3"/>
        <v>1.7273956504562728E-2</v>
      </c>
      <c r="Q126" s="275">
        <f t="shared" si="3"/>
        <v>1.857558968238613E-2</v>
      </c>
      <c r="R126" s="275">
        <f t="shared" si="3"/>
        <v>-1.4277193747131524E-2</v>
      </c>
      <c r="S126" s="275">
        <f t="shared" si="3"/>
        <v>-1.3975931860724159E-2</v>
      </c>
      <c r="T126" s="275">
        <f t="shared" si="3"/>
        <v>-1.4277193747131524E-2</v>
      </c>
      <c r="U126" s="275">
        <f t="shared" si="3"/>
        <v>-1.4277193747131524E-2</v>
      </c>
      <c r="V126" s="275">
        <f t="shared" si="3"/>
        <v>-1.3975931860724159E-2</v>
      </c>
      <c r="W126" s="275">
        <f t="shared" si="3"/>
        <v>-1.3975931860724159E-2</v>
      </c>
      <c r="X126" s="275">
        <f t="shared" si="3"/>
        <v>-1.3766358374527733E-2</v>
      </c>
      <c r="Y126" s="275">
        <f t="shared" si="3"/>
        <v>-1.3766358374527733E-2</v>
      </c>
      <c r="Z126" s="267"/>
      <c r="AA126" s="267"/>
    </row>
    <row r="127" spans="2:27" x14ac:dyDescent="0.3">
      <c r="E127" s="32"/>
      <c r="F127" s="191" t="s">
        <v>194</v>
      </c>
      <c r="G127" t="s">
        <v>269</v>
      </c>
      <c r="H127" s="267"/>
      <c r="I127" s="267"/>
      <c r="J127" s="275">
        <f t="shared" ref="J127:Y127" si="4">hundred * $H22 * J59 / $H47 * J$78 * (1 - J71) / hours_in_year</f>
        <v>2.6134375651569178E-2</v>
      </c>
      <c r="K127" s="275">
        <f t="shared" si="4"/>
        <v>2.6134375651569178E-2</v>
      </c>
      <c r="L127" s="275">
        <f t="shared" si="4"/>
        <v>2.8418376007298126E-2</v>
      </c>
      <c r="M127" s="275">
        <f t="shared" si="4"/>
        <v>2.8418376007298126E-2</v>
      </c>
      <c r="N127" s="275">
        <f t="shared" si="4"/>
        <v>2.3854303263026604E-2</v>
      </c>
      <c r="O127" s="275">
        <f t="shared" si="4"/>
        <v>2.379621757569246E-2</v>
      </c>
      <c r="P127" s="275">
        <f t="shared" si="4"/>
        <v>1.7557828780622061E-2</v>
      </c>
      <c r="Q127" s="275">
        <f t="shared" si="4"/>
        <v>1.8880852400912158E-2</v>
      </c>
      <c r="R127" s="275">
        <f t="shared" si="4"/>
        <v>-1.4511818598923164E-2</v>
      </c>
      <c r="S127" s="275">
        <f t="shared" si="4"/>
        <v>-1.4205605912890837E-2</v>
      </c>
      <c r="T127" s="275">
        <f t="shared" si="4"/>
        <v>-1.4511818598923164E-2</v>
      </c>
      <c r="U127" s="275">
        <f t="shared" si="4"/>
        <v>-1.4511818598923164E-2</v>
      </c>
      <c r="V127" s="275">
        <f t="shared" si="4"/>
        <v>-1.4205605912890837E-2</v>
      </c>
      <c r="W127" s="275">
        <f t="shared" si="4"/>
        <v>-1.4205605912890837E-2</v>
      </c>
      <c r="X127" s="275">
        <f t="shared" si="4"/>
        <v>-1.3992588392172701E-2</v>
      </c>
      <c r="Y127" s="275">
        <f t="shared" si="4"/>
        <v>-1.3992588392172701E-2</v>
      </c>
      <c r="Z127" s="267"/>
      <c r="AA127" s="267"/>
    </row>
    <row r="128" spans="2:27" x14ac:dyDescent="0.3">
      <c r="E128" s="32"/>
      <c r="F128" s="191" t="s">
        <v>195</v>
      </c>
      <c r="G128" t="s">
        <v>269</v>
      </c>
      <c r="H128" s="267"/>
      <c r="I128" s="267"/>
      <c r="J128" s="275">
        <f t="shared" ref="J128:Y128" si="5">hundred * $H23 * J60 / $H48 * J$78 * (1 - J72) / hours_in_year</f>
        <v>5.0378926023429312E-2</v>
      </c>
      <c r="K128" s="275">
        <f t="shared" si="5"/>
        <v>5.0378926023429312E-2</v>
      </c>
      <c r="L128" s="275">
        <f t="shared" si="5"/>
        <v>5.4781766423859762E-2</v>
      </c>
      <c r="M128" s="275">
        <f t="shared" si="5"/>
        <v>5.4781766423859762E-2</v>
      </c>
      <c r="N128" s="275">
        <f t="shared" si="5"/>
        <v>4.5983657518763377E-2</v>
      </c>
      <c r="O128" s="275">
        <f t="shared" si="5"/>
        <v>4.5871686428110937E-2</v>
      </c>
      <c r="P128" s="275">
        <f t="shared" si="5"/>
        <v>2.5125893967638323E-2</v>
      </c>
      <c r="Q128" s="275">
        <f t="shared" si="5"/>
        <v>3.6396395270599423E-2</v>
      </c>
      <c r="R128" s="275">
        <f t="shared" si="5"/>
        <v>-2.7974260621629929E-2</v>
      </c>
      <c r="S128" s="275">
        <f t="shared" si="5"/>
        <v>-2.7383978058054245E-2</v>
      </c>
      <c r="T128" s="275">
        <f t="shared" si="5"/>
        <v>-2.7974260621629929E-2</v>
      </c>
      <c r="U128" s="275">
        <f t="shared" si="5"/>
        <v>-2.7974260621629929E-2</v>
      </c>
      <c r="V128" s="275">
        <f t="shared" si="5"/>
        <v>-2.7383978058054245E-2</v>
      </c>
      <c r="W128" s="275">
        <f t="shared" si="5"/>
        <v>-2.7383978058054245E-2</v>
      </c>
      <c r="X128" s="275">
        <f t="shared" si="5"/>
        <v>-2.0023904815757179E-2</v>
      </c>
      <c r="Y128" s="275">
        <f t="shared" si="5"/>
        <v>-2.0023904815757179E-2</v>
      </c>
      <c r="Z128" s="267"/>
      <c r="AA128" s="267"/>
    </row>
    <row r="129" spans="4:27" x14ac:dyDescent="0.3">
      <c r="E129" s="32"/>
      <c r="F129" s="191" t="s">
        <v>196</v>
      </c>
      <c r="G129" t="s">
        <v>269</v>
      </c>
      <c r="H129" s="267"/>
      <c r="I129" s="267"/>
      <c r="J129" s="275">
        <f t="shared" ref="J129:Y129" si="6">hundred * $H24 * J61 / $H49 * J$78 * (1 - J73) / hours_in_year</f>
        <v>5.3785535185303865E-2</v>
      </c>
      <c r="K129" s="275">
        <f t="shared" si="6"/>
        <v>5.3785535185303865E-2</v>
      </c>
      <c r="L129" s="275">
        <f t="shared" si="6"/>
        <v>5.8486094446184078E-2</v>
      </c>
      <c r="M129" s="275">
        <f t="shared" si="6"/>
        <v>5.8486094446184078E-2</v>
      </c>
      <c r="N129" s="275">
        <f t="shared" si="6"/>
        <v>4.909305982970328E-2</v>
      </c>
      <c r="O129" s="275">
        <f t="shared" si="6"/>
        <v>4.8973517284607679E-2</v>
      </c>
      <c r="P129" s="275">
        <f t="shared" si="6"/>
        <v>2.6824900027248227E-2</v>
      </c>
      <c r="Q129" s="275">
        <f t="shared" si="6"/>
        <v>3.8857509537512727E-2</v>
      </c>
      <c r="R129" s="275">
        <f t="shared" si="6"/>
        <v>-2.9865872453251587E-2</v>
      </c>
      <c r="S129" s="275">
        <f t="shared" si="6"/>
        <v>-2.923567514460499E-2</v>
      </c>
      <c r="T129" s="275">
        <f t="shared" si="6"/>
        <v>-2.9865872453251587E-2</v>
      </c>
      <c r="U129" s="275">
        <f t="shared" si="6"/>
        <v>-2.9865872453251587E-2</v>
      </c>
      <c r="V129" s="275">
        <f t="shared" si="6"/>
        <v>-2.923567514460499E-2</v>
      </c>
      <c r="W129" s="275">
        <f t="shared" si="6"/>
        <v>-2.923567514460499E-2</v>
      </c>
      <c r="X129" s="275">
        <f t="shared" si="6"/>
        <v>-2.1377915768077578E-2</v>
      </c>
      <c r="Y129" s="275">
        <f t="shared" si="6"/>
        <v>-2.1377915768077578E-2</v>
      </c>
      <c r="Z129" s="267"/>
      <c r="AA129" s="267"/>
    </row>
    <row r="130" spans="4:27" x14ac:dyDescent="0.3">
      <c r="E130" s="32"/>
      <c r="F130" s="191" t="s">
        <v>197</v>
      </c>
      <c r="G130" t="s">
        <v>269</v>
      </c>
      <c r="H130" s="267"/>
      <c r="I130" s="267"/>
      <c r="J130" s="275">
        <f t="shared" ref="J130:Y130" si="7">hundred * $H25 * J62 / $H50 * J$78 * (1 - J74) / hours_in_year</f>
        <v>0.19711622085504762</v>
      </c>
      <c r="K130" s="275">
        <f t="shared" si="7"/>
        <v>0.19711622085504762</v>
      </c>
      <c r="L130" s="275">
        <f t="shared" si="7"/>
        <v>0.214343091875624</v>
      </c>
      <c r="M130" s="275">
        <f t="shared" si="7"/>
        <v>0.214343091875624</v>
      </c>
      <c r="N130" s="275">
        <f t="shared" si="7"/>
        <v>0.17991897618016026</v>
      </c>
      <c r="O130" s="275">
        <f t="shared" si="7"/>
        <v>0.17948087001203425</v>
      </c>
      <c r="P130" s="275">
        <f t="shared" si="7"/>
        <v>0.10468949871957975</v>
      </c>
      <c r="Q130" s="275">
        <f t="shared" si="7"/>
        <v>0.14240716217631527</v>
      </c>
      <c r="R130" s="275">
        <f t="shared" si="7"/>
        <v>-0.10945411048233605</v>
      </c>
      <c r="S130" s="275">
        <f t="shared" si="7"/>
        <v>-0.10714452833454362</v>
      </c>
      <c r="T130" s="275">
        <f t="shared" si="7"/>
        <v>-0.10945411048233605</v>
      </c>
      <c r="U130" s="275">
        <f t="shared" si="7"/>
        <v>-0.10945411048233605</v>
      </c>
      <c r="V130" s="275">
        <f t="shared" si="7"/>
        <v>-0.10714452833454362</v>
      </c>
      <c r="W130" s="275">
        <f t="shared" si="7"/>
        <v>-0.10714452833454362</v>
      </c>
      <c r="X130" s="275">
        <f t="shared" si="7"/>
        <v>0</v>
      </c>
      <c r="Y130" s="275">
        <f t="shared" si="7"/>
        <v>0</v>
      </c>
      <c r="Z130" s="267"/>
      <c r="AA130" s="267"/>
    </row>
    <row r="131" spans="4:27" x14ac:dyDescent="0.3">
      <c r="E131" s="32"/>
      <c r="F131" s="191" t="s">
        <v>198</v>
      </c>
      <c r="G131" t="s">
        <v>269</v>
      </c>
      <c r="H131" s="267"/>
      <c r="I131" s="267"/>
      <c r="J131" s="275">
        <f t="shared" ref="J131:Y131" si="8">hundred * $H26 * J63 / $H51 * J$78 * (1 - J75) / hours_in_year</f>
        <v>5.6190591412528502E-2</v>
      </c>
      <c r="K131" s="275">
        <f t="shared" si="8"/>
        <v>5.6190591412528502E-2</v>
      </c>
      <c r="L131" s="275">
        <f t="shared" si="8"/>
        <v>6.1101339328831959E-2</v>
      </c>
      <c r="M131" s="275">
        <f t="shared" si="8"/>
        <v>6.1101339328831959E-2</v>
      </c>
      <c r="N131" s="275">
        <f t="shared" si="8"/>
        <v>5.1288288878743232E-2</v>
      </c>
      <c r="O131" s="275">
        <f t="shared" si="8"/>
        <v>5.1163400908683286E-2</v>
      </c>
      <c r="P131" s="275">
        <f t="shared" si="8"/>
        <v>0</v>
      </c>
      <c r="Q131" s="275">
        <f t="shared" si="8"/>
        <v>4.059504910025321E-2</v>
      </c>
      <c r="R131" s="275">
        <f t="shared" si="8"/>
        <v>-3.1201344941862535E-2</v>
      </c>
      <c r="S131" s="275">
        <f t="shared" si="8"/>
        <v>0</v>
      </c>
      <c r="T131" s="275">
        <f t="shared" si="8"/>
        <v>-3.1201344941862535E-2</v>
      </c>
      <c r="U131" s="275">
        <f t="shared" si="8"/>
        <v>-3.1201344941862535E-2</v>
      </c>
      <c r="V131" s="275">
        <f t="shared" si="8"/>
        <v>0</v>
      </c>
      <c r="W131" s="275">
        <f t="shared" si="8"/>
        <v>0</v>
      </c>
      <c r="X131" s="275">
        <f t="shared" si="8"/>
        <v>0</v>
      </c>
      <c r="Y131" s="275">
        <f t="shared" si="8"/>
        <v>0</v>
      </c>
      <c r="Z131" s="267"/>
      <c r="AA131" s="267"/>
    </row>
    <row r="132" spans="4:27" x14ac:dyDescent="0.3">
      <c r="E132" s="32"/>
      <c r="F132" s="192" t="s">
        <v>199</v>
      </c>
      <c r="G132" s="37" t="s">
        <v>269</v>
      </c>
      <c r="H132" s="269"/>
      <c r="I132" s="269"/>
      <c r="J132" s="276">
        <f t="shared" ref="J132:Y132" si="9">hundred * $H27 * J64 / $H52 * J$78 * (1 - J76) / hours_in_year</f>
        <v>3.7518644372927366E-2</v>
      </c>
      <c r="K132" s="276">
        <f t="shared" si="9"/>
        <v>3.7518644372927366E-2</v>
      </c>
      <c r="L132" s="276">
        <f t="shared" si="9"/>
        <v>4.0797567054559856E-2</v>
      </c>
      <c r="M132" s="276">
        <f t="shared" si="9"/>
        <v>4.0797567054559856E-2</v>
      </c>
      <c r="N132" s="276">
        <f t="shared" si="9"/>
        <v>3.4245360701231027E-2</v>
      </c>
      <c r="O132" s="276">
        <f t="shared" si="9"/>
        <v>0</v>
      </c>
      <c r="P132" s="276">
        <f t="shared" si="9"/>
        <v>0</v>
      </c>
      <c r="Q132" s="276">
        <f t="shared" si="9"/>
        <v>2.7105449012133638E-2</v>
      </c>
      <c r="R132" s="276">
        <f t="shared" si="9"/>
        <v>0</v>
      </c>
      <c r="S132" s="276">
        <f t="shared" si="9"/>
        <v>0</v>
      </c>
      <c r="T132" s="276">
        <f t="shared" si="9"/>
        <v>0</v>
      </c>
      <c r="U132" s="276">
        <f t="shared" si="9"/>
        <v>0</v>
      </c>
      <c r="V132" s="276">
        <f t="shared" si="9"/>
        <v>0</v>
      </c>
      <c r="W132" s="276">
        <f t="shared" si="9"/>
        <v>0</v>
      </c>
      <c r="X132" s="276">
        <f t="shared" si="9"/>
        <v>0</v>
      </c>
      <c r="Y132" s="276">
        <f t="shared" si="9"/>
        <v>0</v>
      </c>
      <c r="Z132" s="267"/>
      <c r="AA132" s="267"/>
    </row>
    <row r="133" spans="4:27" x14ac:dyDescent="0.3">
      <c r="E133" s="32"/>
      <c r="F133" s="191"/>
      <c r="J133" s="89"/>
      <c r="K133" s="89"/>
      <c r="L133" s="89"/>
      <c r="M133" s="89"/>
      <c r="N133" s="89"/>
      <c r="O133" s="89"/>
      <c r="P133" s="89"/>
      <c r="Q133" s="89"/>
      <c r="R133" s="89"/>
      <c r="S133" s="89"/>
      <c r="T133" s="89"/>
      <c r="U133" s="89"/>
      <c r="V133" s="89"/>
      <c r="W133" s="89"/>
      <c r="X133" s="89"/>
      <c r="Y133" s="89"/>
    </row>
    <row r="134" spans="4:27" x14ac:dyDescent="0.3">
      <c r="E134" s="32" t="s">
        <v>622</v>
      </c>
      <c r="J134" s="89"/>
      <c r="K134" s="89"/>
      <c r="L134" s="89"/>
      <c r="M134" s="89"/>
      <c r="N134" s="89"/>
      <c r="O134" s="89"/>
      <c r="P134" s="89"/>
      <c r="Q134" s="89"/>
      <c r="R134" s="89"/>
      <c r="S134" s="89"/>
      <c r="T134" s="89"/>
      <c r="U134" s="89"/>
      <c r="V134" s="89"/>
      <c r="W134" s="89"/>
      <c r="X134" s="89"/>
      <c r="Y134" s="89"/>
    </row>
    <row r="135" spans="4:27" x14ac:dyDescent="0.3">
      <c r="D135" s="32"/>
      <c r="E135" s="32"/>
      <c r="F135" s="190" t="s">
        <v>189</v>
      </c>
      <c r="G135" s="23" t="s">
        <v>269</v>
      </c>
      <c r="H135" s="266"/>
      <c r="I135" s="266"/>
      <c r="J135" s="274">
        <f t="shared" ref="J135:Y135" si="10">hundred * $H30 * J55 / $H43 * J$78 / hours_in_year</f>
        <v>7.8536851193323293E-2</v>
      </c>
      <c r="K135" s="274">
        <f t="shared" si="10"/>
        <v>7.8536851193323293E-2</v>
      </c>
      <c r="L135" s="274">
        <f t="shared" si="10"/>
        <v>8.5400539021756719E-2</v>
      </c>
      <c r="M135" s="274">
        <f t="shared" si="10"/>
        <v>8.5400539021756719E-2</v>
      </c>
      <c r="N135" s="274">
        <f t="shared" si="10"/>
        <v>7.1684967365051269E-2</v>
      </c>
      <c r="O135" s="274">
        <f t="shared" si="10"/>
        <v>7.1510413090503308E-2</v>
      </c>
      <c r="P135" s="274">
        <f t="shared" si="10"/>
        <v>5.2763326149663302E-2</v>
      </c>
      <c r="Q135" s="274">
        <f t="shared" si="10"/>
        <v>5.6739166650973935E-2</v>
      </c>
      <c r="R135" s="274">
        <f t="shared" si="10"/>
        <v>-4.3609709795370551E-2</v>
      </c>
      <c r="S135" s="274">
        <f t="shared" si="10"/>
        <v>-4.2689504909780157E-2</v>
      </c>
      <c r="T135" s="274">
        <f t="shared" si="10"/>
        <v>-4.3609709795370551E-2</v>
      </c>
      <c r="U135" s="274">
        <f t="shared" si="10"/>
        <v>-4.3609709795370551E-2</v>
      </c>
      <c r="V135" s="274">
        <f t="shared" si="10"/>
        <v>-4.2689504909780157E-2</v>
      </c>
      <c r="W135" s="274">
        <f t="shared" si="10"/>
        <v>-4.2689504909780157E-2</v>
      </c>
      <c r="X135" s="274">
        <f t="shared" si="10"/>
        <v>-4.2049362380673805E-2</v>
      </c>
      <c r="Y135" s="274">
        <f t="shared" si="10"/>
        <v>-4.2049362380673805E-2</v>
      </c>
      <c r="Z135" s="267"/>
      <c r="AA135" s="267"/>
    </row>
    <row r="136" spans="4:27" x14ac:dyDescent="0.3">
      <c r="D136" s="32"/>
      <c r="E136" s="32"/>
      <c r="F136" s="191" t="s">
        <v>191</v>
      </c>
      <c r="G136" t="s">
        <v>269</v>
      </c>
      <c r="H136" s="267"/>
      <c r="I136" s="267"/>
      <c r="J136" s="275">
        <f t="shared" ref="J136:Y136" si="11">hundred * $H31 * J56 / $H44 * J$78 / hours_in_year</f>
        <v>0</v>
      </c>
      <c r="K136" s="275">
        <f t="shared" si="11"/>
        <v>0</v>
      </c>
      <c r="L136" s="275">
        <f t="shared" si="11"/>
        <v>0</v>
      </c>
      <c r="M136" s="275">
        <f t="shared" si="11"/>
        <v>0</v>
      </c>
      <c r="N136" s="275">
        <f t="shared" si="11"/>
        <v>0</v>
      </c>
      <c r="O136" s="275">
        <f t="shared" si="11"/>
        <v>0</v>
      </c>
      <c r="P136" s="275">
        <f t="shared" si="11"/>
        <v>0</v>
      </c>
      <c r="Q136" s="275">
        <f t="shared" si="11"/>
        <v>0</v>
      </c>
      <c r="R136" s="275">
        <f t="shared" si="11"/>
        <v>0</v>
      </c>
      <c r="S136" s="275">
        <f t="shared" si="11"/>
        <v>0</v>
      </c>
      <c r="T136" s="275">
        <f t="shared" si="11"/>
        <v>0</v>
      </c>
      <c r="U136" s="275">
        <f t="shared" si="11"/>
        <v>0</v>
      </c>
      <c r="V136" s="275">
        <f t="shared" si="11"/>
        <v>0</v>
      </c>
      <c r="W136" s="275">
        <f t="shared" si="11"/>
        <v>0</v>
      </c>
      <c r="X136" s="275">
        <f t="shared" si="11"/>
        <v>0</v>
      </c>
      <c r="Y136" s="275">
        <f t="shared" si="11"/>
        <v>0</v>
      </c>
      <c r="Z136" s="267"/>
      <c r="AA136" s="267"/>
    </row>
    <row r="137" spans="4:27" x14ac:dyDescent="0.3">
      <c r="D137" s="32"/>
      <c r="E137" s="32"/>
      <c r="F137" s="191" t="s">
        <v>192</v>
      </c>
      <c r="G137" t="s">
        <v>269</v>
      </c>
      <c r="H137" s="267"/>
      <c r="I137" s="267"/>
      <c r="J137" s="275">
        <f t="shared" ref="J137:Y137" si="12">hundred * $H32 * J57 / $H45 * J$78 / hours_in_year</f>
        <v>7.6252611593238012E-2</v>
      </c>
      <c r="K137" s="275">
        <f t="shared" si="12"/>
        <v>7.6252611593238012E-2</v>
      </c>
      <c r="L137" s="275">
        <f t="shared" si="12"/>
        <v>8.2916669473410101E-2</v>
      </c>
      <c r="M137" s="275">
        <f t="shared" si="12"/>
        <v>8.2916669473410101E-2</v>
      </c>
      <c r="N137" s="275">
        <f t="shared" si="12"/>
        <v>6.9600014394591556E-2</v>
      </c>
      <c r="O137" s="275">
        <f t="shared" si="12"/>
        <v>6.9430537020635202E-2</v>
      </c>
      <c r="P137" s="275">
        <f t="shared" si="12"/>
        <v>5.1228707977531603E-2</v>
      </c>
      <c r="Q137" s="275">
        <f t="shared" si="12"/>
        <v>5.5088911396648031E-2</v>
      </c>
      <c r="R137" s="275">
        <f t="shared" si="12"/>
        <v>-4.2341324005143177E-2</v>
      </c>
      <c r="S137" s="275">
        <f t="shared" si="12"/>
        <v>-4.1447883223383275E-2</v>
      </c>
      <c r="T137" s="275">
        <f t="shared" si="12"/>
        <v>-4.2341324005143177E-2</v>
      </c>
      <c r="U137" s="275">
        <f t="shared" si="12"/>
        <v>-4.2341324005143177E-2</v>
      </c>
      <c r="V137" s="275">
        <f t="shared" si="12"/>
        <v>-4.1447883223383275E-2</v>
      </c>
      <c r="W137" s="275">
        <f t="shared" si="12"/>
        <v>-4.1447883223383275E-2</v>
      </c>
      <c r="X137" s="275">
        <f t="shared" si="12"/>
        <v>-4.0826359201289422E-2</v>
      </c>
      <c r="Y137" s="275">
        <f t="shared" si="12"/>
        <v>-4.0826359201289422E-2</v>
      </c>
      <c r="Z137" s="267"/>
      <c r="AA137" s="267"/>
    </row>
    <row r="138" spans="4:27" x14ac:dyDescent="0.3">
      <c r="D138" s="32"/>
      <c r="E138" s="32"/>
      <c r="F138" s="191" t="s">
        <v>193</v>
      </c>
      <c r="G138" t="s">
        <v>269</v>
      </c>
      <c r="H138" s="267"/>
      <c r="I138" s="267"/>
      <c r="J138" s="275">
        <f t="shared" ref="J138:Y138" si="13">hundred * $H33 * J58 / $H46 * J$78 / hours_in_year</f>
        <v>1.8052592690511113E-2</v>
      </c>
      <c r="K138" s="275">
        <f t="shared" si="13"/>
        <v>1.8052592690511113E-2</v>
      </c>
      <c r="L138" s="275">
        <f t="shared" si="13"/>
        <v>1.9630289769510645E-2</v>
      </c>
      <c r="M138" s="275">
        <f t="shared" si="13"/>
        <v>1.9630289769510645E-2</v>
      </c>
      <c r="N138" s="275">
        <f t="shared" si="13"/>
        <v>1.6477608895833454E-2</v>
      </c>
      <c r="O138" s="275">
        <f t="shared" si="13"/>
        <v>1.6437485601189954E-2</v>
      </c>
      <c r="P138" s="275">
        <f t="shared" si="13"/>
        <v>1.2128253444128941E-2</v>
      </c>
      <c r="Q138" s="275">
        <f t="shared" si="13"/>
        <v>1.3042145815442909E-2</v>
      </c>
      <c r="R138" s="275">
        <f t="shared" si="13"/>
        <v>-1.0024190126356197E-2</v>
      </c>
      <c r="S138" s="275">
        <f t="shared" si="13"/>
        <v>-9.8126705181853738E-3</v>
      </c>
      <c r="T138" s="275">
        <f t="shared" si="13"/>
        <v>-1.0024190126356197E-2</v>
      </c>
      <c r="U138" s="275">
        <f t="shared" si="13"/>
        <v>-1.0024190126356197E-2</v>
      </c>
      <c r="V138" s="275">
        <f t="shared" si="13"/>
        <v>-9.8126705181853738E-3</v>
      </c>
      <c r="W138" s="275">
        <f t="shared" si="13"/>
        <v>-9.8126705181853738E-3</v>
      </c>
      <c r="X138" s="275">
        <f t="shared" si="13"/>
        <v>-9.6655264429361103E-3</v>
      </c>
      <c r="Y138" s="275">
        <f t="shared" si="13"/>
        <v>-9.6655264429361103E-3</v>
      </c>
      <c r="Z138" s="267"/>
      <c r="AA138" s="267"/>
    </row>
    <row r="139" spans="4:27" x14ac:dyDescent="0.3">
      <c r="D139" s="32"/>
      <c r="E139" s="32"/>
      <c r="F139" s="191" t="s">
        <v>194</v>
      </c>
      <c r="G139" t="s">
        <v>269</v>
      </c>
      <c r="H139" s="267"/>
      <c r="I139" s="267"/>
      <c r="J139" s="275">
        <f t="shared" ref="J139:Y139" si="14">hundred * $H34 * J59 / $H47 * J$78 / hours_in_year</f>
        <v>1.8349260716419007E-2</v>
      </c>
      <c r="K139" s="275">
        <f t="shared" si="14"/>
        <v>1.8349260716419007E-2</v>
      </c>
      <c r="L139" s="275">
        <f t="shared" si="14"/>
        <v>1.9952884945381513E-2</v>
      </c>
      <c r="M139" s="275">
        <f t="shared" si="14"/>
        <v>1.9952884945381513E-2</v>
      </c>
      <c r="N139" s="275">
        <f t="shared" si="14"/>
        <v>1.6748394360648081E-2</v>
      </c>
      <c r="O139" s="275">
        <f t="shared" si="14"/>
        <v>1.6707611698188626E-2</v>
      </c>
      <c r="P139" s="275">
        <f t="shared" si="14"/>
        <v>1.2327563596895616E-2</v>
      </c>
      <c r="Q139" s="275">
        <f t="shared" si="14"/>
        <v>1.3256474456154115E-2</v>
      </c>
      <c r="R139" s="275">
        <f t="shared" si="14"/>
        <v>-1.0188923067884013E-2</v>
      </c>
      <c r="S139" s="275">
        <f t="shared" si="14"/>
        <v>-9.9739274435158166E-3</v>
      </c>
      <c r="T139" s="275">
        <f t="shared" si="14"/>
        <v>-1.0188923067884013E-2</v>
      </c>
      <c r="U139" s="275">
        <f t="shared" si="14"/>
        <v>-1.0188923067884013E-2</v>
      </c>
      <c r="V139" s="275">
        <f t="shared" si="14"/>
        <v>-9.9739274435158166E-3</v>
      </c>
      <c r="W139" s="275">
        <f t="shared" si="14"/>
        <v>-9.9739274435158166E-3</v>
      </c>
      <c r="X139" s="275">
        <f t="shared" si="14"/>
        <v>-9.8243652700422887E-3</v>
      </c>
      <c r="Y139" s="275">
        <f t="shared" si="14"/>
        <v>-9.8243652700422887E-3</v>
      </c>
      <c r="Z139" s="267"/>
      <c r="AA139" s="267"/>
    </row>
    <row r="140" spans="4:27" x14ac:dyDescent="0.3">
      <c r="D140" s="32"/>
      <c r="E140" s="32"/>
      <c r="F140" s="191" t="s">
        <v>195</v>
      </c>
      <c r="G140" t="s">
        <v>269</v>
      </c>
      <c r="H140" s="267"/>
      <c r="I140" s="267"/>
      <c r="J140" s="275">
        <f t="shared" ref="J140:Y140" si="15">hundred * $H35 * J60 / $H48 * J$78 / hours_in_year</f>
        <v>3.537165228439601E-2</v>
      </c>
      <c r="K140" s="275">
        <f t="shared" si="15"/>
        <v>3.537165228439601E-2</v>
      </c>
      <c r="L140" s="275">
        <f t="shared" si="15"/>
        <v>3.8462939693645073E-2</v>
      </c>
      <c r="M140" s="275">
        <f t="shared" si="15"/>
        <v>3.8462939693645073E-2</v>
      </c>
      <c r="N140" s="275">
        <f t="shared" si="15"/>
        <v>3.2285681194593532E-2</v>
      </c>
      <c r="O140" s="275">
        <f t="shared" si="15"/>
        <v>3.2207064939800391E-2</v>
      </c>
      <c r="P140" s="275">
        <f t="shared" si="15"/>
        <v>2.3763698156677979E-2</v>
      </c>
      <c r="Q140" s="275">
        <f t="shared" si="15"/>
        <v>2.5554348604381872E-2</v>
      </c>
      <c r="R140" s="275">
        <f t="shared" si="15"/>
        <v>-1.9641066170429853E-2</v>
      </c>
      <c r="S140" s="275">
        <f t="shared" si="15"/>
        <v>-1.9226621654907017E-2</v>
      </c>
      <c r="T140" s="275">
        <f t="shared" si="15"/>
        <v>-1.9641066170429853E-2</v>
      </c>
      <c r="U140" s="275">
        <f t="shared" si="15"/>
        <v>-1.9641066170429853E-2</v>
      </c>
      <c r="V140" s="275">
        <f t="shared" si="15"/>
        <v>-1.9226621654907017E-2</v>
      </c>
      <c r="W140" s="275">
        <f t="shared" si="15"/>
        <v>-1.9226621654907017E-2</v>
      </c>
      <c r="X140" s="275">
        <f t="shared" si="15"/>
        <v>-1.8938312426717223E-2</v>
      </c>
      <c r="Y140" s="275">
        <f t="shared" si="15"/>
        <v>-1.8938312426717223E-2</v>
      </c>
      <c r="Z140" s="267"/>
      <c r="AA140" s="267"/>
    </row>
    <row r="141" spans="4:27" x14ac:dyDescent="0.3">
      <c r="D141" s="32"/>
      <c r="E141" s="32"/>
      <c r="F141" s="191" t="s">
        <v>196</v>
      </c>
      <c r="G141" t="s">
        <v>269</v>
      </c>
      <c r="H141" s="267"/>
      <c r="I141" s="267"/>
      <c r="J141" s="275">
        <f t="shared" ref="J141:Y141" si="16">hundred * $H36 * J61 / $H49 * J$78 / hours_in_year</f>
        <v>3.7763473711605988E-2</v>
      </c>
      <c r="K141" s="275">
        <f t="shared" si="16"/>
        <v>3.7763473711605988E-2</v>
      </c>
      <c r="L141" s="275">
        <f t="shared" si="16"/>
        <v>4.1063793127719149E-2</v>
      </c>
      <c r="M141" s="275">
        <f t="shared" si="16"/>
        <v>4.1063793127719149E-2</v>
      </c>
      <c r="N141" s="275">
        <f t="shared" si="16"/>
        <v>3.4468830103002453E-2</v>
      </c>
      <c r="O141" s="275">
        <f t="shared" si="16"/>
        <v>3.4384897838619796E-2</v>
      </c>
      <c r="P141" s="275">
        <f t="shared" si="16"/>
        <v>2.537059290911697E-2</v>
      </c>
      <c r="Q141" s="275">
        <f t="shared" si="16"/>
        <v>2.7282326649029711E-2</v>
      </c>
      <c r="R141" s="275">
        <f t="shared" si="16"/>
        <v>-2.0969189678542229E-2</v>
      </c>
      <c r="S141" s="275">
        <f t="shared" si="16"/>
        <v>-2.0526720538536294E-2</v>
      </c>
      <c r="T141" s="275">
        <f t="shared" si="16"/>
        <v>-2.0969189678542229E-2</v>
      </c>
      <c r="U141" s="275">
        <f t="shared" si="16"/>
        <v>-2.0969189678542229E-2</v>
      </c>
      <c r="V141" s="275">
        <f t="shared" si="16"/>
        <v>-2.0526720538536294E-2</v>
      </c>
      <c r="W141" s="275">
        <f t="shared" si="16"/>
        <v>-2.0526720538536294E-2</v>
      </c>
      <c r="X141" s="275">
        <f t="shared" si="16"/>
        <v>-2.0218915919401725E-2</v>
      </c>
      <c r="Y141" s="275">
        <f t="shared" si="16"/>
        <v>-2.0218915919401725E-2</v>
      </c>
      <c r="Z141" s="267"/>
      <c r="AA141" s="267"/>
    </row>
    <row r="142" spans="4:27" x14ac:dyDescent="0.3">
      <c r="D142" s="32"/>
      <c r="E142" s="32"/>
      <c r="F142" s="191" t="s">
        <v>197</v>
      </c>
      <c r="G142" t="s">
        <v>269</v>
      </c>
      <c r="H142" s="267"/>
      <c r="I142" s="267"/>
      <c r="J142" s="275">
        <f t="shared" ref="J142:Y142" si="17">hundred * $H37 * J62 / $H50 * J$78 / hours_in_year</f>
        <v>0.22571574726350457</v>
      </c>
      <c r="K142" s="275">
        <f t="shared" si="17"/>
        <v>0.22571574726350457</v>
      </c>
      <c r="L142" s="275">
        <f t="shared" si="17"/>
        <v>0.24544205922583051</v>
      </c>
      <c r="M142" s="275">
        <f t="shared" si="17"/>
        <v>0.24544205922583051</v>
      </c>
      <c r="N142" s="275">
        <f t="shared" si="17"/>
        <v>0.20602336012343259</v>
      </c>
      <c r="O142" s="275">
        <f t="shared" si="17"/>
        <v>0.20552168927823095</v>
      </c>
      <c r="P142" s="275">
        <f t="shared" si="17"/>
        <v>0.15164236163050721</v>
      </c>
      <c r="Q142" s="275">
        <f t="shared" si="17"/>
        <v>0.16306896960011888</v>
      </c>
      <c r="R142" s="275">
        <f t="shared" si="17"/>
        <v>-0.12533477068206497</v>
      </c>
      <c r="S142" s="275">
        <f t="shared" si="17"/>
        <v>-0.12269009203464526</v>
      </c>
      <c r="T142" s="275">
        <f t="shared" si="17"/>
        <v>-0.12533477068206497</v>
      </c>
      <c r="U142" s="275">
        <f t="shared" si="17"/>
        <v>-0.12533477068206497</v>
      </c>
      <c r="V142" s="275">
        <f t="shared" si="17"/>
        <v>-0.12269009203464526</v>
      </c>
      <c r="W142" s="275">
        <f t="shared" si="17"/>
        <v>-0.12269009203464526</v>
      </c>
      <c r="X142" s="275">
        <f t="shared" si="17"/>
        <v>0</v>
      </c>
      <c r="Y142" s="275">
        <f t="shared" si="17"/>
        <v>0</v>
      </c>
      <c r="Z142" s="267"/>
      <c r="AA142" s="267"/>
    </row>
    <row r="143" spans="4:27" x14ac:dyDescent="0.3">
      <c r="D143" s="32"/>
      <c r="E143" s="32"/>
      <c r="F143" s="191" t="s">
        <v>198</v>
      </c>
      <c r="G143" t="s">
        <v>269</v>
      </c>
      <c r="H143" s="267"/>
      <c r="I143" s="267"/>
      <c r="J143" s="275">
        <f t="shared" ref="J143:Y143" si="18">hundred * $H38 * J63 / $H51 * J$78 / hours_in_year</f>
        <v>0.10997045550271603</v>
      </c>
      <c r="K143" s="275">
        <f t="shared" si="18"/>
        <v>0.10997045550271603</v>
      </c>
      <c r="L143" s="275">
        <f t="shared" si="18"/>
        <v>0.11958126705745072</v>
      </c>
      <c r="M143" s="275">
        <f t="shared" si="18"/>
        <v>0.11958126705745072</v>
      </c>
      <c r="N143" s="275">
        <f t="shared" si="18"/>
        <v>0.10037617238341993</v>
      </c>
      <c r="O143" s="275">
        <f t="shared" si="18"/>
        <v>0.10013175447271541</v>
      </c>
      <c r="P143" s="275">
        <f t="shared" si="18"/>
        <v>0</v>
      </c>
      <c r="Q143" s="275">
        <f t="shared" si="18"/>
        <v>7.9448461539320933E-2</v>
      </c>
      <c r="R143" s="275">
        <f t="shared" si="18"/>
        <v>-6.1064068366238018E-2</v>
      </c>
      <c r="S143" s="275">
        <f t="shared" si="18"/>
        <v>0</v>
      </c>
      <c r="T143" s="275">
        <f t="shared" si="18"/>
        <v>-6.1064068366238018E-2</v>
      </c>
      <c r="U143" s="275">
        <f t="shared" si="18"/>
        <v>-6.1064068366238018E-2</v>
      </c>
      <c r="V143" s="275">
        <f t="shared" si="18"/>
        <v>0</v>
      </c>
      <c r="W143" s="275">
        <f t="shared" si="18"/>
        <v>0</v>
      </c>
      <c r="X143" s="275">
        <f t="shared" si="18"/>
        <v>0</v>
      </c>
      <c r="Y143" s="275">
        <f t="shared" si="18"/>
        <v>0</v>
      </c>
      <c r="Z143" s="267"/>
      <c r="AA143" s="267"/>
    </row>
    <row r="144" spans="4:27" x14ac:dyDescent="0.3">
      <c r="D144" s="32"/>
      <c r="E144" s="32"/>
      <c r="F144" s="192" t="s">
        <v>199</v>
      </c>
      <c r="G144" s="37" t="s">
        <v>269</v>
      </c>
      <c r="H144" s="269"/>
      <c r="I144" s="269"/>
      <c r="J144" s="276">
        <f t="shared" ref="J144:Y144" si="19">hundred * $H39 * J64 / $H52 * J$78 / hours_in_year</f>
        <v>0.25243401167481427</v>
      </c>
      <c r="K144" s="276">
        <f t="shared" si="19"/>
        <v>0.25243401167481427</v>
      </c>
      <c r="L144" s="276">
        <f t="shared" si="19"/>
        <v>0.27449535265154973</v>
      </c>
      <c r="M144" s="276">
        <f t="shared" si="19"/>
        <v>0.27449535265154973</v>
      </c>
      <c r="N144" s="276">
        <f t="shared" si="19"/>
        <v>0.23041061124534123</v>
      </c>
      <c r="O144" s="276">
        <f t="shared" si="19"/>
        <v>0</v>
      </c>
      <c r="P144" s="276">
        <f t="shared" si="19"/>
        <v>0</v>
      </c>
      <c r="Q144" s="276">
        <f t="shared" si="19"/>
        <v>0.18237165406000932</v>
      </c>
      <c r="R144" s="276">
        <f t="shared" si="19"/>
        <v>0</v>
      </c>
      <c r="S144" s="276">
        <f t="shared" si="19"/>
        <v>0</v>
      </c>
      <c r="T144" s="276">
        <f t="shared" si="19"/>
        <v>0</v>
      </c>
      <c r="U144" s="276">
        <f t="shared" si="19"/>
        <v>0</v>
      </c>
      <c r="V144" s="276">
        <f t="shared" si="19"/>
        <v>0</v>
      </c>
      <c r="W144" s="276">
        <f t="shared" si="19"/>
        <v>0</v>
      </c>
      <c r="X144" s="276">
        <f t="shared" si="19"/>
        <v>0</v>
      </c>
      <c r="Y144" s="276">
        <f t="shared" si="19"/>
        <v>0</v>
      </c>
      <c r="Z144" s="267"/>
      <c r="AA144" s="267"/>
    </row>
    <row r="145" spans="3:27" x14ac:dyDescent="0.3">
      <c r="C145" s="32"/>
      <c r="D145" s="32"/>
      <c r="E145" s="32"/>
      <c r="J145" s="163"/>
      <c r="K145" s="163"/>
      <c r="L145" s="163"/>
      <c r="M145" s="163"/>
      <c r="N145" s="163"/>
      <c r="O145" s="163"/>
      <c r="P145" s="163"/>
      <c r="Q145" s="163"/>
      <c r="R145" s="163"/>
      <c r="S145" s="163"/>
      <c r="T145" s="163"/>
      <c r="U145" s="163"/>
      <c r="V145" s="163"/>
      <c r="W145" s="163"/>
      <c r="X145" s="163"/>
      <c r="Y145" s="163"/>
    </row>
    <row r="146" spans="3:27" x14ac:dyDescent="0.3">
      <c r="C146" s="31" t="str">
        <f ca="1">INDEX('Version control'!$H$34:$H$57,MATCH($A$1,'Version control'!$F$34:$F$57,0),1)&amp;"-C: Unit rate 1"</f>
        <v>Section 109-C: Unit rate 1</v>
      </c>
      <c r="D146" s="31"/>
      <c r="E146" s="31"/>
      <c r="F146" s="31"/>
      <c r="G146" s="31"/>
      <c r="H146" s="31"/>
      <c r="I146" s="31"/>
      <c r="J146" s="198"/>
      <c r="K146" s="198"/>
      <c r="L146" s="198"/>
      <c r="M146" s="198"/>
      <c r="N146" s="198"/>
      <c r="O146" s="198"/>
      <c r="P146" s="198"/>
      <c r="Q146" s="198"/>
      <c r="R146" s="198"/>
      <c r="S146" s="198"/>
      <c r="T146" s="198"/>
      <c r="U146" s="198"/>
      <c r="V146" s="198"/>
      <c r="W146" s="198"/>
      <c r="X146" s="198"/>
      <c r="Y146" s="198"/>
      <c r="Z146" s="31"/>
      <c r="AA146" s="31"/>
    </row>
    <row r="147" spans="3:27" x14ac:dyDescent="0.3">
      <c r="C147" s="32"/>
      <c r="D147" s="32"/>
      <c r="E147" s="32"/>
      <c r="J147" s="163"/>
      <c r="K147" s="163"/>
      <c r="L147" s="163"/>
      <c r="M147" s="163"/>
      <c r="N147" s="163"/>
      <c r="O147" s="163"/>
      <c r="P147" s="163"/>
      <c r="Q147" s="163"/>
      <c r="R147" s="163"/>
      <c r="S147" s="163"/>
      <c r="T147" s="163"/>
      <c r="U147" s="163"/>
      <c r="V147" s="163"/>
      <c r="W147" s="163"/>
      <c r="X147" s="163"/>
      <c r="Y147" s="163"/>
    </row>
    <row r="148" spans="3:27" x14ac:dyDescent="0.3">
      <c r="D148" s="29" t="s">
        <v>623</v>
      </c>
      <c r="E148" s="32"/>
      <c r="F148" s="32"/>
      <c r="J148" s="163"/>
      <c r="K148" s="163"/>
      <c r="L148" s="163"/>
      <c r="M148" s="163"/>
      <c r="N148" s="163"/>
      <c r="O148" s="163"/>
      <c r="P148" s="163"/>
      <c r="Q148" s="163"/>
      <c r="R148" s="163"/>
      <c r="S148" s="163"/>
      <c r="T148" s="163"/>
      <c r="U148" s="163"/>
      <c r="V148" s="163"/>
      <c r="W148" s="163"/>
      <c r="X148" s="163"/>
      <c r="Y148" s="163"/>
    </row>
    <row r="149" spans="3:27" x14ac:dyDescent="0.3">
      <c r="D149" s="29" t="s">
        <v>624</v>
      </c>
      <c r="E149" s="32"/>
      <c r="F149" s="32"/>
      <c r="J149" s="163"/>
      <c r="K149" s="163"/>
      <c r="L149" s="163"/>
      <c r="M149" s="163"/>
      <c r="N149" s="163"/>
      <c r="O149" s="163"/>
      <c r="P149" s="163"/>
      <c r="Q149" s="163"/>
      <c r="R149" s="163"/>
      <c r="S149" s="163"/>
      <c r="T149" s="163"/>
      <c r="U149" s="163"/>
      <c r="V149" s="163"/>
      <c r="W149" s="163"/>
      <c r="X149" s="163"/>
      <c r="Y149" s="163"/>
    </row>
    <row r="150" spans="3:27" x14ac:dyDescent="0.3">
      <c r="D150" s="32"/>
      <c r="E150" s="32"/>
      <c r="F150" s="32"/>
      <c r="I150" s="3" t="s">
        <v>154</v>
      </c>
      <c r="J150" s="163"/>
      <c r="K150" s="163"/>
      <c r="L150" s="163"/>
      <c r="M150" s="163"/>
      <c r="N150" s="163"/>
      <c r="O150" s="163"/>
      <c r="P150" s="163"/>
      <c r="Q150" s="163"/>
      <c r="R150" s="163"/>
      <c r="S150" s="163"/>
      <c r="T150" s="163"/>
      <c r="U150" s="163"/>
      <c r="V150" s="163"/>
      <c r="W150" s="163"/>
      <c r="X150" s="163"/>
      <c r="Y150" s="163"/>
      <c r="AA150" t="s">
        <v>625</v>
      </c>
    </row>
    <row r="151" spans="3:27" x14ac:dyDescent="0.3">
      <c r="E151" s="32" t="s">
        <v>621</v>
      </c>
      <c r="J151" s="163"/>
      <c r="K151" s="163"/>
      <c r="L151" s="163"/>
      <c r="M151" s="163"/>
      <c r="N151" s="163"/>
      <c r="O151" s="163"/>
      <c r="P151" s="163"/>
      <c r="Q151" s="163"/>
      <c r="R151" s="163"/>
      <c r="S151" s="163"/>
      <c r="T151" s="163"/>
      <c r="U151" s="163"/>
      <c r="V151" s="163"/>
      <c r="W151" s="163"/>
      <c r="X151" s="163"/>
      <c r="Y151" s="163"/>
    </row>
    <row r="152" spans="3:27" x14ac:dyDescent="0.3">
      <c r="E152" s="32"/>
      <c r="F152" s="190" t="s">
        <v>189</v>
      </c>
      <c r="G152" s="23" t="s">
        <v>269</v>
      </c>
      <c r="H152" s="266"/>
      <c r="I152" s="266"/>
      <c r="J152" s="274">
        <f t="shared" ref="J152:Y152" si="20">hundred * $H18 * J55 / $H43 * J81 * (1 - J67) / hours_in_year</f>
        <v>0</v>
      </c>
      <c r="K152" s="274">
        <f t="shared" si="20"/>
        <v>0</v>
      </c>
      <c r="L152" s="274">
        <f t="shared" si="20"/>
        <v>0</v>
      </c>
      <c r="M152" s="274">
        <f t="shared" si="20"/>
        <v>0</v>
      </c>
      <c r="N152" s="274">
        <f t="shared" si="20"/>
        <v>0</v>
      </c>
      <c r="O152" s="274">
        <f t="shared" si="20"/>
        <v>0</v>
      </c>
      <c r="P152" s="274">
        <f t="shared" si="20"/>
        <v>0</v>
      </c>
      <c r="Q152" s="274">
        <f t="shared" si="20"/>
        <v>0</v>
      </c>
      <c r="R152" s="274">
        <f t="shared" si="20"/>
        <v>0</v>
      </c>
      <c r="S152" s="274">
        <f t="shared" si="20"/>
        <v>0</v>
      </c>
      <c r="T152" s="274">
        <f t="shared" si="20"/>
        <v>0</v>
      </c>
      <c r="U152" s="274">
        <f t="shared" si="20"/>
        <v>0</v>
      </c>
      <c r="V152" s="274">
        <f t="shared" si="20"/>
        <v>0</v>
      </c>
      <c r="W152" s="274">
        <f t="shared" si="20"/>
        <v>0</v>
      </c>
      <c r="X152" s="274">
        <f t="shared" si="20"/>
        <v>0</v>
      </c>
      <c r="Y152" s="274">
        <f t="shared" si="20"/>
        <v>0</v>
      </c>
      <c r="Z152" s="267"/>
      <c r="AA152" s="267"/>
    </row>
    <row r="153" spans="3:27" x14ac:dyDescent="0.3">
      <c r="E153" s="32"/>
      <c r="F153" s="191" t="s">
        <v>191</v>
      </c>
      <c r="G153" t="s">
        <v>269</v>
      </c>
      <c r="H153" s="267"/>
      <c r="I153" s="267"/>
      <c r="J153" s="275">
        <f t="shared" ref="J153:Y153" si="21">hundred * $H19 * J56 / $H44 * J82 * (1 - J68) / hours_in_year</f>
        <v>0</v>
      </c>
      <c r="K153" s="275">
        <f t="shared" si="21"/>
        <v>0</v>
      </c>
      <c r="L153" s="275">
        <f t="shared" si="21"/>
        <v>0</v>
      </c>
      <c r="M153" s="275">
        <f t="shared" si="21"/>
        <v>0</v>
      </c>
      <c r="N153" s="275">
        <f t="shared" si="21"/>
        <v>0</v>
      </c>
      <c r="O153" s="275">
        <f t="shared" si="21"/>
        <v>0</v>
      </c>
      <c r="P153" s="275">
        <f t="shared" si="21"/>
        <v>0</v>
      </c>
      <c r="Q153" s="275">
        <f t="shared" si="21"/>
        <v>0</v>
      </c>
      <c r="R153" s="275">
        <f t="shared" si="21"/>
        <v>0</v>
      </c>
      <c r="S153" s="275">
        <f t="shared" si="21"/>
        <v>0</v>
      </c>
      <c r="T153" s="275">
        <f t="shared" si="21"/>
        <v>0</v>
      </c>
      <c r="U153" s="275">
        <f t="shared" si="21"/>
        <v>0</v>
      </c>
      <c r="V153" s="275">
        <f t="shared" si="21"/>
        <v>0</v>
      </c>
      <c r="W153" s="275">
        <f t="shared" si="21"/>
        <v>0</v>
      </c>
      <c r="X153" s="275">
        <f t="shared" si="21"/>
        <v>0</v>
      </c>
      <c r="Y153" s="275">
        <f t="shared" si="21"/>
        <v>0</v>
      </c>
      <c r="Z153" s="267"/>
      <c r="AA153" s="267"/>
    </row>
    <row r="154" spans="3:27" x14ac:dyDescent="0.3">
      <c r="E154" s="32"/>
      <c r="F154" s="191" t="s">
        <v>192</v>
      </c>
      <c r="G154" t="s">
        <v>269</v>
      </c>
      <c r="H154" s="267"/>
      <c r="I154" s="267"/>
      <c r="J154" s="275">
        <f t="shared" ref="J154:Y154" si="22">hundred * $H20 * J57 / $H45 * J83 * (1 - J69) / hours_in_year</f>
        <v>0.55357336689290326</v>
      </c>
      <c r="K154" s="275">
        <f t="shared" si="22"/>
        <v>0.55357336689290326</v>
      </c>
      <c r="L154" s="275">
        <f t="shared" si="22"/>
        <v>0.63018879418243612</v>
      </c>
      <c r="M154" s="275">
        <f t="shared" si="22"/>
        <v>0.63018879418243612</v>
      </c>
      <c r="N154" s="275">
        <f t="shared" si="22"/>
        <v>0.50696704916271351</v>
      </c>
      <c r="O154" s="275">
        <f t="shared" si="22"/>
        <v>0.37098811696870582</v>
      </c>
      <c r="P154" s="275">
        <f t="shared" si="22"/>
        <v>0.41708696288365088</v>
      </c>
      <c r="Q154" s="275">
        <f t="shared" si="22"/>
        <v>1.1185937698635886</v>
      </c>
      <c r="R154" s="275">
        <f t="shared" si="22"/>
        <v>-0.38632340853054598</v>
      </c>
      <c r="S154" s="275">
        <f t="shared" si="22"/>
        <v>-0.37817163018540606</v>
      </c>
      <c r="T154" s="275">
        <f t="shared" si="22"/>
        <v>-0.38632340853054598</v>
      </c>
      <c r="U154" s="275">
        <f t="shared" si="22"/>
        <v>-0.38632340853054598</v>
      </c>
      <c r="V154" s="275">
        <f t="shared" si="22"/>
        <v>-0.37817163018540606</v>
      </c>
      <c r="W154" s="275">
        <f t="shared" si="22"/>
        <v>-0.37817163018540606</v>
      </c>
      <c r="X154" s="275">
        <f t="shared" si="22"/>
        <v>-0.37250082785835215</v>
      </c>
      <c r="Y154" s="275">
        <f t="shared" si="22"/>
        <v>-0.37250082785835215</v>
      </c>
      <c r="Z154" s="267"/>
      <c r="AA154" s="267"/>
    </row>
    <row r="155" spans="3:27" x14ac:dyDescent="0.3">
      <c r="E155" s="32"/>
      <c r="F155" s="191" t="s">
        <v>193</v>
      </c>
      <c r="G155" t="s">
        <v>269</v>
      </c>
      <c r="H155" s="267"/>
      <c r="I155" s="267"/>
      <c r="J155" s="275">
        <f t="shared" ref="J155:Y155" si="23">hundred * $H21 * J58 / $H46 * J84 * (1 - J70) / hours_in_year</f>
        <v>0.13105694753304234</v>
      </c>
      <c r="K155" s="275">
        <f t="shared" si="23"/>
        <v>0.13105694753304234</v>
      </c>
      <c r="L155" s="275">
        <f t="shared" si="23"/>
        <v>0.14919543582568542</v>
      </c>
      <c r="M155" s="275">
        <f t="shared" si="23"/>
        <v>0.14919543582568542</v>
      </c>
      <c r="N155" s="275">
        <f t="shared" si="23"/>
        <v>0.12002303206171606</v>
      </c>
      <c r="O155" s="275">
        <f t="shared" si="23"/>
        <v>8.7830399886915447E-2</v>
      </c>
      <c r="P155" s="275">
        <f t="shared" si="23"/>
        <v>9.8744172824220766E-2</v>
      </c>
      <c r="Q155" s="275">
        <f t="shared" si="23"/>
        <v>0.26482394886631561</v>
      </c>
      <c r="R155" s="275">
        <f t="shared" si="23"/>
        <v>-9.1460987306437772E-2</v>
      </c>
      <c r="S155" s="275">
        <f t="shared" si="23"/>
        <v>-8.9531076565109266E-2</v>
      </c>
      <c r="T155" s="275">
        <f t="shared" si="23"/>
        <v>-9.1460987306437772E-2</v>
      </c>
      <c r="U155" s="275">
        <f t="shared" si="23"/>
        <v>-9.1460987306437772E-2</v>
      </c>
      <c r="V155" s="275">
        <f t="shared" si="23"/>
        <v>-8.9531076565109266E-2</v>
      </c>
      <c r="W155" s="275">
        <f t="shared" si="23"/>
        <v>-8.9531076565109266E-2</v>
      </c>
      <c r="X155" s="275">
        <f t="shared" si="23"/>
        <v>-8.8188529962445958E-2</v>
      </c>
      <c r="Y155" s="275">
        <f t="shared" si="23"/>
        <v>-8.8188529962445958E-2</v>
      </c>
      <c r="Z155" s="267"/>
      <c r="AA155" s="267"/>
    </row>
    <row r="156" spans="3:27" x14ac:dyDescent="0.3">
      <c r="E156" s="32"/>
      <c r="F156" s="191" t="s">
        <v>194</v>
      </c>
      <c r="G156" t="s">
        <v>269</v>
      </c>
      <c r="H156" s="267"/>
      <c r="I156" s="267"/>
      <c r="J156" s="275">
        <f t="shared" ref="J156:Y156" si="24">hundred * $H22 * J59 / $H47 * J85 * (1 - J71) / hours_in_year</f>
        <v>0.14226043950146999</v>
      </c>
      <c r="K156" s="275">
        <f t="shared" si="24"/>
        <v>0.14226043950146999</v>
      </c>
      <c r="L156" s="275">
        <f t="shared" si="24"/>
        <v>0.16194950875705524</v>
      </c>
      <c r="M156" s="275">
        <f t="shared" si="24"/>
        <v>0.16194950875705524</v>
      </c>
      <c r="N156" s="275">
        <f t="shared" si="24"/>
        <v>0.13028328228912769</v>
      </c>
      <c r="O156" s="275">
        <f t="shared" si="24"/>
        <v>9.5338641138061286E-2</v>
      </c>
      <c r="P156" s="275">
        <f t="shared" si="24"/>
        <v>0.1071853853504493</v>
      </c>
      <c r="Q156" s="275">
        <f t="shared" si="24"/>
        <v>0.28953178204255803</v>
      </c>
      <c r="R156" s="275">
        <f t="shared" si="24"/>
        <v>-9.9279591783348831E-2</v>
      </c>
      <c r="S156" s="275">
        <f t="shared" si="24"/>
        <v>-9.7184701314525848E-2</v>
      </c>
      <c r="T156" s="275">
        <f t="shared" si="24"/>
        <v>-9.9279591783348831E-2</v>
      </c>
      <c r="U156" s="275">
        <f t="shared" si="24"/>
        <v>-9.9279591783348831E-2</v>
      </c>
      <c r="V156" s="275">
        <f t="shared" si="24"/>
        <v>-9.7184701314525848E-2</v>
      </c>
      <c r="W156" s="275">
        <f t="shared" si="24"/>
        <v>-9.7184701314525848E-2</v>
      </c>
      <c r="X156" s="275">
        <f t="shared" si="24"/>
        <v>-9.5727386205779461E-2</v>
      </c>
      <c r="Y156" s="275">
        <f t="shared" si="24"/>
        <v>-9.5727386205779461E-2</v>
      </c>
      <c r="Z156" s="267"/>
      <c r="AA156" s="267"/>
    </row>
    <row r="157" spans="3:27" x14ac:dyDescent="0.3">
      <c r="E157" s="32"/>
      <c r="F157" s="191" t="s">
        <v>195</v>
      </c>
      <c r="G157" t="s">
        <v>269</v>
      </c>
      <c r="H157" s="267"/>
      <c r="I157" s="267"/>
      <c r="J157" s="275">
        <f t="shared" ref="J157:Y157" si="25">hundred * $H23 * J60 / $H48 * J86 * (1 - J72) / hours_in_year</f>
        <v>0.27423376220104101</v>
      </c>
      <c r="K157" s="275">
        <f t="shared" si="25"/>
        <v>0.27423376220104101</v>
      </c>
      <c r="L157" s="275">
        <f t="shared" si="25"/>
        <v>0.3121881475179808</v>
      </c>
      <c r="M157" s="275">
        <f t="shared" si="25"/>
        <v>0.3121881475179808</v>
      </c>
      <c r="N157" s="275">
        <f t="shared" si="25"/>
        <v>0.25114553827649716</v>
      </c>
      <c r="O157" s="275">
        <f t="shared" si="25"/>
        <v>0.18378316792811064</v>
      </c>
      <c r="P157" s="275">
        <f t="shared" si="25"/>
        <v>0.15338619944671925</v>
      </c>
      <c r="Q157" s="275">
        <f t="shared" si="25"/>
        <v>0.55812698276868489</v>
      </c>
      <c r="R157" s="275">
        <f t="shared" si="25"/>
        <v>-0.19138009175242268</v>
      </c>
      <c r="S157" s="275">
        <f t="shared" si="25"/>
        <v>-0.18734179623838068</v>
      </c>
      <c r="T157" s="275">
        <f t="shared" si="25"/>
        <v>-0.19138009175242268</v>
      </c>
      <c r="U157" s="275">
        <f t="shared" si="25"/>
        <v>-0.19138009175242268</v>
      </c>
      <c r="V157" s="275">
        <f t="shared" si="25"/>
        <v>-0.18734179623838068</v>
      </c>
      <c r="W157" s="275">
        <f t="shared" si="25"/>
        <v>-0.18734179623838068</v>
      </c>
      <c r="X157" s="275">
        <f t="shared" si="25"/>
        <v>-0.13698938437423139</v>
      </c>
      <c r="Y157" s="275">
        <f t="shared" si="25"/>
        <v>-0.13698938437423139</v>
      </c>
      <c r="Z157" s="267"/>
      <c r="AA157" s="267"/>
    </row>
    <row r="158" spans="3:27" x14ac:dyDescent="0.3">
      <c r="E158" s="32"/>
      <c r="F158" s="191" t="s">
        <v>196</v>
      </c>
      <c r="G158" t="s">
        <v>269</v>
      </c>
      <c r="H158" s="267"/>
      <c r="I158" s="267"/>
      <c r="J158" s="275">
        <f t="shared" ref="J158:Y158" si="26">hundred * $H24 * J61 / $H49 * J87 * (1 - J73) / hours_in_year</f>
        <v>0.27415262049803929</v>
      </c>
      <c r="K158" s="275">
        <f t="shared" si="26"/>
        <v>0.27415262049803929</v>
      </c>
      <c r="L158" s="275">
        <f t="shared" si="26"/>
        <v>0.3120957756752753</v>
      </c>
      <c r="M158" s="275">
        <f t="shared" si="26"/>
        <v>0.3120957756752753</v>
      </c>
      <c r="N158" s="275">
        <f t="shared" si="26"/>
        <v>0.25107122803652715</v>
      </c>
      <c r="O158" s="275">
        <f t="shared" si="26"/>
        <v>0.18372878921445757</v>
      </c>
      <c r="P158" s="275">
        <f t="shared" si="26"/>
        <v>0.1533408147452143</v>
      </c>
      <c r="Q158" s="275">
        <f t="shared" si="26"/>
        <v>0.55397429071079629</v>
      </c>
      <c r="R158" s="275">
        <f t="shared" si="26"/>
        <v>-0.19132346522168195</v>
      </c>
      <c r="S158" s="275">
        <f t="shared" si="26"/>
        <v>-0.18728636457938957</v>
      </c>
      <c r="T158" s="275">
        <f t="shared" si="26"/>
        <v>-0.19132346522168195</v>
      </c>
      <c r="U158" s="275">
        <f t="shared" si="26"/>
        <v>-0.19132346522168195</v>
      </c>
      <c r="V158" s="275">
        <f t="shared" si="26"/>
        <v>-0.18728636457938957</v>
      </c>
      <c r="W158" s="275">
        <f t="shared" si="26"/>
        <v>-0.18728636457938957</v>
      </c>
      <c r="X158" s="275">
        <f t="shared" si="26"/>
        <v>-0.13694885124712089</v>
      </c>
      <c r="Y158" s="275">
        <f t="shared" si="26"/>
        <v>-0.13694885124712089</v>
      </c>
      <c r="Z158" s="267"/>
      <c r="AA158" s="267"/>
    </row>
    <row r="159" spans="3:27" x14ac:dyDescent="0.3">
      <c r="E159" s="32"/>
      <c r="F159" s="191" t="s">
        <v>197</v>
      </c>
      <c r="G159" t="s">
        <v>269</v>
      </c>
      <c r="H159" s="267"/>
      <c r="I159" s="267"/>
      <c r="J159" s="275">
        <f t="shared" ref="J159:Y159" si="27">hundred * $H25 * J62 / $H50 * J88 * (1 - J74) / hours_in_year</f>
        <v>1.0729868042600128</v>
      </c>
      <c r="K159" s="275">
        <f t="shared" si="27"/>
        <v>1.0729868042600128</v>
      </c>
      <c r="L159" s="275">
        <f t="shared" si="27"/>
        <v>1.2214898707023611</v>
      </c>
      <c r="M159" s="275">
        <f t="shared" si="27"/>
        <v>1.2214898707023611</v>
      </c>
      <c r="N159" s="275">
        <f t="shared" si="27"/>
        <v>0.98265015349170026</v>
      </c>
      <c r="O159" s="275">
        <f t="shared" si="27"/>
        <v>0.71908328299634927</v>
      </c>
      <c r="P159" s="275">
        <f t="shared" si="27"/>
        <v>0.63909862674979134</v>
      </c>
      <c r="Q159" s="275">
        <f t="shared" si="27"/>
        <v>2.1837679022659056</v>
      </c>
      <c r="R159" s="275">
        <f t="shared" si="27"/>
        <v>-0.748807555277891</v>
      </c>
      <c r="S159" s="275">
        <f t="shared" si="27"/>
        <v>-0.73300702888211888</v>
      </c>
      <c r="T159" s="275">
        <f t="shared" si="27"/>
        <v>-0.748807555277891</v>
      </c>
      <c r="U159" s="275">
        <f t="shared" si="27"/>
        <v>-0.748807555277891</v>
      </c>
      <c r="V159" s="275">
        <f t="shared" si="27"/>
        <v>-0.73300702888211888</v>
      </c>
      <c r="W159" s="275">
        <f t="shared" si="27"/>
        <v>-0.73300702888211888</v>
      </c>
      <c r="X159" s="275">
        <f t="shared" si="27"/>
        <v>0</v>
      </c>
      <c r="Y159" s="275">
        <f t="shared" si="27"/>
        <v>0</v>
      </c>
      <c r="Z159" s="267"/>
      <c r="AA159" s="267"/>
    </row>
    <row r="160" spans="3:27" x14ac:dyDescent="0.3">
      <c r="E160" s="32"/>
      <c r="F160" s="191" t="s">
        <v>198</v>
      </c>
      <c r="G160" t="s">
        <v>269</v>
      </c>
      <c r="H160" s="267"/>
      <c r="I160" s="267"/>
      <c r="J160" s="275">
        <f t="shared" ref="J160:Y160" si="28">hundred * $H26 * J63 / $H51 * J89 * (1 - J75) / hours_in_year</f>
        <v>0.30586911035366049</v>
      </c>
      <c r="K160" s="275">
        <f t="shared" si="28"/>
        <v>0.30586911035366049</v>
      </c>
      <c r="L160" s="275">
        <f t="shared" si="28"/>
        <v>0.34820187776251732</v>
      </c>
      <c r="M160" s="275">
        <f t="shared" si="28"/>
        <v>0.34820187776251732</v>
      </c>
      <c r="N160" s="275">
        <f t="shared" si="28"/>
        <v>0.28011745069379268</v>
      </c>
      <c r="O160" s="275">
        <f t="shared" si="28"/>
        <v>0.2049842208376165</v>
      </c>
      <c r="P160" s="275">
        <f t="shared" si="28"/>
        <v>0</v>
      </c>
      <c r="Q160" s="275">
        <f t="shared" si="28"/>
        <v>0.62251198508037842</v>
      </c>
      <c r="R160" s="275">
        <f t="shared" si="28"/>
        <v>-0.21345751862894888</v>
      </c>
      <c r="S160" s="275">
        <f t="shared" si="28"/>
        <v>0</v>
      </c>
      <c r="T160" s="275">
        <f t="shared" si="28"/>
        <v>-0.21345751862894888</v>
      </c>
      <c r="U160" s="275">
        <f t="shared" si="28"/>
        <v>-0.21345751862894888</v>
      </c>
      <c r="V160" s="275">
        <f t="shared" si="28"/>
        <v>0</v>
      </c>
      <c r="W160" s="275">
        <f t="shared" si="28"/>
        <v>0</v>
      </c>
      <c r="X160" s="275">
        <f t="shared" si="28"/>
        <v>0</v>
      </c>
      <c r="Y160" s="275">
        <f t="shared" si="28"/>
        <v>0</v>
      </c>
      <c r="Z160" s="267"/>
      <c r="AA160" s="267"/>
    </row>
    <row r="161" spans="3:27" x14ac:dyDescent="0.3">
      <c r="E161" s="32"/>
      <c r="F161" s="192" t="s">
        <v>199</v>
      </c>
      <c r="G161" s="37" t="s">
        <v>269</v>
      </c>
      <c r="H161" s="269"/>
      <c r="I161" s="269"/>
      <c r="J161" s="276">
        <f t="shared" ref="J161:Y161" si="29">hundred * $H27 * J64 / $H52 * J90 * (1 - J76) / hours_in_year</f>
        <v>0.20422982010942084</v>
      </c>
      <c r="K161" s="276">
        <f t="shared" si="29"/>
        <v>0.20422982010942084</v>
      </c>
      <c r="L161" s="276">
        <f t="shared" si="29"/>
        <v>0.23249554940339337</v>
      </c>
      <c r="M161" s="276">
        <f t="shared" si="29"/>
        <v>0.23249554940339337</v>
      </c>
      <c r="N161" s="276">
        <f t="shared" si="29"/>
        <v>0.18703535148925576</v>
      </c>
      <c r="O161" s="276">
        <f t="shared" si="29"/>
        <v>0</v>
      </c>
      <c r="P161" s="276">
        <f t="shared" si="29"/>
        <v>0</v>
      </c>
      <c r="Q161" s="276">
        <f t="shared" si="29"/>
        <v>0.41565331844697889</v>
      </c>
      <c r="R161" s="276">
        <f t="shared" si="29"/>
        <v>0</v>
      </c>
      <c r="S161" s="276">
        <f t="shared" si="29"/>
        <v>0</v>
      </c>
      <c r="T161" s="276">
        <f t="shared" si="29"/>
        <v>0</v>
      </c>
      <c r="U161" s="276">
        <f t="shared" si="29"/>
        <v>0</v>
      </c>
      <c r="V161" s="276">
        <f t="shared" si="29"/>
        <v>0</v>
      </c>
      <c r="W161" s="276">
        <f t="shared" si="29"/>
        <v>0</v>
      </c>
      <c r="X161" s="276">
        <f t="shared" si="29"/>
        <v>0</v>
      </c>
      <c r="Y161" s="276">
        <f t="shared" si="29"/>
        <v>0</v>
      </c>
      <c r="Z161" s="267"/>
      <c r="AA161" s="267"/>
    </row>
    <row r="162" spans="3:27" x14ac:dyDescent="0.3">
      <c r="E162" s="32"/>
      <c r="F162" s="191"/>
      <c r="J162" s="163"/>
      <c r="K162" s="163"/>
      <c r="L162" s="163"/>
      <c r="M162" s="163"/>
      <c r="N162" s="163"/>
      <c r="O162" s="163"/>
      <c r="P162" s="163"/>
      <c r="Q162" s="163"/>
      <c r="R162" s="163"/>
      <c r="S162" s="163"/>
      <c r="T162" s="163"/>
      <c r="U162" s="163"/>
      <c r="V162" s="163"/>
      <c r="W162" s="163"/>
      <c r="X162" s="163"/>
      <c r="Y162" s="163"/>
    </row>
    <row r="163" spans="3:27" x14ac:dyDescent="0.3">
      <c r="E163" s="32" t="s">
        <v>622</v>
      </c>
      <c r="J163" s="163"/>
      <c r="K163" s="163"/>
      <c r="L163" s="163"/>
      <c r="M163" s="163"/>
      <c r="N163" s="163"/>
      <c r="O163" s="163"/>
      <c r="P163" s="163"/>
      <c r="Q163" s="163"/>
      <c r="R163" s="163"/>
      <c r="S163" s="163"/>
      <c r="T163" s="163"/>
      <c r="U163" s="163"/>
      <c r="V163" s="163"/>
      <c r="W163" s="163"/>
      <c r="X163" s="163"/>
      <c r="Y163" s="163"/>
    </row>
    <row r="164" spans="3:27" x14ac:dyDescent="0.3">
      <c r="D164" s="32"/>
      <c r="E164" s="32"/>
      <c r="F164" s="190" t="s">
        <v>189</v>
      </c>
      <c r="G164" s="23" t="s">
        <v>269</v>
      </c>
      <c r="H164" s="266"/>
      <c r="I164" s="266"/>
      <c r="J164" s="274">
        <f t="shared" ref="J164:Y164" si="30">hundred * $H30 * J55 / $H43 * J81 / hours_in_year</f>
        <v>0.47513490875455816</v>
      </c>
      <c r="K164" s="274">
        <f t="shared" si="30"/>
        <v>0.47513490875455816</v>
      </c>
      <c r="L164" s="274">
        <f t="shared" si="30"/>
        <v>0.5408943296940526</v>
      </c>
      <c r="M164" s="274">
        <f t="shared" si="30"/>
        <v>0.5408943296940526</v>
      </c>
      <c r="N164" s="274">
        <f t="shared" si="30"/>
        <v>0.43513246310510223</v>
      </c>
      <c r="O164" s="274">
        <f t="shared" si="30"/>
        <v>0.31842103621118251</v>
      </c>
      <c r="P164" s="274">
        <f t="shared" si="30"/>
        <v>0.35798791615417175</v>
      </c>
      <c r="Q164" s="274">
        <f t="shared" si="30"/>
        <v>0.75474446794705297</v>
      </c>
      <c r="R164" s="274">
        <f t="shared" si="30"/>
        <v>-0.33158339696176597</v>
      </c>
      <c r="S164" s="274">
        <f t="shared" si="30"/>
        <v>-0.32458668308092131</v>
      </c>
      <c r="T164" s="274">
        <f t="shared" si="30"/>
        <v>-0.33158339696176597</v>
      </c>
      <c r="U164" s="274">
        <f t="shared" si="30"/>
        <v>-0.33158339696176597</v>
      </c>
      <c r="V164" s="274">
        <f t="shared" si="30"/>
        <v>-0.32458668308092131</v>
      </c>
      <c r="W164" s="274">
        <f t="shared" si="30"/>
        <v>-0.32458668308092131</v>
      </c>
      <c r="X164" s="274">
        <f t="shared" si="30"/>
        <v>-0.31971940385946424</v>
      </c>
      <c r="Y164" s="274">
        <f t="shared" si="30"/>
        <v>-0.31971940385946424</v>
      </c>
      <c r="Z164" s="267"/>
      <c r="AA164" s="267"/>
    </row>
    <row r="165" spans="3:27" x14ac:dyDescent="0.3">
      <c r="D165" s="32"/>
      <c r="E165" s="32"/>
      <c r="F165" s="191" t="s">
        <v>191</v>
      </c>
      <c r="G165" t="s">
        <v>269</v>
      </c>
      <c r="H165" s="267"/>
      <c r="I165" s="267"/>
      <c r="J165" s="275">
        <f t="shared" ref="J165:Y165" si="31">hundred * $H31 * J56 / $H44 * J82 / hours_in_year</f>
        <v>0</v>
      </c>
      <c r="K165" s="275">
        <f t="shared" si="31"/>
        <v>0</v>
      </c>
      <c r="L165" s="275">
        <f t="shared" si="31"/>
        <v>0</v>
      </c>
      <c r="M165" s="275">
        <f t="shared" si="31"/>
        <v>0</v>
      </c>
      <c r="N165" s="275">
        <f t="shared" si="31"/>
        <v>0</v>
      </c>
      <c r="O165" s="275">
        <f t="shared" si="31"/>
        <v>0</v>
      </c>
      <c r="P165" s="275">
        <f t="shared" si="31"/>
        <v>0</v>
      </c>
      <c r="Q165" s="275">
        <f t="shared" si="31"/>
        <v>0</v>
      </c>
      <c r="R165" s="275">
        <f t="shared" si="31"/>
        <v>0</v>
      </c>
      <c r="S165" s="275">
        <f t="shared" si="31"/>
        <v>0</v>
      </c>
      <c r="T165" s="275">
        <f t="shared" si="31"/>
        <v>0</v>
      </c>
      <c r="U165" s="275">
        <f t="shared" si="31"/>
        <v>0</v>
      </c>
      <c r="V165" s="275">
        <f t="shared" si="31"/>
        <v>0</v>
      </c>
      <c r="W165" s="275">
        <f t="shared" si="31"/>
        <v>0</v>
      </c>
      <c r="X165" s="275">
        <f t="shared" si="31"/>
        <v>0</v>
      </c>
      <c r="Y165" s="275">
        <f t="shared" si="31"/>
        <v>0</v>
      </c>
      <c r="Z165" s="267"/>
      <c r="AA165" s="267"/>
    </row>
    <row r="166" spans="3:27" x14ac:dyDescent="0.3">
      <c r="D166" s="32"/>
      <c r="E166" s="32"/>
      <c r="F166" s="191" t="s">
        <v>192</v>
      </c>
      <c r="G166" t="s">
        <v>269</v>
      </c>
      <c r="H166" s="267"/>
      <c r="I166" s="267"/>
      <c r="J166" s="275">
        <f t="shared" ref="J166:Y166" si="32">hundred * $H32 * J57 / $H45 * J83 / hours_in_year</f>
        <v>0.38867054526989864</v>
      </c>
      <c r="K166" s="275">
        <f t="shared" si="32"/>
        <v>0.38867054526989864</v>
      </c>
      <c r="L166" s="275">
        <f t="shared" si="32"/>
        <v>0.44246316189784063</v>
      </c>
      <c r="M166" s="275">
        <f t="shared" si="32"/>
        <v>0.44246316189784063</v>
      </c>
      <c r="N166" s="275">
        <f t="shared" si="32"/>
        <v>0.35594768682226757</v>
      </c>
      <c r="O166" s="275">
        <f t="shared" si="32"/>
        <v>0.26047523658914729</v>
      </c>
      <c r="P166" s="275">
        <f t="shared" si="32"/>
        <v>0.29284179294759483</v>
      </c>
      <c r="Q166" s="275">
        <f t="shared" si="32"/>
        <v>0.78537819279247212</v>
      </c>
      <c r="R166" s="275">
        <f t="shared" si="32"/>
        <v>-0.27124232996769565</v>
      </c>
      <c r="S166" s="275">
        <f t="shared" si="32"/>
        <v>-0.26551886795920293</v>
      </c>
      <c r="T166" s="275">
        <f t="shared" si="32"/>
        <v>-0.27124232996769565</v>
      </c>
      <c r="U166" s="275">
        <f t="shared" si="32"/>
        <v>-0.27124232996769565</v>
      </c>
      <c r="V166" s="275">
        <f t="shared" si="32"/>
        <v>-0.26551886795920293</v>
      </c>
      <c r="W166" s="275">
        <f t="shared" si="32"/>
        <v>-0.26551886795920293</v>
      </c>
      <c r="X166" s="275">
        <f t="shared" si="32"/>
        <v>-0.26153732917068628</v>
      </c>
      <c r="Y166" s="275">
        <f t="shared" si="32"/>
        <v>-0.26153732917068628</v>
      </c>
      <c r="Z166" s="267"/>
      <c r="AA166" s="267"/>
    </row>
    <row r="167" spans="3:27" x14ac:dyDescent="0.3">
      <c r="D167" s="32"/>
      <c r="E167" s="32"/>
      <c r="F167" s="191" t="s">
        <v>193</v>
      </c>
      <c r="G167" t="s">
        <v>269</v>
      </c>
      <c r="H167" s="267"/>
      <c r="I167" s="267"/>
      <c r="J167" s="275">
        <f t="shared" ref="J167:Y167" si="33">hundred * $H33 * J58 / $H46 * J84 / hours_in_year</f>
        <v>9.2016665369905257E-2</v>
      </c>
      <c r="K167" s="275">
        <f t="shared" si="33"/>
        <v>9.2016665369905257E-2</v>
      </c>
      <c r="L167" s="275">
        <f t="shared" si="33"/>
        <v>0.10475191702162925</v>
      </c>
      <c r="M167" s="275">
        <f t="shared" si="33"/>
        <v>0.10475191702162925</v>
      </c>
      <c r="N167" s="275">
        <f t="shared" si="33"/>
        <v>8.4269620083436414E-2</v>
      </c>
      <c r="O167" s="275">
        <f t="shared" si="33"/>
        <v>6.1666784308871882E-2</v>
      </c>
      <c r="P167" s="275">
        <f t="shared" si="33"/>
        <v>6.9329476071488733E-2</v>
      </c>
      <c r="Q167" s="275">
        <f t="shared" si="33"/>
        <v>0.18593609223673471</v>
      </c>
      <c r="R167" s="275">
        <f t="shared" si="33"/>
        <v>-6.4215863575304122E-2</v>
      </c>
      <c r="S167" s="275">
        <f t="shared" si="33"/>
        <v>-6.2860849940228877E-2</v>
      </c>
      <c r="T167" s="275">
        <f t="shared" si="33"/>
        <v>-6.4215863575304122E-2</v>
      </c>
      <c r="U167" s="275">
        <f t="shared" si="33"/>
        <v>-6.4215863575304122E-2</v>
      </c>
      <c r="V167" s="275">
        <f t="shared" si="33"/>
        <v>-6.2860849940228877E-2</v>
      </c>
      <c r="W167" s="275">
        <f t="shared" si="33"/>
        <v>-6.2860849940228877E-2</v>
      </c>
      <c r="X167" s="275">
        <f t="shared" si="33"/>
        <v>-6.1918231759306983E-2</v>
      </c>
      <c r="Y167" s="275">
        <f t="shared" si="33"/>
        <v>-6.1918231759306983E-2</v>
      </c>
      <c r="Z167" s="267"/>
      <c r="AA167" s="267"/>
    </row>
    <row r="168" spans="3:27" x14ac:dyDescent="0.3">
      <c r="D168" s="32"/>
      <c r="E168" s="32"/>
      <c r="F168" s="191" t="s">
        <v>194</v>
      </c>
      <c r="G168" t="s">
        <v>269</v>
      </c>
      <c r="H168" s="267"/>
      <c r="I168" s="267"/>
      <c r="J168" s="275">
        <f t="shared" ref="J168:Y168" si="34">hundred * $H34 * J59 / $H47 * J85 / hours_in_year</f>
        <v>9.9882772362617805E-2</v>
      </c>
      <c r="K168" s="275">
        <f t="shared" si="34"/>
        <v>9.9882772362617805E-2</v>
      </c>
      <c r="L168" s="275">
        <f t="shared" si="34"/>
        <v>0.11370670563162137</v>
      </c>
      <c r="M168" s="275">
        <f t="shared" si="34"/>
        <v>0.11370670563162137</v>
      </c>
      <c r="N168" s="275">
        <f t="shared" si="34"/>
        <v>9.1473465660178513E-2</v>
      </c>
      <c r="O168" s="275">
        <f t="shared" si="34"/>
        <v>6.6938411152988792E-2</v>
      </c>
      <c r="P168" s="275">
        <f t="shared" si="34"/>
        <v>7.5256153313428858E-2</v>
      </c>
      <c r="Q168" s="275">
        <f t="shared" si="34"/>
        <v>0.20328376025578826</v>
      </c>
      <c r="R168" s="275">
        <f t="shared" si="34"/>
        <v>-6.9705400187853248E-2</v>
      </c>
      <c r="S168" s="275">
        <f t="shared" si="34"/>
        <v>-6.8234552293981107E-2</v>
      </c>
      <c r="T168" s="275">
        <f t="shared" si="34"/>
        <v>-6.9705400187853248E-2</v>
      </c>
      <c r="U168" s="275">
        <f t="shared" si="34"/>
        <v>-6.9705400187853248E-2</v>
      </c>
      <c r="V168" s="275">
        <f t="shared" si="34"/>
        <v>-6.8234552293981107E-2</v>
      </c>
      <c r="W168" s="275">
        <f t="shared" si="34"/>
        <v>-6.8234552293981107E-2</v>
      </c>
      <c r="X168" s="275">
        <f t="shared" si="34"/>
        <v>-6.7211353759113523E-2</v>
      </c>
      <c r="Y168" s="275">
        <f t="shared" si="34"/>
        <v>-6.7211353759113523E-2</v>
      </c>
      <c r="Z168" s="267"/>
      <c r="AA168" s="267"/>
    </row>
    <row r="169" spans="3:27" x14ac:dyDescent="0.3">
      <c r="D169" s="32"/>
      <c r="E169" s="32"/>
      <c r="F169" s="191" t="s">
        <v>195</v>
      </c>
      <c r="G169" t="s">
        <v>269</v>
      </c>
      <c r="H169" s="267"/>
      <c r="I169" s="267"/>
      <c r="J169" s="275">
        <f t="shared" ref="J169:Y169" si="35">hundred * $H35 * J60 / $H48 * J86 / hours_in_year</f>
        <v>0.19254283580213316</v>
      </c>
      <c r="K169" s="275">
        <f t="shared" si="35"/>
        <v>0.19254283580213316</v>
      </c>
      <c r="L169" s="275">
        <f t="shared" si="35"/>
        <v>0.21919106803071287</v>
      </c>
      <c r="M169" s="275">
        <f t="shared" si="35"/>
        <v>0.21919106803071287</v>
      </c>
      <c r="N169" s="275">
        <f t="shared" si="35"/>
        <v>0.17633231499540863</v>
      </c>
      <c r="O169" s="275">
        <f t="shared" si="35"/>
        <v>0.12903638137610668</v>
      </c>
      <c r="P169" s="275">
        <f t="shared" si="35"/>
        <v>0.14507039430105706</v>
      </c>
      <c r="Q169" s="275">
        <f t="shared" si="35"/>
        <v>0.39186769396099902</v>
      </c>
      <c r="R169" s="275">
        <f t="shared" si="35"/>
        <v>-0.1343702733256818</v>
      </c>
      <c r="S169" s="275">
        <f t="shared" si="35"/>
        <v>-0.13153493728302978</v>
      </c>
      <c r="T169" s="275">
        <f t="shared" si="35"/>
        <v>-0.1343702733256818</v>
      </c>
      <c r="U169" s="275">
        <f t="shared" si="35"/>
        <v>-0.1343702733256818</v>
      </c>
      <c r="V169" s="275">
        <f t="shared" si="35"/>
        <v>-0.13153493728302978</v>
      </c>
      <c r="W169" s="275">
        <f t="shared" si="35"/>
        <v>-0.13153493728302978</v>
      </c>
      <c r="X169" s="275">
        <f t="shared" si="35"/>
        <v>-0.12956252960118492</v>
      </c>
      <c r="Y169" s="275">
        <f t="shared" si="35"/>
        <v>-0.12956252960118492</v>
      </c>
      <c r="Z169" s="267"/>
      <c r="AA169" s="267"/>
    </row>
    <row r="170" spans="3:27" x14ac:dyDescent="0.3">
      <c r="D170" s="32"/>
      <c r="E170" s="32"/>
      <c r="F170" s="191" t="s">
        <v>196</v>
      </c>
      <c r="G170" t="s">
        <v>269</v>
      </c>
      <c r="H170" s="267"/>
      <c r="I170" s="267"/>
      <c r="J170" s="275">
        <f t="shared" ref="J170:Y170" si="36">hundred * $H36 * J61 / $H49 * J87 / hours_in_year</f>
        <v>0.19248586523267314</v>
      </c>
      <c r="K170" s="275">
        <f t="shared" si="36"/>
        <v>0.19248586523267314</v>
      </c>
      <c r="L170" s="275">
        <f t="shared" si="36"/>
        <v>0.21912621264456331</v>
      </c>
      <c r="M170" s="275">
        <f t="shared" si="36"/>
        <v>0.21912621264456331</v>
      </c>
      <c r="N170" s="275">
        <f t="shared" si="36"/>
        <v>0.17628014087863275</v>
      </c>
      <c r="O170" s="275">
        <f t="shared" si="36"/>
        <v>0.12899820142463025</v>
      </c>
      <c r="P170" s="275">
        <f t="shared" si="36"/>
        <v>0.14502747012296083</v>
      </c>
      <c r="Q170" s="275">
        <f t="shared" si="36"/>
        <v>0.38895203872357897</v>
      </c>
      <c r="R170" s="275">
        <f t="shared" si="36"/>
        <v>-0.1343305151546858</v>
      </c>
      <c r="S170" s="275">
        <f t="shared" si="36"/>
        <v>-0.13149601804591723</v>
      </c>
      <c r="T170" s="275">
        <f t="shared" si="36"/>
        <v>-0.1343305151546858</v>
      </c>
      <c r="U170" s="275">
        <f t="shared" si="36"/>
        <v>-0.1343305151546858</v>
      </c>
      <c r="V170" s="275">
        <f t="shared" si="36"/>
        <v>-0.13149601804591723</v>
      </c>
      <c r="W170" s="275">
        <f t="shared" si="36"/>
        <v>-0.13149601804591723</v>
      </c>
      <c r="X170" s="275">
        <f t="shared" si="36"/>
        <v>-0.12952419397025211</v>
      </c>
      <c r="Y170" s="275">
        <f t="shared" si="36"/>
        <v>-0.12952419397025211</v>
      </c>
      <c r="Z170" s="267"/>
      <c r="AA170" s="267"/>
    </row>
    <row r="171" spans="3:27" x14ac:dyDescent="0.3">
      <c r="D171" s="32"/>
      <c r="E171" s="32"/>
      <c r="F171" s="191" t="s">
        <v>197</v>
      </c>
      <c r="G171" t="s">
        <v>269</v>
      </c>
      <c r="H171" s="267"/>
      <c r="I171" s="267"/>
      <c r="J171" s="275">
        <f t="shared" ref="J171:Y171" si="37">hundred * $H37 * J62 / $H50 * J88 / hours_in_year</f>
        <v>1.2286661000137911</v>
      </c>
      <c r="K171" s="275">
        <f t="shared" si="37"/>
        <v>1.2286661000137911</v>
      </c>
      <c r="L171" s="275">
        <f t="shared" si="37"/>
        <v>1.3987154265864916</v>
      </c>
      <c r="M171" s="275">
        <f t="shared" si="37"/>
        <v>1.3987154265864916</v>
      </c>
      <c r="N171" s="275">
        <f t="shared" si="37"/>
        <v>1.1252225348672866</v>
      </c>
      <c r="O171" s="275">
        <f t="shared" si="37"/>
        <v>0.82341483548211414</v>
      </c>
      <c r="P171" s="275">
        <f t="shared" si="37"/>
        <v>0.92573205775630307</v>
      </c>
      <c r="Q171" s="275">
        <f t="shared" si="37"/>
        <v>2.5006100551840125</v>
      </c>
      <c r="R171" s="275">
        <f t="shared" si="37"/>
        <v>-0.85745179246510028</v>
      </c>
      <c r="S171" s="275">
        <f t="shared" si="37"/>
        <v>-0.83935877299106598</v>
      </c>
      <c r="T171" s="275">
        <f t="shared" si="37"/>
        <v>-0.85745179246510028</v>
      </c>
      <c r="U171" s="275">
        <f t="shared" si="37"/>
        <v>-0.85745179246510028</v>
      </c>
      <c r="V171" s="275">
        <f t="shared" si="37"/>
        <v>-0.83935877299106598</v>
      </c>
      <c r="W171" s="275">
        <f t="shared" si="37"/>
        <v>-0.83935877299106598</v>
      </c>
      <c r="X171" s="275">
        <f t="shared" si="37"/>
        <v>0</v>
      </c>
      <c r="Y171" s="275">
        <f t="shared" si="37"/>
        <v>0</v>
      </c>
      <c r="Z171" s="267"/>
      <c r="AA171" s="267"/>
    </row>
    <row r="172" spans="3:27" x14ac:dyDescent="0.3">
      <c r="D172" s="32"/>
      <c r="E172" s="32"/>
      <c r="F172" s="191" t="s">
        <v>198</v>
      </c>
      <c r="G172" t="s">
        <v>269</v>
      </c>
      <c r="H172" s="267"/>
      <c r="I172" s="267"/>
      <c r="J172" s="275">
        <f t="shared" ref="J172:Y172" si="38">hundred * $H38 * J63 / $H51 * J89 / hours_in_year</f>
        <v>0.59861561418452702</v>
      </c>
      <c r="K172" s="275">
        <f t="shared" si="38"/>
        <v>0.59861561418452702</v>
      </c>
      <c r="L172" s="275">
        <f t="shared" si="38"/>
        <v>0.68146495955739905</v>
      </c>
      <c r="M172" s="275">
        <f t="shared" si="38"/>
        <v>0.68146495955739905</v>
      </c>
      <c r="N172" s="275">
        <f t="shared" si="38"/>
        <v>0.54821711024361341</v>
      </c>
      <c r="O172" s="275">
        <f t="shared" si="38"/>
        <v>0.40117406793045263</v>
      </c>
      <c r="P172" s="275">
        <f t="shared" si="38"/>
        <v>0</v>
      </c>
      <c r="Q172" s="275">
        <f t="shared" si="38"/>
        <v>1.218316533680859</v>
      </c>
      <c r="R172" s="275">
        <f t="shared" si="38"/>
        <v>-0.41775713627515099</v>
      </c>
      <c r="S172" s="275">
        <f t="shared" si="38"/>
        <v>0</v>
      </c>
      <c r="T172" s="275">
        <f t="shared" si="38"/>
        <v>-0.41775713627515099</v>
      </c>
      <c r="U172" s="275">
        <f t="shared" si="38"/>
        <v>-0.41775713627515099</v>
      </c>
      <c r="V172" s="275">
        <f t="shared" si="38"/>
        <v>0</v>
      </c>
      <c r="W172" s="275">
        <f t="shared" si="38"/>
        <v>0</v>
      </c>
      <c r="X172" s="275">
        <f t="shared" si="38"/>
        <v>0</v>
      </c>
      <c r="Y172" s="275">
        <f t="shared" si="38"/>
        <v>0</v>
      </c>
      <c r="Z172" s="267"/>
      <c r="AA172" s="267"/>
    </row>
    <row r="173" spans="3:27" x14ac:dyDescent="0.3">
      <c r="D173" s="32"/>
      <c r="E173" s="32"/>
      <c r="F173" s="192" t="s">
        <v>199</v>
      </c>
      <c r="G173" s="37" t="s">
        <v>269</v>
      </c>
      <c r="H173" s="269"/>
      <c r="I173" s="269"/>
      <c r="J173" s="276">
        <f t="shared" ref="J173:Y173" si="39">hundred * $H39 * J64 / $H52 * J90 / hours_in_year</f>
        <v>1.3741048925277108</v>
      </c>
      <c r="K173" s="276">
        <f t="shared" si="39"/>
        <v>1.3741048925277108</v>
      </c>
      <c r="L173" s="276">
        <f t="shared" si="39"/>
        <v>1.564283177427056</v>
      </c>
      <c r="M173" s="276">
        <f t="shared" si="39"/>
        <v>1.564283177427056</v>
      </c>
      <c r="N173" s="276">
        <f t="shared" si="39"/>
        <v>1.2584165790251853</v>
      </c>
      <c r="O173" s="276">
        <f t="shared" si="39"/>
        <v>0</v>
      </c>
      <c r="P173" s="276">
        <f t="shared" si="39"/>
        <v>0</v>
      </c>
      <c r="Q173" s="276">
        <f t="shared" si="39"/>
        <v>2.7966104958000977</v>
      </c>
      <c r="R173" s="276">
        <f t="shared" si="39"/>
        <v>0</v>
      </c>
      <c r="S173" s="276">
        <f t="shared" si="39"/>
        <v>0</v>
      </c>
      <c r="T173" s="276">
        <f t="shared" si="39"/>
        <v>0</v>
      </c>
      <c r="U173" s="276">
        <f t="shared" si="39"/>
        <v>0</v>
      </c>
      <c r="V173" s="276">
        <f t="shared" si="39"/>
        <v>0</v>
      </c>
      <c r="W173" s="276">
        <f t="shared" si="39"/>
        <v>0</v>
      </c>
      <c r="X173" s="276">
        <f t="shared" si="39"/>
        <v>0</v>
      </c>
      <c r="Y173" s="276">
        <f t="shared" si="39"/>
        <v>0</v>
      </c>
      <c r="Z173" s="267"/>
      <c r="AA173" s="267"/>
    </row>
    <row r="174" spans="3:27" x14ac:dyDescent="0.3">
      <c r="C174" s="32"/>
      <c r="D174" s="32"/>
      <c r="E174" s="32"/>
      <c r="J174" s="163"/>
      <c r="K174" s="163"/>
      <c r="L174" s="163"/>
      <c r="M174" s="163"/>
      <c r="N174" s="163"/>
      <c r="O174" s="163"/>
      <c r="P174" s="163"/>
      <c r="Q174" s="163"/>
      <c r="R174" s="163"/>
      <c r="S174" s="163"/>
      <c r="T174" s="163"/>
      <c r="U174" s="163"/>
      <c r="V174" s="163"/>
      <c r="W174" s="163"/>
      <c r="X174" s="163"/>
      <c r="Y174" s="163"/>
    </row>
    <row r="175" spans="3:27" x14ac:dyDescent="0.3">
      <c r="C175" s="31" t="str">
        <f ca="1">INDEX('Version control'!$H$34:$H$57,MATCH($A$1,'Version control'!$F$34:$F$57,0),1)&amp;"-D: Unit rate 2"</f>
        <v>Section 109-D: Unit rate 2</v>
      </c>
      <c r="D175" s="31"/>
      <c r="E175" s="31"/>
      <c r="F175" s="31"/>
      <c r="G175" s="31"/>
      <c r="H175" s="31"/>
      <c r="I175" s="31"/>
      <c r="J175" s="198"/>
      <c r="K175" s="198"/>
      <c r="L175" s="198"/>
      <c r="M175" s="198"/>
      <c r="N175" s="198"/>
      <c r="O175" s="198"/>
      <c r="P175" s="198"/>
      <c r="Q175" s="198"/>
      <c r="R175" s="198"/>
      <c r="S175" s="198"/>
      <c r="T175" s="198"/>
      <c r="U175" s="198"/>
      <c r="V175" s="198"/>
      <c r="W175" s="198"/>
      <c r="X175" s="198"/>
      <c r="Y175" s="198"/>
      <c r="Z175" s="31"/>
      <c r="AA175" s="31"/>
    </row>
    <row r="176" spans="3:27" x14ac:dyDescent="0.3">
      <c r="C176" s="32"/>
      <c r="D176" s="32"/>
      <c r="E176" s="32"/>
      <c r="J176" s="163"/>
      <c r="K176" s="163"/>
      <c r="L176" s="163"/>
      <c r="M176" s="163"/>
      <c r="N176" s="163"/>
      <c r="O176" s="163"/>
      <c r="P176" s="163"/>
      <c r="Q176" s="163"/>
      <c r="R176" s="163"/>
      <c r="S176" s="163"/>
      <c r="T176" s="163"/>
      <c r="U176" s="163"/>
      <c r="V176" s="163"/>
      <c r="W176" s="163"/>
      <c r="X176" s="163"/>
      <c r="Y176" s="163"/>
    </row>
    <row r="177" spans="4:27" x14ac:dyDescent="0.3">
      <c r="D177" s="29" t="s">
        <v>626</v>
      </c>
      <c r="E177" s="32"/>
      <c r="F177" s="32"/>
      <c r="J177" s="163"/>
      <c r="K177" s="163"/>
      <c r="L177" s="163"/>
      <c r="M177" s="163"/>
      <c r="N177" s="163"/>
      <c r="O177" s="163"/>
      <c r="P177" s="163"/>
      <c r="Q177" s="163"/>
      <c r="R177" s="163"/>
      <c r="S177" s="163"/>
      <c r="T177" s="163"/>
      <c r="U177" s="163"/>
      <c r="V177" s="163"/>
      <c r="W177" s="163"/>
      <c r="X177" s="163"/>
      <c r="Y177" s="163"/>
    </row>
    <row r="178" spans="4:27" x14ac:dyDescent="0.3">
      <c r="D178" s="29" t="s">
        <v>624</v>
      </c>
      <c r="E178" s="32"/>
      <c r="F178" s="32"/>
      <c r="J178" s="163"/>
      <c r="K178" s="163"/>
      <c r="L178" s="163"/>
      <c r="M178" s="163"/>
      <c r="N178" s="163"/>
      <c r="O178" s="163"/>
      <c r="P178" s="163"/>
      <c r="Q178" s="163"/>
      <c r="R178" s="163"/>
      <c r="S178" s="163"/>
      <c r="T178" s="163"/>
      <c r="U178" s="163"/>
      <c r="V178" s="163"/>
      <c r="W178" s="163"/>
      <c r="X178" s="163"/>
      <c r="Y178" s="163"/>
    </row>
    <row r="179" spans="4:27" x14ac:dyDescent="0.3">
      <c r="D179" s="32"/>
      <c r="E179" s="32"/>
      <c r="F179" s="32"/>
      <c r="I179" s="3" t="s">
        <v>154</v>
      </c>
      <c r="J179" s="163"/>
      <c r="K179" s="163"/>
      <c r="L179" s="163"/>
      <c r="M179" s="163"/>
      <c r="N179" s="163"/>
      <c r="O179" s="163"/>
      <c r="P179" s="163"/>
      <c r="Q179" s="163"/>
      <c r="R179" s="163"/>
      <c r="S179" s="163"/>
      <c r="T179" s="163"/>
      <c r="U179" s="163"/>
      <c r="V179" s="163"/>
      <c r="W179" s="163"/>
      <c r="X179" s="163"/>
      <c r="Y179" s="163"/>
      <c r="AA179" t="s">
        <v>625</v>
      </c>
    </row>
    <row r="180" spans="4:27" x14ac:dyDescent="0.3">
      <c r="E180" s="32" t="s">
        <v>621</v>
      </c>
      <c r="J180" s="163"/>
      <c r="K180" s="163"/>
      <c r="L180" s="163"/>
      <c r="M180" s="163"/>
      <c r="N180" s="163"/>
      <c r="O180" s="163"/>
      <c r="P180" s="163"/>
      <c r="Q180" s="163"/>
      <c r="R180" s="163"/>
      <c r="S180" s="163"/>
      <c r="T180" s="163"/>
      <c r="U180" s="163"/>
      <c r="V180" s="163"/>
      <c r="W180" s="163"/>
      <c r="X180" s="163"/>
      <c r="Y180" s="163"/>
    </row>
    <row r="181" spans="4:27" x14ac:dyDescent="0.3">
      <c r="E181" s="32"/>
      <c r="F181" s="190" t="s">
        <v>189</v>
      </c>
      <c r="G181" s="23" t="s">
        <v>269</v>
      </c>
      <c r="H181" s="266"/>
      <c r="I181" s="266"/>
      <c r="J181" s="274">
        <f t="shared" ref="J181:Y181" si="40">hundred * $H18 * J55 / $H43 * J93 * (1 - J67) / hours_in_year</f>
        <v>0</v>
      </c>
      <c r="K181" s="274">
        <f t="shared" si="40"/>
        <v>0</v>
      </c>
      <c r="L181" s="274">
        <f t="shared" si="40"/>
        <v>0</v>
      </c>
      <c r="M181" s="274">
        <f t="shared" si="40"/>
        <v>0</v>
      </c>
      <c r="N181" s="274">
        <f t="shared" si="40"/>
        <v>0</v>
      </c>
      <c r="O181" s="274">
        <f t="shared" si="40"/>
        <v>0</v>
      </c>
      <c r="P181" s="274">
        <f t="shared" si="40"/>
        <v>0</v>
      </c>
      <c r="Q181" s="274">
        <f t="shared" si="40"/>
        <v>0</v>
      </c>
      <c r="R181" s="274">
        <f t="shared" si="40"/>
        <v>0</v>
      </c>
      <c r="S181" s="274">
        <f t="shared" si="40"/>
        <v>0</v>
      </c>
      <c r="T181" s="274">
        <f t="shared" si="40"/>
        <v>0</v>
      </c>
      <c r="U181" s="274">
        <f t="shared" si="40"/>
        <v>0</v>
      </c>
      <c r="V181" s="274">
        <f t="shared" si="40"/>
        <v>0</v>
      </c>
      <c r="W181" s="274">
        <f t="shared" si="40"/>
        <v>0</v>
      </c>
      <c r="X181" s="274">
        <f t="shared" si="40"/>
        <v>0</v>
      </c>
      <c r="Y181" s="274">
        <f t="shared" si="40"/>
        <v>0</v>
      </c>
      <c r="Z181" s="267"/>
      <c r="AA181" s="267"/>
    </row>
    <row r="182" spans="4:27" x14ac:dyDescent="0.3">
      <c r="E182" s="32"/>
      <c r="F182" s="191" t="s">
        <v>191</v>
      </c>
      <c r="G182" t="s">
        <v>269</v>
      </c>
      <c r="H182" s="267"/>
      <c r="I182" s="267"/>
      <c r="J182" s="275">
        <f t="shared" ref="J182:Y182" si="41">hundred * $H19 * J56 / $H44 * J94 * (1 - J68) / hours_in_year</f>
        <v>0</v>
      </c>
      <c r="K182" s="275">
        <f t="shared" si="41"/>
        <v>0</v>
      </c>
      <c r="L182" s="275">
        <f t="shared" si="41"/>
        <v>0</v>
      </c>
      <c r="M182" s="275">
        <f t="shared" si="41"/>
        <v>0</v>
      </c>
      <c r="N182" s="275">
        <f t="shared" si="41"/>
        <v>0</v>
      </c>
      <c r="O182" s="275">
        <f t="shared" si="41"/>
        <v>0</v>
      </c>
      <c r="P182" s="275">
        <f t="shared" si="41"/>
        <v>0</v>
      </c>
      <c r="Q182" s="275">
        <f t="shared" si="41"/>
        <v>0</v>
      </c>
      <c r="R182" s="275">
        <f t="shared" si="41"/>
        <v>0</v>
      </c>
      <c r="S182" s="275">
        <f t="shared" si="41"/>
        <v>0</v>
      </c>
      <c r="T182" s="275">
        <f t="shared" si="41"/>
        <v>0</v>
      </c>
      <c r="U182" s="275">
        <f t="shared" si="41"/>
        <v>0</v>
      </c>
      <c r="V182" s="275">
        <f t="shared" si="41"/>
        <v>0</v>
      </c>
      <c r="W182" s="275">
        <f t="shared" si="41"/>
        <v>0</v>
      </c>
      <c r="X182" s="275">
        <f t="shared" si="41"/>
        <v>0</v>
      </c>
      <c r="Y182" s="275">
        <f t="shared" si="41"/>
        <v>0</v>
      </c>
      <c r="Z182" s="267"/>
      <c r="AA182" s="267"/>
    </row>
    <row r="183" spans="4:27" x14ac:dyDescent="0.3">
      <c r="E183" s="32"/>
      <c r="F183" s="191" t="s">
        <v>192</v>
      </c>
      <c r="G183" t="s">
        <v>269</v>
      </c>
      <c r="H183" s="267"/>
      <c r="I183" s="267"/>
      <c r="J183" s="275">
        <f t="shared" ref="J183:Y183" si="42">hundred * $H20 * J57 / $H45 * J95 * (1 - J69) / hours_in_year</f>
        <v>0.10969044910655311</v>
      </c>
      <c r="K183" s="275">
        <f t="shared" si="42"/>
        <v>0.10969044910655311</v>
      </c>
      <c r="L183" s="275">
        <f t="shared" si="42"/>
        <v>0.12487178030940556</v>
      </c>
      <c r="M183" s="275">
        <f t="shared" si="42"/>
        <v>0.12487178030940556</v>
      </c>
      <c r="N183" s="275">
        <f t="shared" si="42"/>
        <v>0.10045541680772457</v>
      </c>
      <c r="O183" s="275">
        <f t="shared" si="42"/>
        <v>7.3511219284082011E-2</v>
      </c>
      <c r="P183" s="275">
        <f t="shared" si="42"/>
        <v>8.2645696146807224E-2</v>
      </c>
      <c r="Q183" s="275">
        <f t="shared" si="42"/>
        <v>6.506518887068552E-2</v>
      </c>
      <c r="R183" s="275">
        <f t="shared" si="42"/>
        <v>-7.6549904161643353E-2</v>
      </c>
      <c r="S183" s="275">
        <f t="shared" si="42"/>
        <v>-7.4934630954562806E-2</v>
      </c>
      <c r="T183" s="275">
        <f t="shared" si="42"/>
        <v>-7.6549904161643353E-2</v>
      </c>
      <c r="U183" s="275">
        <f t="shared" si="42"/>
        <v>-7.6549904161643353E-2</v>
      </c>
      <c r="V183" s="275">
        <f t="shared" si="42"/>
        <v>-7.4934630954562806E-2</v>
      </c>
      <c r="W183" s="275">
        <f t="shared" si="42"/>
        <v>-7.4934630954562806E-2</v>
      </c>
      <c r="X183" s="275">
        <f t="shared" si="42"/>
        <v>-7.381096263659373E-2</v>
      </c>
      <c r="Y183" s="275">
        <f t="shared" si="42"/>
        <v>-7.381096263659373E-2</v>
      </c>
      <c r="Z183" s="267"/>
      <c r="AA183" s="267"/>
    </row>
    <row r="184" spans="4:27" x14ac:dyDescent="0.3">
      <c r="E184" s="32"/>
      <c r="F184" s="191" t="s">
        <v>193</v>
      </c>
      <c r="G184" t="s">
        <v>269</v>
      </c>
      <c r="H184" s="267"/>
      <c r="I184" s="267"/>
      <c r="J184" s="275">
        <f t="shared" ref="J184:Y184" si="43">hundred * $H21 * J58 / $H46 * J96 * (1 - J70) / hours_in_year</f>
        <v>2.5968907272619145E-2</v>
      </c>
      <c r="K184" s="275">
        <f t="shared" si="43"/>
        <v>2.5968907272619145E-2</v>
      </c>
      <c r="L184" s="275">
        <f t="shared" si="43"/>
        <v>2.9563045007426198E-2</v>
      </c>
      <c r="M184" s="275">
        <f t="shared" si="43"/>
        <v>2.9563045007426198E-2</v>
      </c>
      <c r="N184" s="275">
        <f t="shared" si="43"/>
        <v>2.3782539185139107E-2</v>
      </c>
      <c r="O184" s="275">
        <f t="shared" si="43"/>
        <v>1.7403575722723979E-2</v>
      </c>
      <c r="P184" s="275">
        <f t="shared" si="43"/>
        <v>1.9566137591730169E-2</v>
      </c>
      <c r="Q184" s="275">
        <f t="shared" si="43"/>
        <v>1.5404001626585917E-2</v>
      </c>
      <c r="R184" s="275">
        <f t="shared" si="43"/>
        <v>-1.812297587523358E-2</v>
      </c>
      <c r="S184" s="275">
        <f t="shared" si="43"/>
        <v>-1.7740564457682777E-2</v>
      </c>
      <c r="T184" s="275">
        <f t="shared" si="43"/>
        <v>-1.812297587523358E-2</v>
      </c>
      <c r="U184" s="275">
        <f t="shared" si="43"/>
        <v>-1.812297587523358E-2</v>
      </c>
      <c r="V184" s="275">
        <f t="shared" si="43"/>
        <v>-1.7740564457682777E-2</v>
      </c>
      <c r="W184" s="275">
        <f t="shared" si="43"/>
        <v>-1.7740564457682777E-2</v>
      </c>
      <c r="X184" s="275">
        <f t="shared" si="43"/>
        <v>-1.7474539123734395E-2</v>
      </c>
      <c r="Y184" s="275">
        <f t="shared" si="43"/>
        <v>-1.7474539123734395E-2</v>
      </c>
      <c r="Z184" s="267"/>
      <c r="AA184" s="267"/>
    </row>
    <row r="185" spans="4:27" x14ac:dyDescent="0.3">
      <c r="E185" s="32"/>
      <c r="F185" s="191" t="s">
        <v>194</v>
      </c>
      <c r="G185" t="s">
        <v>269</v>
      </c>
      <c r="H185" s="267"/>
      <c r="I185" s="267"/>
      <c r="J185" s="275">
        <f t="shared" ref="J185:Y185" si="44">hundred * $H22 * J59 / $H47 * J97 * (1 - J71) / hours_in_year</f>
        <v>2.0495720067508036E-2</v>
      </c>
      <c r="K185" s="275">
        <f t="shared" si="44"/>
        <v>2.0495720067508036E-2</v>
      </c>
      <c r="L185" s="275">
        <f t="shared" si="44"/>
        <v>2.3332360058684803E-2</v>
      </c>
      <c r="M185" s="275">
        <f t="shared" si="44"/>
        <v>2.3332360058684803E-2</v>
      </c>
      <c r="N185" s="275">
        <f t="shared" si="44"/>
        <v>1.8770149260269198E-2</v>
      </c>
      <c r="O185" s="275">
        <f t="shared" si="44"/>
        <v>1.3735611300161335E-2</v>
      </c>
      <c r="P185" s="275">
        <f t="shared" si="44"/>
        <v>1.5442393269480123E-2</v>
      </c>
      <c r="Q185" s="275">
        <f t="shared" si="44"/>
        <v>1.2150244782115946E-2</v>
      </c>
      <c r="R185" s="275">
        <f t="shared" si="44"/>
        <v>-1.4303391222033741E-2</v>
      </c>
      <c r="S185" s="275">
        <f t="shared" si="44"/>
        <v>-1.4001576544871556E-2</v>
      </c>
      <c r="T185" s="275">
        <f t="shared" si="44"/>
        <v>-1.4303391222033741E-2</v>
      </c>
      <c r="U185" s="275">
        <f t="shared" si="44"/>
        <v>-1.4303391222033741E-2</v>
      </c>
      <c r="V185" s="275">
        <f t="shared" si="44"/>
        <v>-1.4001576544871556E-2</v>
      </c>
      <c r="W185" s="275">
        <f t="shared" si="44"/>
        <v>-1.4001576544871556E-2</v>
      </c>
      <c r="X185" s="275">
        <f t="shared" si="44"/>
        <v>-1.3791618508584824E-2</v>
      </c>
      <c r="Y185" s="275">
        <f t="shared" si="44"/>
        <v>-1.3791618508584824E-2</v>
      </c>
      <c r="Z185" s="267"/>
      <c r="AA185" s="267"/>
    </row>
    <row r="186" spans="4:27" x14ac:dyDescent="0.3">
      <c r="E186" s="32"/>
      <c r="F186" s="191" t="s">
        <v>195</v>
      </c>
      <c r="G186" t="s">
        <v>269</v>
      </c>
      <c r="H186" s="267"/>
      <c r="I186" s="267"/>
      <c r="J186" s="275">
        <f t="shared" ref="J186:Y186" si="45">hundred * $H23 * J60 / $H48 * J98 * (1 - J72) / hours_in_year</f>
        <v>3.9509356521241615E-2</v>
      </c>
      <c r="K186" s="275">
        <f t="shared" si="45"/>
        <v>3.9509356521241615E-2</v>
      </c>
      <c r="L186" s="275">
        <f t="shared" si="45"/>
        <v>4.4977513793329163E-2</v>
      </c>
      <c r="M186" s="275">
        <f t="shared" si="45"/>
        <v>4.4977513793329163E-2</v>
      </c>
      <c r="N186" s="275">
        <f t="shared" si="45"/>
        <v>3.6182994139178942E-2</v>
      </c>
      <c r="O186" s="275">
        <f t="shared" si="45"/>
        <v>2.6477975016627533E-2</v>
      </c>
      <c r="P186" s="275">
        <f t="shared" si="45"/>
        <v>2.209862852312099E-2</v>
      </c>
      <c r="Q186" s="275">
        <f t="shared" si="45"/>
        <v>2.3421882780200416E-2</v>
      </c>
      <c r="R186" s="275">
        <f t="shared" si="45"/>
        <v>-2.757247763888095E-2</v>
      </c>
      <c r="S186" s="275">
        <f t="shared" si="45"/>
        <v>-2.6990673064849511E-2</v>
      </c>
      <c r="T186" s="275">
        <f t="shared" si="45"/>
        <v>-2.757247763888095E-2</v>
      </c>
      <c r="U186" s="275">
        <f t="shared" si="45"/>
        <v>-2.757247763888095E-2</v>
      </c>
      <c r="V186" s="275">
        <f t="shared" si="45"/>
        <v>-2.6990673064849511E-2</v>
      </c>
      <c r="W186" s="275">
        <f t="shared" si="45"/>
        <v>-2.6990673064849511E-2</v>
      </c>
      <c r="X186" s="275">
        <f t="shared" si="45"/>
        <v>-1.9736309575547832E-2</v>
      </c>
      <c r="Y186" s="275">
        <f t="shared" si="45"/>
        <v>-1.9736309575547832E-2</v>
      </c>
      <c r="Z186" s="267"/>
      <c r="AA186" s="267"/>
    </row>
    <row r="187" spans="4:27" x14ac:dyDescent="0.3">
      <c r="E187" s="32"/>
      <c r="F187" s="191" t="s">
        <v>196</v>
      </c>
      <c r="G187" t="s">
        <v>269</v>
      </c>
      <c r="H187" s="267"/>
      <c r="I187" s="267"/>
      <c r="J187" s="275">
        <f t="shared" ref="J187:Y187" si="46">hundred * $H24 * J61 / $H49 * J99 * (1 - J73) / hours_in_year</f>
        <v>5.4323285520320549E-2</v>
      </c>
      <c r="K187" s="275">
        <f t="shared" si="46"/>
        <v>5.4323285520320549E-2</v>
      </c>
      <c r="L187" s="275">
        <f t="shared" si="46"/>
        <v>6.1841713936180098E-2</v>
      </c>
      <c r="M187" s="275">
        <f t="shared" si="46"/>
        <v>6.1841713936180098E-2</v>
      </c>
      <c r="N187" s="275">
        <f t="shared" si="46"/>
        <v>4.9749712338289759E-2</v>
      </c>
      <c r="O187" s="275">
        <f t="shared" si="46"/>
        <v>3.6405821898285125E-2</v>
      </c>
      <c r="P187" s="275">
        <f t="shared" si="46"/>
        <v>3.038445099007336E-2</v>
      </c>
      <c r="Q187" s="275">
        <f t="shared" si="46"/>
        <v>3.2222995358715076E-2</v>
      </c>
      <c r="R187" s="275">
        <f t="shared" si="46"/>
        <v>-3.7910705391374797E-2</v>
      </c>
      <c r="S187" s="275">
        <f t="shared" si="46"/>
        <v>-3.7110754727153132E-2</v>
      </c>
      <c r="T187" s="275">
        <f t="shared" si="46"/>
        <v>-3.7910705391374797E-2</v>
      </c>
      <c r="U187" s="275">
        <f t="shared" si="46"/>
        <v>-3.7910705391374797E-2</v>
      </c>
      <c r="V187" s="275">
        <f t="shared" si="46"/>
        <v>-3.7110754727153132E-2</v>
      </c>
      <c r="W187" s="275">
        <f t="shared" si="46"/>
        <v>-3.7110754727153132E-2</v>
      </c>
      <c r="X187" s="275">
        <f t="shared" si="46"/>
        <v>-2.7136386785077116E-2</v>
      </c>
      <c r="Y187" s="275">
        <f t="shared" si="46"/>
        <v>-2.7136386785077116E-2</v>
      </c>
      <c r="Z187" s="267"/>
      <c r="AA187" s="267"/>
    </row>
    <row r="188" spans="4:27" x14ac:dyDescent="0.3">
      <c r="E188" s="32"/>
      <c r="F188" s="191" t="s">
        <v>197</v>
      </c>
      <c r="G188" t="s">
        <v>269</v>
      </c>
      <c r="H188" s="267"/>
      <c r="I188" s="267"/>
      <c r="J188" s="275">
        <f t="shared" ref="J188:Y188" si="47">hundred * $H25 * J62 / $H50 * J100 * (1 - J74) / hours_in_year</f>
        <v>0.15458715896920883</v>
      </c>
      <c r="K188" s="275">
        <f t="shared" si="47"/>
        <v>0.15458715896920883</v>
      </c>
      <c r="L188" s="275">
        <f t="shared" si="47"/>
        <v>0.17598226564563285</v>
      </c>
      <c r="M188" s="275">
        <f t="shared" si="47"/>
        <v>0.17598226564563285</v>
      </c>
      <c r="N188" s="275">
        <f t="shared" si="47"/>
        <v>0.1415721935123895</v>
      </c>
      <c r="O188" s="275">
        <f t="shared" si="47"/>
        <v>0.10359963546552617</v>
      </c>
      <c r="P188" s="275">
        <f t="shared" si="47"/>
        <v>9.2076100673491659E-2</v>
      </c>
      <c r="Q188" s="275">
        <f t="shared" si="47"/>
        <v>9.1642148480813396E-2</v>
      </c>
      <c r="R188" s="275">
        <f t="shared" si="47"/>
        <v>-0.10788206539494148</v>
      </c>
      <c r="S188" s="275">
        <f t="shared" si="47"/>
        <v>-0.10560565484073625</v>
      </c>
      <c r="T188" s="275">
        <f t="shared" si="47"/>
        <v>-0.10788206539494148</v>
      </c>
      <c r="U188" s="275">
        <f t="shared" si="47"/>
        <v>-0.10788206539494148</v>
      </c>
      <c r="V188" s="275">
        <f t="shared" si="47"/>
        <v>-0.10560565484073625</v>
      </c>
      <c r="W188" s="275">
        <f t="shared" si="47"/>
        <v>-0.10560565484073625</v>
      </c>
      <c r="X188" s="275">
        <f t="shared" si="47"/>
        <v>0</v>
      </c>
      <c r="Y188" s="275">
        <f t="shared" si="47"/>
        <v>0</v>
      </c>
      <c r="Z188" s="267"/>
      <c r="AA188" s="267"/>
    </row>
    <row r="189" spans="4:27" x14ac:dyDescent="0.3">
      <c r="E189" s="32"/>
      <c r="F189" s="191" t="s">
        <v>198</v>
      </c>
      <c r="G189" t="s">
        <v>269</v>
      </c>
      <c r="H189" s="267"/>
      <c r="I189" s="267"/>
      <c r="J189" s="275">
        <f t="shared" ref="J189:Y189" si="48">hundred * $H26 * J63 / $H51 * J101 * (1 - J75) / hours_in_year</f>
        <v>4.406711862465159E-2</v>
      </c>
      <c r="K189" s="275">
        <f t="shared" si="48"/>
        <v>4.406711862465159E-2</v>
      </c>
      <c r="L189" s="275">
        <f t="shared" si="48"/>
        <v>5.0166077362128914E-2</v>
      </c>
      <c r="M189" s="275">
        <f t="shared" si="48"/>
        <v>5.0166077362128914E-2</v>
      </c>
      <c r="N189" s="275">
        <f t="shared" si="48"/>
        <v>4.0357030215590145E-2</v>
      </c>
      <c r="O189" s="275">
        <f t="shared" si="48"/>
        <v>2.9532449240750602E-2</v>
      </c>
      <c r="P189" s="275">
        <f t="shared" si="48"/>
        <v>0</v>
      </c>
      <c r="Q189" s="275">
        <f t="shared" si="48"/>
        <v>2.6123809086408795E-2</v>
      </c>
      <c r="R189" s="275">
        <f t="shared" si="48"/>
        <v>-3.075321265318184E-2</v>
      </c>
      <c r="S189" s="275">
        <f t="shared" si="48"/>
        <v>0</v>
      </c>
      <c r="T189" s="275">
        <f t="shared" si="48"/>
        <v>-3.075321265318184E-2</v>
      </c>
      <c r="U189" s="275">
        <f t="shared" si="48"/>
        <v>-3.075321265318184E-2</v>
      </c>
      <c r="V189" s="275">
        <f t="shared" si="48"/>
        <v>0</v>
      </c>
      <c r="W189" s="275">
        <f t="shared" si="48"/>
        <v>0</v>
      </c>
      <c r="X189" s="275">
        <f t="shared" si="48"/>
        <v>0</v>
      </c>
      <c r="Y189" s="275">
        <f t="shared" si="48"/>
        <v>0</v>
      </c>
      <c r="Z189" s="267"/>
      <c r="AA189" s="267"/>
    </row>
    <row r="190" spans="4:27" x14ac:dyDescent="0.3">
      <c r="E190" s="32"/>
      <c r="F190" s="192" t="s">
        <v>199</v>
      </c>
      <c r="G190" s="37" t="s">
        <v>269</v>
      </c>
      <c r="H190" s="269"/>
      <c r="I190" s="269"/>
      <c r="J190" s="276">
        <f t="shared" ref="J190:Y190" si="49">hundred * $H27 * J64 / $H52 * J102 * (1 - J76) / hours_in_year</f>
        <v>2.9423761356768198E-2</v>
      </c>
      <c r="K190" s="276">
        <f t="shared" si="49"/>
        <v>2.9423761356768198E-2</v>
      </c>
      <c r="L190" s="276">
        <f t="shared" si="49"/>
        <v>3.3496056347163156E-2</v>
      </c>
      <c r="M190" s="276">
        <f t="shared" si="49"/>
        <v>3.3496056347163156E-2</v>
      </c>
      <c r="N190" s="276">
        <f t="shared" si="49"/>
        <v>2.6946523012900903E-2</v>
      </c>
      <c r="O190" s="276">
        <f t="shared" si="49"/>
        <v>0</v>
      </c>
      <c r="P190" s="276">
        <f t="shared" si="49"/>
        <v>0</v>
      </c>
      <c r="Q190" s="276">
        <f t="shared" si="49"/>
        <v>1.744295402736562E-2</v>
      </c>
      <c r="R190" s="276">
        <f t="shared" si="49"/>
        <v>0</v>
      </c>
      <c r="S190" s="276">
        <f t="shared" si="49"/>
        <v>0</v>
      </c>
      <c r="T190" s="276">
        <f t="shared" si="49"/>
        <v>0</v>
      </c>
      <c r="U190" s="276">
        <f t="shared" si="49"/>
        <v>0</v>
      </c>
      <c r="V190" s="276">
        <f t="shared" si="49"/>
        <v>0</v>
      </c>
      <c r="W190" s="276">
        <f t="shared" si="49"/>
        <v>0</v>
      </c>
      <c r="X190" s="276">
        <f t="shared" si="49"/>
        <v>0</v>
      </c>
      <c r="Y190" s="276">
        <f t="shared" si="49"/>
        <v>0</v>
      </c>
      <c r="Z190" s="267"/>
      <c r="AA190" s="267"/>
    </row>
    <row r="191" spans="4:27" x14ac:dyDescent="0.3">
      <c r="E191" s="32"/>
      <c r="F191" s="191"/>
      <c r="J191" s="163"/>
      <c r="K191" s="163"/>
      <c r="L191" s="163"/>
      <c r="M191" s="163"/>
      <c r="N191" s="163"/>
      <c r="O191" s="163"/>
      <c r="P191" s="163"/>
      <c r="Q191" s="163"/>
      <c r="R191" s="163"/>
      <c r="S191" s="163"/>
      <c r="T191" s="163"/>
      <c r="U191" s="163"/>
      <c r="V191" s="163"/>
      <c r="W191" s="163"/>
      <c r="X191" s="163"/>
      <c r="Y191" s="163"/>
    </row>
    <row r="192" spans="4:27" x14ac:dyDescent="0.3">
      <c r="E192" s="32" t="s">
        <v>622</v>
      </c>
      <c r="J192" s="163"/>
      <c r="K192" s="163"/>
      <c r="L192" s="163"/>
      <c r="M192" s="163"/>
      <c r="N192" s="163"/>
      <c r="O192" s="163"/>
      <c r="P192" s="163"/>
      <c r="Q192" s="163"/>
      <c r="R192" s="163"/>
      <c r="S192" s="163"/>
      <c r="T192" s="163"/>
      <c r="U192" s="163"/>
      <c r="V192" s="163"/>
      <c r="W192" s="163"/>
      <c r="X192" s="163"/>
      <c r="Y192" s="163"/>
    </row>
    <row r="193" spans="3:27" x14ac:dyDescent="0.3">
      <c r="D193" s="32"/>
      <c r="E193" s="32"/>
      <c r="F193" s="190" t="s">
        <v>189</v>
      </c>
      <c r="G193" s="23" t="s">
        <v>269</v>
      </c>
      <c r="H193" s="266"/>
      <c r="I193" s="266"/>
      <c r="J193" s="274">
        <f t="shared" ref="J193:Y193" si="50">hundred * $H30 * J55 / $H43 * J93 / hours_in_year</f>
        <v>6.3994810232321425E-2</v>
      </c>
      <c r="K193" s="274">
        <f t="shared" si="50"/>
        <v>6.3994810232321425E-2</v>
      </c>
      <c r="L193" s="274">
        <f t="shared" si="50"/>
        <v>7.2851792926018163E-2</v>
      </c>
      <c r="M193" s="274">
        <f t="shared" si="50"/>
        <v>7.2851792926018163E-2</v>
      </c>
      <c r="N193" s="274">
        <f t="shared" si="50"/>
        <v>5.8606974333511308E-2</v>
      </c>
      <c r="O193" s="274">
        <f t="shared" si="50"/>
        <v>4.2887385058124894E-2</v>
      </c>
      <c r="P193" s="274">
        <f t="shared" si="50"/>
        <v>4.8216555630065862E-2</v>
      </c>
      <c r="Q193" s="274">
        <f t="shared" si="50"/>
        <v>5.4796604497384362E-2</v>
      </c>
      <c r="R193" s="274">
        <f t="shared" si="50"/>
        <v>-4.4660192660603268E-2</v>
      </c>
      <c r="S193" s="274">
        <f t="shared" si="50"/>
        <v>-4.371782162281071E-2</v>
      </c>
      <c r="T193" s="274">
        <f t="shared" si="50"/>
        <v>-4.4660192660603268E-2</v>
      </c>
      <c r="U193" s="274">
        <f t="shared" si="50"/>
        <v>-4.4660192660603268E-2</v>
      </c>
      <c r="V193" s="274">
        <f t="shared" si="50"/>
        <v>-4.371782162281071E-2</v>
      </c>
      <c r="W193" s="274">
        <f t="shared" si="50"/>
        <v>-4.371782162281071E-2</v>
      </c>
      <c r="X193" s="274">
        <f t="shared" si="50"/>
        <v>-4.3062259161737636E-2</v>
      </c>
      <c r="Y193" s="274">
        <f t="shared" si="50"/>
        <v>-4.3062259161737636E-2</v>
      </c>
      <c r="Z193" s="267"/>
      <c r="AA193" s="267"/>
    </row>
    <row r="194" spans="3:27" x14ac:dyDescent="0.3">
      <c r="D194" s="32"/>
      <c r="E194" s="32"/>
      <c r="F194" s="191" t="s">
        <v>191</v>
      </c>
      <c r="G194" t="s">
        <v>269</v>
      </c>
      <c r="H194" s="267"/>
      <c r="I194" s="267"/>
      <c r="J194" s="275">
        <f t="shared" ref="J194:Y194" si="51">hundred * $H31 * J56 / $H44 * J94 / hours_in_year</f>
        <v>0</v>
      </c>
      <c r="K194" s="275">
        <f t="shared" si="51"/>
        <v>0</v>
      </c>
      <c r="L194" s="275">
        <f t="shared" si="51"/>
        <v>0</v>
      </c>
      <c r="M194" s="275">
        <f t="shared" si="51"/>
        <v>0</v>
      </c>
      <c r="N194" s="275">
        <f t="shared" si="51"/>
        <v>0</v>
      </c>
      <c r="O194" s="275">
        <f t="shared" si="51"/>
        <v>0</v>
      </c>
      <c r="P194" s="275">
        <f t="shared" si="51"/>
        <v>0</v>
      </c>
      <c r="Q194" s="275">
        <f t="shared" si="51"/>
        <v>0</v>
      </c>
      <c r="R194" s="275">
        <f t="shared" si="51"/>
        <v>0</v>
      </c>
      <c r="S194" s="275">
        <f t="shared" si="51"/>
        <v>0</v>
      </c>
      <c r="T194" s="275">
        <f t="shared" si="51"/>
        <v>0</v>
      </c>
      <c r="U194" s="275">
        <f t="shared" si="51"/>
        <v>0</v>
      </c>
      <c r="V194" s="275">
        <f t="shared" si="51"/>
        <v>0</v>
      </c>
      <c r="W194" s="275">
        <f t="shared" si="51"/>
        <v>0</v>
      </c>
      <c r="X194" s="275">
        <f t="shared" si="51"/>
        <v>0</v>
      </c>
      <c r="Y194" s="275">
        <f t="shared" si="51"/>
        <v>0</v>
      </c>
      <c r="Z194" s="267"/>
      <c r="AA194" s="267"/>
    </row>
    <row r="195" spans="3:27" x14ac:dyDescent="0.3">
      <c r="D195" s="32"/>
      <c r="E195" s="32"/>
      <c r="F195" s="191" t="s">
        <v>192</v>
      </c>
      <c r="G195" t="s">
        <v>269</v>
      </c>
      <c r="H195" s="267"/>
      <c r="I195" s="267"/>
      <c r="J195" s="275">
        <f t="shared" ref="J195:Y195" si="52">hundred * $H32 * J57 / $H45 * J95 / hours_in_year</f>
        <v>7.701498882512553E-2</v>
      </c>
      <c r="K195" s="275">
        <f t="shared" si="52"/>
        <v>7.701498882512553E-2</v>
      </c>
      <c r="L195" s="275">
        <f t="shared" si="52"/>
        <v>8.7673984776563949E-2</v>
      </c>
      <c r="M195" s="275">
        <f t="shared" si="52"/>
        <v>8.7673984776563949E-2</v>
      </c>
      <c r="N195" s="275">
        <f t="shared" si="52"/>
        <v>7.0530961135503625E-2</v>
      </c>
      <c r="O195" s="275">
        <f t="shared" si="52"/>
        <v>5.1613114704137916E-2</v>
      </c>
      <c r="P195" s="275">
        <f t="shared" si="52"/>
        <v>5.8026541207869146E-2</v>
      </c>
      <c r="Q195" s="275">
        <f t="shared" si="52"/>
        <v>4.5683054765441398E-2</v>
      </c>
      <c r="R195" s="275">
        <f t="shared" si="52"/>
        <v>-5.3746612048661824E-2</v>
      </c>
      <c r="S195" s="275">
        <f t="shared" si="52"/>
        <v>-5.2612509225616659E-2</v>
      </c>
      <c r="T195" s="275">
        <f t="shared" si="52"/>
        <v>-5.3746612048661824E-2</v>
      </c>
      <c r="U195" s="275">
        <f t="shared" si="52"/>
        <v>-5.3746612048661824E-2</v>
      </c>
      <c r="V195" s="275">
        <f t="shared" si="52"/>
        <v>-5.2612509225616659E-2</v>
      </c>
      <c r="W195" s="275">
        <f t="shared" si="52"/>
        <v>-5.2612509225616659E-2</v>
      </c>
      <c r="X195" s="275">
        <f t="shared" si="52"/>
        <v>-5.1823568131324368E-2</v>
      </c>
      <c r="Y195" s="275">
        <f t="shared" si="52"/>
        <v>-5.1823568131324368E-2</v>
      </c>
      <c r="Z195" s="267"/>
      <c r="AA195" s="267"/>
    </row>
    <row r="196" spans="3:27" x14ac:dyDescent="0.3">
      <c r="D196" s="32"/>
      <c r="E196" s="32"/>
      <c r="F196" s="191" t="s">
        <v>193</v>
      </c>
      <c r="G196" t="s">
        <v>269</v>
      </c>
      <c r="H196" s="267"/>
      <c r="I196" s="267"/>
      <c r="J196" s="275">
        <f t="shared" ref="J196:Y196" si="53">hundred * $H33 * J58 / $H46 * J96 / hours_in_year</f>
        <v>1.8233083369534692E-2</v>
      </c>
      <c r="K196" s="275">
        <f t="shared" si="53"/>
        <v>1.8233083369534692E-2</v>
      </c>
      <c r="L196" s="275">
        <f t="shared" si="53"/>
        <v>2.0756570872199957E-2</v>
      </c>
      <c r="M196" s="275">
        <f t="shared" si="53"/>
        <v>2.0756570872199957E-2</v>
      </c>
      <c r="N196" s="275">
        <f t="shared" si="53"/>
        <v>1.6698007935015146E-2</v>
      </c>
      <c r="O196" s="275">
        <f t="shared" si="53"/>
        <v>1.221926066234639E-2</v>
      </c>
      <c r="P196" s="275">
        <f t="shared" si="53"/>
        <v>1.3737621463416396E-2</v>
      </c>
      <c r="Q196" s="275">
        <f t="shared" si="53"/>
        <v>1.0815335544677389E-2</v>
      </c>
      <c r="R196" s="275">
        <f t="shared" si="53"/>
        <v>-1.2724360196149018E-2</v>
      </c>
      <c r="S196" s="275">
        <f t="shared" si="53"/>
        <v>-1.245586452228532E-2</v>
      </c>
      <c r="T196" s="275">
        <f t="shared" si="53"/>
        <v>-1.2724360196149018E-2</v>
      </c>
      <c r="U196" s="275">
        <f t="shared" si="53"/>
        <v>-1.2724360196149018E-2</v>
      </c>
      <c r="V196" s="275">
        <f t="shared" si="53"/>
        <v>-1.245586452228532E-2</v>
      </c>
      <c r="W196" s="275">
        <f t="shared" si="53"/>
        <v>-1.245586452228532E-2</v>
      </c>
      <c r="X196" s="275">
        <f t="shared" si="53"/>
        <v>-1.2269084923075794E-2</v>
      </c>
      <c r="Y196" s="275">
        <f t="shared" si="53"/>
        <v>-1.2269084923075794E-2</v>
      </c>
      <c r="Z196" s="267"/>
      <c r="AA196" s="267"/>
    </row>
    <row r="197" spans="3:27" x14ac:dyDescent="0.3">
      <c r="D197" s="32"/>
      <c r="E197" s="32"/>
      <c r="F197" s="191" t="s">
        <v>194</v>
      </c>
      <c r="G197" t="s">
        <v>269</v>
      </c>
      <c r="H197" s="267"/>
      <c r="I197" s="267"/>
      <c r="J197" s="275">
        <f t="shared" ref="J197:Y197" si="54">hundred * $H34 * J59 / $H47 * J97 / hours_in_year</f>
        <v>1.4390292544328101E-2</v>
      </c>
      <c r="K197" s="275">
        <f t="shared" si="54"/>
        <v>1.4390292544328101E-2</v>
      </c>
      <c r="L197" s="275">
        <f t="shared" si="54"/>
        <v>1.6381931734438152E-2</v>
      </c>
      <c r="M197" s="275">
        <f t="shared" si="54"/>
        <v>1.6381931734438152E-2</v>
      </c>
      <c r="N197" s="275">
        <f t="shared" si="54"/>
        <v>1.3178748444373074E-2</v>
      </c>
      <c r="O197" s="275">
        <f t="shared" si="54"/>
        <v>9.6439385507538743E-3</v>
      </c>
      <c r="P197" s="275">
        <f t="shared" si="54"/>
        <v>1.0842290780730832E-2</v>
      </c>
      <c r="Q197" s="275">
        <f t="shared" si="54"/>
        <v>8.5308335752022728E-3</v>
      </c>
      <c r="R197" s="275">
        <f t="shared" si="54"/>
        <v>-1.0042583689818415E-2</v>
      </c>
      <c r="S197" s="275">
        <f t="shared" si="54"/>
        <v>-9.8306759605837121E-3</v>
      </c>
      <c r="T197" s="275">
        <f t="shared" si="54"/>
        <v>-1.0042583689818415E-2</v>
      </c>
      <c r="U197" s="275">
        <f t="shared" si="54"/>
        <v>-1.0042583689818415E-2</v>
      </c>
      <c r="V197" s="275">
        <f t="shared" si="54"/>
        <v>-9.8306759605837121E-3</v>
      </c>
      <c r="W197" s="275">
        <f t="shared" si="54"/>
        <v>-9.8306759605837121E-3</v>
      </c>
      <c r="X197" s="275">
        <f t="shared" si="54"/>
        <v>-9.6832618880726157E-3</v>
      </c>
      <c r="Y197" s="275">
        <f t="shared" si="54"/>
        <v>-9.6832618880726157E-3</v>
      </c>
      <c r="Z197" s="267"/>
      <c r="AA197" s="267"/>
    </row>
    <row r="198" spans="3:27" x14ac:dyDescent="0.3">
      <c r="D198" s="32"/>
      <c r="E198" s="32"/>
      <c r="F198" s="191" t="s">
        <v>195</v>
      </c>
      <c r="G198" t="s">
        <v>269</v>
      </c>
      <c r="H198" s="267"/>
      <c r="I198" s="267"/>
      <c r="J198" s="275">
        <f t="shared" ref="J198:Y198" si="55">hundred * $H35 * J60 / $H48 * J98 / hours_in_year</f>
        <v>2.7739996287329812E-2</v>
      </c>
      <c r="K198" s="275">
        <f t="shared" si="55"/>
        <v>2.7739996287329812E-2</v>
      </c>
      <c r="L198" s="275">
        <f t="shared" si="55"/>
        <v>3.157925553582433E-2</v>
      </c>
      <c r="M198" s="275">
        <f t="shared" si="55"/>
        <v>3.157925553582433E-2</v>
      </c>
      <c r="N198" s="275">
        <f t="shared" si="55"/>
        <v>2.5404517093202145E-2</v>
      </c>
      <c r="O198" s="275">
        <f t="shared" si="55"/>
        <v>1.8590505979573901E-2</v>
      </c>
      <c r="P198" s="275">
        <f t="shared" si="55"/>
        <v>2.0900555362383472E-2</v>
      </c>
      <c r="Q198" s="275">
        <f t="shared" si="55"/>
        <v>1.6444786718197244E-2</v>
      </c>
      <c r="R198" s="275">
        <f t="shared" si="55"/>
        <v>-1.9358969486729709E-2</v>
      </c>
      <c r="S198" s="275">
        <f t="shared" si="55"/>
        <v>-1.8950477470037242E-2</v>
      </c>
      <c r="T198" s="275">
        <f t="shared" si="55"/>
        <v>-1.9358969486729709E-2</v>
      </c>
      <c r="U198" s="275">
        <f t="shared" si="55"/>
        <v>-1.9358969486729709E-2</v>
      </c>
      <c r="V198" s="275">
        <f t="shared" si="55"/>
        <v>-1.8950477470037242E-2</v>
      </c>
      <c r="W198" s="275">
        <f t="shared" si="55"/>
        <v>-1.8950477470037242E-2</v>
      </c>
      <c r="X198" s="275">
        <f t="shared" si="55"/>
        <v>-1.8666309110599008E-2</v>
      </c>
      <c r="Y198" s="275">
        <f t="shared" si="55"/>
        <v>-1.8666309110599008E-2</v>
      </c>
      <c r="Z198" s="267"/>
      <c r="AA198" s="267"/>
    </row>
    <row r="199" spans="3:27" x14ac:dyDescent="0.3">
      <c r="D199" s="32"/>
      <c r="E199" s="32"/>
      <c r="F199" s="191" t="s">
        <v>196</v>
      </c>
      <c r="G199" t="s">
        <v>269</v>
      </c>
      <c r="H199" s="267"/>
      <c r="I199" s="267"/>
      <c r="J199" s="275">
        <f t="shared" ref="J199:Y199" si="56">hundred * $H36 * J61 / $H49 * J99 / hours_in_year</f>
        <v>3.8141034715133172E-2</v>
      </c>
      <c r="K199" s="275">
        <f t="shared" si="56"/>
        <v>3.8141034715133172E-2</v>
      </c>
      <c r="L199" s="275">
        <f t="shared" si="56"/>
        <v>4.3419814090605129E-2</v>
      </c>
      <c r="M199" s="275">
        <f t="shared" si="56"/>
        <v>4.3419814090605129E-2</v>
      </c>
      <c r="N199" s="275">
        <f t="shared" si="56"/>
        <v>3.4929873758331578E-2</v>
      </c>
      <c r="O199" s="275">
        <f t="shared" si="56"/>
        <v>2.5560967153506121E-2</v>
      </c>
      <c r="P199" s="275">
        <f t="shared" si="56"/>
        <v>2.8737163458321585E-2</v>
      </c>
      <c r="Q199" s="275">
        <f t="shared" si="56"/>
        <v>2.2624154132624974E-2</v>
      </c>
      <c r="R199" s="275">
        <f t="shared" si="56"/>
        <v>-2.6617564025407277E-2</v>
      </c>
      <c r="S199" s="275">
        <f t="shared" si="56"/>
        <v>-2.6055909004687679E-2</v>
      </c>
      <c r="T199" s="275">
        <f t="shared" si="56"/>
        <v>-2.6617564025407277E-2</v>
      </c>
      <c r="U199" s="275">
        <f t="shared" si="56"/>
        <v>-2.6617564025407277E-2</v>
      </c>
      <c r="V199" s="275">
        <f t="shared" si="56"/>
        <v>-2.6055909004687679E-2</v>
      </c>
      <c r="W199" s="275">
        <f t="shared" si="56"/>
        <v>-2.6055909004687679E-2</v>
      </c>
      <c r="X199" s="275">
        <f t="shared" si="56"/>
        <v>-2.5665192468534909E-2</v>
      </c>
      <c r="Y199" s="275">
        <f t="shared" si="56"/>
        <v>-2.5665192468534909E-2</v>
      </c>
      <c r="Z199" s="267"/>
      <c r="AA199" s="267"/>
    </row>
    <row r="200" spans="3:27" x14ac:dyDescent="0.3">
      <c r="D200" s="32"/>
      <c r="E200" s="32"/>
      <c r="F200" s="191" t="s">
        <v>197</v>
      </c>
      <c r="G200" t="s">
        <v>269</v>
      </c>
      <c r="H200" s="267"/>
      <c r="I200" s="267"/>
      <c r="J200" s="275">
        <f t="shared" ref="J200:Y200" si="57">hundred * $H37 * J62 / $H50 * J100 / hours_in_year</f>
        <v>0.17701615804483212</v>
      </c>
      <c r="K200" s="275">
        <f t="shared" si="57"/>
        <v>0.17701615804483212</v>
      </c>
      <c r="L200" s="275">
        <f t="shared" si="57"/>
        <v>0.2015154735770768</v>
      </c>
      <c r="M200" s="275">
        <f t="shared" si="57"/>
        <v>0.2015154735770768</v>
      </c>
      <c r="N200" s="275">
        <f t="shared" si="57"/>
        <v>0.16211285561263428</v>
      </c>
      <c r="O200" s="275">
        <f t="shared" si="57"/>
        <v>0.11863087184754692</v>
      </c>
      <c r="P200" s="275">
        <f t="shared" si="57"/>
        <v>0.13337190001507976</v>
      </c>
      <c r="Q200" s="275">
        <f t="shared" si="57"/>
        <v>0.10493847708449582</v>
      </c>
      <c r="R200" s="275">
        <f t="shared" si="57"/>
        <v>-0.12353463809990613</v>
      </c>
      <c r="S200" s="275">
        <f t="shared" si="57"/>
        <v>-0.12092794390146776</v>
      </c>
      <c r="T200" s="275">
        <f t="shared" si="57"/>
        <v>-0.12353463809990613</v>
      </c>
      <c r="U200" s="275">
        <f t="shared" si="57"/>
        <v>-0.12353463809990613</v>
      </c>
      <c r="V200" s="275">
        <f t="shared" si="57"/>
        <v>-0.12092794390146776</v>
      </c>
      <c r="W200" s="275">
        <f t="shared" si="57"/>
        <v>-0.12092794390146776</v>
      </c>
      <c r="X200" s="275">
        <f t="shared" si="57"/>
        <v>0</v>
      </c>
      <c r="Y200" s="275">
        <f t="shared" si="57"/>
        <v>0</v>
      </c>
      <c r="Z200" s="267"/>
      <c r="AA200" s="267"/>
    </row>
    <row r="201" spans="3:27" x14ac:dyDescent="0.3">
      <c r="D201" s="32"/>
      <c r="E201" s="32"/>
      <c r="F201" s="191" t="s">
        <v>198</v>
      </c>
      <c r="G201" t="s">
        <v>269</v>
      </c>
      <c r="H201" s="267"/>
      <c r="I201" s="267"/>
      <c r="J201" s="275">
        <f t="shared" ref="J201:Y201" si="58">hundred * $H38 * J63 / $H51 * J101 / hours_in_year</f>
        <v>8.6243639478132489E-2</v>
      </c>
      <c r="K201" s="275">
        <f t="shared" si="58"/>
        <v>8.6243639478132489E-2</v>
      </c>
      <c r="L201" s="275">
        <f t="shared" si="58"/>
        <v>9.8179895238969833E-2</v>
      </c>
      <c r="M201" s="275">
        <f t="shared" si="58"/>
        <v>9.8179895238969833E-2</v>
      </c>
      <c r="N201" s="275">
        <f t="shared" si="58"/>
        <v>7.8982635419562214E-2</v>
      </c>
      <c r="O201" s="275">
        <f t="shared" si="58"/>
        <v>5.7797877072923318E-2</v>
      </c>
      <c r="P201" s="275">
        <f t="shared" si="58"/>
        <v>0</v>
      </c>
      <c r="Q201" s="275">
        <f t="shared" si="58"/>
        <v>5.1126836583852427E-2</v>
      </c>
      <c r="R201" s="275">
        <f t="shared" si="58"/>
        <v>-6.018702986792631E-2</v>
      </c>
      <c r="S201" s="275">
        <f t="shared" si="58"/>
        <v>0</v>
      </c>
      <c r="T201" s="275">
        <f t="shared" si="58"/>
        <v>-6.018702986792631E-2</v>
      </c>
      <c r="U201" s="275">
        <f t="shared" si="58"/>
        <v>-6.018702986792631E-2</v>
      </c>
      <c r="V201" s="275">
        <f t="shared" si="58"/>
        <v>0</v>
      </c>
      <c r="W201" s="275">
        <f t="shared" si="58"/>
        <v>0</v>
      </c>
      <c r="X201" s="275">
        <f t="shared" si="58"/>
        <v>0</v>
      </c>
      <c r="Y201" s="275">
        <f t="shared" si="58"/>
        <v>0</v>
      </c>
      <c r="Z201" s="267"/>
      <c r="AA201" s="267"/>
    </row>
    <row r="202" spans="3:27" x14ac:dyDescent="0.3">
      <c r="D202" s="32"/>
      <c r="E202" s="32"/>
      <c r="F202" s="192" t="s">
        <v>199</v>
      </c>
      <c r="G202" s="37" t="s">
        <v>269</v>
      </c>
      <c r="H202" s="269"/>
      <c r="I202" s="269"/>
      <c r="J202" s="276">
        <f t="shared" ref="J202:Y202" si="59">hundred * $H39 * J64 / $H52 * J102 / hours_in_year</f>
        <v>0.19796978920728103</v>
      </c>
      <c r="K202" s="276">
        <f t="shared" si="59"/>
        <v>0.19796978920728103</v>
      </c>
      <c r="L202" s="276">
        <f t="shared" si="59"/>
        <v>0.22536912034863807</v>
      </c>
      <c r="M202" s="276">
        <f t="shared" si="59"/>
        <v>0.22536912034863807</v>
      </c>
      <c r="N202" s="276">
        <f t="shared" si="59"/>
        <v>0.18130236362544616</v>
      </c>
      <c r="O202" s="276">
        <f t="shared" si="59"/>
        <v>0</v>
      </c>
      <c r="P202" s="276">
        <f t="shared" si="59"/>
        <v>0</v>
      </c>
      <c r="Q202" s="276">
        <f t="shared" si="59"/>
        <v>0.11736018009660579</v>
      </c>
      <c r="R202" s="276">
        <f t="shared" si="59"/>
        <v>0</v>
      </c>
      <c r="S202" s="276">
        <f t="shared" si="59"/>
        <v>0</v>
      </c>
      <c r="T202" s="276">
        <f t="shared" si="59"/>
        <v>0</v>
      </c>
      <c r="U202" s="276">
        <f t="shared" si="59"/>
        <v>0</v>
      </c>
      <c r="V202" s="276">
        <f t="shared" si="59"/>
        <v>0</v>
      </c>
      <c r="W202" s="276">
        <f t="shared" si="59"/>
        <v>0</v>
      </c>
      <c r="X202" s="276">
        <f t="shared" si="59"/>
        <v>0</v>
      </c>
      <c r="Y202" s="276">
        <f t="shared" si="59"/>
        <v>0</v>
      </c>
      <c r="Z202" s="267"/>
      <c r="AA202" s="267"/>
    </row>
    <row r="203" spans="3:27" x14ac:dyDescent="0.3">
      <c r="C203" s="32"/>
      <c r="D203" s="32"/>
      <c r="E203" s="32"/>
      <c r="J203" s="163"/>
      <c r="K203" s="163"/>
      <c r="L203" s="163"/>
      <c r="M203" s="163"/>
      <c r="N203" s="163"/>
      <c r="O203" s="163"/>
      <c r="P203" s="163"/>
      <c r="Q203" s="163"/>
      <c r="R203" s="163"/>
      <c r="S203" s="163"/>
      <c r="T203" s="163"/>
      <c r="U203" s="163"/>
      <c r="V203" s="163"/>
      <c r="W203" s="163"/>
      <c r="X203" s="163"/>
      <c r="Y203" s="163"/>
    </row>
    <row r="204" spans="3:27" x14ac:dyDescent="0.3">
      <c r="C204" s="31" t="str">
        <f ca="1">INDEX('Version control'!$H$34:$H$57,MATCH($A$1,'Version control'!$F$34:$F$57,0),1)&amp;"-E: Unit rate 3"</f>
        <v>Section 109-E: Unit rate 3</v>
      </c>
      <c r="D204" s="31"/>
      <c r="E204" s="31"/>
      <c r="F204" s="31"/>
      <c r="G204" s="31"/>
      <c r="H204" s="31"/>
      <c r="I204" s="31"/>
      <c r="J204" s="198"/>
      <c r="K204" s="198"/>
      <c r="L204" s="198"/>
      <c r="M204" s="198"/>
      <c r="N204" s="198"/>
      <c r="O204" s="198"/>
      <c r="P204" s="198"/>
      <c r="Q204" s="198"/>
      <c r="R204" s="198"/>
      <c r="S204" s="198"/>
      <c r="T204" s="198"/>
      <c r="U204" s="198"/>
      <c r="V204" s="198"/>
      <c r="W204" s="198"/>
      <c r="X204" s="198"/>
      <c r="Y204" s="198"/>
      <c r="Z204" s="31"/>
      <c r="AA204" s="31"/>
    </row>
    <row r="205" spans="3:27" x14ac:dyDescent="0.3">
      <c r="C205" s="32"/>
      <c r="D205" s="32"/>
      <c r="E205" s="32"/>
      <c r="J205" s="163"/>
      <c r="K205" s="163"/>
      <c r="L205" s="163"/>
      <c r="M205" s="163"/>
      <c r="N205" s="163"/>
      <c r="O205" s="163"/>
      <c r="P205" s="163"/>
      <c r="Q205" s="163"/>
      <c r="R205" s="163"/>
      <c r="S205" s="163"/>
      <c r="T205" s="163"/>
      <c r="U205" s="163"/>
      <c r="V205" s="163"/>
      <c r="W205" s="163"/>
      <c r="X205" s="163"/>
      <c r="Y205" s="163"/>
    </row>
    <row r="206" spans="3:27" x14ac:dyDescent="0.3">
      <c r="C206" s="29" t="s">
        <v>627</v>
      </c>
      <c r="D206" s="32"/>
      <c r="E206" s="32"/>
      <c r="I206" s="3" t="s">
        <v>154</v>
      </c>
      <c r="J206" s="163"/>
      <c r="K206" s="163"/>
      <c r="L206" s="163"/>
      <c r="M206" s="163"/>
      <c r="N206" s="163"/>
      <c r="O206" s="163"/>
      <c r="P206" s="163"/>
      <c r="Q206" s="163"/>
      <c r="R206" s="163"/>
      <c r="S206" s="163"/>
      <c r="T206" s="163"/>
      <c r="U206" s="163"/>
      <c r="V206" s="163"/>
      <c r="W206" s="163"/>
      <c r="X206" s="163"/>
      <c r="Y206" s="163"/>
      <c r="AA206" t="s">
        <v>625</v>
      </c>
    </row>
    <row r="207" spans="3:27" x14ac:dyDescent="0.3">
      <c r="C207" s="29" t="s">
        <v>628</v>
      </c>
      <c r="D207" s="32"/>
      <c r="E207" s="32"/>
      <c r="J207" s="163"/>
      <c r="K207" s="163"/>
      <c r="L207" s="163"/>
      <c r="M207" s="163"/>
      <c r="N207" s="163"/>
      <c r="O207" s="163"/>
      <c r="P207" s="163"/>
      <c r="Q207" s="163"/>
      <c r="R207" s="163"/>
      <c r="S207" s="163"/>
      <c r="T207" s="163"/>
      <c r="U207" s="163"/>
      <c r="V207" s="163"/>
      <c r="W207" s="163"/>
      <c r="X207" s="163"/>
      <c r="Y207" s="163"/>
    </row>
    <row r="208" spans="3:27" x14ac:dyDescent="0.3">
      <c r="C208" s="32"/>
      <c r="D208" s="32"/>
      <c r="E208" s="32"/>
    </row>
    <row r="209" spans="3:27" x14ac:dyDescent="0.3">
      <c r="E209" s="32" t="s">
        <v>621</v>
      </c>
      <c r="J209" s="163"/>
      <c r="K209" s="163"/>
      <c r="L209" s="163"/>
      <c r="M209" s="163"/>
      <c r="N209" s="163"/>
      <c r="O209" s="163"/>
      <c r="P209" s="163"/>
      <c r="Q209" s="163"/>
      <c r="R209" s="163"/>
      <c r="S209" s="163"/>
      <c r="T209" s="163"/>
      <c r="U209" s="163"/>
      <c r="V209" s="163"/>
      <c r="W209" s="163"/>
      <c r="X209" s="163"/>
      <c r="Y209" s="163"/>
    </row>
    <row r="210" spans="3:27" x14ac:dyDescent="0.3">
      <c r="E210" s="32"/>
      <c r="F210" s="190" t="s">
        <v>189</v>
      </c>
      <c r="G210" s="23" t="s">
        <v>269</v>
      </c>
      <c r="H210" s="266"/>
      <c r="I210" s="266"/>
      <c r="J210" s="274">
        <f t="shared" ref="J210:Y210" si="60">hundred * $H18 * J55 / $H43 * J105 * (1 - J67) / hours_in_year</f>
        <v>0</v>
      </c>
      <c r="K210" s="274">
        <f t="shared" si="60"/>
        <v>0</v>
      </c>
      <c r="L210" s="274">
        <f t="shared" si="60"/>
        <v>0</v>
      </c>
      <c r="M210" s="274">
        <f t="shared" si="60"/>
        <v>0</v>
      </c>
      <c r="N210" s="274">
        <f t="shared" si="60"/>
        <v>0</v>
      </c>
      <c r="O210" s="274">
        <f t="shared" si="60"/>
        <v>0</v>
      </c>
      <c r="P210" s="274">
        <f t="shared" si="60"/>
        <v>0</v>
      </c>
      <c r="Q210" s="274">
        <f t="shared" si="60"/>
        <v>0</v>
      </c>
      <c r="R210" s="274">
        <f t="shared" si="60"/>
        <v>0</v>
      </c>
      <c r="S210" s="274">
        <f t="shared" si="60"/>
        <v>0</v>
      </c>
      <c r="T210" s="274">
        <f t="shared" si="60"/>
        <v>0</v>
      </c>
      <c r="U210" s="274">
        <f t="shared" si="60"/>
        <v>0</v>
      </c>
      <c r="V210" s="274">
        <f t="shared" si="60"/>
        <v>0</v>
      </c>
      <c r="W210" s="274">
        <f t="shared" si="60"/>
        <v>0</v>
      </c>
      <c r="X210" s="274">
        <f t="shared" si="60"/>
        <v>0</v>
      </c>
      <c r="Y210" s="274">
        <f t="shared" si="60"/>
        <v>0</v>
      </c>
      <c r="Z210" s="267"/>
      <c r="AA210" s="267"/>
    </row>
    <row r="211" spans="3:27" x14ac:dyDescent="0.3">
      <c r="E211" s="32"/>
      <c r="F211" s="191" t="s">
        <v>191</v>
      </c>
      <c r="G211" t="s">
        <v>269</v>
      </c>
      <c r="H211" s="267"/>
      <c r="I211" s="267"/>
      <c r="J211" s="275">
        <f t="shared" ref="J211:Y211" si="61">hundred * $H19 * J56 / $H44 * J106 * (1 - J68) / hours_in_year</f>
        <v>0</v>
      </c>
      <c r="K211" s="275">
        <f t="shared" si="61"/>
        <v>0</v>
      </c>
      <c r="L211" s="275">
        <f t="shared" si="61"/>
        <v>0</v>
      </c>
      <c r="M211" s="275">
        <f t="shared" si="61"/>
        <v>0</v>
      </c>
      <c r="N211" s="275">
        <f t="shared" si="61"/>
        <v>0</v>
      </c>
      <c r="O211" s="275">
        <f t="shared" si="61"/>
        <v>0</v>
      </c>
      <c r="P211" s="275">
        <f t="shared" si="61"/>
        <v>0</v>
      </c>
      <c r="Q211" s="275">
        <f t="shared" si="61"/>
        <v>0</v>
      </c>
      <c r="R211" s="275">
        <f t="shared" si="61"/>
        <v>0</v>
      </c>
      <c r="S211" s="275">
        <f t="shared" si="61"/>
        <v>0</v>
      </c>
      <c r="T211" s="275">
        <f t="shared" si="61"/>
        <v>0</v>
      </c>
      <c r="U211" s="275">
        <f t="shared" si="61"/>
        <v>0</v>
      </c>
      <c r="V211" s="275">
        <f t="shared" si="61"/>
        <v>0</v>
      </c>
      <c r="W211" s="275">
        <f t="shared" si="61"/>
        <v>0</v>
      </c>
      <c r="X211" s="275">
        <f t="shared" si="61"/>
        <v>0</v>
      </c>
      <c r="Y211" s="275">
        <f t="shared" si="61"/>
        <v>0</v>
      </c>
      <c r="Z211" s="267"/>
      <c r="AA211" s="267"/>
    </row>
    <row r="212" spans="3:27" x14ac:dyDescent="0.3">
      <c r="E212" s="32"/>
      <c r="F212" s="191" t="s">
        <v>192</v>
      </c>
      <c r="G212" t="s">
        <v>269</v>
      </c>
      <c r="H212" s="267"/>
      <c r="I212" s="267"/>
      <c r="J212" s="275">
        <f t="shared" ref="J212:Y212" si="62">hundred * $H20 * J57 / $H45 * J107 * (1 - J69) / hours_in_year</f>
        <v>4.3786142509730855E-3</v>
      </c>
      <c r="K212" s="275">
        <f t="shared" si="62"/>
        <v>4.3786142509730855E-3</v>
      </c>
      <c r="L212" s="275">
        <f t="shared" si="62"/>
        <v>4.9846213709638168E-3</v>
      </c>
      <c r="M212" s="275">
        <f t="shared" si="62"/>
        <v>4.9846213709638168E-3</v>
      </c>
      <c r="N212" s="275">
        <f t="shared" si="62"/>
        <v>4.0099709975156463E-3</v>
      </c>
      <c r="O212" s="275">
        <f t="shared" si="62"/>
        <v>2.9344147552082494E-3</v>
      </c>
      <c r="P212" s="275">
        <f t="shared" si="62"/>
        <v>3.2990440451062257E-3</v>
      </c>
      <c r="Q212" s="275">
        <f t="shared" si="62"/>
        <v>2.9888533130027831E-3</v>
      </c>
      <c r="R212" s="275">
        <f t="shared" si="62"/>
        <v>-3.0557127261572228E-3</v>
      </c>
      <c r="S212" s="275">
        <f t="shared" si="62"/>
        <v>-2.9912343842291348E-3</v>
      </c>
      <c r="T212" s="275">
        <f t="shared" si="62"/>
        <v>-3.0557127261572228E-3</v>
      </c>
      <c r="U212" s="275">
        <f t="shared" si="62"/>
        <v>-3.0557127261572228E-3</v>
      </c>
      <c r="V212" s="275">
        <f t="shared" si="62"/>
        <v>-2.9912343842291348E-3</v>
      </c>
      <c r="W212" s="275">
        <f t="shared" si="62"/>
        <v>-2.9912343842291348E-3</v>
      </c>
      <c r="X212" s="275">
        <f t="shared" si="62"/>
        <v>-2.9463798854965514E-3</v>
      </c>
      <c r="Y212" s="275">
        <f t="shared" si="62"/>
        <v>-2.9463798854965514E-3</v>
      </c>
      <c r="Z212" s="267"/>
      <c r="AA212" s="267"/>
    </row>
    <row r="213" spans="3:27" x14ac:dyDescent="0.3">
      <c r="E213" s="32"/>
      <c r="F213" s="191" t="s">
        <v>193</v>
      </c>
      <c r="G213" t="s">
        <v>269</v>
      </c>
      <c r="H213" s="267"/>
      <c r="I213" s="267"/>
      <c r="J213" s="275">
        <f t="shared" ref="J213:Y213" si="63">hundred * $H21 * J58 / $H46 * J108 * (1 - J70) / hours_in_year</f>
        <v>1.0366246869463831E-3</v>
      </c>
      <c r="K213" s="275">
        <f t="shared" si="63"/>
        <v>1.0366246869463831E-3</v>
      </c>
      <c r="L213" s="275">
        <f t="shared" si="63"/>
        <v>1.180095178988029E-3</v>
      </c>
      <c r="M213" s="275">
        <f t="shared" si="63"/>
        <v>1.180095178988029E-3</v>
      </c>
      <c r="N213" s="275">
        <f t="shared" si="63"/>
        <v>9.4934942694253888E-4</v>
      </c>
      <c r="O213" s="275">
        <f t="shared" si="63"/>
        <v>6.9471449244760074E-4</v>
      </c>
      <c r="P213" s="275">
        <f t="shared" si="63"/>
        <v>7.8103945779661971E-4</v>
      </c>
      <c r="Q213" s="275">
        <f t="shared" si="63"/>
        <v>7.0760266886529496E-4</v>
      </c>
      <c r="R213" s="275">
        <f t="shared" si="63"/>
        <v>-7.234314480767173E-4</v>
      </c>
      <c r="S213" s="275">
        <f t="shared" si="63"/>
        <v>-7.0816638082372237E-4</v>
      </c>
      <c r="T213" s="275">
        <f t="shared" si="63"/>
        <v>-7.234314480767173E-4</v>
      </c>
      <c r="U213" s="275">
        <f t="shared" si="63"/>
        <v>-7.234314480767173E-4</v>
      </c>
      <c r="V213" s="275">
        <f t="shared" si="63"/>
        <v>-7.0816638082372237E-4</v>
      </c>
      <c r="W213" s="275">
        <f t="shared" si="63"/>
        <v>-7.0816638082372237E-4</v>
      </c>
      <c r="X213" s="275">
        <f t="shared" si="63"/>
        <v>-6.9754720360424747E-4</v>
      </c>
      <c r="Y213" s="275">
        <f t="shared" si="63"/>
        <v>-6.9754720360424747E-4</v>
      </c>
      <c r="Z213" s="267"/>
      <c r="AA213" s="267"/>
    </row>
    <row r="214" spans="3:27" x14ac:dyDescent="0.3">
      <c r="E214" s="32"/>
      <c r="F214" s="191" t="s">
        <v>194</v>
      </c>
      <c r="G214" t="s">
        <v>269</v>
      </c>
      <c r="H214" s="267"/>
      <c r="I214" s="267"/>
      <c r="J214" s="275">
        <f t="shared" ref="J214:Y214" si="64">hundred * $H22 * J59 / $H47 * J109 * (1 - J71) / hours_in_year</f>
        <v>2.7881859360769212E-3</v>
      </c>
      <c r="K214" s="275">
        <f t="shared" si="64"/>
        <v>2.7881859360769212E-3</v>
      </c>
      <c r="L214" s="275">
        <f t="shared" si="64"/>
        <v>3.1740752682429445E-3</v>
      </c>
      <c r="M214" s="275">
        <f t="shared" si="64"/>
        <v>3.1740752682429445E-3</v>
      </c>
      <c r="N214" s="275">
        <f t="shared" si="64"/>
        <v>2.5534436464378541E-3</v>
      </c>
      <c r="O214" s="275">
        <f t="shared" si="64"/>
        <v>1.8685578318003179E-3</v>
      </c>
      <c r="P214" s="275">
        <f t="shared" si="64"/>
        <v>2.100744135434924E-3</v>
      </c>
      <c r="Q214" s="275">
        <f t="shared" si="64"/>
        <v>1.9032228679334501E-3</v>
      </c>
      <c r="R214" s="275">
        <f t="shared" si="64"/>
        <v>-1.9457971767824513E-3</v>
      </c>
      <c r="S214" s="275">
        <f t="shared" si="64"/>
        <v>-1.9047390712173165E-3</v>
      </c>
      <c r="T214" s="275">
        <f t="shared" si="64"/>
        <v>-1.9457971767824513E-3</v>
      </c>
      <c r="U214" s="275">
        <f t="shared" si="64"/>
        <v>-1.9457971767824513E-3</v>
      </c>
      <c r="V214" s="275">
        <f t="shared" si="64"/>
        <v>-1.9047390712173165E-3</v>
      </c>
      <c r="W214" s="275">
        <f t="shared" si="64"/>
        <v>-1.9047390712173165E-3</v>
      </c>
      <c r="X214" s="275">
        <f t="shared" si="64"/>
        <v>-1.8761769108241798E-3</v>
      </c>
      <c r="Y214" s="275">
        <f t="shared" si="64"/>
        <v>-1.8761769108241798E-3</v>
      </c>
      <c r="Z214" s="267"/>
      <c r="AA214" s="267"/>
    </row>
    <row r="215" spans="3:27" x14ac:dyDescent="0.3">
      <c r="E215" s="32"/>
      <c r="F215" s="191" t="s">
        <v>195</v>
      </c>
      <c r="G215" t="s">
        <v>269</v>
      </c>
      <c r="H215" s="267"/>
      <c r="I215" s="267"/>
      <c r="J215" s="275">
        <f t="shared" ref="J215:Y215" si="65">hundred * $H23 * J60 / $H48 * J110 * (1 - J72) / hours_in_year</f>
        <v>5.3747529646743734E-3</v>
      </c>
      <c r="K215" s="275">
        <f t="shared" si="65"/>
        <v>5.3747529646743734E-3</v>
      </c>
      <c r="L215" s="275">
        <f t="shared" si="65"/>
        <v>6.118627254139382E-3</v>
      </c>
      <c r="M215" s="275">
        <f t="shared" si="65"/>
        <v>6.118627254139382E-3</v>
      </c>
      <c r="N215" s="275">
        <f t="shared" si="65"/>
        <v>4.9222430366789478E-3</v>
      </c>
      <c r="O215" s="275">
        <f t="shared" si="65"/>
        <v>3.6019967736675394E-3</v>
      </c>
      <c r="P215" s="275">
        <f t="shared" si="65"/>
        <v>3.0062415495434557E-3</v>
      </c>
      <c r="Q215" s="275">
        <f t="shared" si="65"/>
        <v>3.6688201527386105E-3</v>
      </c>
      <c r="R215" s="275">
        <f t="shared" si="65"/>
        <v>-3.7508901430302545E-3</v>
      </c>
      <c r="S215" s="275">
        <f t="shared" si="65"/>
        <v>-3.671742919828698E-3</v>
      </c>
      <c r="T215" s="275">
        <f t="shared" si="65"/>
        <v>-3.7508901430302545E-3</v>
      </c>
      <c r="U215" s="275">
        <f t="shared" si="65"/>
        <v>-3.7508901430302545E-3</v>
      </c>
      <c r="V215" s="275">
        <f t="shared" si="65"/>
        <v>-3.671742919828698E-3</v>
      </c>
      <c r="W215" s="275">
        <f t="shared" si="65"/>
        <v>-3.671742919828698E-3</v>
      </c>
      <c r="X215" s="275">
        <f t="shared" si="65"/>
        <v>-2.6848776528637162E-3</v>
      </c>
      <c r="Y215" s="275">
        <f t="shared" si="65"/>
        <v>-2.6848776528637162E-3</v>
      </c>
      <c r="Z215" s="267"/>
      <c r="AA215" s="267"/>
    </row>
    <row r="216" spans="3:27" x14ac:dyDescent="0.3">
      <c r="E216" s="32"/>
      <c r="F216" s="191" t="s">
        <v>196</v>
      </c>
      <c r="G216" t="s">
        <v>269</v>
      </c>
      <c r="H216" s="267"/>
      <c r="I216" s="267"/>
      <c r="J216" s="275">
        <f t="shared" ref="J216:Y216" si="66">hundred * $H24 * J61 / $H49 * J111 * (1 - J73) / hours_in_year</f>
        <v>2.1684724064526158E-3</v>
      </c>
      <c r="K216" s="275">
        <f t="shared" si="66"/>
        <v>2.1684724064526158E-3</v>
      </c>
      <c r="L216" s="275">
        <f t="shared" si="66"/>
        <v>2.4685924084650512E-3</v>
      </c>
      <c r="M216" s="275">
        <f t="shared" si="66"/>
        <v>2.4685924084650512E-3</v>
      </c>
      <c r="N216" s="275">
        <f t="shared" si="66"/>
        <v>1.9859048914517862E-3</v>
      </c>
      <c r="O216" s="275">
        <f t="shared" si="66"/>
        <v>1.4532445794562434E-3</v>
      </c>
      <c r="P216" s="275">
        <f t="shared" si="66"/>
        <v>1.2128839948853882E-3</v>
      </c>
      <c r="Q216" s="275">
        <f t="shared" si="66"/>
        <v>1.480204823875648E-3</v>
      </c>
      <c r="R216" s="275">
        <f t="shared" si="66"/>
        <v>-1.5133163939356955E-3</v>
      </c>
      <c r="S216" s="275">
        <f t="shared" si="66"/>
        <v>-1.4813840296599881E-3</v>
      </c>
      <c r="T216" s="275">
        <f t="shared" si="66"/>
        <v>-1.5133163939356955E-3</v>
      </c>
      <c r="U216" s="275">
        <f t="shared" si="66"/>
        <v>-1.5133163939356955E-3</v>
      </c>
      <c r="V216" s="275">
        <f t="shared" si="66"/>
        <v>-1.4813840296599881E-3</v>
      </c>
      <c r="W216" s="275">
        <f t="shared" si="66"/>
        <v>-1.4813840296599881E-3</v>
      </c>
      <c r="X216" s="275">
        <f t="shared" si="66"/>
        <v>-1.083228037307378E-3</v>
      </c>
      <c r="Y216" s="275">
        <f t="shared" si="66"/>
        <v>-1.083228037307378E-3</v>
      </c>
      <c r="Z216" s="267"/>
      <c r="AA216" s="267"/>
    </row>
    <row r="217" spans="3:27" x14ac:dyDescent="0.3">
      <c r="E217" s="32"/>
      <c r="F217" s="191" t="s">
        <v>197</v>
      </c>
      <c r="G217" t="s">
        <v>269</v>
      </c>
      <c r="H217" s="267"/>
      <c r="I217" s="267"/>
      <c r="J217" s="275">
        <f t="shared" ref="J217:Y217" si="67">hundred * $H25 * J62 / $H50 * J112 * (1 - J74) / hours_in_year</f>
        <v>2.1029646244014131E-2</v>
      </c>
      <c r="K217" s="275">
        <f t="shared" si="67"/>
        <v>2.1029646244014131E-2</v>
      </c>
      <c r="L217" s="275">
        <f t="shared" si="67"/>
        <v>2.3940182460335701E-2</v>
      </c>
      <c r="M217" s="275">
        <f t="shared" si="67"/>
        <v>2.3940182460335701E-2</v>
      </c>
      <c r="N217" s="275">
        <f t="shared" si="67"/>
        <v>1.9259123250642534E-2</v>
      </c>
      <c r="O217" s="275">
        <f t="shared" si="67"/>
        <v>1.4093432464741712E-2</v>
      </c>
      <c r="P217" s="275">
        <f t="shared" si="67"/>
        <v>1.252579992803571E-2</v>
      </c>
      <c r="Q217" s="275">
        <f t="shared" si="67"/>
        <v>1.4354890439076616E-2</v>
      </c>
      <c r="R217" s="275">
        <f t="shared" si="67"/>
        <v>-1.467600340453316E-2</v>
      </c>
      <c r="S217" s="275">
        <f t="shared" si="67"/>
        <v>-1.4366326268474202E-2</v>
      </c>
      <c r="T217" s="275">
        <f t="shared" si="67"/>
        <v>-1.467600340453316E-2</v>
      </c>
      <c r="U217" s="275">
        <f t="shared" si="67"/>
        <v>-1.467600340453316E-2</v>
      </c>
      <c r="V217" s="275">
        <f t="shared" si="67"/>
        <v>-1.4366326268474202E-2</v>
      </c>
      <c r="W217" s="275">
        <f t="shared" si="67"/>
        <v>-1.4366326268474202E-2</v>
      </c>
      <c r="X217" s="275">
        <f t="shared" si="67"/>
        <v>0</v>
      </c>
      <c r="Y217" s="275">
        <f t="shared" si="67"/>
        <v>0</v>
      </c>
      <c r="Z217" s="267"/>
      <c r="AA217" s="267"/>
    </row>
    <row r="218" spans="3:27" x14ac:dyDescent="0.3">
      <c r="E218" s="32"/>
      <c r="F218" s="191" t="s">
        <v>198</v>
      </c>
      <c r="G218" t="s">
        <v>269</v>
      </c>
      <c r="H218" s="267"/>
      <c r="I218" s="267"/>
      <c r="J218" s="275">
        <f t="shared" ref="J218:Y218" si="68">hundred * $H26 * J63 / $H51 * J113 * (1 - J75) / hours_in_year</f>
        <v>5.9947793972590932E-3</v>
      </c>
      <c r="K218" s="275">
        <f t="shared" si="68"/>
        <v>5.9947793972590932E-3</v>
      </c>
      <c r="L218" s="275">
        <f t="shared" si="68"/>
        <v>6.824466323141043E-3</v>
      </c>
      <c r="M218" s="275">
        <f t="shared" si="68"/>
        <v>6.824466323141043E-3</v>
      </c>
      <c r="N218" s="275">
        <f t="shared" si="68"/>
        <v>5.4900683507735325E-3</v>
      </c>
      <c r="O218" s="275">
        <f t="shared" si="68"/>
        <v>4.017519724105887E-3</v>
      </c>
      <c r="P218" s="275">
        <f t="shared" si="68"/>
        <v>0</v>
      </c>
      <c r="Q218" s="275">
        <f t="shared" si="68"/>
        <v>4.0920517851593683E-3</v>
      </c>
      <c r="R218" s="275">
        <f t="shared" si="68"/>
        <v>-4.1835892921233573E-3</v>
      </c>
      <c r="S218" s="275">
        <f t="shared" si="68"/>
        <v>0</v>
      </c>
      <c r="T218" s="275">
        <f t="shared" si="68"/>
        <v>-4.1835892921233573E-3</v>
      </c>
      <c r="U218" s="275">
        <f t="shared" si="68"/>
        <v>-4.1835892921233573E-3</v>
      </c>
      <c r="V218" s="275">
        <f t="shared" si="68"/>
        <v>0</v>
      </c>
      <c r="W218" s="275">
        <f t="shared" si="68"/>
        <v>0</v>
      </c>
      <c r="X218" s="275">
        <f t="shared" si="68"/>
        <v>0</v>
      </c>
      <c r="Y218" s="275">
        <f t="shared" si="68"/>
        <v>0</v>
      </c>
      <c r="Z218" s="267"/>
      <c r="AA218" s="267"/>
    </row>
    <row r="219" spans="3:27" x14ac:dyDescent="0.3">
      <c r="E219" s="32"/>
      <c r="F219" s="192" t="s">
        <v>199</v>
      </c>
      <c r="G219" s="37" t="s">
        <v>269</v>
      </c>
      <c r="H219" s="269"/>
      <c r="I219" s="269"/>
      <c r="J219" s="276">
        <f t="shared" ref="J219:Y219" si="69">hundred * $H27 * J64 / $H52 * J114 * (1 - J76) / hours_in_year</f>
        <v>4.0027340991781683E-3</v>
      </c>
      <c r="K219" s="276">
        <f t="shared" si="69"/>
        <v>4.0027340991781683E-3</v>
      </c>
      <c r="L219" s="276">
        <f t="shared" si="69"/>
        <v>4.5567188131758864E-3</v>
      </c>
      <c r="M219" s="276">
        <f t="shared" si="69"/>
        <v>4.5567188131758864E-3</v>
      </c>
      <c r="N219" s="276">
        <f t="shared" si="69"/>
        <v>3.6657368583917381E-3</v>
      </c>
      <c r="O219" s="276">
        <f t="shared" si="69"/>
        <v>0</v>
      </c>
      <c r="P219" s="276">
        <f t="shared" si="69"/>
        <v>0</v>
      </c>
      <c r="Q219" s="276">
        <f t="shared" si="69"/>
        <v>2.7322765577577745E-3</v>
      </c>
      <c r="R219" s="276">
        <f t="shared" si="69"/>
        <v>0</v>
      </c>
      <c r="S219" s="276">
        <f t="shared" si="69"/>
        <v>0</v>
      </c>
      <c r="T219" s="276">
        <f t="shared" si="69"/>
        <v>0</v>
      </c>
      <c r="U219" s="276">
        <f t="shared" si="69"/>
        <v>0</v>
      </c>
      <c r="V219" s="276">
        <f t="shared" si="69"/>
        <v>0</v>
      </c>
      <c r="W219" s="276">
        <f t="shared" si="69"/>
        <v>0</v>
      </c>
      <c r="X219" s="276">
        <f t="shared" si="69"/>
        <v>0</v>
      </c>
      <c r="Y219" s="276">
        <f t="shared" si="69"/>
        <v>0</v>
      </c>
      <c r="Z219" s="267"/>
      <c r="AA219" s="267"/>
    </row>
    <row r="220" spans="3:27" x14ac:dyDescent="0.3">
      <c r="E220" s="32"/>
      <c r="F220" s="191"/>
      <c r="J220" s="163"/>
      <c r="K220" s="163"/>
      <c r="L220" s="163"/>
      <c r="M220" s="163"/>
      <c r="N220" s="163"/>
      <c r="O220" s="163"/>
      <c r="P220" s="163"/>
      <c r="Q220" s="163"/>
      <c r="R220" s="163"/>
      <c r="S220" s="163"/>
      <c r="T220" s="163"/>
      <c r="U220" s="163"/>
      <c r="V220" s="163"/>
      <c r="W220" s="163"/>
      <c r="X220" s="163"/>
      <c r="Y220" s="163"/>
    </row>
    <row r="221" spans="3:27" x14ac:dyDescent="0.3">
      <c r="E221" s="32" t="s">
        <v>622</v>
      </c>
      <c r="J221" s="163"/>
      <c r="K221" s="163"/>
      <c r="L221" s="163"/>
      <c r="M221" s="163"/>
      <c r="N221" s="163"/>
      <c r="O221" s="163"/>
      <c r="P221" s="163"/>
      <c r="Q221" s="163"/>
      <c r="R221" s="163"/>
      <c r="S221" s="163"/>
      <c r="T221" s="163"/>
      <c r="U221" s="163"/>
      <c r="V221" s="163"/>
      <c r="W221" s="163"/>
      <c r="X221" s="163"/>
      <c r="Y221" s="163"/>
    </row>
    <row r="222" spans="3:27" x14ac:dyDescent="0.3">
      <c r="C222" s="32"/>
      <c r="E222" s="32"/>
      <c r="F222" s="190" t="s">
        <v>189</v>
      </c>
      <c r="G222" s="23" t="s">
        <v>269</v>
      </c>
      <c r="H222" s="266"/>
      <c r="I222" s="266"/>
      <c r="J222" s="274">
        <f t="shared" ref="J222:Y222" si="70">hundred * $H30 * J55 / $H43 * J105 / hours_in_year</f>
        <v>0</v>
      </c>
      <c r="K222" s="274">
        <f t="shared" si="70"/>
        <v>0</v>
      </c>
      <c r="L222" s="274">
        <f t="shared" si="70"/>
        <v>0</v>
      </c>
      <c r="M222" s="274">
        <f t="shared" si="70"/>
        <v>0</v>
      </c>
      <c r="N222" s="274">
        <f t="shared" si="70"/>
        <v>0</v>
      </c>
      <c r="O222" s="274">
        <f t="shared" si="70"/>
        <v>0</v>
      </c>
      <c r="P222" s="274">
        <f t="shared" si="70"/>
        <v>0</v>
      </c>
      <c r="Q222" s="274">
        <f t="shared" si="70"/>
        <v>0</v>
      </c>
      <c r="R222" s="274">
        <f t="shared" si="70"/>
        <v>0</v>
      </c>
      <c r="S222" s="274">
        <f t="shared" si="70"/>
        <v>0</v>
      </c>
      <c r="T222" s="274">
        <f t="shared" si="70"/>
        <v>0</v>
      </c>
      <c r="U222" s="274">
        <f t="shared" si="70"/>
        <v>0</v>
      </c>
      <c r="V222" s="274">
        <f t="shared" si="70"/>
        <v>0</v>
      </c>
      <c r="W222" s="274">
        <f t="shared" si="70"/>
        <v>0</v>
      </c>
      <c r="X222" s="274">
        <f t="shared" si="70"/>
        <v>0</v>
      </c>
      <c r="Y222" s="274">
        <f t="shared" si="70"/>
        <v>0</v>
      </c>
      <c r="Z222" s="267"/>
      <c r="AA222" s="267"/>
    </row>
    <row r="223" spans="3:27" x14ac:dyDescent="0.3">
      <c r="C223" s="32"/>
      <c r="E223" s="32"/>
      <c r="F223" s="191" t="s">
        <v>191</v>
      </c>
      <c r="G223" t="s">
        <v>269</v>
      </c>
      <c r="H223" s="267"/>
      <c r="I223" s="267"/>
      <c r="J223" s="275">
        <f t="shared" ref="J223:Y223" si="71">hundred * $H31 * J56 / $H44 * J106 / hours_in_year</f>
        <v>0</v>
      </c>
      <c r="K223" s="275">
        <f t="shared" si="71"/>
        <v>0</v>
      </c>
      <c r="L223" s="275">
        <f t="shared" si="71"/>
        <v>0</v>
      </c>
      <c r="M223" s="275">
        <f t="shared" si="71"/>
        <v>0</v>
      </c>
      <c r="N223" s="275">
        <f t="shared" si="71"/>
        <v>0</v>
      </c>
      <c r="O223" s="275">
        <f t="shared" si="71"/>
        <v>0</v>
      </c>
      <c r="P223" s="275">
        <f t="shared" si="71"/>
        <v>0</v>
      </c>
      <c r="Q223" s="275">
        <f t="shared" si="71"/>
        <v>0</v>
      </c>
      <c r="R223" s="275">
        <f t="shared" si="71"/>
        <v>0</v>
      </c>
      <c r="S223" s="275">
        <f t="shared" si="71"/>
        <v>0</v>
      </c>
      <c r="T223" s="275">
        <f t="shared" si="71"/>
        <v>0</v>
      </c>
      <c r="U223" s="275">
        <f t="shared" si="71"/>
        <v>0</v>
      </c>
      <c r="V223" s="275">
        <f t="shared" si="71"/>
        <v>0</v>
      </c>
      <c r="W223" s="275">
        <f t="shared" si="71"/>
        <v>0</v>
      </c>
      <c r="X223" s="275">
        <f t="shared" si="71"/>
        <v>0</v>
      </c>
      <c r="Y223" s="275">
        <f t="shared" si="71"/>
        <v>0</v>
      </c>
      <c r="Z223" s="267"/>
      <c r="AA223" s="267"/>
    </row>
    <row r="224" spans="3:27" x14ac:dyDescent="0.3">
      <c r="C224" s="32"/>
      <c r="E224" s="32"/>
      <c r="F224" s="191" t="s">
        <v>192</v>
      </c>
      <c r="G224" t="s">
        <v>269</v>
      </c>
      <c r="H224" s="267"/>
      <c r="I224" s="267"/>
      <c r="J224" s="275">
        <f t="shared" ref="J224:Y224" si="72">hundred * $H32 * J57 / $H45 * J107 / hours_in_year</f>
        <v>3.0742779371853396E-3</v>
      </c>
      <c r="K224" s="275">
        <f t="shared" si="72"/>
        <v>3.0742779371853396E-3</v>
      </c>
      <c r="L224" s="275">
        <f t="shared" si="72"/>
        <v>3.4997628536405177E-3</v>
      </c>
      <c r="M224" s="275">
        <f t="shared" si="72"/>
        <v>3.4997628536405177E-3</v>
      </c>
      <c r="N224" s="275">
        <f t="shared" si="72"/>
        <v>2.8154490575815778E-3</v>
      </c>
      <c r="O224" s="275">
        <f t="shared" si="72"/>
        <v>2.0602880325625863E-3</v>
      </c>
      <c r="P224" s="275">
        <f t="shared" si="72"/>
        <v>2.3162986598828129E-3</v>
      </c>
      <c r="Q224" s="275">
        <f t="shared" si="72"/>
        <v>2.0985100013333519E-3</v>
      </c>
      <c r="R224" s="275">
        <f t="shared" si="72"/>
        <v>-2.1454528026335976E-3</v>
      </c>
      <c r="S224" s="275">
        <f t="shared" si="72"/>
        <v>-2.1001817801927052E-3</v>
      </c>
      <c r="T224" s="275">
        <f t="shared" si="72"/>
        <v>-2.1454528026335976E-3</v>
      </c>
      <c r="U224" s="275">
        <f t="shared" si="72"/>
        <v>-2.1454528026335976E-3</v>
      </c>
      <c r="V224" s="275">
        <f t="shared" si="72"/>
        <v>-2.1001817801927052E-3</v>
      </c>
      <c r="W224" s="275">
        <f t="shared" si="72"/>
        <v>-2.1001817801927052E-3</v>
      </c>
      <c r="X224" s="275">
        <f t="shared" si="72"/>
        <v>-2.068688895016432E-3</v>
      </c>
      <c r="Y224" s="275">
        <f t="shared" si="72"/>
        <v>-2.068688895016432E-3</v>
      </c>
      <c r="Z224" s="267"/>
      <c r="AA224" s="267"/>
    </row>
    <row r="225" spans="2:27" x14ac:dyDescent="0.3">
      <c r="C225" s="32"/>
      <c r="E225" s="32"/>
      <c r="F225" s="191" t="s">
        <v>193</v>
      </c>
      <c r="G225" t="s">
        <v>269</v>
      </c>
      <c r="H225" s="267"/>
      <c r="I225" s="267"/>
      <c r="J225" s="275">
        <f t="shared" ref="J225:Y225" si="73">hundred * $H33 * J58 / $H46 * J108 / hours_in_year</f>
        <v>7.2782670990318191E-4</v>
      </c>
      <c r="K225" s="275">
        <f t="shared" si="73"/>
        <v>7.2782670990318191E-4</v>
      </c>
      <c r="L225" s="275">
        <f t="shared" si="73"/>
        <v>8.285590747655891E-4</v>
      </c>
      <c r="M225" s="275">
        <f t="shared" si="73"/>
        <v>8.285590747655891E-4</v>
      </c>
      <c r="N225" s="275">
        <f t="shared" si="73"/>
        <v>6.6654969600950416E-4</v>
      </c>
      <c r="O225" s="275">
        <f t="shared" si="73"/>
        <v>4.8776743379482017E-4</v>
      </c>
      <c r="P225" s="275">
        <f t="shared" si="73"/>
        <v>5.4837723433657809E-4</v>
      </c>
      <c r="Q225" s="275">
        <f t="shared" si="73"/>
        <v>4.9681637808185442E-4</v>
      </c>
      <c r="R225" s="275">
        <f t="shared" si="73"/>
        <v>-5.0792995509801636E-4</v>
      </c>
      <c r="S225" s="275">
        <f t="shared" si="73"/>
        <v>-4.9721216705466364E-4</v>
      </c>
      <c r="T225" s="275">
        <f t="shared" si="73"/>
        <v>-5.0792995509801636E-4</v>
      </c>
      <c r="U225" s="275">
        <f t="shared" si="73"/>
        <v>-5.0792995509801636E-4</v>
      </c>
      <c r="V225" s="275">
        <f t="shared" si="73"/>
        <v>-4.9721216705466364E-4</v>
      </c>
      <c r="W225" s="275">
        <f t="shared" si="73"/>
        <v>-4.9721216705466364E-4</v>
      </c>
      <c r="X225" s="275">
        <f t="shared" si="73"/>
        <v>-4.8975631450276611E-4</v>
      </c>
      <c r="Y225" s="275">
        <f t="shared" si="73"/>
        <v>-4.8975631450276611E-4</v>
      </c>
      <c r="Z225" s="267"/>
      <c r="AA225" s="267"/>
    </row>
    <row r="226" spans="2:27" x14ac:dyDescent="0.3">
      <c r="C226" s="32"/>
      <c r="E226" s="32"/>
      <c r="F226" s="191" t="s">
        <v>194</v>
      </c>
      <c r="G226" t="s">
        <v>269</v>
      </c>
      <c r="H226" s="267"/>
      <c r="I226" s="267"/>
      <c r="J226" s="275">
        <f t="shared" ref="J226:Y226" si="74">hundred * $H34 * J59 / $H47 * J109 / hours_in_year</f>
        <v>1.9576190129438334E-3</v>
      </c>
      <c r="K226" s="275">
        <f t="shared" si="74"/>
        <v>1.9576190129438334E-3</v>
      </c>
      <c r="L226" s="275">
        <f t="shared" si="74"/>
        <v>2.228556572654544E-3</v>
      </c>
      <c r="M226" s="275">
        <f t="shared" si="74"/>
        <v>2.228556572654544E-3</v>
      </c>
      <c r="N226" s="275">
        <f t="shared" si="74"/>
        <v>1.7928036168852796E-3</v>
      </c>
      <c r="O226" s="275">
        <f t="shared" si="74"/>
        <v>1.3119370164617642E-3</v>
      </c>
      <c r="P226" s="275">
        <f t="shared" si="74"/>
        <v>1.4749578238831653E-3</v>
      </c>
      <c r="Q226" s="275">
        <f t="shared" si="74"/>
        <v>1.336275756909644E-3</v>
      </c>
      <c r="R226" s="275">
        <f t="shared" si="74"/>
        <v>-1.3661676932354601E-3</v>
      </c>
      <c r="S226" s="275">
        <f t="shared" si="74"/>
        <v>-1.3373403015433355E-3</v>
      </c>
      <c r="T226" s="275">
        <f t="shared" si="74"/>
        <v>-1.3661676932354601E-3</v>
      </c>
      <c r="U226" s="275">
        <f t="shared" si="74"/>
        <v>-1.3661676932354601E-3</v>
      </c>
      <c r="V226" s="275">
        <f t="shared" si="74"/>
        <v>-1.3373403015433355E-3</v>
      </c>
      <c r="W226" s="275">
        <f t="shared" si="74"/>
        <v>-1.3373403015433355E-3</v>
      </c>
      <c r="X226" s="275">
        <f t="shared" si="74"/>
        <v>-1.3172864638444661E-3</v>
      </c>
      <c r="Y226" s="275">
        <f t="shared" si="74"/>
        <v>-1.3172864638444661E-3</v>
      </c>
      <c r="Z226" s="267"/>
      <c r="AA226" s="267"/>
    </row>
    <row r="227" spans="2:27" x14ac:dyDescent="0.3">
      <c r="C227" s="32"/>
      <c r="E227" s="32"/>
      <c r="F227" s="191" t="s">
        <v>195</v>
      </c>
      <c r="G227" t="s">
        <v>269</v>
      </c>
      <c r="H227" s="267"/>
      <c r="I227" s="267"/>
      <c r="J227" s="275">
        <f t="shared" ref="J227:Y227" si="75">hundred * $H35 * J60 / $H48 * J110 / hours_in_year</f>
        <v>3.7736789564067697E-3</v>
      </c>
      <c r="K227" s="275">
        <f t="shared" si="75"/>
        <v>3.7736789564067697E-3</v>
      </c>
      <c r="L227" s="275">
        <f t="shared" si="75"/>
        <v>4.2959620772899275E-3</v>
      </c>
      <c r="M227" s="275">
        <f t="shared" si="75"/>
        <v>4.2959620772899275E-3</v>
      </c>
      <c r="N227" s="275">
        <f t="shared" si="75"/>
        <v>3.4559662719234299E-3</v>
      </c>
      <c r="O227" s="275">
        <f t="shared" si="75"/>
        <v>2.5290054287467668E-3</v>
      </c>
      <c r="P227" s="275">
        <f t="shared" si="75"/>
        <v>2.8432587059957818E-3</v>
      </c>
      <c r="Q227" s="275">
        <f t="shared" si="75"/>
        <v>2.5759229300819689E-3</v>
      </c>
      <c r="R227" s="275">
        <f t="shared" si="75"/>
        <v>-2.6335452612573046E-3</v>
      </c>
      <c r="S227" s="275">
        <f t="shared" si="75"/>
        <v>-2.5779750401482052E-3</v>
      </c>
      <c r="T227" s="275">
        <f t="shared" si="75"/>
        <v>-2.6335452612573046E-3</v>
      </c>
      <c r="U227" s="275">
        <f t="shared" si="75"/>
        <v>-2.6335452612573046E-3</v>
      </c>
      <c r="V227" s="275">
        <f t="shared" si="75"/>
        <v>-2.5779750401482052E-3</v>
      </c>
      <c r="W227" s="275">
        <f t="shared" si="75"/>
        <v>-2.5779750401482052E-3</v>
      </c>
      <c r="X227" s="275">
        <f t="shared" si="75"/>
        <v>-2.5393174950288319E-3</v>
      </c>
      <c r="Y227" s="275">
        <f t="shared" si="75"/>
        <v>-2.5393174950288319E-3</v>
      </c>
      <c r="Z227" s="267"/>
      <c r="AA227" s="267"/>
    </row>
    <row r="228" spans="2:27" x14ac:dyDescent="0.3">
      <c r="C228" s="32"/>
      <c r="E228" s="32"/>
      <c r="F228" s="191" t="s">
        <v>196</v>
      </c>
      <c r="G228" t="s">
        <v>269</v>
      </c>
      <c r="H228" s="267"/>
      <c r="I228" s="267"/>
      <c r="J228" s="275">
        <f t="shared" ref="J228:Y228" si="76">hundred * $H36 * J61 / $H49 * J111 / hours_in_year</f>
        <v>1.5225106607806211E-3</v>
      </c>
      <c r="K228" s="275">
        <f t="shared" si="76"/>
        <v>1.5225106607806211E-3</v>
      </c>
      <c r="L228" s="275">
        <f t="shared" si="76"/>
        <v>1.733228538129557E-3</v>
      </c>
      <c r="M228" s="275">
        <f t="shared" si="76"/>
        <v>1.733228538129557E-3</v>
      </c>
      <c r="N228" s="275">
        <f t="shared" si="76"/>
        <v>1.3943278040037148E-3</v>
      </c>
      <c r="O228" s="275">
        <f t="shared" si="76"/>
        <v>1.0203405671014838E-3</v>
      </c>
      <c r="P228" s="275">
        <f t="shared" si="76"/>
        <v>1.1471277077999733E-3</v>
      </c>
      <c r="Q228" s="275">
        <f t="shared" si="76"/>
        <v>1.0392696802521294E-3</v>
      </c>
      <c r="R228" s="275">
        <f t="shared" si="76"/>
        <v>-1.0625177134120608E-3</v>
      </c>
      <c r="S228" s="275">
        <f t="shared" si="76"/>
        <v>-1.0400976148721734E-3</v>
      </c>
      <c r="T228" s="275">
        <f t="shared" si="76"/>
        <v>-1.0625177134120608E-3</v>
      </c>
      <c r="U228" s="275">
        <f t="shared" si="76"/>
        <v>-1.0625177134120608E-3</v>
      </c>
      <c r="V228" s="275">
        <f t="shared" si="76"/>
        <v>-1.0400976148721734E-3</v>
      </c>
      <c r="W228" s="275">
        <f t="shared" si="76"/>
        <v>-1.0400976148721734E-3</v>
      </c>
      <c r="X228" s="275">
        <f t="shared" si="76"/>
        <v>-1.0245010245835558E-3</v>
      </c>
      <c r="Y228" s="275">
        <f t="shared" si="76"/>
        <v>-1.0245010245835558E-3</v>
      </c>
      <c r="Z228" s="267"/>
      <c r="AA228" s="267"/>
    </row>
    <row r="229" spans="2:27" x14ac:dyDescent="0.3">
      <c r="C229" s="32"/>
      <c r="E229" s="32"/>
      <c r="F229" s="191" t="s">
        <v>197</v>
      </c>
      <c r="G229" t="s">
        <v>269</v>
      </c>
      <c r="H229" s="267"/>
      <c r="I229" s="267"/>
      <c r="J229" s="275">
        <f t="shared" ref="J229:Y229" si="77">hundred * $H37 * J62 / $H50 * J112 / hours_in_year</f>
        <v>2.4080830568202576E-2</v>
      </c>
      <c r="K229" s="275">
        <f t="shared" si="77"/>
        <v>2.4080830568202576E-2</v>
      </c>
      <c r="L229" s="275">
        <f t="shared" si="77"/>
        <v>2.741365550850831E-2</v>
      </c>
      <c r="M229" s="275">
        <f t="shared" si="77"/>
        <v>2.741365550850831E-2</v>
      </c>
      <c r="N229" s="275">
        <f t="shared" si="77"/>
        <v>2.2053422987220371E-2</v>
      </c>
      <c r="O229" s="275">
        <f t="shared" si="77"/>
        <v>1.6138243856786336E-2</v>
      </c>
      <c r="P229" s="275">
        <f t="shared" si="77"/>
        <v>1.8143576057101953E-2</v>
      </c>
      <c r="Q229" s="275">
        <f t="shared" si="77"/>
        <v>1.6437636680974064E-2</v>
      </c>
      <c r="R229" s="275">
        <f t="shared" si="77"/>
        <v>-1.6805339818948301E-2</v>
      </c>
      <c r="S229" s="275">
        <f t="shared" si="77"/>
        <v>-1.6450731731025538E-2</v>
      </c>
      <c r="T229" s="275">
        <f t="shared" si="77"/>
        <v>-1.6805339818948301E-2</v>
      </c>
      <c r="U229" s="275">
        <f t="shared" si="77"/>
        <v>-1.6805339818948301E-2</v>
      </c>
      <c r="V229" s="275">
        <f t="shared" si="77"/>
        <v>-1.6450731731025538E-2</v>
      </c>
      <c r="W229" s="275">
        <f t="shared" si="77"/>
        <v>-1.6450731731025538E-2</v>
      </c>
      <c r="X229" s="275">
        <f t="shared" si="77"/>
        <v>0</v>
      </c>
      <c r="Y229" s="275">
        <f t="shared" si="77"/>
        <v>0</v>
      </c>
      <c r="Z229" s="267"/>
      <c r="AA229" s="267"/>
    </row>
    <row r="230" spans="2:27" x14ac:dyDescent="0.3">
      <c r="C230" s="32"/>
      <c r="E230" s="32"/>
      <c r="F230" s="191" t="s">
        <v>198</v>
      </c>
      <c r="G230" t="s">
        <v>269</v>
      </c>
      <c r="H230" s="267"/>
      <c r="I230" s="267"/>
      <c r="J230" s="275">
        <f t="shared" ref="J230:Y230" si="78">hundred * $H38 * J63 / $H51 * J113 / hours_in_year</f>
        <v>1.173236665396426E-2</v>
      </c>
      <c r="K230" s="275">
        <f t="shared" si="78"/>
        <v>1.173236665396426E-2</v>
      </c>
      <c r="L230" s="275">
        <f t="shared" si="78"/>
        <v>1.3356144707731863E-2</v>
      </c>
      <c r="M230" s="275">
        <f t="shared" si="78"/>
        <v>1.3356144707731863E-2</v>
      </c>
      <c r="N230" s="275">
        <f t="shared" si="78"/>
        <v>1.0744598020746165E-2</v>
      </c>
      <c r="O230" s="275">
        <f t="shared" si="78"/>
        <v>7.8626770593584246E-3</v>
      </c>
      <c r="P230" s="275">
        <f t="shared" si="78"/>
        <v>0</v>
      </c>
      <c r="Q230" s="275">
        <f t="shared" si="78"/>
        <v>8.0085435558228165E-3</v>
      </c>
      <c r="R230" s="275">
        <f t="shared" si="78"/>
        <v>-8.1876913647951285E-3</v>
      </c>
      <c r="S230" s="275">
        <f t="shared" si="78"/>
        <v>0</v>
      </c>
      <c r="T230" s="275">
        <f t="shared" si="78"/>
        <v>-8.1876913647951285E-3</v>
      </c>
      <c r="U230" s="275">
        <f t="shared" si="78"/>
        <v>-8.1876913647951285E-3</v>
      </c>
      <c r="V230" s="275">
        <f t="shared" si="78"/>
        <v>0</v>
      </c>
      <c r="W230" s="275">
        <f t="shared" si="78"/>
        <v>0</v>
      </c>
      <c r="X230" s="275">
        <f t="shared" si="78"/>
        <v>0</v>
      </c>
      <c r="Y230" s="275">
        <f t="shared" si="78"/>
        <v>0</v>
      </c>
      <c r="Z230" s="267"/>
      <c r="AA230" s="267"/>
    </row>
    <row r="231" spans="2:27" x14ac:dyDescent="0.3">
      <c r="C231" s="32"/>
      <c r="E231" s="32"/>
      <c r="F231" s="192" t="s">
        <v>199</v>
      </c>
      <c r="G231" s="37" t="s">
        <v>269</v>
      </c>
      <c r="H231" s="269"/>
      <c r="I231" s="269"/>
      <c r="J231" s="276">
        <f t="shared" ref="J231:Y231" si="79">hundred * $H39 * J64 / $H52 * J114 / hours_in_year</f>
        <v>2.6931309571841044E-2</v>
      </c>
      <c r="K231" s="276">
        <f t="shared" si="79"/>
        <v>2.6931309571841044E-2</v>
      </c>
      <c r="L231" s="276">
        <f t="shared" si="79"/>
        <v>3.0658645303136212E-2</v>
      </c>
      <c r="M231" s="276">
        <f t="shared" si="79"/>
        <v>3.0658645303136212E-2</v>
      </c>
      <c r="N231" s="276">
        <f t="shared" si="79"/>
        <v>2.4663915138036653E-2</v>
      </c>
      <c r="O231" s="276">
        <f t="shared" si="79"/>
        <v>0</v>
      </c>
      <c r="P231" s="276">
        <f t="shared" si="79"/>
        <v>0</v>
      </c>
      <c r="Q231" s="276">
        <f t="shared" si="79"/>
        <v>1.8383380956523414E-2</v>
      </c>
      <c r="R231" s="276">
        <f t="shared" si="79"/>
        <v>0</v>
      </c>
      <c r="S231" s="276">
        <f t="shared" si="79"/>
        <v>0</v>
      </c>
      <c r="T231" s="276">
        <f t="shared" si="79"/>
        <v>0</v>
      </c>
      <c r="U231" s="276">
        <f t="shared" si="79"/>
        <v>0</v>
      </c>
      <c r="V231" s="276">
        <f t="shared" si="79"/>
        <v>0</v>
      </c>
      <c r="W231" s="276">
        <f t="shared" si="79"/>
        <v>0</v>
      </c>
      <c r="X231" s="276">
        <f t="shared" si="79"/>
        <v>0</v>
      </c>
      <c r="Y231" s="276">
        <f t="shared" si="79"/>
        <v>0</v>
      </c>
      <c r="Z231" s="267"/>
      <c r="AA231" s="267"/>
    </row>
    <row r="232" spans="2:27" x14ac:dyDescent="0.3">
      <c r="J232" s="14"/>
      <c r="K232" s="14"/>
      <c r="L232" s="14"/>
      <c r="M232" s="14"/>
      <c r="N232" s="14"/>
      <c r="O232" s="14"/>
      <c r="P232" s="14"/>
      <c r="Q232" s="14"/>
      <c r="R232" s="14"/>
      <c r="S232" s="14"/>
      <c r="T232" s="14"/>
      <c r="U232" s="14"/>
      <c r="V232" s="14"/>
      <c r="W232" s="14"/>
      <c r="X232" s="14"/>
      <c r="Y232" s="14"/>
    </row>
    <row r="233" spans="2:27" x14ac:dyDescent="0.3">
      <c r="B233" s="30" t="s">
        <v>231</v>
      </c>
      <c r="C233" s="30"/>
      <c r="D233" s="30"/>
      <c r="E233" s="30"/>
      <c r="F233" s="30"/>
      <c r="G233" s="30"/>
      <c r="H233" s="30"/>
      <c r="I233" s="30"/>
      <c r="J233" s="200"/>
      <c r="K233" s="200"/>
      <c r="L233" s="200"/>
      <c r="M233" s="200"/>
      <c r="N233" s="200"/>
      <c r="O233" s="200"/>
      <c r="P233" s="200"/>
      <c r="Q233" s="200"/>
      <c r="R233" s="200"/>
      <c r="S233" s="200"/>
      <c r="T233" s="200"/>
      <c r="U233" s="200"/>
      <c r="V233" s="200"/>
      <c r="W233" s="200"/>
      <c r="X233" s="200"/>
      <c r="Y233" s="200"/>
      <c r="Z233" s="30"/>
      <c r="AA233" s="30"/>
    </row>
    <row r="234" spans="2:27" x14ac:dyDescent="0.3">
      <c r="C234" s="32"/>
      <c r="D234" s="32"/>
      <c r="E234" s="32"/>
      <c r="J234" s="164"/>
      <c r="K234" s="14"/>
      <c r="L234" s="164"/>
      <c r="M234" s="14"/>
      <c r="N234" s="14"/>
      <c r="O234" s="14"/>
      <c r="P234" s="14"/>
      <c r="Q234" s="14"/>
      <c r="R234" s="14"/>
      <c r="S234" s="14"/>
      <c r="T234" s="14"/>
      <c r="U234" s="14"/>
      <c r="V234" s="14"/>
      <c r="W234" s="14"/>
      <c r="X234" s="14"/>
      <c r="Y234" s="14"/>
    </row>
    <row r="235" spans="2:27" x14ac:dyDescent="0.3">
      <c r="D235" s="32" t="s">
        <v>629</v>
      </c>
      <c r="E235" s="32"/>
      <c r="J235" s="164"/>
      <c r="K235" s="14"/>
      <c r="L235" s="164"/>
      <c r="M235" s="14"/>
      <c r="N235" s="14"/>
      <c r="O235" s="14"/>
      <c r="P235" s="14"/>
      <c r="Q235" s="14"/>
      <c r="R235" s="14"/>
      <c r="S235" s="14"/>
      <c r="T235" s="14"/>
      <c r="U235" s="14"/>
      <c r="V235" s="14"/>
      <c r="W235" s="14"/>
      <c r="X235" s="14"/>
      <c r="Y235" s="14"/>
    </row>
    <row r="236" spans="2:27" x14ac:dyDescent="0.3">
      <c r="C236" s="32"/>
      <c r="D236" s="32"/>
      <c r="E236" s="32"/>
      <c r="J236" s="164"/>
      <c r="K236" s="14"/>
      <c r="L236" s="164"/>
      <c r="M236" s="14"/>
      <c r="N236" s="14"/>
      <c r="O236" s="14"/>
      <c r="P236" s="14"/>
      <c r="Q236" s="14"/>
      <c r="R236" s="14"/>
      <c r="S236" s="14"/>
      <c r="T236" s="14"/>
      <c r="U236" s="14"/>
      <c r="V236" s="14"/>
      <c r="W236" s="14"/>
      <c r="X236" s="14"/>
      <c r="Y236" s="14"/>
    </row>
    <row r="237" spans="2:27" x14ac:dyDescent="0.3">
      <c r="C237" s="32"/>
      <c r="D237" s="32"/>
      <c r="E237" t="s">
        <v>232</v>
      </c>
      <c r="G237" s="6" t="s">
        <v>55</v>
      </c>
      <c r="H237" s="201">
        <f t="array" ref="H237">SUM(IF(ISERROR(H18:Y232), 1))</f>
        <v>0</v>
      </c>
      <c r="J237" s="63"/>
      <c r="K237" s="63"/>
      <c r="L237" s="63"/>
      <c r="M237" s="63"/>
      <c r="N237" s="63"/>
      <c r="O237" s="63"/>
      <c r="P237" s="63"/>
      <c r="Q237" s="63"/>
      <c r="R237" s="63"/>
      <c r="S237" s="63"/>
      <c r="T237" s="63"/>
      <c r="U237" s="63"/>
      <c r="V237" s="63"/>
      <c r="W237" s="63"/>
      <c r="X237" s="63"/>
      <c r="Y237" s="63"/>
    </row>
    <row r="238" spans="2:27" x14ac:dyDescent="0.3">
      <c r="C238" s="32"/>
      <c r="D238" s="32"/>
      <c r="E238" s="32"/>
      <c r="J238" s="63"/>
      <c r="L238" s="63"/>
    </row>
    <row r="239" spans="2:27" x14ac:dyDescent="0.3">
      <c r="C239" s="32"/>
      <c r="D239" s="32"/>
      <c r="E239" t="s">
        <v>630</v>
      </c>
      <c r="G239" s="6" t="s">
        <v>55</v>
      </c>
      <c r="H239" s="201">
        <f>SUM(J239:Y239)</f>
        <v>0</v>
      </c>
      <c r="I239" s="202"/>
      <c r="J239" s="201">
        <f t="shared" ref="J239:K239" si="80">IF(ABS(IFERROR(SUM(J152:J231), 1)) &gt; 0, 0, 1)</f>
        <v>0</v>
      </c>
      <c r="K239" s="201">
        <f t="shared" si="80"/>
        <v>0</v>
      </c>
      <c r="L239" s="201">
        <f t="shared" ref="L239:M239" si="81">IF(ABS(IFERROR(SUM(L152:L231), 1)) &gt; 0, 0, 1)</f>
        <v>0</v>
      </c>
      <c r="M239" s="201">
        <f t="shared" si="81"/>
        <v>0</v>
      </c>
      <c r="N239" s="201">
        <f t="shared" ref="N239:P239" si="82">IF(ABS(IFERROR(SUM(N152:N231), 1)) &gt; 0, 0, 1)</f>
        <v>0</v>
      </c>
      <c r="O239" s="201">
        <f t="shared" si="82"/>
        <v>0</v>
      </c>
      <c r="P239" s="201">
        <f t="shared" si="82"/>
        <v>0</v>
      </c>
      <c r="Q239" s="201">
        <f t="shared" ref="Q239:S239" si="83">IF(ABS(IFERROR(SUM(Q152:Q231), 1)) &gt; 0, 0, 1)</f>
        <v>0</v>
      </c>
      <c r="R239" s="201">
        <f t="shared" si="83"/>
        <v>0</v>
      </c>
      <c r="S239" s="201">
        <f t="shared" si="83"/>
        <v>0</v>
      </c>
      <c r="T239" s="201">
        <f t="shared" ref="T239:U239" si="84">IF(ABS(IFERROR(SUM(T152:T231), 1)) &gt; 0, 0, 1)</f>
        <v>0</v>
      </c>
      <c r="U239" s="201">
        <f t="shared" si="84"/>
        <v>0</v>
      </c>
      <c r="V239" s="201">
        <f t="shared" ref="V239:W239" si="85">IF(ABS(IFERROR(SUM(V152:V231), 1)) &gt; 0, 0, 1)</f>
        <v>0</v>
      </c>
      <c r="W239" s="201">
        <f t="shared" si="85"/>
        <v>0</v>
      </c>
      <c r="X239" s="201">
        <f t="shared" ref="X239:Y239" si="86">IF(ABS(IFERROR(SUM(X152:X231), 1)) &gt; 0, 0, 1)</f>
        <v>0</v>
      </c>
      <c r="Y239" s="201">
        <f t="shared" si="86"/>
        <v>0</v>
      </c>
    </row>
    <row r="240" spans="2:27" x14ac:dyDescent="0.3">
      <c r="C240" s="32"/>
      <c r="D240" s="32"/>
      <c r="E240" s="32"/>
      <c r="J240" s="164"/>
      <c r="K240" s="14"/>
      <c r="L240" s="164"/>
      <c r="M240" s="14"/>
      <c r="N240" s="14"/>
      <c r="O240" s="14"/>
      <c r="P240" s="14"/>
      <c r="Q240" s="14"/>
      <c r="R240" s="14"/>
      <c r="S240" s="14"/>
      <c r="T240" s="14"/>
      <c r="U240" s="14"/>
      <c r="V240" s="14"/>
      <c r="W240" s="14"/>
      <c r="X240" s="14"/>
      <c r="Y240" s="14"/>
    </row>
    <row r="241" spans="2:27" x14ac:dyDescent="0.3">
      <c r="C241" s="32"/>
      <c r="D241" s="32"/>
      <c r="E241" t="s">
        <v>631</v>
      </c>
      <c r="G241" s="6" t="s">
        <v>55</v>
      </c>
      <c r="H241" s="103">
        <f>SUM(H239, H237)</f>
        <v>0</v>
      </c>
      <c r="J241" s="164"/>
      <c r="K241" s="14"/>
      <c r="L241" s="164"/>
      <c r="M241" s="14"/>
      <c r="N241" s="14"/>
      <c r="O241" s="14"/>
      <c r="P241" s="14"/>
      <c r="Q241" s="14"/>
      <c r="R241" s="14"/>
      <c r="S241" s="14"/>
      <c r="T241" s="14"/>
      <c r="U241" s="14"/>
      <c r="V241" s="14"/>
      <c r="W241" s="14"/>
      <c r="X241" s="14"/>
      <c r="Y241" s="14"/>
    </row>
    <row r="242" spans="2:27" x14ac:dyDescent="0.3">
      <c r="C242" s="32"/>
      <c r="D242" s="32"/>
      <c r="E242" s="32"/>
      <c r="J242" s="63"/>
      <c r="L242" s="63"/>
    </row>
    <row r="243" spans="2:27" x14ac:dyDescent="0.3">
      <c r="B243" s="30" t="s">
        <v>106</v>
      </c>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row>
  </sheetData>
  <sheetProtection sheet="1" objects="1" formatCells="0" formatColumns="0" formatRows="0" sort="0" autoFilter="0"/>
  <conditionalFormatting sqref="H239:H240">
    <cfRule type="cellIs" dxfId="119" priority="22" operator="greaterThan">
      <formula>0</formula>
    </cfRule>
  </conditionalFormatting>
  <conditionalFormatting sqref="H237">
    <cfRule type="cellIs" dxfId="118" priority="20" operator="greaterThan">
      <formula>0</formula>
    </cfRule>
  </conditionalFormatting>
  <conditionalFormatting sqref="A4:I4 Z4:XFD4">
    <cfRule type="expression" dxfId="117" priority="18">
      <formula>LEFT($A$4,1) &lt;&gt; "0"</formula>
    </cfRule>
  </conditionalFormatting>
  <conditionalFormatting sqref="N239:P241">
    <cfRule type="cellIs" dxfId="116" priority="17" operator="greaterThan">
      <formula>0</formula>
    </cfRule>
  </conditionalFormatting>
  <conditionalFormatting sqref="N4:P4">
    <cfRule type="expression" dxfId="115" priority="16">
      <formula>LEFT($A$4,1) &lt;&gt; "0"</formula>
    </cfRule>
  </conditionalFormatting>
  <conditionalFormatting sqref="L239:M241">
    <cfRule type="cellIs" dxfId="114" priority="15" operator="greaterThan">
      <formula>0</formula>
    </cfRule>
  </conditionalFormatting>
  <conditionalFormatting sqref="L4:M4">
    <cfRule type="expression" dxfId="113" priority="14">
      <formula>LEFT($A$4,1) &lt;&gt; "0"</formula>
    </cfRule>
  </conditionalFormatting>
  <conditionalFormatting sqref="J239:K241">
    <cfRule type="cellIs" dxfId="112" priority="13" operator="greaterThan">
      <formula>0</formula>
    </cfRule>
  </conditionalFormatting>
  <conditionalFormatting sqref="J4:K4">
    <cfRule type="expression" dxfId="111" priority="12">
      <formula>LEFT($A$4,1) &lt;&gt; "0"</formula>
    </cfRule>
  </conditionalFormatting>
  <conditionalFormatting sqref="Q239:Q241">
    <cfRule type="cellIs" dxfId="110" priority="11" operator="greaterThan">
      <formula>0</formula>
    </cfRule>
  </conditionalFormatting>
  <conditionalFormatting sqref="Q4">
    <cfRule type="expression" dxfId="109" priority="10">
      <formula>LEFT($A$4,1) &lt;&gt; "0"</formula>
    </cfRule>
  </conditionalFormatting>
  <conditionalFormatting sqref="R239:S241">
    <cfRule type="cellIs" dxfId="108" priority="9" operator="greaterThan">
      <formula>0</formula>
    </cfRule>
  </conditionalFormatting>
  <conditionalFormatting sqref="R4:S4">
    <cfRule type="expression" dxfId="107" priority="8">
      <formula>LEFT($A$4,1) &lt;&gt; "0"</formula>
    </cfRule>
  </conditionalFormatting>
  <conditionalFormatting sqref="T239:U241">
    <cfRule type="cellIs" dxfId="106" priority="7" operator="greaterThan">
      <formula>0</formula>
    </cfRule>
  </conditionalFormatting>
  <conditionalFormatting sqref="T4:U4">
    <cfRule type="expression" dxfId="105" priority="6">
      <formula>LEFT($A$4,1) &lt;&gt; "0"</formula>
    </cfRule>
  </conditionalFormatting>
  <conditionalFormatting sqref="V239:W241">
    <cfRule type="cellIs" dxfId="104" priority="5" operator="greaterThan">
      <formula>0</formula>
    </cfRule>
  </conditionalFormatting>
  <conditionalFormatting sqref="V4:W4">
    <cfRule type="expression" dxfId="103" priority="4">
      <formula>LEFT($A$4,1) &lt;&gt; "0"</formula>
    </cfRule>
  </conditionalFormatting>
  <conditionalFormatting sqref="X239:Y241">
    <cfRule type="cellIs" dxfId="102" priority="3" operator="greaterThan">
      <formula>0</formula>
    </cfRule>
  </conditionalFormatting>
  <conditionalFormatting sqref="X4:Y4">
    <cfRule type="expression" dxfId="101" priority="2">
      <formula>LEFT($A$4,1) &lt;&gt; "0"</formula>
    </cfRule>
  </conditionalFormatting>
  <conditionalFormatting sqref="H241">
    <cfRule type="cellIs" dxfId="10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Service model charges</v>
      </c>
    </row>
    <row r="2" spans="1:27" s="1" customFormat="1" x14ac:dyDescent="0.3">
      <c r="A2" s="1" t="str">
        <f>Cover!D21&amp;" - "&amp;Cover!D23</f>
        <v>WPD Mid West - April 22 Pricing</v>
      </c>
    </row>
    <row r="3" spans="1:27" s="5" customFormat="1" x14ac:dyDescent="0.3">
      <c r="A3" s="5" t="str">
        <f>Cover!D2&amp;" - "&amp;Cover!D8&amp;" v"&amp;Cover!D10&amp;" - "&amp;Cover!D19</f>
        <v>CDCM charging model - Release for charge setting v7 - 2022/23</v>
      </c>
    </row>
    <row r="4" spans="1:27" x14ac:dyDescent="0.3">
      <c r="A4" s="12" t="str">
        <f>H48 &amp; IF(H48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632</v>
      </c>
      <c r="D9"/>
      <c r="F9" s="29"/>
    </row>
    <row r="10" spans="1:27" x14ac:dyDescent="0.3">
      <c r="C10" s="29" t="s">
        <v>633</v>
      </c>
      <c r="D10"/>
      <c r="E10"/>
      <c r="F10" s="29"/>
    </row>
    <row r="11" spans="1:27" x14ac:dyDescent="0.3">
      <c r="C11" s="29" t="s">
        <v>634</v>
      </c>
    </row>
    <row r="13" spans="1:27" x14ac:dyDescent="0.3">
      <c r="B13" s="30" t="s">
        <v>635</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row>
    <row r="14" spans="1:27" x14ac:dyDescent="0.3">
      <c r="C14" s="88"/>
    </row>
    <row r="15" spans="1:27" x14ac:dyDescent="0.3">
      <c r="B15" s="2"/>
      <c r="C15" s="29" t="s">
        <v>636</v>
      </c>
    </row>
    <row r="16" spans="1:27" x14ac:dyDescent="0.3">
      <c r="C16" s="88"/>
    </row>
    <row r="17" spans="2:27" x14ac:dyDescent="0.3">
      <c r="C17" s="31" t="str">
        <f ca="1">INDEX('Version control'!$H$34:$H$57,MATCH($A$1,'Version control'!$F$34:$F$57,0),1)&amp;"-A: Inputs to service model charge calculation"</f>
        <v>Section 110-A: Inputs to service model charge calculation</v>
      </c>
      <c r="D17" s="31"/>
      <c r="E17" s="31"/>
      <c r="F17" s="31"/>
      <c r="G17" s="31"/>
      <c r="H17" s="31"/>
      <c r="I17" s="31"/>
      <c r="J17" s="31"/>
      <c r="K17" s="31"/>
      <c r="L17" s="31"/>
      <c r="M17" s="31"/>
      <c r="N17" s="31"/>
      <c r="O17" s="31"/>
      <c r="P17" s="31"/>
      <c r="Q17" s="31"/>
      <c r="R17" s="31"/>
      <c r="S17" s="31"/>
      <c r="T17" s="31"/>
      <c r="U17" s="31"/>
      <c r="V17" s="31"/>
      <c r="W17" s="31"/>
      <c r="X17" s="31"/>
      <c r="Y17" s="31"/>
      <c r="Z17" s="31"/>
      <c r="AA17" s="31"/>
    </row>
    <row r="18" spans="2:27" x14ac:dyDescent="0.3">
      <c r="C18" s="88"/>
    </row>
    <row r="19" spans="2:27" x14ac:dyDescent="0.3">
      <c r="D19"/>
      <c r="E19" s="28" t="s">
        <v>568</v>
      </c>
      <c r="F19" s="28"/>
      <c r="G19" s="28" t="s">
        <v>167</v>
      </c>
      <c r="H19" s="179">
        <f>'Unit costs'!$H$121</f>
        <v>4.5099271365789909E-2</v>
      </c>
      <c r="I19" s="3"/>
      <c r="J19" s="3"/>
      <c r="K19" s="3"/>
      <c r="L19" s="3"/>
      <c r="M19" s="3"/>
      <c r="N19" s="3"/>
      <c r="P19" s="3"/>
    </row>
    <row r="20" spans="2:27" x14ac:dyDescent="0.3">
      <c r="C20" s="88"/>
      <c r="E20" t="s">
        <v>598</v>
      </c>
      <c r="G20" t="s">
        <v>357</v>
      </c>
      <c r="H20" s="120">
        <f>'Unit costs'!$H$122</f>
        <v>169309195.73900744</v>
      </c>
    </row>
    <row r="21" spans="2:27" x14ac:dyDescent="0.3">
      <c r="C21" s="88"/>
      <c r="E21" t="s">
        <v>637</v>
      </c>
      <c r="G21" t="s">
        <v>357</v>
      </c>
      <c r="H21" s="120">
        <f>'Unit costs'!$H$123</f>
        <v>5346930993.6128292</v>
      </c>
    </row>
    <row r="22" spans="2:27" x14ac:dyDescent="0.3">
      <c r="D22" s="88"/>
      <c r="E22"/>
    </row>
    <row r="23" spans="2:27" x14ac:dyDescent="0.3">
      <c r="D23"/>
      <c r="E23" s="32" t="s">
        <v>638</v>
      </c>
      <c r="H23" s="63"/>
      <c r="J23" s="63"/>
      <c r="K23" s="63"/>
      <c r="L23" s="63"/>
      <c r="M23" s="63"/>
      <c r="N23" s="63"/>
    </row>
    <row r="24" spans="2:27" x14ac:dyDescent="0.3">
      <c r="D24"/>
      <c r="E24" s="29" t="s">
        <v>639</v>
      </c>
      <c r="H24" s="63"/>
    </row>
    <row r="25" spans="2:27" x14ac:dyDescent="0.3">
      <c r="E25" s="88"/>
      <c r="F25" s="23" t="s">
        <v>376</v>
      </c>
      <c r="G25" s="23" t="s">
        <v>261</v>
      </c>
      <c r="H25" s="174"/>
      <c r="I25" s="23"/>
      <c r="J25" s="124">
        <f>'Inputs by customer type'!J187</f>
        <v>246.07148097562552</v>
      </c>
      <c r="K25" s="124">
        <f>'Inputs by customer type'!K187</f>
        <v>0</v>
      </c>
      <c r="L25" s="124">
        <f>'Inputs by customer type'!L187</f>
        <v>721.51511666882368</v>
      </c>
      <c r="M25" s="124">
        <f>'Inputs by customer type'!M187</f>
        <v>0</v>
      </c>
      <c r="N25" s="124">
        <f>'Inputs by customer type'!N187</f>
        <v>1439.5219888087429</v>
      </c>
      <c r="O25" s="124">
        <f>'Inputs by customer type'!O187</f>
        <v>1123.7016087154873</v>
      </c>
      <c r="P25" s="124">
        <f>'Inputs by customer type'!P187</f>
        <v>0</v>
      </c>
      <c r="Q25" s="83"/>
      <c r="R25" s="124">
        <f>'Inputs by customer type'!R187</f>
        <v>0</v>
      </c>
      <c r="S25" s="124">
        <f>'Inputs by customer type'!S187</f>
        <v>0</v>
      </c>
      <c r="T25" s="124">
        <f>'Inputs by customer type'!T187</f>
        <v>0</v>
      </c>
      <c r="U25" s="124">
        <f>'Inputs by customer type'!U187</f>
        <v>0</v>
      </c>
      <c r="V25" s="124">
        <f>'Inputs by customer type'!V187</f>
        <v>0</v>
      </c>
      <c r="W25" s="124">
        <f>'Inputs by customer type'!W187</f>
        <v>0</v>
      </c>
      <c r="X25" s="124">
        <f>'Inputs by customer type'!X187</f>
        <v>0</v>
      </c>
      <c r="Y25" s="124">
        <f>'Inputs by customer type'!Y187</f>
        <v>0</v>
      </c>
    </row>
    <row r="26" spans="2:27" x14ac:dyDescent="0.3">
      <c r="E26" s="88"/>
      <c r="F26" t="s">
        <v>377</v>
      </c>
      <c r="G26" t="s">
        <v>261</v>
      </c>
      <c r="H26" s="51"/>
      <c r="J26" s="120">
        <f>'Inputs by customer type'!J188</f>
        <v>0</v>
      </c>
      <c r="K26" s="120">
        <f>'Inputs by customer type'!K188</f>
        <v>0</v>
      </c>
      <c r="L26" s="120">
        <f>'Inputs by customer type'!L188</f>
        <v>0</v>
      </c>
      <c r="M26" s="120">
        <f>'Inputs by customer type'!M188</f>
        <v>0</v>
      </c>
      <c r="N26" s="120">
        <f>'Inputs by customer type'!N188</f>
        <v>0</v>
      </c>
      <c r="O26" s="120">
        <f>'Inputs by customer type'!O188</f>
        <v>0</v>
      </c>
      <c r="P26" s="120">
        <f>'Inputs by customer type'!P188</f>
        <v>10373.828569409405</v>
      </c>
      <c r="Q26" s="79"/>
      <c r="R26" s="120">
        <f>'Inputs by customer type'!R188</f>
        <v>0</v>
      </c>
      <c r="S26" s="120">
        <f>'Inputs by customer type'!S188</f>
        <v>0</v>
      </c>
      <c r="T26" s="120">
        <f>'Inputs by customer type'!T188</f>
        <v>0</v>
      </c>
      <c r="U26" s="120">
        <f>'Inputs by customer type'!U188</f>
        <v>0</v>
      </c>
      <c r="V26" s="120">
        <f>'Inputs by customer type'!V188</f>
        <v>0</v>
      </c>
      <c r="W26" s="120">
        <f>'Inputs by customer type'!W188</f>
        <v>0</v>
      </c>
      <c r="X26" s="120">
        <f>'Inputs by customer type'!X188</f>
        <v>6492.3847088006896</v>
      </c>
      <c r="Y26" s="120">
        <f>'Inputs by customer type'!Y188</f>
        <v>6492.3847088006896</v>
      </c>
    </row>
    <row r="27" spans="2:27" x14ac:dyDescent="0.3">
      <c r="E27" s="88"/>
      <c r="F27" s="37" t="s">
        <v>553</v>
      </c>
      <c r="G27" s="37" t="s">
        <v>264</v>
      </c>
      <c r="H27" s="37"/>
      <c r="I27" s="37"/>
      <c r="J27" s="81"/>
      <c r="K27" s="81"/>
      <c r="L27" s="81"/>
      <c r="M27" s="81"/>
      <c r="N27" s="81"/>
      <c r="O27" s="81"/>
      <c r="P27" s="81"/>
      <c r="Q27" s="125">
        <f>'Inputs by customer type'!Q190</f>
        <v>278.168192448421</v>
      </c>
      <c r="R27" s="81"/>
      <c r="S27" s="81"/>
      <c r="T27" s="81"/>
      <c r="U27" s="81"/>
      <c r="V27" s="81"/>
      <c r="W27" s="81"/>
      <c r="X27" s="81"/>
      <c r="Y27" s="81"/>
    </row>
    <row r="28" spans="2:27" x14ac:dyDescent="0.3">
      <c r="D28" s="88"/>
      <c r="E28"/>
    </row>
    <row r="29" spans="2:27" x14ac:dyDescent="0.3">
      <c r="B29" s="30" t="s">
        <v>640</v>
      </c>
      <c r="C29" s="30"/>
      <c r="D29" s="30"/>
      <c r="E29" s="30"/>
      <c r="F29" s="30"/>
      <c r="G29" s="30"/>
      <c r="H29" s="30"/>
      <c r="I29" s="30"/>
      <c r="J29" s="30"/>
      <c r="K29" s="30"/>
      <c r="L29" s="30"/>
      <c r="M29" s="30"/>
      <c r="N29" s="30"/>
      <c r="O29" s="30"/>
      <c r="P29" s="30"/>
      <c r="Q29" s="30"/>
      <c r="R29" s="30"/>
      <c r="S29" s="30"/>
      <c r="T29" s="30"/>
      <c r="U29" s="30"/>
      <c r="V29" s="30"/>
      <c r="W29" s="30"/>
      <c r="X29" s="30"/>
      <c r="Y29" s="30"/>
      <c r="Z29" s="30"/>
      <c r="AA29" s="30"/>
    </row>
    <row r="30" spans="2:27" x14ac:dyDescent="0.3">
      <c r="C30" s="88"/>
    </row>
    <row r="31" spans="2:27" x14ac:dyDescent="0.3">
      <c r="C31" s="29" t="s">
        <v>641</v>
      </c>
    </row>
    <row r="32" spans="2:27" x14ac:dyDescent="0.3">
      <c r="C32" s="88"/>
    </row>
    <row r="33" spans="2:27" x14ac:dyDescent="0.3">
      <c r="C33" s="31" t="str">
        <f ca="1">INDEX('Version control'!$H$34:$H$57,MATCH($A$1,'Version control'!$F$34:$F$57,0),1)&amp;"-B: Calculation of other operating expenditure per £ of notional asset value"</f>
        <v>Section 110-B: Calculation of other operating expenditure per £ of notional asset value</v>
      </c>
      <c r="D33" s="31"/>
      <c r="E33" s="31"/>
      <c r="F33" s="31"/>
      <c r="G33" s="31"/>
      <c r="H33" s="31"/>
      <c r="I33" s="31"/>
      <c r="J33" s="31"/>
      <c r="K33" s="31"/>
      <c r="L33" s="31"/>
      <c r="M33" s="31"/>
      <c r="N33" s="31"/>
      <c r="O33" s="31"/>
      <c r="P33" s="31"/>
      <c r="Q33" s="31"/>
      <c r="R33" s="31"/>
      <c r="S33" s="31"/>
      <c r="T33" s="31"/>
      <c r="U33" s="31"/>
      <c r="V33" s="31"/>
      <c r="W33" s="31"/>
      <c r="X33" s="31"/>
      <c r="Y33" s="31"/>
      <c r="Z33" s="31"/>
      <c r="AA33" s="31"/>
    </row>
    <row r="34" spans="2:27" x14ac:dyDescent="0.3">
      <c r="C34" s="88"/>
    </row>
    <row r="35" spans="2:27" x14ac:dyDescent="0.3">
      <c r="D35"/>
      <c r="E35" t="s">
        <v>642</v>
      </c>
      <c r="G35" t="s">
        <v>277</v>
      </c>
      <c r="H35" s="98">
        <f>IF(H21 &lt;&gt; 0, H20  /H21, 0)</f>
        <v>3.1664742997666431E-2</v>
      </c>
      <c r="I35" t="s">
        <v>154</v>
      </c>
      <c r="J35" s="63"/>
      <c r="K35" s="63"/>
      <c r="L35" s="63"/>
      <c r="M35" s="63"/>
      <c r="N35" s="63"/>
      <c r="O35" s="63"/>
      <c r="P35" s="63"/>
      <c r="Q35" s="63"/>
      <c r="R35" s="63"/>
      <c r="S35" s="63"/>
      <c r="T35" s="63"/>
      <c r="U35" s="63"/>
      <c r="V35" s="63"/>
      <c r="W35" s="63"/>
      <c r="X35" s="63"/>
      <c r="Y35" s="63"/>
      <c r="AA35" t="s">
        <v>643</v>
      </c>
    </row>
    <row r="36" spans="2:27" x14ac:dyDescent="0.3">
      <c r="D36" s="88"/>
      <c r="E36"/>
      <c r="J36" s="63"/>
      <c r="K36" s="63"/>
      <c r="L36" s="63"/>
      <c r="M36" s="63"/>
      <c r="N36" s="63"/>
      <c r="O36" s="63"/>
      <c r="P36" s="63"/>
      <c r="Q36" s="63"/>
      <c r="R36" s="63"/>
      <c r="S36" s="63"/>
      <c r="T36" s="63"/>
      <c r="U36" s="63"/>
      <c r="V36" s="63"/>
      <c r="W36" s="63"/>
      <c r="X36" s="63"/>
      <c r="Y36" s="63"/>
    </row>
    <row r="37" spans="2:27" x14ac:dyDescent="0.3">
      <c r="C37" s="31" t="str">
        <f ca="1">INDEX('Version control'!$H$34:$H$57,MATCH($A$1,'Version control'!$F$34:$F$57,0),1)&amp;"-C: Calculation of service model charges"</f>
        <v>Section 110-C: Calculation of service model charges</v>
      </c>
      <c r="D37" s="31"/>
      <c r="E37" s="31"/>
      <c r="F37" s="31"/>
      <c r="G37" s="31"/>
      <c r="H37" s="31"/>
      <c r="I37" s="31"/>
      <c r="J37" s="31"/>
      <c r="K37" s="31"/>
      <c r="L37" s="31"/>
      <c r="M37" s="31"/>
      <c r="N37" s="31"/>
      <c r="O37" s="31"/>
      <c r="P37" s="31"/>
      <c r="Q37" s="31"/>
      <c r="R37" s="31"/>
      <c r="S37" s="31"/>
      <c r="T37" s="31"/>
      <c r="U37" s="31"/>
      <c r="V37" s="31"/>
      <c r="W37" s="31"/>
      <c r="X37" s="31"/>
      <c r="Y37" s="31"/>
      <c r="Z37" s="31"/>
      <c r="AA37" s="31"/>
    </row>
    <row r="38" spans="2:27" x14ac:dyDescent="0.3">
      <c r="C38" s="88"/>
    </row>
    <row r="39" spans="2:27" x14ac:dyDescent="0.3">
      <c r="D39"/>
      <c r="E39" s="29" t="s">
        <v>644</v>
      </c>
      <c r="H39" s="63"/>
      <c r="J39" s="63"/>
      <c r="K39" s="63"/>
      <c r="L39" s="63"/>
      <c r="M39" s="63"/>
      <c r="N39" s="63"/>
      <c r="O39" s="63"/>
      <c r="P39" s="63"/>
      <c r="Q39" s="63"/>
      <c r="R39" s="63"/>
      <c r="S39" s="63"/>
      <c r="T39" s="63"/>
      <c r="U39" s="63"/>
      <c r="V39" s="63"/>
      <c r="W39" s="63"/>
      <c r="X39" s="63"/>
      <c r="Y39" s="63"/>
    </row>
    <row r="40" spans="2:27" x14ac:dyDescent="0.3">
      <c r="D40"/>
      <c r="E40" s="29"/>
      <c r="H40" s="63"/>
      <c r="J40" s="63"/>
      <c r="K40" s="63"/>
      <c r="L40" s="63"/>
      <c r="M40" s="63"/>
      <c r="N40" s="63"/>
      <c r="O40" s="63"/>
      <c r="P40" s="63"/>
      <c r="Q40" s="63"/>
      <c r="R40" s="63"/>
      <c r="S40" s="63"/>
      <c r="T40" s="63"/>
      <c r="U40" s="63"/>
      <c r="V40" s="63"/>
      <c r="W40" s="63"/>
      <c r="X40" s="63"/>
      <c r="Y40" s="63"/>
    </row>
    <row r="41" spans="2:27" x14ac:dyDescent="0.3">
      <c r="D41"/>
      <c r="E41" s="32" t="s">
        <v>645</v>
      </c>
      <c r="H41" s="63"/>
      <c r="I41" t="s">
        <v>154</v>
      </c>
      <c r="J41" s="63"/>
      <c r="K41" s="63"/>
      <c r="L41" s="63"/>
      <c r="M41" s="63"/>
      <c r="N41" s="63"/>
      <c r="O41" s="63"/>
      <c r="P41" s="63"/>
      <c r="Q41" s="63"/>
      <c r="R41" s="63"/>
      <c r="S41" s="63"/>
      <c r="T41" s="63"/>
      <c r="U41" s="63"/>
      <c r="V41" s="63"/>
      <c r="W41" s="63"/>
      <c r="X41" s="63"/>
      <c r="Y41" s="63"/>
      <c r="AA41" t="s">
        <v>646</v>
      </c>
    </row>
    <row r="42" spans="2:27" x14ac:dyDescent="0.3">
      <c r="D42"/>
      <c r="E42" s="88"/>
      <c r="F42" s="23" t="s">
        <v>376</v>
      </c>
      <c r="G42" s="23" t="s">
        <v>270</v>
      </c>
      <c r="H42" s="174"/>
      <c r="I42" s="23"/>
      <c r="J42" s="101">
        <f t="shared" ref="J42:K42" si="0">J25 * $H$35 / days_in_year * hundred</f>
        <v>2.1347370422324241</v>
      </c>
      <c r="K42" s="101">
        <f t="shared" si="0"/>
        <v>0</v>
      </c>
      <c r="L42" s="101">
        <f t="shared" ref="L42:M42" si="1">L25 * $H$35 / days_in_year * hundred</f>
        <v>6.2593399282875648</v>
      </c>
      <c r="M42" s="101">
        <f t="shared" si="1"/>
        <v>0</v>
      </c>
      <c r="N42" s="101">
        <f t="shared" ref="N42:P42" si="2">N25 * $H$35 / days_in_year * hundred</f>
        <v>12.488244880854381</v>
      </c>
      <c r="O42" s="101">
        <f t="shared" si="2"/>
        <v>9.7484171632986918</v>
      </c>
      <c r="P42" s="101">
        <f t="shared" si="2"/>
        <v>0</v>
      </c>
      <c r="Q42" s="101">
        <f t="shared" ref="Q42:S42" si="3">Q25 * $H$35 / days_in_year * hundred</f>
        <v>0</v>
      </c>
      <c r="R42" s="101">
        <f t="shared" si="3"/>
        <v>0</v>
      </c>
      <c r="S42" s="101">
        <f t="shared" si="3"/>
        <v>0</v>
      </c>
      <c r="T42" s="101">
        <f t="shared" ref="T42:U42" si="4">T25 * $H$35 / days_in_year * hundred</f>
        <v>0</v>
      </c>
      <c r="U42" s="101">
        <f t="shared" si="4"/>
        <v>0</v>
      </c>
      <c r="V42" s="101">
        <f t="shared" ref="V42:W42" si="5">V25 * $H$35 / days_in_year * hundred</f>
        <v>0</v>
      </c>
      <c r="W42" s="101">
        <f t="shared" si="5"/>
        <v>0</v>
      </c>
      <c r="X42" s="101">
        <f t="shared" ref="X42:Y42" si="6">X25 * $H$35 / days_in_year * hundred</f>
        <v>0</v>
      </c>
      <c r="Y42" s="101">
        <f t="shared" si="6"/>
        <v>0</v>
      </c>
    </row>
    <row r="43" spans="2:27" x14ac:dyDescent="0.3">
      <c r="D43"/>
      <c r="E43" s="88"/>
      <c r="F43" t="s">
        <v>377</v>
      </c>
      <c r="G43" t="s">
        <v>270</v>
      </c>
      <c r="H43" s="51"/>
      <c r="J43" s="121">
        <f t="shared" ref="J43:K43" si="7">J26 * $H$35 / days_in_year * hundred</f>
        <v>0</v>
      </c>
      <c r="K43" s="121">
        <f t="shared" si="7"/>
        <v>0</v>
      </c>
      <c r="L43" s="121">
        <f t="shared" ref="L43:M43" si="8">L26 * $H$35 / days_in_year * hundred</f>
        <v>0</v>
      </c>
      <c r="M43" s="121">
        <f t="shared" si="8"/>
        <v>0</v>
      </c>
      <c r="N43" s="121">
        <f t="shared" ref="N43:P43" si="9">N26 * $H$35 / days_in_year * hundred</f>
        <v>0</v>
      </c>
      <c r="O43" s="121">
        <f t="shared" si="9"/>
        <v>0</v>
      </c>
      <c r="P43" s="121">
        <f t="shared" si="9"/>
        <v>89.995785082794086</v>
      </c>
      <c r="Q43" s="121">
        <f t="shared" ref="Q43:S43" si="10">Q26 * $H$35 / days_in_year * hundred</f>
        <v>0</v>
      </c>
      <c r="R43" s="121">
        <f t="shared" si="10"/>
        <v>0</v>
      </c>
      <c r="S43" s="121">
        <f t="shared" si="10"/>
        <v>0</v>
      </c>
      <c r="T43" s="121">
        <f t="shared" ref="T43:U43" si="11">T26 * $H$35 / days_in_year * hundred</f>
        <v>0</v>
      </c>
      <c r="U43" s="121">
        <f t="shared" si="11"/>
        <v>0</v>
      </c>
      <c r="V43" s="121">
        <f t="shared" ref="V43:W43" si="12">V26 * $H$35 / days_in_year * hundred</f>
        <v>0</v>
      </c>
      <c r="W43" s="121">
        <f t="shared" si="12"/>
        <v>0</v>
      </c>
      <c r="X43" s="121">
        <f t="shared" ref="X43:Y43" si="13">X26 * $H$35 / days_in_year * hundred</f>
        <v>56.323203629083082</v>
      </c>
      <c r="Y43" s="121">
        <f t="shared" si="13"/>
        <v>56.323203629083082</v>
      </c>
    </row>
    <row r="44" spans="2:27" x14ac:dyDescent="0.3">
      <c r="D44"/>
      <c r="E44" s="88"/>
      <c r="F44" s="37" t="s">
        <v>553</v>
      </c>
      <c r="G44" s="37" t="s">
        <v>269</v>
      </c>
      <c r="H44" s="269"/>
      <c r="I44" s="269"/>
      <c r="J44" s="270"/>
      <c r="K44" s="270"/>
      <c r="L44" s="270"/>
      <c r="M44" s="270"/>
      <c r="N44" s="270"/>
      <c r="O44" s="270"/>
      <c r="P44" s="270"/>
      <c r="Q44" s="277">
        <f t="shared" ref="Q44" si="14">Q27*$H$35/ten</f>
        <v>0.8808124324004668</v>
      </c>
      <c r="R44" s="270"/>
      <c r="S44" s="270"/>
      <c r="T44" s="270"/>
      <c r="U44" s="270"/>
      <c r="V44" s="270"/>
      <c r="W44" s="270"/>
      <c r="X44" s="270"/>
      <c r="Y44" s="270"/>
      <c r="Z44" s="267"/>
      <c r="AA44" s="267"/>
    </row>
    <row r="45" spans="2:27" x14ac:dyDescent="0.3">
      <c r="D45" s="88"/>
      <c r="E45"/>
    </row>
    <row r="46" spans="2:27" x14ac:dyDescent="0.3">
      <c r="B46" s="30" t="s">
        <v>231</v>
      </c>
      <c r="C46" s="30"/>
      <c r="D46" s="30"/>
      <c r="E46" s="30"/>
      <c r="F46" s="30"/>
      <c r="G46" s="30"/>
      <c r="H46" s="30"/>
      <c r="I46" s="30"/>
      <c r="J46" s="30"/>
      <c r="K46" s="30"/>
      <c r="L46" s="30"/>
      <c r="M46" s="30"/>
      <c r="N46" s="30"/>
      <c r="O46" s="30"/>
      <c r="P46" s="30"/>
      <c r="Q46" s="30"/>
      <c r="R46" s="30"/>
      <c r="S46" s="30"/>
      <c r="T46" s="30"/>
      <c r="U46" s="30"/>
      <c r="V46" s="30"/>
      <c r="W46" s="30"/>
      <c r="X46" s="30"/>
      <c r="Y46" s="30"/>
      <c r="Z46" s="30"/>
      <c r="AA46" s="30"/>
    </row>
    <row r="48" spans="2:27" x14ac:dyDescent="0.3">
      <c r="E48" t="s">
        <v>232</v>
      </c>
      <c r="G48" s="6" t="s">
        <v>55</v>
      </c>
      <c r="H48" s="103">
        <f t="array" ref="H48">SUM(IF(ISERROR(H19:Y45), 1))</f>
        <v>0</v>
      </c>
    </row>
    <row r="50" spans="2:27" x14ac:dyDescent="0.3">
      <c r="B50" s="30" t="s">
        <v>106</v>
      </c>
      <c r="C50" s="104"/>
      <c r="D50" s="112"/>
      <c r="E50" s="112"/>
      <c r="F50" s="104"/>
      <c r="G50" s="104"/>
      <c r="H50" s="104"/>
      <c r="I50" s="104"/>
      <c r="J50" s="104"/>
      <c r="K50" s="104"/>
      <c r="L50" s="104"/>
      <c r="M50" s="104"/>
      <c r="N50" s="104"/>
      <c r="O50" s="104"/>
      <c r="P50" s="104"/>
      <c r="Q50" s="104"/>
      <c r="R50" s="104"/>
      <c r="S50" s="104"/>
      <c r="T50" s="104"/>
      <c r="U50" s="104"/>
      <c r="V50" s="104"/>
      <c r="W50" s="104"/>
      <c r="X50" s="104"/>
      <c r="Y50" s="104"/>
      <c r="Z50" s="105"/>
      <c r="AA50" s="105"/>
    </row>
  </sheetData>
  <sheetProtection sheet="1" objects="1" formatCells="0" formatColumns="0" formatRows="0" sort="0" autoFilter="0"/>
  <conditionalFormatting sqref="A4:I4 Z4:XFD4">
    <cfRule type="expression" dxfId="99" priority="10">
      <formula>LEFT($A$4,1) &lt;&gt; "0"</formula>
    </cfRule>
  </conditionalFormatting>
  <conditionalFormatting sqref="N4:P4">
    <cfRule type="expression" dxfId="98" priority="9">
      <formula>LEFT($A$4,1) &lt;&gt; "0"</formula>
    </cfRule>
  </conditionalFormatting>
  <conditionalFormatting sqref="L4:M4">
    <cfRule type="expression" dxfId="97" priority="8">
      <formula>LEFT($A$4,1) &lt;&gt; "0"</formula>
    </cfRule>
  </conditionalFormatting>
  <conditionalFormatting sqref="J4:K4">
    <cfRule type="expression" dxfId="96" priority="7">
      <formula>LEFT($A$4,1) &lt;&gt; "0"</formula>
    </cfRule>
  </conditionalFormatting>
  <conditionalFormatting sqref="Q4">
    <cfRule type="expression" dxfId="95" priority="6">
      <formula>LEFT($A$4,1) &lt;&gt; "0"</formula>
    </cfRule>
  </conditionalFormatting>
  <conditionalFormatting sqref="R4:S4">
    <cfRule type="expression" dxfId="94" priority="5">
      <formula>LEFT($A$4,1) &lt;&gt; "0"</formula>
    </cfRule>
  </conditionalFormatting>
  <conditionalFormatting sqref="T4:U4">
    <cfRule type="expression" dxfId="93" priority="4">
      <formula>LEFT($A$4,1) &lt;&gt; "0"</formula>
    </cfRule>
  </conditionalFormatting>
  <conditionalFormatting sqref="V4:W4">
    <cfRule type="expression" dxfId="92" priority="3">
      <formula>LEFT($A$4,1) &lt;&gt; "0"</formula>
    </cfRule>
  </conditionalFormatting>
  <conditionalFormatting sqref="X4:Y4">
    <cfRule type="expression" dxfId="91" priority="2">
      <formula>LEFT($A$4,1) &lt;&gt; "0"</formula>
    </cfRule>
  </conditionalFormatting>
  <conditionalFormatting sqref="H48">
    <cfRule type="cellIs" dxfId="9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75"/>
  <sheetViews>
    <sheetView showGridLines="0" zoomScale="80" zoomScaleNormal="80" workbookViewId="0">
      <pane ySplit="3" topLeftCell="A4" activePane="bottomLeft" state="frozen"/>
      <selection pane="bottomLeft"/>
    </sheetView>
  </sheetViews>
  <sheetFormatPr defaultColWidth="0" defaultRowHeight="14.4" x14ac:dyDescent="0.3"/>
  <cols>
    <col min="1" max="5" width="2.5546875" style="6" customWidth="1"/>
    <col min="6" max="6" width="20.77734375" style="6" customWidth="1"/>
    <col min="7" max="7" width="22.77734375" style="6" customWidth="1"/>
    <col min="8" max="8" width="24.21875" style="6" customWidth="1"/>
    <col min="9" max="9" width="30.77734375" style="6" customWidth="1"/>
    <col min="10" max="10" width="19.44140625" style="6" bestFit="1" customWidth="1"/>
    <col min="11" max="11" width="10.5546875" style="6" customWidth="1"/>
    <col min="12" max="12" width="82.5546875" style="6" customWidth="1"/>
    <col min="13" max="13" width="2.5546875" style="6" customWidth="1"/>
    <col min="14" max="16384" width="9.21875" style="6" hidden="1"/>
  </cols>
  <sheetData>
    <row r="1" spans="1:13" s="1" customFormat="1" x14ac:dyDescent="0.3">
      <c r="A1" s="1" t="str">
        <f ca="1">MID(CELL("filename",A1),FIND("]",CELL("filename",A1))+1,255)</f>
        <v>Version control</v>
      </c>
    </row>
    <row r="2" spans="1:13" s="1" customFormat="1" x14ac:dyDescent="0.3">
      <c r="A2" s="1" t="str">
        <f>Cover!D21&amp;" - "&amp;Cover!D23</f>
        <v>WPD Mid West - April 22 Pricing</v>
      </c>
    </row>
    <row r="3" spans="1:13" s="5" customFormat="1" x14ac:dyDescent="0.3">
      <c r="A3" s="5" t="str">
        <f>Cover!D2&amp;" - "&amp;Cover!D8&amp;" v"&amp;Cover!D10&amp;" - "&amp;Cover!D19</f>
        <v>CDCM charging model - Release for charge setting v7 - 2022/23</v>
      </c>
    </row>
    <row r="4" spans="1:13" customFormat="1" x14ac:dyDescent="0.3">
      <c r="A4" s="12" t="str">
        <f>J58 &amp; IF(J58 = 1, " issue", " issues") &amp;" identified in checks on this sheet"</f>
        <v>0 issues identified in checks on this sheet</v>
      </c>
      <c r="B4" s="13"/>
      <c r="C4" s="13"/>
      <c r="D4" s="13"/>
      <c r="E4" s="13"/>
      <c r="F4" s="13"/>
      <c r="G4" s="13"/>
      <c r="H4" s="14"/>
      <c r="I4" s="14"/>
      <c r="J4" s="13"/>
    </row>
    <row r="5" spans="1:13" x14ac:dyDescent="0.3">
      <c r="A5" s="40"/>
      <c r="B5" s="41" t="s">
        <v>32</v>
      </c>
      <c r="C5" s="41"/>
      <c r="D5" s="41"/>
      <c r="E5" s="41"/>
      <c r="F5" s="41"/>
      <c r="G5" s="42"/>
      <c r="H5" s="42"/>
      <c r="I5" s="42"/>
      <c r="J5" s="42"/>
      <c r="K5" s="42"/>
      <c r="L5" s="41"/>
    </row>
    <row r="6" spans="1:13" x14ac:dyDescent="0.3">
      <c r="A6" s="40"/>
      <c r="B6" s="40"/>
      <c r="C6" s="40"/>
      <c r="D6" s="40"/>
      <c r="E6" s="40"/>
      <c r="F6" s="40"/>
      <c r="G6" s="43"/>
      <c r="H6" s="43"/>
      <c r="I6" s="43"/>
      <c r="J6" s="43"/>
      <c r="K6" s="43"/>
      <c r="L6" s="40"/>
    </row>
    <row r="7" spans="1:13" x14ac:dyDescent="0.3">
      <c r="A7" s="40"/>
      <c r="B7" s="40"/>
      <c r="C7" s="40"/>
      <c r="D7" s="40"/>
      <c r="F7" s="40" t="s">
        <v>33</v>
      </c>
      <c r="H7" s="10">
        <f>LOOKUP(2,1/(F20:F30&lt;&gt;""),F20:F30)</f>
        <v>44141</v>
      </c>
      <c r="I7" s="44"/>
      <c r="J7" s="44"/>
      <c r="K7" s="40"/>
      <c r="L7" s="40"/>
    </row>
    <row r="8" spans="1:13" x14ac:dyDescent="0.3">
      <c r="A8" s="40"/>
      <c r="B8" s="40"/>
      <c r="C8" s="40"/>
      <c r="D8" s="40"/>
      <c r="F8" s="40"/>
      <c r="H8" s="40"/>
      <c r="I8" s="43"/>
      <c r="J8" s="43"/>
      <c r="K8" s="40"/>
      <c r="L8" s="40"/>
    </row>
    <row r="9" spans="1:13" x14ac:dyDescent="0.3">
      <c r="A9" s="40"/>
      <c r="B9" s="40"/>
      <c r="C9" s="40"/>
      <c r="D9" s="40"/>
      <c r="F9" s="40" t="s">
        <v>34</v>
      </c>
      <c r="H9" s="45" t="str">
        <f>LOOKUP(2,1/(G20:G30&lt;&gt;""),G20:G30)</f>
        <v>Release for charge setting</v>
      </c>
      <c r="I9" s="46"/>
      <c r="J9" s="46"/>
      <c r="K9" s="40"/>
      <c r="L9" s="40"/>
    </row>
    <row r="10" spans="1:13" x14ac:dyDescent="0.3">
      <c r="A10" s="40"/>
      <c r="B10" s="40"/>
      <c r="C10" s="40"/>
      <c r="D10" s="40"/>
      <c r="F10" s="40"/>
      <c r="H10" s="40"/>
      <c r="I10" s="40"/>
      <c r="J10" s="40"/>
      <c r="K10" s="40"/>
      <c r="L10" s="40"/>
    </row>
    <row r="11" spans="1:13" x14ac:dyDescent="0.3">
      <c r="A11" s="40"/>
      <c r="B11" s="40"/>
      <c r="C11" s="40"/>
      <c r="D11" s="40"/>
      <c r="F11" s="298" t="s">
        <v>824</v>
      </c>
      <c r="H11" s="45">
        <f>LOOKUP(2,1/(H20:H30&lt;&gt;""),H20:H30)</f>
        <v>7</v>
      </c>
      <c r="I11" s="46"/>
      <c r="J11" s="46"/>
      <c r="K11" s="40"/>
      <c r="L11" s="40"/>
    </row>
    <row r="12" spans="1:13" x14ac:dyDescent="0.3">
      <c r="A12" s="40"/>
      <c r="B12" s="40"/>
      <c r="C12" s="40"/>
      <c r="D12" s="40"/>
      <c r="F12" s="40"/>
      <c r="H12" s="40"/>
      <c r="I12" s="43"/>
      <c r="J12" s="43"/>
      <c r="K12" s="40"/>
      <c r="L12" s="40"/>
    </row>
    <row r="13" spans="1:13" customFormat="1" x14ac:dyDescent="0.3">
      <c r="A13" s="9"/>
      <c r="B13" s="9"/>
      <c r="C13" s="9"/>
      <c r="D13" s="9"/>
      <c r="E13" s="6"/>
      <c r="F13" s="40" t="s">
        <v>35</v>
      </c>
      <c r="H13" s="10" t="str">
        <f>LOOKUP(2,1/(I20:I30&lt;&gt;""),I20:I30)</f>
        <v>01 April 2022 Charging Methodologies Pre-Release – October 2020 (Schedules 16, 17, 18, 20 and 29) DCP 361</v>
      </c>
      <c r="I13" s="11"/>
      <c r="J13" s="11"/>
      <c r="K13" s="11"/>
      <c r="L13" s="9"/>
      <c r="M13" s="9"/>
    </row>
    <row r="14" spans="1:13" customFormat="1" x14ac:dyDescent="0.3">
      <c r="A14" s="9"/>
      <c r="B14" s="9"/>
      <c r="C14" s="9"/>
      <c r="D14" s="9"/>
      <c r="E14" s="6"/>
      <c r="F14" s="9"/>
      <c r="I14" s="11"/>
      <c r="J14" s="11"/>
      <c r="K14" s="11"/>
      <c r="L14" s="9"/>
      <c r="M14" s="9"/>
    </row>
    <row r="15" spans="1:13" x14ac:dyDescent="0.3">
      <c r="A15" s="40"/>
      <c r="B15" s="40"/>
      <c r="C15" s="40"/>
      <c r="D15" s="40"/>
      <c r="F15" s="40" t="s">
        <v>36</v>
      </c>
      <c r="H15" s="45" t="str">
        <f>LOOKUP(2,1/(J20:J30&lt;&gt;""),J20:J30)</f>
        <v>Schedule 16</v>
      </c>
      <c r="I15" s="43"/>
      <c r="J15" s="43"/>
      <c r="K15" s="40"/>
      <c r="L15" s="40"/>
    </row>
    <row r="16" spans="1:13" x14ac:dyDescent="0.3">
      <c r="A16" s="40"/>
      <c r="B16" s="40"/>
      <c r="C16" s="40"/>
      <c r="D16" s="40"/>
      <c r="E16" s="40"/>
      <c r="F16" s="40"/>
      <c r="H16" s="43"/>
      <c r="I16" s="43"/>
      <c r="J16" s="43"/>
      <c r="K16" s="40"/>
      <c r="L16" s="40"/>
    </row>
    <row r="17" spans="1:12" x14ac:dyDescent="0.3">
      <c r="A17" s="40"/>
      <c r="B17" s="41" t="s">
        <v>37</v>
      </c>
      <c r="C17" s="41"/>
      <c r="D17" s="41"/>
      <c r="E17" s="41"/>
      <c r="F17" s="41"/>
      <c r="G17" s="42"/>
      <c r="H17" s="42"/>
      <c r="I17" s="42"/>
      <c r="J17" s="42"/>
      <c r="K17" s="42"/>
      <c r="L17" s="41"/>
    </row>
    <row r="18" spans="1:12" x14ac:dyDescent="0.3">
      <c r="A18" s="40"/>
      <c r="B18" s="40"/>
      <c r="C18" s="40"/>
      <c r="D18" s="40"/>
      <c r="E18" s="40"/>
      <c r="F18" s="40"/>
      <c r="G18" s="43"/>
      <c r="H18" s="40"/>
      <c r="I18" s="40"/>
      <c r="J18" s="40"/>
      <c r="K18" s="40"/>
      <c r="L18" s="40"/>
    </row>
    <row r="19" spans="1:12" x14ac:dyDescent="0.3">
      <c r="A19" s="40"/>
      <c r="B19" s="40"/>
      <c r="C19" s="40"/>
      <c r="D19" s="40"/>
      <c r="E19" s="40"/>
      <c r="F19" s="47" t="s">
        <v>38</v>
      </c>
      <c r="G19" s="48" t="s">
        <v>39</v>
      </c>
      <c r="H19" s="47" t="s">
        <v>821</v>
      </c>
      <c r="I19" s="48" t="s">
        <v>40</v>
      </c>
      <c r="J19" s="48" t="s">
        <v>41</v>
      </c>
      <c r="K19" s="48" t="s">
        <v>42</v>
      </c>
      <c r="L19" s="48" t="s">
        <v>43</v>
      </c>
    </row>
    <row r="20" spans="1:12" ht="28.8" x14ac:dyDescent="0.3">
      <c r="A20" s="40"/>
      <c r="B20" s="40"/>
      <c r="C20" s="40"/>
      <c r="D20" s="40"/>
      <c r="E20" s="40"/>
      <c r="F20" s="245">
        <v>43250</v>
      </c>
      <c r="G20" s="241" t="s">
        <v>44</v>
      </c>
      <c r="H20" s="241">
        <v>1</v>
      </c>
      <c r="I20" s="241" t="s">
        <v>45</v>
      </c>
      <c r="J20" s="241" t="s">
        <v>46</v>
      </c>
      <c r="K20" s="241" t="s">
        <v>47</v>
      </c>
      <c r="L20" s="241" t="s">
        <v>48</v>
      </c>
    </row>
    <row r="21" spans="1:12" x14ac:dyDescent="0.3">
      <c r="A21" s="40"/>
      <c r="B21" s="40"/>
      <c r="C21" s="40"/>
      <c r="D21" s="40"/>
      <c r="E21" s="40"/>
      <c r="F21" s="245">
        <v>43301</v>
      </c>
      <c r="G21" s="241" t="s">
        <v>44</v>
      </c>
      <c r="H21" s="241">
        <v>2</v>
      </c>
      <c r="I21" s="241" t="s">
        <v>49</v>
      </c>
      <c r="J21" s="241" t="s">
        <v>46</v>
      </c>
      <c r="K21" s="241" t="s">
        <v>47</v>
      </c>
      <c r="L21" s="241" t="s">
        <v>50</v>
      </c>
    </row>
    <row r="22" spans="1:12" ht="43.2" x14ac:dyDescent="0.3">
      <c r="A22" s="40"/>
      <c r="B22" s="40"/>
      <c r="C22" s="40"/>
      <c r="D22" s="40"/>
      <c r="E22" s="40"/>
      <c r="F22" s="245">
        <v>43389</v>
      </c>
      <c r="G22" s="241" t="s">
        <v>822</v>
      </c>
      <c r="H22" s="241">
        <v>3</v>
      </c>
      <c r="I22" s="296" t="s">
        <v>823</v>
      </c>
      <c r="J22" s="296" t="s">
        <v>46</v>
      </c>
      <c r="K22" s="296" t="s">
        <v>47</v>
      </c>
      <c r="L22" s="296" t="s">
        <v>825</v>
      </c>
    </row>
    <row r="23" spans="1:12" ht="43.2" x14ac:dyDescent="0.3">
      <c r="A23" s="40"/>
      <c r="B23" s="40"/>
      <c r="C23" s="40"/>
      <c r="D23" s="40"/>
      <c r="E23" s="40"/>
      <c r="F23" s="245">
        <v>43663</v>
      </c>
      <c r="G23" s="241" t="s">
        <v>44</v>
      </c>
      <c r="H23" s="241">
        <v>4</v>
      </c>
      <c r="I23" s="241" t="s">
        <v>857</v>
      </c>
      <c r="J23" s="296" t="s">
        <v>46</v>
      </c>
      <c r="K23" s="296" t="s">
        <v>47</v>
      </c>
      <c r="L23" s="241" t="s">
        <v>858</v>
      </c>
    </row>
    <row r="24" spans="1:12" ht="57.6" x14ac:dyDescent="0.3">
      <c r="A24" s="40"/>
      <c r="B24" s="40"/>
      <c r="C24" s="40"/>
      <c r="D24" s="40"/>
      <c r="E24" s="40"/>
      <c r="F24" s="245">
        <v>43777</v>
      </c>
      <c r="G24" s="241" t="s">
        <v>822</v>
      </c>
      <c r="H24" s="241">
        <v>5</v>
      </c>
      <c r="I24" s="241" t="s">
        <v>904</v>
      </c>
      <c r="J24" s="241" t="s">
        <v>46</v>
      </c>
      <c r="K24" s="241" t="s">
        <v>47</v>
      </c>
      <c r="L24" s="296" t="s">
        <v>896</v>
      </c>
    </row>
    <row r="25" spans="1:12" ht="72" x14ac:dyDescent="0.3">
      <c r="A25" s="40"/>
      <c r="B25" s="40"/>
      <c r="C25" s="40"/>
      <c r="D25" s="40"/>
      <c r="E25" s="40"/>
      <c r="F25" s="245">
        <v>43860</v>
      </c>
      <c r="G25" s="241" t="s">
        <v>822</v>
      </c>
      <c r="H25" s="241">
        <v>6</v>
      </c>
      <c r="I25" s="241" t="s">
        <v>907</v>
      </c>
      <c r="J25" s="241" t="s">
        <v>46</v>
      </c>
      <c r="K25" s="241" t="s">
        <v>47</v>
      </c>
      <c r="L25" s="296" t="s">
        <v>908</v>
      </c>
    </row>
    <row r="26" spans="1:12" ht="28.8" x14ac:dyDescent="0.3">
      <c r="A26" s="40"/>
      <c r="B26" s="40"/>
      <c r="C26" s="40"/>
      <c r="D26" s="40"/>
      <c r="E26" s="40"/>
      <c r="F26" s="245">
        <v>43977</v>
      </c>
      <c r="G26" s="241" t="s">
        <v>44</v>
      </c>
      <c r="H26" s="241">
        <v>6</v>
      </c>
      <c r="I26" s="241" t="s">
        <v>1129</v>
      </c>
      <c r="J26" s="241" t="s">
        <v>46</v>
      </c>
      <c r="K26" s="241" t="s">
        <v>47</v>
      </c>
      <c r="L26" s="241" t="s">
        <v>1130</v>
      </c>
    </row>
    <row r="27" spans="1:12" ht="57.6" x14ac:dyDescent="0.3">
      <c r="A27" s="40"/>
      <c r="B27" s="40"/>
      <c r="C27" s="40"/>
      <c r="D27" s="40"/>
      <c r="E27" s="40"/>
      <c r="F27" s="245">
        <v>44141</v>
      </c>
      <c r="G27" s="241" t="s">
        <v>822</v>
      </c>
      <c r="H27" s="241">
        <v>7</v>
      </c>
      <c r="I27" s="241" t="s">
        <v>1143</v>
      </c>
      <c r="J27" s="241" t="s">
        <v>46</v>
      </c>
      <c r="K27" s="241" t="s">
        <v>47</v>
      </c>
      <c r="L27" s="241" t="s">
        <v>1144</v>
      </c>
    </row>
    <row r="28" spans="1:12" x14ac:dyDescent="0.3">
      <c r="A28" s="40"/>
      <c r="B28" s="40"/>
      <c r="C28" s="40"/>
      <c r="D28" s="40"/>
      <c r="E28" s="40"/>
      <c r="F28" s="245"/>
      <c r="G28" s="241"/>
      <c r="H28" s="241"/>
      <c r="I28" s="241"/>
      <c r="J28" s="241"/>
      <c r="K28" s="241"/>
      <c r="L28" s="241"/>
    </row>
    <row r="29" spans="1:12" x14ac:dyDescent="0.3">
      <c r="A29" s="40"/>
      <c r="B29" s="40"/>
      <c r="C29" s="40"/>
      <c r="D29" s="40"/>
      <c r="E29" s="40"/>
      <c r="F29" s="245"/>
      <c r="G29" s="241"/>
      <c r="H29" s="241"/>
      <c r="I29" s="241"/>
      <c r="J29" s="241"/>
      <c r="K29" s="241"/>
      <c r="L29" s="241"/>
    </row>
    <row r="31" spans="1:12" x14ac:dyDescent="0.3">
      <c r="B31" s="41" t="s">
        <v>51</v>
      </c>
      <c r="C31" s="41"/>
      <c r="D31" s="41"/>
      <c r="E31" s="41"/>
      <c r="F31" s="41"/>
      <c r="G31" s="42"/>
      <c r="H31" s="42"/>
      <c r="I31" s="42"/>
      <c r="J31" s="42"/>
      <c r="K31" s="42"/>
      <c r="L31" s="41"/>
    </row>
    <row r="33" spans="5:10" x14ac:dyDescent="0.3">
      <c r="E33" s="32" t="s">
        <v>52</v>
      </c>
      <c r="F33" s="49"/>
      <c r="G33" s="50"/>
      <c r="H33" s="50"/>
      <c r="I33" s="50"/>
      <c r="J33" s="50"/>
    </row>
    <row r="34" spans="5:10" x14ac:dyDescent="0.3">
      <c r="F34" s="6" t="s">
        <v>53</v>
      </c>
      <c r="H34" s="243" t="s">
        <v>54</v>
      </c>
      <c r="I34" s="6" t="s">
        <v>55</v>
      </c>
      <c r="J34" s="51">
        <f>'Fixed inputs'!H196</f>
        <v>0</v>
      </c>
    </row>
    <row r="35" spans="5:10" x14ac:dyDescent="0.3">
      <c r="F35" s="6" t="s">
        <v>56</v>
      </c>
      <c r="H35" s="243" t="s">
        <v>57</v>
      </c>
      <c r="I35" s="6" t="s">
        <v>55</v>
      </c>
      <c r="J35" s="51">
        <f>'Inputs by customer type'!H236</f>
        <v>0</v>
      </c>
    </row>
    <row r="36" spans="5:10" x14ac:dyDescent="0.3">
      <c r="F36" s="6" t="s">
        <v>58</v>
      </c>
      <c r="H36" s="243" t="s">
        <v>59</v>
      </c>
      <c r="I36" s="6" t="s">
        <v>55</v>
      </c>
      <c r="J36" s="52">
        <f>'Inputs by network level'!H56</f>
        <v>0</v>
      </c>
    </row>
    <row r="37" spans="5:10" x14ac:dyDescent="0.3">
      <c r="F37" s="6" t="s">
        <v>60</v>
      </c>
      <c r="H37" s="243" t="s">
        <v>61</v>
      </c>
      <c r="I37" s="6" t="s">
        <v>55</v>
      </c>
      <c r="J37" s="51">
        <f>'General inputs'!H114</f>
        <v>0</v>
      </c>
    </row>
    <row r="38" spans="5:10" x14ac:dyDescent="0.3">
      <c r="F38" s="6" t="s">
        <v>62</v>
      </c>
      <c r="H38" s="243" t="s">
        <v>63</v>
      </c>
      <c r="I38" s="6" t="s">
        <v>55</v>
      </c>
      <c r="J38" s="52">
        <f>'Standing charge factors'!H58</f>
        <v>0</v>
      </c>
    </row>
    <row r="39" spans="5:10" x14ac:dyDescent="0.3">
      <c r="F39" s="6" t="s">
        <v>64</v>
      </c>
      <c r="H39" s="243" t="s">
        <v>65</v>
      </c>
      <c r="I39" s="6" t="s">
        <v>55</v>
      </c>
      <c r="J39" s="52">
        <f>'Load &amp; loss characteristics'!H183</f>
        <v>0</v>
      </c>
    </row>
    <row r="40" spans="5:10" x14ac:dyDescent="0.3">
      <c r="F40" s="6" t="s">
        <v>66</v>
      </c>
      <c r="H40" s="243" t="s">
        <v>67</v>
      </c>
      <c r="I40" s="6" t="s">
        <v>55</v>
      </c>
      <c r="J40" s="52">
        <f>'Customer contributions'!H70</f>
        <v>0</v>
      </c>
    </row>
    <row r="41" spans="5:10" x14ac:dyDescent="0.3">
      <c r="F41" s="6" t="s">
        <v>68</v>
      </c>
      <c r="H41" s="243" t="s">
        <v>69</v>
      </c>
      <c r="I41" s="6" t="s">
        <v>55</v>
      </c>
      <c r="J41" s="52">
        <f>'Volume adjustments'!H693</f>
        <v>0</v>
      </c>
    </row>
    <row r="42" spans="5:10" x14ac:dyDescent="0.3">
      <c r="F42" s="6" t="s">
        <v>70</v>
      </c>
      <c r="H42" s="243" t="s">
        <v>71</v>
      </c>
      <c r="I42" s="6" t="s">
        <v>55</v>
      </c>
      <c r="J42" s="52">
        <f>'Pseudo-load coefficients'!H306</f>
        <v>0</v>
      </c>
    </row>
    <row r="43" spans="5:10" x14ac:dyDescent="0.3">
      <c r="F43" s="6" t="s">
        <v>72</v>
      </c>
      <c r="H43" s="243" t="s">
        <v>73</v>
      </c>
      <c r="I43" s="6" t="s">
        <v>55</v>
      </c>
      <c r="J43" s="52">
        <f>'System peak demand'!H281</f>
        <v>0</v>
      </c>
    </row>
    <row r="44" spans="5:10" x14ac:dyDescent="0.3">
      <c r="F44" s="6" t="s">
        <v>74</v>
      </c>
      <c r="H44" s="243" t="s">
        <v>75</v>
      </c>
      <c r="I44" s="6" t="s">
        <v>55</v>
      </c>
      <c r="J44" s="52">
        <f>'Service model assets'!H38</f>
        <v>0</v>
      </c>
    </row>
    <row r="45" spans="5:10" x14ac:dyDescent="0.3">
      <c r="F45" s="6" t="s">
        <v>76</v>
      </c>
      <c r="H45" s="243" t="s">
        <v>77</v>
      </c>
      <c r="I45" s="6" t="s">
        <v>55</v>
      </c>
      <c r="J45" s="52">
        <f>'Unit costs'!H131</f>
        <v>0</v>
      </c>
    </row>
    <row r="46" spans="5:10" x14ac:dyDescent="0.3">
      <c r="F46" s="6" t="s">
        <v>78</v>
      </c>
      <c r="H46" s="243" t="s">
        <v>79</v>
      </c>
      <c r="I46" s="6" t="s">
        <v>55</v>
      </c>
      <c r="J46" s="52">
        <f>'Initial unit rates'!H241</f>
        <v>0</v>
      </c>
    </row>
    <row r="47" spans="5:10" x14ac:dyDescent="0.3">
      <c r="F47" s="6" t="s">
        <v>80</v>
      </c>
      <c r="H47" s="243" t="s">
        <v>81</v>
      </c>
      <c r="I47" s="6" t="s">
        <v>55</v>
      </c>
      <c r="J47" s="52">
        <f>'Service model charges'!H48</f>
        <v>0</v>
      </c>
    </row>
    <row r="48" spans="5:10" x14ac:dyDescent="0.3">
      <c r="F48" s="6" t="s">
        <v>82</v>
      </c>
      <c r="H48" s="243" t="s">
        <v>83</v>
      </c>
      <c r="I48" s="6" t="s">
        <v>55</v>
      </c>
      <c r="J48" s="52">
        <f>'Unit rate charges'!H223</f>
        <v>0</v>
      </c>
    </row>
    <row r="49" spans="2:12" x14ac:dyDescent="0.3">
      <c r="F49" s="6" t="s">
        <v>86</v>
      </c>
      <c r="H49" s="243" t="s">
        <v>85</v>
      </c>
      <c r="I49" s="6" t="s">
        <v>55</v>
      </c>
      <c r="J49" s="52">
        <f>'Capacity charges'!H295</f>
        <v>0</v>
      </c>
    </row>
    <row r="50" spans="2:12" x14ac:dyDescent="0.3">
      <c r="F50" s="6" t="s">
        <v>84</v>
      </c>
      <c r="H50" s="243" t="s">
        <v>87</v>
      </c>
      <c r="I50" s="6" t="s">
        <v>55</v>
      </c>
      <c r="J50" s="52">
        <f>'Reactive power charges'!H254</f>
        <v>0</v>
      </c>
    </row>
    <row r="51" spans="2:12" x14ac:dyDescent="0.3">
      <c r="F51" s="6" t="s">
        <v>88</v>
      </c>
      <c r="H51" s="243" t="s">
        <v>89</v>
      </c>
      <c r="I51" s="6" t="s">
        <v>55</v>
      </c>
      <c r="J51" s="52">
        <f>'Fixed charges'!H165</f>
        <v>0</v>
      </c>
    </row>
    <row r="52" spans="2:12" x14ac:dyDescent="0.3">
      <c r="F52" s="6" t="s">
        <v>1157</v>
      </c>
      <c r="H52" s="243" t="s">
        <v>91</v>
      </c>
      <c r="I52" s="6" t="s">
        <v>55</v>
      </c>
      <c r="J52" s="52">
        <f>'SoLR &amp; bad debt adders'!H66</f>
        <v>0</v>
      </c>
    </row>
    <row r="53" spans="2:12" x14ac:dyDescent="0.3">
      <c r="F53" s="6" t="s">
        <v>90</v>
      </c>
      <c r="H53" s="243" t="s">
        <v>93</v>
      </c>
      <c r="I53" s="6" t="s">
        <v>55</v>
      </c>
      <c r="J53" s="52">
        <f>'Revenue matching'!H432</f>
        <v>0</v>
      </c>
    </row>
    <row r="54" spans="2:12" x14ac:dyDescent="0.3">
      <c r="F54" s="6" t="s">
        <v>92</v>
      </c>
      <c r="H54" s="243" t="s">
        <v>95</v>
      </c>
      <c r="I54" s="6" t="s">
        <v>55</v>
      </c>
      <c r="J54" s="52">
        <f>Rounding!H178</f>
        <v>0</v>
      </c>
    </row>
    <row r="55" spans="2:12" x14ac:dyDescent="0.3">
      <c r="F55" s="6" t="s">
        <v>94</v>
      </c>
      <c r="H55" s="243" t="s">
        <v>886</v>
      </c>
      <c r="I55" s="6" t="s">
        <v>55</v>
      </c>
      <c r="J55" s="51">
        <f>'Net revenue summary'!$H$211</f>
        <v>0</v>
      </c>
    </row>
    <row r="56" spans="2:12" x14ac:dyDescent="0.3">
      <c r="F56" s="6" t="s">
        <v>96</v>
      </c>
      <c r="H56" s="243" t="s">
        <v>97</v>
      </c>
      <c r="I56" s="6" t="s">
        <v>55</v>
      </c>
      <c r="J56" s="52">
        <f>'Tariff summary'!$H$119</f>
        <v>0</v>
      </c>
    </row>
    <row r="57" spans="2:12" x14ac:dyDescent="0.3">
      <c r="F57" s="6" t="s">
        <v>98</v>
      </c>
      <c r="H57" s="243" t="s">
        <v>99</v>
      </c>
      <c r="I57" s="6" t="s">
        <v>55</v>
      </c>
      <c r="J57" s="51">
        <f>'Output to other models'!H78</f>
        <v>0</v>
      </c>
    </row>
    <row r="58" spans="2:12" x14ac:dyDescent="0.3">
      <c r="F58" s="53" t="s">
        <v>100</v>
      </c>
      <c r="G58" s="53"/>
      <c r="H58" s="53"/>
      <c r="I58" s="53" t="s">
        <v>55</v>
      </c>
      <c r="J58" s="436">
        <f>IFERROR(SUM(J34:J57), 1)</f>
        <v>0</v>
      </c>
    </row>
    <row r="60" spans="2:12" x14ac:dyDescent="0.3">
      <c r="B60" s="41" t="s">
        <v>101</v>
      </c>
      <c r="C60" s="41"/>
      <c r="D60" s="41"/>
      <c r="E60" s="41"/>
      <c r="F60" s="41"/>
      <c r="G60" s="42"/>
      <c r="H60" s="42"/>
      <c r="I60" s="42"/>
      <c r="J60" s="42"/>
      <c r="K60" s="42"/>
      <c r="L60" s="41"/>
    </row>
    <row r="62" spans="2:12" x14ac:dyDescent="0.3">
      <c r="F62" s="48" t="s">
        <v>102</v>
      </c>
    </row>
    <row r="63" spans="2:12" x14ac:dyDescent="0.3">
      <c r="F63" s="243" t="s">
        <v>103</v>
      </c>
    </row>
    <row r="64" spans="2:12" x14ac:dyDescent="0.3">
      <c r="F64" s="243" t="s">
        <v>104</v>
      </c>
    </row>
    <row r="65" spans="2:12" x14ac:dyDescent="0.3">
      <c r="F65" s="243" t="s">
        <v>44</v>
      </c>
    </row>
    <row r="66" spans="2:12" ht="28.8" x14ac:dyDescent="0.3">
      <c r="F66" s="297" t="s">
        <v>822</v>
      </c>
    </row>
    <row r="67" spans="2:12" x14ac:dyDescent="0.3">
      <c r="F67" s="243"/>
    </row>
    <row r="68" spans="2:12" x14ac:dyDescent="0.3">
      <c r="F68" s="243"/>
    </row>
    <row r="69" spans="2:12" x14ac:dyDescent="0.3">
      <c r="F69" s="243"/>
    </row>
    <row r="70" spans="2:12" x14ac:dyDescent="0.3">
      <c r="F70" s="243"/>
    </row>
    <row r="71" spans="2:12" x14ac:dyDescent="0.3">
      <c r="F71" s="243"/>
    </row>
    <row r="72" spans="2:12" x14ac:dyDescent="0.3">
      <c r="F72" s="243"/>
    </row>
    <row r="73" spans="2:12" x14ac:dyDescent="0.3">
      <c r="F73" s="243" t="s">
        <v>105</v>
      </c>
    </row>
    <row r="75" spans="2:12" x14ac:dyDescent="0.3">
      <c r="B75" s="41" t="s">
        <v>106</v>
      </c>
      <c r="C75" s="41"/>
      <c r="D75" s="41"/>
      <c r="E75" s="41"/>
      <c r="F75" s="41"/>
      <c r="G75" s="42"/>
      <c r="H75" s="42"/>
      <c r="I75" s="42"/>
      <c r="J75" s="42"/>
      <c r="K75" s="42"/>
      <c r="L75" s="41"/>
    </row>
  </sheetData>
  <sheetProtection sheet="1" objects="1" formatCells="0" formatColumns="0" formatRows="0" sort="0" autoFilter="0"/>
  <dataConsolidate/>
  <phoneticPr fontId="39" type="noConversion"/>
  <conditionalFormatting sqref="J34:J58">
    <cfRule type="cellIs" dxfId="228" priority="2" operator="greaterThan">
      <formula>0</formula>
    </cfRule>
  </conditionalFormatting>
  <conditionalFormatting sqref="A4:XFD4">
    <cfRule type="expression" dxfId="227" priority="1">
      <formula>LEFT($A$4,1) &lt;&gt; "0"</formula>
    </cfRule>
  </conditionalFormatting>
  <dataValidations count="3">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29">
      <formula1>0</formula1>
    </dataValidation>
    <dataValidation type="date" operator="greaterThan" allowBlank="1" showInputMessage="1" showErrorMessage="1" promptTitle="Model date" prompt="Input a date" sqref="F20:F29">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29">
      <formula1>$F$63:$F$73</formula1>
    </dataValidation>
  </dataValidations>
  <hyperlinks>
    <hyperlink ref="I63" location="'Cover'!A1" display="Cover"/>
    <hyperlink ref="I64" location="'Version control'!A1" display="Version control"/>
    <hyperlink ref="I73" location="'Model map'!A1" display="Model map"/>
    <hyperlink ref="I74"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LC261"/>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Unit rate charges</v>
      </c>
    </row>
    <row r="2" spans="1:27" s="1" customFormat="1" x14ac:dyDescent="0.3">
      <c r="A2" s="1" t="str">
        <f>Cover!D21&amp;" - "&amp;Cover!D23</f>
        <v>WPD Mid West - April 22 Pricing</v>
      </c>
    </row>
    <row r="3" spans="1:27" s="5" customFormat="1" x14ac:dyDescent="0.3">
      <c r="A3" s="5" t="str">
        <f>Cover!D2&amp;" - "&amp;Cover!D8&amp;" v"&amp;Cover!D10&amp;" - "&amp;Cover!D19</f>
        <v>CDCM charging model - Release for charge setting v7 - 2022/23</v>
      </c>
    </row>
    <row r="4" spans="1:27" x14ac:dyDescent="0.3">
      <c r="A4" s="12" t="str">
        <f>H223 &amp; IF(H223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647</v>
      </c>
      <c r="D9"/>
    </row>
    <row r="10" spans="1:27" x14ac:dyDescent="0.3">
      <c r="C10" s="29" t="s">
        <v>648</v>
      </c>
      <c r="D10"/>
      <c r="E10"/>
    </row>
    <row r="11" spans="1:27" x14ac:dyDescent="0.3">
      <c r="C11" s="29" t="s">
        <v>649</v>
      </c>
      <c r="D11"/>
      <c r="E11"/>
    </row>
    <row r="12" spans="1:27" x14ac:dyDescent="0.3">
      <c r="C12" s="29" t="s">
        <v>650</v>
      </c>
    </row>
    <row r="13" spans="1:27" x14ac:dyDescent="0.3">
      <c r="C13" s="29" t="s">
        <v>651</v>
      </c>
      <c r="D13"/>
    </row>
    <row r="15" spans="1:27" x14ac:dyDescent="0.3">
      <c r="B15" s="30" t="s">
        <v>652</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row>
    <row r="17" spans="3:27" x14ac:dyDescent="0.3">
      <c r="C17" s="29" t="s">
        <v>653</v>
      </c>
    </row>
    <row r="19" spans="3:27" x14ac:dyDescent="0.3">
      <c r="C19" s="31" t="str">
        <f ca="1">INDEX('Version control'!$H$34:$H$57,MATCH($A$1,'Version control'!$F$34:$F$57,0),1)&amp;"-A: Initial unit rate 1"</f>
        <v>Section 111-A: Initial unit rate 1</v>
      </c>
      <c r="D19" s="31"/>
      <c r="E19" s="31"/>
      <c r="F19" s="31"/>
      <c r="G19" s="31"/>
      <c r="H19" s="31"/>
      <c r="I19" s="31"/>
      <c r="J19" s="31"/>
      <c r="K19" s="31"/>
      <c r="L19" s="31"/>
      <c r="M19" s="31"/>
      <c r="N19" s="31"/>
      <c r="O19" s="31"/>
      <c r="P19" s="31"/>
      <c r="Q19" s="31"/>
      <c r="R19" s="31"/>
      <c r="S19" s="31"/>
      <c r="T19" s="31"/>
      <c r="U19" s="31"/>
      <c r="V19" s="31"/>
      <c r="W19" s="31"/>
      <c r="X19" s="31"/>
      <c r="Y19" s="31"/>
      <c r="Z19" s="31"/>
      <c r="AA19" s="31"/>
    </row>
    <row r="20" spans="3:27" x14ac:dyDescent="0.3">
      <c r="C20" s="32"/>
      <c r="D20"/>
      <c r="E20" s="32"/>
    </row>
    <row r="21" spans="3:27" x14ac:dyDescent="0.3">
      <c r="D21"/>
      <c r="E21" s="32" t="s">
        <v>621</v>
      </c>
    </row>
    <row r="22" spans="3:27" x14ac:dyDescent="0.3">
      <c r="D22"/>
      <c r="F22" s="23" t="s">
        <v>189</v>
      </c>
      <c r="G22" s="23" t="s">
        <v>269</v>
      </c>
      <c r="H22" s="266"/>
      <c r="I22" s="266"/>
      <c r="J22" s="278">
        <f>'Initial unit rates'!J152</f>
        <v>0</v>
      </c>
      <c r="K22" s="278">
        <f>'Initial unit rates'!K152</f>
        <v>0</v>
      </c>
      <c r="L22" s="278">
        <f>'Initial unit rates'!L152</f>
        <v>0</v>
      </c>
      <c r="M22" s="278">
        <f>'Initial unit rates'!M152</f>
        <v>0</v>
      </c>
      <c r="N22" s="278">
        <f>'Initial unit rates'!N152</f>
        <v>0</v>
      </c>
      <c r="O22" s="278">
        <f>'Initial unit rates'!O152</f>
        <v>0</v>
      </c>
      <c r="P22" s="278">
        <f>'Initial unit rates'!P152</f>
        <v>0</v>
      </c>
      <c r="Q22" s="278">
        <f>'Initial unit rates'!Q152</f>
        <v>0</v>
      </c>
      <c r="R22" s="278">
        <f>'Initial unit rates'!R152</f>
        <v>0</v>
      </c>
      <c r="S22" s="278">
        <f>'Initial unit rates'!S152</f>
        <v>0</v>
      </c>
      <c r="T22" s="278">
        <f>'Initial unit rates'!T152</f>
        <v>0</v>
      </c>
      <c r="U22" s="278">
        <f>'Initial unit rates'!U152</f>
        <v>0</v>
      </c>
      <c r="V22" s="278">
        <f>'Initial unit rates'!V152</f>
        <v>0</v>
      </c>
      <c r="W22" s="278">
        <f>'Initial unit rates'!W152</f>
        <v>0</v>
      </c>
      <c r="X22" s="278">
        <f>'Initial unit rates'!X152</f>
        <v>0</v>
      </c>
      <c r="Y22" s="278">
        <f>'Initial unit rates'!Y152</f>
        <v>0</v>
      </c>
      <c r="Z22" s="267"/>
      <c r="AA22" s="267"/>
    </row>
    <row r="23" spans="3:27" x14ac:dyDescent="0.3">
      <c r="D23"/>
      <c r="F23" t="s">
        <v>191</v>
      </c>
      <c r="G23" t="s">
        <v>269</v>
      </c>
      <c r="H23" s="267"/>
      <c r="I23" s="267"/>
      <c r="J23" s="279">
        <f>'Initial unit rates'!J153</f>
        <v>0</v>
      </c>
      <c r="K23" s="279">
        <f>'Initial unit rates'!K153</f>
        <v>0</v>
      </c>
      <c r="L23" s="279">
        <f>'Initial unit rates'!L153</f>
        <v>0</v>
      </c>
      <c r="M23" s="279">
        <f>'Initial unit rates'!M153</f>
        <v>0</v>
      </c>
      <c r="N23" s="279">
        <f>'Initial unit rates'!N153</f>
        <v>0</v>
      </c>
      <c r="O23" s="279">
        <f>'Initial unit rates'!O153</f>
        <v>0</v>
      </c>
      <c r="P23" s="279">
        <f>'Initial unit rates'!P153</f>
        <v>0</v>
      </c>
      <c r="Q23" s="279">
        <f>'Initial unit rates'!Q153</f>
        <v>0</v>
      </c>
      <c r="R23" s="279">
        <f>'Initial unit rates'!R153</f>
        <v>0</v>
      </c>
      <c r="S23" s="279">
        <f>'Initial unit rates'!S153</f>
        <v>0</v>
      </c>
      <c r="T23" s="279">
        <f>'Initial unit rates'!T153</f>
        <v>0</v>
      </c>
      <c r="U23" s="279">
        <f>'Initial unit rates'!U153</f>
        <v>0</v>
      </c>
      <c r="V23" s="279">
        <f>'Initial unit rates'!V153</f>
        <v>0</v>
      </c>
      <c r="W23" s="279">
        <f>'Initial unit rates'!W153</f>
        <v>0</v>
      </c>
      <c r="X23" s="279">
        <f>'Initial unit rates'!X153</f>
        <v>0</v>
      </c>
      <c r="Y23" s="279">
        <f>'Initial unit rates'!Y153</f>
        <v>0</v>
      </c>
      <c r="Z23" s="267"/>
      <c r="AA23" s="267"/>
    </row>
    <row r="24" spans="3:27" x14ac:dyDescent="0.3">
      <c r="D24"/>
      <c r="F24" t="s">
        <v>192</v>
      </c>
      <c r="G24" t="s">
        <v>269</v>
      </c>
      <c r="H24" s="267"/>
      <c r="I24" s="267"/>
      <c r="J24" s="279">
        <f>'Initial unit rates'!J154</f>
        <v>0.55357336689290326</v>
      </c>
      <c r="K24" s="279">
        <f>'Initial unit rates'!K154</f>
        <v>0.55357336689290326</v>
      </c>
      <c r="L24" s="279">
        <f>'Initial unit rates'!L154</f>
        <v>0.63018879418243612</v>
      </c>
      <c r="M24" s="279">
        <f>'Initial unit rates'!M154</f>
        <v>0.63018879418243612</v>
      </c>
      <c r="N24" s="279">
        <f>'Initial unit rates'!N154</f>
        <v>0.50696704916271351</v>
      </c>
      <c r="O24" s="279">
        <f>'Initial unit rates'!O154</f>
        <v>0.37098811696870582</v>
      </c>
      <c r="P24" s="279">
        <f>'Initial unit rates'!P154</f>
        <v>0.41708696288365088</v>
      </c>
      <c r="Q24" s="279">
        <f>'Initial unit rates'!Q154</f>
        <v>1.1185937698635886</v>
      </c>
      <c r="R24" s="279">
        <f>'Initial unit rates'!R154</f>
        <v>-0.38632340853054598</v>
      </c>
      <c r="S24" s="279">
        <f>'Initial unit rates'!S154</f>
        <v>-0.37817163018540606</v>
      </c>
      <c r="T24" s="279">
        <f>'Initial unit rates'!T154</f>
        <v>-0.38632340853054598</v>
      </c>
      <c r="U24" s="279">
        <f>'Initial unit rates'!U154</f>
        <v>-0.38632340853054598</v>
      </c>
      <c r="V24" s="279">
        <f>'Initial unit rates'!V154</f>
        <v>-0.37817163018540606</v>
      </c>
      <c r="W24" s="279">
        <f>'Initial unit rates'!W154</f>
        <v>-0.37817163018540606</v>
      </c>
      <c r="X24" s="279">
        <f>'Initial unit rates'!X154</f>
        <v>-0.37250082785835215</v>
      </c>
      <c r="Y24" s="279">
        <f>'Initial unit rates'!Y154</f>
        <v>-0.37250082785835215</v>
      </c>
      <c r="Z24" s="267"/>
      <c r="AA24" s="267"/>
    </row>
    <row r="25" spans="3:27" x14ac:dyDescent="0.3">
      <c r="D25"/>
      <c r="F25" t="s">
        <v>193</v>
      </c>
      <c r="G25" t="s">
        <v>269</v>
      </c>
      <c r="H25" s="267"/>
      <c r="I25" s="267"/>
      <c r="J25" s="279">
        <f>'Initial unit rates'!J155</f>
        <v>0.13105694753304234</v>
      </c>
      <c r="K25" s="279">
        <f>'Initial unit rates'!K155</f>
        <v>0.13105694753304234</v>
      </c>
      <c r="L25" s="279">
        <f>'Initial unit rates'!L155</f>
        <v>0.14919543582568542</v>
      </c>
      <c r="M25" s="279">
        <f>'Initial unit rates'!M155</f>
        <v>0.14919543582568542</v>
      </c>
      <c r="N25" s="279">
        <f>'Initial unit rates'!N155</f>
        <v>0.12002303206171606</v>
      </c>
      <c r="O25" s="279">
        <f>'Initial unit rates'!O155</f>
        <v>8.7830399886915447E-2</v>
      </c>
      <c r="P25" s="279">
        <f>'Initial unit rates'!P155</f>
        <v>9.8744172824220766E-2</v>
      </c>
      <c r="Q25" s="279">
        <f>'Initial unit rates'!Q155</f>
        <v>0.26482394886631561</v>
      </c>
      <c r="R25" s="279">
        <f>'Initial unit rates'!R155</f>
        <v>-9.1460987306437772E-2</v>
      </c>
      <c r="S25" s="279">
        <f>'Initial unit rates'!S155</f>
        <v>-8.9531076565109266E-2</v>
      </c>
      <c r="T25" s="279">
        <f>'Initial unit rates'!T155</f>
        <v>-9.1460987306437772E-2</v>
      </c>
      <c r="U25" s="279">
        <f>'Initial unit rates'!U155</f>
        <v>-9.1460987306437772E-2</v>
      </c>
      <c r="V25" s="279">
        <f>'Initial unit rates'!V155</f>
        <v>-8.9531076565109266E-2</v>
      </c>
      <c r="W25" s="279">
        <f>'Initial unit rates'!W155</f>
        <v>-8.9531076565109266E-2</v>
      </c>
      <c r="X25" s="279">
        <f>'Initial unit rates'!X155</f>
        <v>-8.8188529962445958E-2</v>
      </c>
      <c r="Y25" s="279">
        <f>'Initial unit rates'!Y155</f>
        <v>-8.8188529962445958E-2</v>
      </c>
      <c r="Z25" s="267"/>
      <c r="AA25" s="267"/>
    </row>
    <row r="26" spans="3:27" x14ac:dyDescent="0.3">
      <c r="D26"/>
      <c r="F26" t="s">
        <v>194</v>
      </c>
      <c r="G26" t="s">
        <v>269</v>
      </c>
      <c r="H26" s="267"/>
      <c r="I26" s="267"/>
      <c r="J26" s="279">
        <f>'Initial unit rates'!J156</f>
        <v>0.14226043950146999</v>
      </c>
      <c r="K26" s="279">
        <f>'Initial unit rates'!K156</f>
        <v>0.14226043950146999</v>
      </c>
      <c r="L26" s="279">
        <f>'Initial unit rates'!L156</f>
        <v>0.16194950875705524</v>
      </c>
      <c r="M26" s="279">
        <f>'Initial unit rates'!M156</f>
        <v>0.16194950875705524</v>
      </c>
      <c r="N26" s="279">
        <f>'Initial unit rates'!N156</f>
        <v>0.13028328228912769</v>
      </c>
      <c r="O26" s="279">
        <f>'Initial unit rates'!O156</f>
        <v>9.5338641138061286E-2</v>
      </c>
      <c r="P26" s="279">
        <f>'Initial unit rates'!P156</f>
        <v>0.1071853853504493</v>
      </c>
      <c r="Q26" s="279">
        <f>'Initial unit rates'!Q156</f>
        <v>0.28953178204255803</v>
      </c>
      <c r="R26" s="279">
        <f>'Initial unit rates'!R156</f>
        <v>-9.9279591783348831E-2</v>
      </c>
      <c r="S26" s="279">
        <f>'Initial unit rates'!S156</f>
        <v>-9.7184701314525848E-2</v>
      </c>
      <c r="T26" s="279">
        <f>'Initial unit rates'!T156</f>
        <v>-9.9279591783348831E-2</v>
      </c>
      <c r="U26" s="279">
        <f>'Initial unit rates'!U156</f>
        <v>-9.9279591783348831E-2</v>
      </c>
      <c r="V26" s="279">
        <f>'Initial unit rates'!V156</f>
        <v>-9.7184701314525848E-2</v>
      </c>
      <c r="W26" s="279">
        <f>'Initial unit rates'!W156</f>
        <v>-9.7184701314525848E-2</v>
      </c>
      <c r="X26" s="279">
        <f>'Initial unit rates'!X156</f>
        <v>-9.5727386205779461E-2</v>
      </c>
      <c r="Y26" s="279">
        <f>'Initial unit rates'!Y156</f>
        <v>-9.5727386205779461E-2</v>
      </c>
      <c r="Z26" s="267"/>
      <c r="AA26" s="267"/>
    </row>
    <row r="27" spans="3:27" x14ac:dyDescent="0.3">
      <c r="D27"/>
      <c r="F27" t="s">
        <v>195</v>
      </c>
      <c r="G27" t="s">
        <v>269</v>
      </c>
      <c r="H27" s="267"/>
      <c r="I27" s="267"/>
      <c r="J27" s="279">
        <f>'Initial unit rates'!J157</f>
        <v>0.27423376220104101</v>
      </c>
      <c r="K27" s="279">
        <f>'Initial unit rates'!K157</f>
        <v>0.27423376220104101</v>
      </c>
      <c r="L27" s="279">
        <f>'Initial unit rates'!L157</f>
        <v>0.3121881475179808</v>
      </c>
      <c r="M27" s="279">
        <f>'Initial unit rates'!M157</f>
        <v>0.3121881475179808</v>
      </c>
      <c r="N27" s="279">
        <f>'Initial unit rates'!N157</f>
        <v>0.25114553827649716</v>
      </c>
      <c r="O27" s="279">
        <f>'Initial unit rates'!O157</f>
        <v>0.18378316792811064</v>
      </c>
      <c r="P27" s="279">
        <f>'Initial unit rates'!P157</f>
        <v>0.15338619944671925</v>
      </c>
      <c r="Q27" s="279">
        <f>'Initial unit rates'!Q157</f>
        <v>0.55812698276868489</v>
      </c>
      <c r="R27" s="279">
        <f>'Initial unit rates'!R157</f>
        <v>-0.19138009175242268</v>
      </c>
      <c r="S27" s="279">
        <f>'Initial unit rates'!S157</f>
        <v>-0.18734179623838068</v>
      </c>
      <c r="T27" s="279">
        <f>'Initial unit rates'!T157</f>
        <v>-0.19138009175242268</v>
      </c>
      <c r="U27" s="279">
        <f>'Initial unit rates'!U157</f>
        <v>-0.19138009175242268</v>
      </c>
      <c r="V27" s="279">
        <f>'Initial unit rates'!V157</f>
        <v>-0.18734179623838068</v>
      </c>
      <c r="W27" s="279">
        <f>'Initial unit rates'!W157</f>
        <v>-0.18734179623838068</v>
      </c>
      <c r="X27" s="279">
        <f>'Initial unit rates'!X157</f>
        <v>-0.13698938437423139</v>
      </c>
      <c r="Y27" s="279">
        <f>'Initial unit rates'!Y157</f>
        <v>-0.13698938437423139</v>
      </c>
      <c r="Z27" s="267"/>
      <c r="AA27" s="267"/>
    </row>
    <row r="28" spans="3:27" x14ac:dyDescent="0.3">
      <c r="D28"/>
      <c r="F28" t="s">
        <v>196</v>
      </c>
      <c r="G28" t="s">
        <v>269</v>
      </c>
      <c r="H28" s="267"/>
      <c r="I28" s="267"/>
      <c r="J28" s="279">
        <f>'Initial unit rates'!J158</f>
        <v>0.27415262049803929</v>
      </c>
      <c r="K28" s="279">
        <f>'Initial unit rates'!K158</f>
        <v>0.27415262049803929</v>
      </c>
      <c r="L28" s="279">
        <f>'Initial unit rates'!L158</f>
        <v>0.3120957756752753</v>
      </c>
      <c r="M28" s="279">
        <f>'Initial unit rates'!M158</f>
        <v>0.3120957756752753</v>
      </c>
      <c r="N28" s="279">
        <f>'Initial unit rates'!N158</f>
        <v>0.25107122803652715</v>
      </c>
      <c r="O28" s="279">
        <f>'Initial unit rates'!O158</f>
        <v>0.18372878921445757</v>
      </c>
      <c r="P28" s="279">
        <f>'Initial unit rates'!P158</f>
        <v>0.1533408147452143</v>
      </c>
      <c r="Q28" s="279">
        <f>'Initial unit rates'!Q158</f>
        <v>0.55397429071079629</v>
      </c>
      <c r="R28" s="279">
        <f>'Initial unit rates'!R158</f>
        <v>-0.19132346522168195</v>
      </c>
      <c r="S28" s="279">
        <f>'Initial unit rates'!S158</f>
        <v>-0.18728636457938957</v>
      </c>
      <c r="T28" s="279">
        <f>'Initial unit rates'!T158</f>
        <v>-0.19132346522168195</v>
      </c>
      <c r="U28" s="279">
        <f>'Initial unit rates'!U158</f>
        <v>-0.19132346522168195</v>
      </c>
      <c r="V28" s="279">
        <f>'Initial unit rates'!V158</f>
        <v>-0.18728636457938957</v>
      </c>
      <c r="W28" s="279">
        <f>'Initial unit rates'!W158</f>
        <v>-0.18728636457938957</v>
      </c>
      <c r="X28" s="279">
        <f>'Initial unit rates'!X158</f>
        <v>-0.13694885124712089</v>
      </c>
      <c r="Y28" s="279">
        <f>'Initial unit rates'!Y158</f>
        <v>-0.13694885124712089</v>
      </c>
      <c r="Z28" s="267"/>
      <c r="AA28" s="267"/>
    </row>
    <row r="29" spans="3:27" x14ac:dyDescent="0.3">
      <c r="D29"/>
      <c r="F29" t="s">
        <v>197</v>
      </c>
      <c r="G29" t="s">
        <v>269</v>
      </c>
      <c r="H29" s="267"/>
      <c r="I29" s="267"/>
      <c r="J29" s="279">
        <f>'Initial unit rates'!J159</f>
        <v>1.0729868042600128</v>
      </c>
      <c r="K29" s="279">
        <f>'Initial unit rates'!K159</f>
        <v>1.0729868042600128</v>
      </c>
      <c r="L29" s="279">
        <f>'Initial unit rates'!L159</f>
        <v>1.2214898707023611</v>
      </c>
      <c r="M29" s="279">
        <f>'Initial unit rates'!M159</f>
        <v>1.2214898707023611</v>
      </c>
      <c r="N29" s="279">
        <f>'Initial unit rates'!N159</f>
        <v>0.98265015349170026</v>
      </c>
      <c r="O29" s="279">
        <f>'Initial unit rates'!O159</f>
        <v>0.71908328299634927</v>
      </c>
      <c r="P29" s="279">
        <f>'Initial unit rates'!P159</f>
        <v>0.63909862674979134</v>
      </c>
      <c r="Q29" s="279">
        <f>'Initial unit rates'!Q159</f>
        <v>2.1837679022659056</v>
      </c>
      <c r="R29" s="279">
        <f>'Initial unit rates'!R159</f>
        <v>-0.748807555277891</v>
      </c>
      <c r="S29" s="279">
        <f>'Initial unit rates'!S159</f>
        <v>-0.73300702888211888</v>
      </c>
      <c r="T29" s="279">
        <f>'Initial unit rates'!T159</f>
        <v>-0.748807555277891</v>
      </c>
      <c r="U29" s="279">
        <f>'Initial unit rates'!U159</f>
        <v>-0.748807555277891</v>
      </c>
      <c r="V29" s="279">
        <f>'Initial unit rates'!V159</f>
        <v>-0.73300702888211888</v>
      </c>
      <c r="W29" s="279">
        <f>'Initial unit rates'!W159</f>
        <v>-0.73300702888211888</v>
      </c>
      <c r="X29" s="279">
        <f>'Initial unit rates'!X159</f>
        <v>0</v>
      </c>
      <c r="Y29" s="279">
        <f>'Initial unit rates'!Y159</f>
        <v>0</v>
      </c>
      <c r="Z29" s="267"/>
      <c r="AA29" s="267"/>
    </row>
    <row r="30" spans="3:27" x14ac:dyDescent="0.3">
      <c r="D30"/>
      <c r="F30" t="s">
        <v>198</v>
      </c>
      <c r="G30" t="s">
        <v>269</v>
      </c>
      <c r="H30" s="267"/>
      <c r="I30" s="267"/>
      <c r="J30" s="279">
        <f>'Initial unit rates'!J160</f>
        <v>0.30586911035366049</v>
      </c>
      <c r="K30" s="279">
        <f>'Initial unit rates'!K160</f>
        <v>0.30586911035366049</v>
      </c>
      <c r="L30" s="279">
        <f>'Initial unit rates'!L160</f>
        <v>0.34820187776251732</v>
      </c>
      <c r="M30" s="279">
        <f>'Initial unit rates'!M160</f>
        <v>0.34820187776251732</v>
      </c>
      <c r="N30" s="279">
        <f>'Initial unit rates'!N160</f>
        <v>0.28011745069379268</v>
      </c>
      <c r="O30" s="279">
        <f>'Initial unit rates'!O160</f>
        <v>0.2049842208376165</v>
      </c>
      <c r="P30" s="279">
        <f>'Initial unit rates'!P160</f>
        <v>0</v>
      </c>
      <c r="Q30" s="279">
        <f>'Initial unit rates'!Q160</f>
        <v>0.62251198508037842</v>
      </c>
      <c r="R30" s="279">
        <f>'Initial unit rates'!R160</f>
        <v>-0.21345751862894888</v>
      </c>
      <c r="S30" s="279">
        <f>'Initial unit rates'!S160</f>
        <v>0</v>
      </c>
      <c r="T30" s="279">
        <f>'Initial unit rates'!T160</f>
        <v>-0.21345751862894888</v>
      </c>
      <c r="U30" s="279">
        <f>'Initial unit rates'!U160</f>
        <v>-0.21345751862894888</v>
      </c>
      <c r="V30" s="279">
        <f>'Initial unit rates'!V160</f>
        <v>0</v>
      </c>
      <c r="W30" s="279">
        <f>'Initial unit rates'!W160</f>
        <v>0</v>
      </c>
      <c r="X30" s="279">
        <f>'Initial unit rates'!X160</f>
        <v>0</v>
      </c>
      <c r="Y30" s="279">
        <f>'Initial unit rates'!Y160</f>
        <v>0</v>
      </c>
      <c r="Z30" s="267"/>
      <c r="AA30" s="267"/>
    </row>
    <row r="31" spans="3:27" x14ac:dyDescent="0.3">
      <c r="D31"/>
      <c r="F31" t="s">
        <v>199</v>
      </c>
      <c r="G31" t="s">
        <v>269</v>
      </c>
      <c r="H31" s="267"/>
      <c r="I31" s="267"/>
      <c r="J31" s="279">
        <f>'Initial unit rates'!J161</f>
        <v>0.20422982010942084</v>
      </c>
      <c r="K31" s="279">
        <f>'Initial unit rates'!K161</f>
        <v>0.20422982010942084</v>
      </c>
      <c r="L31" s="279">
        <f>'Initial unit rates'!L161</f>
        <v>0.23249554940339337</v>
      </c>
      <c r="M31" s="279">
        <f>'Initial unit rates'!M161</f>
        <v>0.23249554940339337</v>
      </c>
      <c r="N31" s="279">
        <f>'Initial unit rates'!N161</f>
        <v>0.18703535148925576</v>
      </c>
      <c r="O31" s="279">
        <f>'Initial unit rates'!O161</f>
        <v>0</v>
      </c>
      <c r="P31" s="279">
        <f>'Initial unit rates'!P161</f>
        <v>0</v>
      </c>
      <c r="Q31" s="279">
        <f>'Initial unit rates'!Q161</f>
        <v>0.41565331844697889</v>
      </c>
      <c r="R31" s="279">
        <f>'Initial unit rates'!R161</f>
        <v>0</v>
      </c>
      <c r="S31" s="279">
        <f>'Initial unit rates'!S161</f>
        <v>0</v>
      </c>
      <c r="T31" s="279">
        <f>'Initial unit rates'!T161</f>
        <v>0</v>
      </c>
      <c r="U31" s="279">
        <f>'Initial unit rates'!U161</f>
        <v>0</v>
      </c>
      <c r="V31" s="279">
        <f>'Initial unit rates'!V161</f>
        <v>0</v>
      </c>
      <c r="W31" s="279">
        <f>'Initial unit rates'!W161</f>
        <v>0</v>
      </c>
      <c r="X31" s="279">
        <f>'Initial unit rates'!X161</f>
        <v>0</v>
      </c>
      <c r="Y31" s="279">
        <f>'Initial unit rates'!Y161</f>
        <v>0</v>
      </c>
      <c r="Z31" s="267"/>
      <c r="AA31" s="267"/>
    </row>
    <row r="32" spans="3:27" x14ac:dyDescent="0.3">
      <c r="D32"/>
      <c r="F32" s="23" t="s">
        <v>376</v>
      </c>
      <c r="G32" s="23" t="s">
        <v>269</v>
      </c>
      <c r="H32" s="266"/>
      <c r="I32" s="266"/>
      <c r="J32" s="280"/>
      <c r="K32" s="280"/>
      <c r="L32" s="280"/>
      <c r="M32" s="280"/>
      <c r="N32" s="280"/>
      <c r="O32" s="280"/>
      <c r="P32" s="280"/>
      <c r="Q32" s="280"/>
      <c r="R32" s="280"/>
      <c r="S32" s="280"/>
      <c r="T32" s="280"/>
      <c r="U32" s="280"/>
      <c r="V32" s="280"/>
      <c r="W32" s="280"/>
      <c r="X32" s="280"/>
      <c r="Y32" s="280"/>
      <c r="Z32" s="267"/>
      <c r="AA32" s="267"/>
    </row>
    <row r="33" spans="4:27" x14ac:dyDescent="0.3">
      <c r="D33"/>
      <c r="F33" s="37" t="s">
        <v>377</v>
      </c>
      <c r="G33" s="37" t="s">
        <v>269</v>
      </c>
      <c r="H33" s="269"/>
      <c r="I33" s="269"/>
      <c r="J33" s="270"/>
      <c r="K33" s="270"/>
      <c r="L33" s="270"/>
      <c r="M33" s="270"/>
      <c r="N33" s="270"/>
      <c r="O33" s="270"/>
      <c r="P33" s="270"/>
      <c r="Q33" s="270"/>
      <c r="R33" s="270"/>
      <c r="S33" s="270"/>
      <c r="T33" s="270"/>
      <c r="U33" s="270"/>
      <c r="V33" s="270"/>
      <c r="W33" s="270"/>
      <c r="X33" s="270"/>
      <c r="Y33" s="270"/>
      <c r="Z33" s="267"/>
      <c r="AA33" s="267"/>
    </row>
    <row r="34" spans="4:27" x14ac:dyDescent="0.3">
      <c r="D34"/>
      <c r="J34" s="89"/>
      <c r="K34" s="89"/>
      <c r="L34" s="89"/>
      <c r="M34" s="89"/>
      <c r="N34" s="89"/>
      <c r="O34" s="89"/>
      <c r="P34" s="89"/>
      <c r="Q34" s="89"/>
      <c r="R34" s="89"/>
      <c r="S34" s="89"/>
      <c r="T34" s="89"/>
      <c r="U34" s="89"/>
      <c r="V34" s="89"/>
      <c r="W34" s="89"/>
      <c r="X34" s="89"/>
      <c r="Y34" s="89"/>
    </row>
    <row r="35" spans="4:27" x14ac:dyDescent="0.3">
      <c r="D35"/>
      <c r="E35" s="32" t="s">
        <v>622</v>
      </c>
      <c r="J35" s="89"/>
      <c r="K35" s="89"/>
      <c r="L35" s="89"/>
      <c r="M35" s="89"/>
      <c r="N35" s="89"/>
      <c r="O35" s="89"/>
      <c r="P35" s="89"/>
      <c r="Q35" s="89"/>
      <c r="R35" s="89"/>
      <c r="S35" s="89"/>
      <c r="T35" s="89"/>
      <c r="U35" s="89"/>
      <c r="V35" s="89"/>
      <c r="W35" s="89"/>
      <c r="X35" s="89"/>
      <c r="Y35" s="89"/>
    </row>
    <row r="36" spans="4:27" x14ac:dyDescent="0.3">
      <c r="D36"/>
      <c r="F36" s="23" t="s">
        <v>189</v>
      </c>
      <c r="G36" s="23" t="s">
        <v>269</v>
      </c>
      <c r="H36" s="266"/>
      <c r="I36" s="266"/>
      <c r="J36" s="278">
        <f>'Initial unit rates'!J164</f>
        <v>0.47513490875455816</v>
      </c>
      <c r="K36" s="278">
        <f>'Initial unit rates'!K164</f>
        <v>0.47513490875455816</v>
      </c>
      <c r="L36" s="278">
        <f>'Initial unit rates'!L164</f>
        <v>0.5408943296940526</v>
      </c>
      <c r="M36" s="278">
        <f>'Initial unit rates'!M164</f>
        <v>0.5408943296940526</v>
      </c>
      <c r="N36" s="278">
        <f>'Initial unit rates'!N164</f>
        <v>0.43513246310510223</v>
      </c>
      <c r="O36" s="278">
        <f>'Initial unit rates'!O164</f>
        <v>0.31842103621118251</v>
      </c>
      <c r="P36" s="278">
        <f>'Initial unit rates'!P164</f>
        <v>0.35798791615417175</v>
      </c>
      <c r="Q36" s="278">
        <f>'Initial unit rates'!Q164</f>
        <v>0.75474446794705297</v>
      </c>
      <c r="R36" s="278">
        <f>'Initial unit rates'!R164</f>
        <v>-0.33158339696176597</v>
      </c>
      <c r="S36" s="278">
        <f>'Initial unit rates'!S164</f>
        <v>-0.32458668308092131</v>
      </c>
      <c r="T36" s="278">
        <f>'Initial unit rates'!T164</f>
        <v>-0.33158339696176597</v>
      </c>
      <c r="U36" s="278">
        <f>'Initial unit rates'!U164</f>
        <v>-0.33158339696176597</v>
      </c>
      <c r="V36" s="278">
        <f>'Initial unit rates'!V164</f>
        <v>-0.32458668308092131</v>
      </c>
      <c r="W36" s="278">
        <f>'Initial unit rates'!W164</f>
        <v>-0.32458668308092131</v>
      </c>
      <c r="X36" s="278">
        <f>'Initial unit rates'!X164</f>
        <v>-0.31971940385946424</v>
      </c>
      <c r="Y36" s="278">
        <f>'Initial unit rates'!Y164</f>
        <v>-0.31971940385946424</v>
      </c>
      <c r="Z36" s="267"/>
      <c r="AA36" s="267"/>
    </row>
    <row r="37" spans="4:27" x14ac:dyDescent="0.3">
      <c r="D37"/>
      <c r="F37" t="s">
        <v>191</v>
      </c>
      <c r="G37" t="s">
        <v>269</v>
      </c>
      <c r="H37" s="267"/>
      <c r="I37" s="267"/>
      <c r="J37" s="279">
        <f>'Initial unit rates'!J165</f>
        <v>0</v>
      </c>
      <c r="K37" s="279">
        <f>'Initial unit rates'!K165</f>
        <v>0</v>
      </c>
      <c r="L37" s="279">
        <f>'Initial unit rates'!L165</f>
        <v>0</v>
      </c>
      <c r="M37" s="279">
        <f>'Initial unit rates'!M165</f>
        <v>0</v>
      </c>
      <c r="N37" s="279">
        <f>'Initial unit rates'!N165</f>
        <v>0</v>
      </c>
      <c r="O37" s="279">
        <f>'Initial unit rates'!O165</f>
        <v>0</v>
      </c>
      <c r="P37" s="279">
        <f>'Initial unit rates'!P165</f>
        <v>0</v>
      </c>
      <c r="Q37" s="279">
        <f>'Initial unit rates'!Q165</f>
        <v>0</v>
      </c>
      <c r="R37" s="279">
        <f>'Initial unit rates'!R165</f>
        <v>0</v>
      </c>
      <c r="S37" s="279">
        <f>'Initial unit rates'!S165</f>
        <v>0</v>
      </c>
      <c r="T37" s="279">
        <f>'Initial unit rates'!T165</f>
        <v>0</v>
      </c>
      <c r="U37" s="279">
        <f>'Initial unit rates'!U165</f>
        <v>0</v>
      </c>
      <c r="V37" s="279">
        <f>'Initial unit rates'!V165</f>
        <v>0</v>
      </c>
      <c r="W37" s="279">
        <f>'Initial unit rates'!W165</f>
        <v>0</v>
      </c>
      <c r="X37" s="279">
        <f>'Initial unit rates'!X165</f>
        <v>0</v>
      </c>
      <c r="Y37" s="279">
        <f>'Initial unit rates'!Y165</f>
        <v>0</v>
      </c>
      <c r="Z37" s="267"/>
      <c r="AA37" s="267"/>
    </row>
    <row r="38" spans="4:27" x14ac:dyDescent="0.3">
      <c r="D38"/>
      <c r="F38" t="s">
        <v>192</v>
      </c>
      <c r="G38" t="s">
        <v>269</v>
      </c>
      <c r="H38" s="267"/>
      <c r="I38" s="267"/>
      <c r="J38" s="279">
        <f>'Initial unit rates'!J166</f>
        <v>0.38867054526989864</v>
      </c>
      <c r="K38" s="279">
        <f>'Initial unit rates'!K166</f>
        <v>0.38867054526989864</v>
      </c>
      <c r="L38" s="279">
        <f>'Initial unit rates'!L166</f>
        <v>0.44246316189784063</v>
      </c>
      <c r="M38" s="279">
        <f>'Initial unit rates'!M166</f>
        <v>0.44246316189784063</v>
      </c>
      <c r="N38" s="279">
        <f>'Initial unit rates'!N166</f>
        <v>0.35594768682226757</v>
      </c>
      <c r="O38" s="279">
        <f>'Initial unit rates'!O166</f>
        <v>0.26047523658914729</v>
      </c>
      <c r="P38" s="279">
        <f>'Initial unit rates'!P166</f>
        <v>0.29284179294759483</v>
      </c>
      <c r="Q38" s="279">
        <f>'Initial unit rates'!Q166</f>
        <v>0.78537819279247212</v>
      </c>
      <c r="R38" s="279">
        <f>'Initial unit rates'!R166</f>
        <v>-0.27124232996769565</v>
      </c>
      <c r="S38" s="279">
        <f>'Initial unit rates'!S166</f>
        <v>-0.26551886795920293</v>
      </c>
      <c r="T38" s="279">
        <f>'Initial unit rates'!T166</f>
        <v>-0.27124232996769565</v>
      </c>
      <c r="U38" s="279">
        <f>'Initial unit rates'!U166</f>
        <v>-0.27124232996769565</v>
      </c>
      <c r="V38" s="279">
        <f>'Initial unit rates'!V166</f>
        <v>-0.26551886795920293</v>
      </c>
      <c r="W38" s="279">
        <f>'Initial unit rates'!W166</f>
        <v>-0.26551886795920293</v>
      </c>
      <c r="X38" s="279">
        <f>'Initial unit rates'!X166</f>
        <v>-0.26153732917068628</v>
      </c>
      <c r="Y38" s="279">
        <f>'Initial unit rates'!Y166</f>
        <v>-0.26153732917068628</v>
      </c>
      <c r="Z38" s="267"/>
      <c r="AA38" s="267"/>
    </row>
    <row r="39" spans="4:27" x14ac:dyDescent="0.3">
      <c r="D39"/>
      <c r="F39" t="s">
        <v>193</v>
      </c>
      <c r="G39" t="s">
        <v>269</v>
      </c>
      <c r="H39" s="267"/>
      <c r="I39" s="267"/>
      <c r="J39" s="279">
        <f>'Initial unit rates'!J167</f>
        <v>9.2016665369905257E-2</v>
      </c>
      <c r="K39" s="279">
        <f>'Initial unit rates'!K167</f>
        <v>9.2016665369905257E-2</v>
      </c>
      <c r="L39" s="279">
        <f>'Initial unit rates'!L167</f>
        <v>0.10475191702162925</v>
      </c>
      <c r="M39" s="279">
        <f>'Initial unit rates'!M167</f>
        <v>0.10475191702162925</v>
      </c>
      <c r="N39" s="279">
        <f>'Initial unit rates'!N167</f>
        <v>8.4269620083436414E-2</v>
      </c>
      <c r="O39" s="279">
        <f>'Initial unit rates'!O167</f>
        <v>6.1666784308871882E-2</v>
      </c>
      <c r="P39" s="279">
        <f>'Initial unit rates'!P167</f>
        <v>6.9329476071488733E-2</v>
      </c>
      <c r="Q39" s="279">
        <f>'Initial unit rates'!Q167</f>
        <v>0.18593609223673471</v>
      </c>
      <c r="R39" s="279">
        <f>'Initial unit rates'!R167</f>
        <v>-6.4215863575304122E-2</v>
      </c>
      <c r="S39" s="279">
        <f>'Initial unit rates'!S167</f>
        <v>-6.2860849940228877E-2</v>
      </c>
      <c r="T39" s="279">
        <f>'Initial unit rates'!T167</f>
        <v>-6.4215863575304122E-2</v>
      </c>
      <c r="U39" s="279">
        <f>'Initial unit rates'!U167</f>
        <v>-6.4215863575304122E-2</v>
      </c>
      <c r="V39" s="279">
        <f>'Initial unit rates'!V167</f>
        <v>-6.2860849940228877E-2</v>
      </c>
      <c r="W39" s="279">
        <f>'Initial unit rates'!W167</f>
        <v>-6.2860849940228877E-2</v>
      </c>
      <c r="X39" s="279">
        <f>'Initial unit rates'!X167</f>
        <v>-6.1918231759306983E-2</v>
      </c>
      <c r="Y39" s="279">
        <f>'Initial unit rates'!Y167</f>
        <v>-6.1918231759306983E-2</v>
      </c>
      <c r="Z39" s="267"/>
      <c r="AA39" s="267"/>
    </row>
    <row r="40" spans="4:27" x14ac:dyDescent="0.3">
      <c r="D40"/>
      <c r="F40" t="s">
        <v>194</v>
      </c>
      <c r="G40" t="s">
        <v>269</v>
      </c>
      <c r="H40" s="267"/>
      <c r="I40" s="267"/>
      <c r="J40" s="279">
        <f>'Initial unit rates'!J168</f>
        <v>9.9882772362617805E-2</v>
      </c>
      <c r="K40" s="279">
        <f>'Initial unit rates'!K168</f>
        <v>9.9882772362617805E-2</v>
      </c>
      <c r="L40" s="279">
        <f>'Initial unit rates'!L168</f>
        <v>0.11370670563162137</v>
      </c>
      <c r="M40" s="279">
        <f>'Initial unit rates'!M168</f>
        <v>0.11370670563162137</v>
      </c>
      <c r="N40" s="279">
        <f>'Initial unit rates'!N168</f>
        <v>9.1473465660178513E-2</v>
      </c>
      <c r="O40" s="279">
        <f>'Initial unit rates'!O168</f>
        <v>6.6938411152988792E-2</v>
      </c>
      <c r="P40" s="279">
        <f>'Initial unit rates'!P168</f>
        <v>7.5256153313428858E-2</v>
      </c>
      <c r="Q40" s="279">
        <f>'Initial unit rates'!Q168</f>
        <v>0.20328376025578826</v>
      </c>
      <c r="R40" s="279">
        <f>'Initial unit rates'!R168</f>
        <v>-6.9705400187853248E-2</v>
      </c>
      <c r="S40" s="279">
        <f>'Initial unit rates'!S168</f>
        <v>-6.8234552293981107E-2</v>
      </c>
      <c r="T40" s="279">
        <f>'Initial unit rates'!T168</f>
        <v>-6.9705400187853248E-2</v>
      </c>
      <c r="U40" s="279">
        <f>'Initial unit rates'!U168</f>
        <v>-6.9705400187853248E-2</v>
      </c>
      <c r="V40" s="279">
        <f>'Initial unit rates'!V168</f>
        <v>-6.8234552293981107E-2</v>
      </c>
      <c r="W40" s="279">
        <f>'Initial unit rates'!W168</f>
        <v>-6.8234552293981107E-2</v>
      </c>
      <c r="X40" s="279">
        <f>'Initial unit rates'!X168</f>
        <v>-6.7211353759113523E-2</v>
      </c>
      <c r="Y40" s="279">
        <f>'Initial unit rates'!Y168</f>
        <v>-6.7211353759113523E-2</v>
      </c>
      <c r="Z40" s="267"/>
      <c r="AA40" s="267"/>
    </row>
    <row r="41" spans="4:27" x14ac:dyDescent="0.3">
      <c r="D41"/>
      <c r="F41" t="s">
        <v>195</v>
      </c>
      <c r="G41" t="s">
        <v>269</v>
      </c>
      <c r="H41" s="267"/>
      <c r="I41" s="267"/>
      <c r="J41" s="279">
        <f>'Initial unit rates'!J169</f>
        <v>0.19254283580213316</v>
      </c>
      <c r="K41" s="279">
        <f>'Initial unit rates'!K169</f>
        <v>0.19254283580213316</v>
      </c>
      <c r="L41" s="279">
        <f>'Initial unit rates'!L169</f>
        <v>0.21919106803071287</v>
      </c>
      <c r="M41" s="279">
        <f>'Initial unit rates'!M169</f>
        <v>0.21919106803071287</v>
      </c>
      <c r="N41" s="279">
        <f>'Initial unit rates'!N169</f>
        <v>0.17633231499540863</v>
      </c>
      <c r="O41" s="279">
        <f>'Initial unit rates'!O169</f>
        <v>0.12903638137610668</v>
      </c>
      <c r="P41" s="279">
        <f>'Initial unit rates'!P169</f>
        <v>0.14507039430105706</v>
      </c>
      <c r="Q41" s="279">
        <f>'Initial unit rates'!Q169</f>
        <v>0.39186769396099902</v>
      </c>
      <c r="R41" s="279">
        <f>'Initial unit rates'!R169</f>
        <v>-0.1343702733256818</v>
      </c>
      <c r="S41" s="279">
        <f>'Initial unit rates'!S169</f>
        <v>-0.13153493728302978</v>
      </c>
      <c r="T41" s="279">
        <f>'Initial unit rates'!T169</f>
        <v>-0.1343702733256818</v>
      </c>
      <c r="U41" s="279">
        <f>'Initial unit rates'!U169</f>
        <v>-0.1343702733256818</v>
      </c>
      <c r="V41" s="279">
        <f>'Initial unit rates'!V169</f>
        <v>-0.13153493728302978</v>
      </c>
      <c r="W41" s="279">
        <f>'Initial unit rates'!W169</f>
        <v>-0.13153493728302978</v>
      </c>
      <c r="X41" s="279">
        <f>'Initial unit rates'!X169</f>
        <v>-0.12956252960118492</v>
      </c>
      <c r="Y41" s="279">
        <f>'Initial unit rates'!Y169</f>
        <v>-0.12956252960118492</v>
      </c>
      <c r="Z41" s="267"/>
      <c r="AA41" s="267"/>
    </row>
    <row r="42" spans="4:27" x14ac:dyDescent="0.3">
      <c r="D42"/>
      <c r="F42" t="s">
        <v>196</v>
      </c>
      <c r="G42" t="s">
        <v>269</v>
      </c>
      <c r="H42" s="267"/>
      <c r="I42" s="267"/>
      <c r="J42" s="279">
        <f>'Initial unit rates'!J170</f>
        <v>0.19248586523267314</v>
      </c>
      <c r="K42" s="279">
        <f>'Initial unit rates'!K170</f>
        <v>0.19248586523267314</v>
      </c>
      <c r="L42" s="279">
        <f>'Initial unit rates'!L170</f>
        <v>0.21912621264456331</v>
      </c>
      <c r="M42" s="279">
        <f>'Initial unit rates'!M170</f>
        <v>0.21912621264456331</v>
      </c>
      <c r="N42" s="279">
        <f>'Initial unit rates'!N170</f>
        <v>0.17628014087863275</v>
      </c>
      <c r="O42" s="279">
        <f>'Initial unit rates'!O170</f>
        <v>0.12899820142463025</v>
      </c>
      <c r="P42" s="279">
        <f>'Initial unit rates'!P170</f>
        <v>0.14502747012296083</v>
      </c>
      <c r="Q42" s="279">
        <f>'Initial unit rates'!Q170</f>
        <v>0.38895203872357897</v>
      </c>
      <c r="R42" s="279">
        <f>'Initial unit rates'!R170</f>
        <v>-0.1343305151546858</v>
      </c>
      <c r="S42" s="279">
        <f>'Initial unit rates'!S170</f>
        <v>-0.13149601804591723</v>
      </c>
      <c r="T42" s="279">
        <f>'Initial unit rates'!T170</f>
        <v>-0.1343305151546858</v>
      </c>
      <c r="U42" s="279">
        <f>'Initial unit rates'!U170</f>
        <v>-0.1343305151546858</v>
      </c>
      <c r="V42" s="279">
        <f>'Initial unit rates'!V170</f>
        <v>-0.13149601804591723</v>
      </c>
      <c r="W42" s="279">
        <f>'Initial unit rates'!W170</f>
        <v>-0.13149601804591723</v>
      </c>
      <c r="X42" s="279">
        <f>'Initial unit rates'!X170</f>
        <v>-0.12952419397025211</v>
      </c>
      <c r="Y42" s="279">
        <f>'Initial unit rates'!Y170</f>
        <v>-0.12952419397025211</v>
      </c>
      <c r="Z42" s="267"/>
      <c r="AA42" s="267"/>
    </row>
    <row r="43" spans="4:27" x14ac:dyDescent="0.3">
      <c r="D43"/>
      <c r="F43" t="s">
        <v>197</v>
      </c>
      <c r="G43" t="s">
        <v>269</v>
      </c>
      <c r="H43" s="267"/>
      <c r="I43" s="267"/>
      <c r="J43" s="279">
        <f>'Initial unit rates'!J171</f>
        <v>1.2286661000137911</v>
      </c>
      <c r="K43" s="279">
        <f>'Initial unit rates'!K171</f>
        <v>1.2286661000137911</v>
      </c>
      <c r="L43" s="279">
        <f>'Initial unit rates'!L171</f>
        <v>1.3987154265864916</v>
      </c>
      <c r="M43" s="279">
        <f>'Initial unit rates'!M171</f>
        <v>1.3987154265864916</v>
      </c>
      <c r="N43" s="279">
        <f>'Initial unit rates'!N171</f>
        <v>1.1252225348672866</v>
      </c>
      <c r="O43" s="279">
        <f>'Initial unit rates'!O171</f>
        <v>0.82341483548211414</v>
      </c>
      <c r="P43" s="279">
        <f>'Initial unit rates'!P171</f>
        <v>0.92573205775630307</v>
      </c>
      <c r="Q43" s="279">
        <f>'Initial unit rates'!Q171</f>
        <v>2.5006100551840125</v>
      </c>
      <c r="R43" s="279">
        <f>'Initial unit rates'!R171</f>
        <v>-0.85745179246510028</v>
      </c>
      <c r="S43" s="279">
        <f>'Initial unit rates'!S171</f>
        <v>-0.83935877299106598</v>
      </c>
      <c r="T43" s="279">
        <f>'Initial unit rates'!T171</f>
        <v>-0.85745179246510028</v>
      </c>
      <c r="U43" s="279">
        <f>'Initial unit rates'!U171</f>
        <v>-0.85745179246510028</v>
      </c>
      <c r="V43" s="279">
        <f>'Initial unit rates'!V171</f>
        <v>-0.83935877299106598</v>
      </c>
      <c r="W43" s="279">
        <f>'Initial unit rates'!W171</f>
        <v>-0.83935877299106598</v>
      </c>
      <c r="X43" s="279">
        <f>'Initial unit rates'!X171</f>
        <v>0</v>
      </c>
      <c r="Y43" s="279">
        <f>'Initial unit rates'!Y171</f>
        <v>0</v>
      </c>
      <c r="Z43" s="267"/>
      <c r="AA43" s="267"/>
    </row>
    <row r="44" spans="4:27" x14ac:dyDescent="0.3">
      <c r="D44"/>
      <c r="F44" t="s">
        <v>198</v>
      </c>
      <c r="G44" t="s">
        <v>269</v>
      </c>
      <c r="H44" s="267"/>
      <c r="I44" s="267"/>
      <c r="J44" s="279">
        <f>'Initial unit rates'!J172</f>
        <v>0.59861561418452702</v>
      </c>
      <c r="K44" s="279">
        <f>'Initial unit rates'!K172</f>
        <v>0.59861561418452702</v>
      </c>
      <c r="L44" s="279">
        <f>'Initial unit rates'!L172</f>
        <v>0.68146495955739905</v>
      </c>
      <c r="M44" s="279">
        <f>'Initial unit rates'!M172</f>
        <v>0.68146495955739905</v>
      </c>
      <c r="N44" s="279">
        <f>'Initial unit rates'!N172</f>
        <v>0.54821711024361341</v>
      </c>
      <c r="O44" s="279">
        <f>'Initial unit rates'!O172</f>
        <v>0.40117406793045263</v>
      </c>
      <c r="P44" s="279">
        <f>'Initial unit rates'!P172</f>
        <v>0</v>
      </c>
      <c r="Q44" s="279">
        <f>'Initial unit rates'!Q172</f>
        <v>1.218316533680859</v>
      </c>
      <c r="R44" s="279">
        <f>'Initial unit rates'!R172</f>
        <v>-0.41775713627515099</v>
      </c>
      <c r="S44" s="279">
        <f>'Initial unit rates'!S172</f>
        <v>0</v>
      </c>
      <c r="T44" s="279">
        <f>'Initial unit rates'!T172</f>
        <v>-0.41775713627515099</v>
      </c>
      <c r="U44" s="279">
        <f>'Initial unit rates'!U172</f>
        <v>-0.41775713627515099</v>
      </c>
      <c r="V44" s="279">
        <f>'Initial unit rates'!V172</f>
        <v>0</v>
      </c>
      <c r="W44" s="279">
        <f>'Initial unit rates'!W172</f>
        <v>0</v>
      </c>
      <c r="X44" s="279">
        <f>'Initial unit rates'!X172</f>
        <v>0</v>
      </c>
      <c r="Y44" s="279">
        <f>'Initial unit rates'!Y172</f>
        <v>0</v>
      </c>
      <c r="Z44" s="267"/>
      <c r="AA44" s="267"/>
    </row>
    <row r="45" spans="4:27" x14ac:dyDescent="0.3">
      <c r="D45"/>
      <c r="F45" t="s">
        <v>199</v>
      </c>
      <c r="G45" t="s">
        <v>269</v>
      </c>
      <c r="H45" s="267"/>
      <c r="I45" s="267"/>
      <c r="J45" s="279">
        <f>'Initial unit rates'!J173</f>
        <v>1.3741048925277108</v>
      </c>
      <c r="K45" s="279">
        <f>'Initial unit rates'!K173</f>
        <v>1.3741048925277108</v>
      </c>
      <c r="L45" s="279">
        <f>'Initial unit rates'!L173</f>
        <v>1.564283177427056</v>
      </c>
      <c r="M45" s="279">
        <f>'Initial unit rates'!M173</f>
        <v>1.564283177427056</v>
      </c>
      <c r="N45" s="279">
        <f>'Initial unit rates'!N173</f>
        <v>1.2584165790251853</v>
      </c>
      <c r="O45" s="279">
        <f>'Initial unit rates'!O173</f>
        <v>0</v>
      </c>
      <c r="P45" s="279">
        <f>'Initial unit rates'!P173</f>
        <v>0</v>
      </c>
      <c r="Q45" s="279">
        <f>'Initial unit rates'!Q173</f>
        <v>2.7966104958000977</v>
      </c>
      <c r="R45" s="279">
        <f>'Initial unit rates'!R173</f>
        <v>0</v>
      </c>
      <c r="S45" s="279">
        <f>'Initial unit rates'!S173</f>
        <v>0</v>
      </c>
      <c r="T45" s="279">
        <f>'Initial unit rates'!T173</f>
        <v>0</v>
      </c>
      <c r="U45" s="279">
        <f>'Initial unit rates'!U173</f>
        <v>0</v>
      </c>
      <c r="V45" s="279">
        <f>'Initial unit rates'!V173</f>
        <v>0</v>
      </c>
      <c r="W45" s="279">
        <f>'Initial unit rates'!W173</f>
        <v>0</v>
      </c>
      <c r="X45" s="279">
        <f>'Initial unit rates'!X173</f>
        <v>0</v>
      </c>
      <c r="Y45" s="279">
        <f>'Initial unit rates'!Y173</f>
        <v>0</v>
      </c>
      <c r="Z45" s="267"/>
      <c r="AA45" s="267"/>
    </row>
    <row r="46" spans="4:27" x14ac:dyDescent="0.3">
      <c r="D46"/>
      <c r="F46" s="23" t="s">
        <v>376</v>
      </c>
      <c r="G46" s="23" t="s">
        <v>269</v>
      </c>
      <c r="H46" s="266"/>
      <c r="I46" s="266" t="s">
        <v>154</v>
      </c>
      <c r="J46" s="280"/>
      <c r="K46" s="280"/>
      <c r="L46" s="280"/>
      <c r="M46" s="280"/>
      <c r="N46" s="280"/>
      <c r="O46" s="280"/>
      <c r="P46" s="280"/>
      <c r="Q46" s="278">
        <f>'Service model charges'!$Q$44</f>
        <v>0.8808124324004668</v>
      </c>
      <c r="R46" s="280"/>
      <c r="S46" s="280"/>
      <c r="T46" s="280"/>
      <c r="U46" s="280"/>
      <c r="V46" s="280"/>
      <c r="W46" s="280"/>
      <c r="X46" s="280"/>
      <c r="Y46" s="280"/>
      <c r="Z46" s="267"/>
      <c r="AA46" s="267" t="s">
        <v>654</v>
      </c>
    </row>
    <row r="47" spans="4:27" x14ac:dyDescent="0.3">
      <c r="D47"/>
      <c r="F47" s="37" t="s">
        <v>377</v>
      </c>
      <c r="G47" s="37" t="s">
        <v>269</v>
      </c>
      <c r="H47" s="269"/>
      <c r="I47" s="269"/>
      <c r="J47" s="270"/>
      <c r="K47" s="270"/>
      <c r="L47" s="270"/>
      <c r="M47" s="270"/>
      <c r="N47" s="270"/>
      <c r="O47" s="270"/>
      <c r="P47" s="270"/>
      <c r="Q47" s="270"/>
      <c r="R47" s="270"/>
      <c r="S47" s="270"/>
      <c r="T47" s="270"/>
      <c r="U47" s="270"/>
      <c r="V47" s="270"/>
      <c r="W47" s="270"/>
      <c r="X47" s="270"/>
      <c r="Y47" s="270"/>
      <c r="Z47" s="267"/>
      <c r="AA47" s="267"/>
    </row>
    <row r="48" spans="4:27" x14ac:dyDescent="0.3">
      <c r="J48" s="89"/>
      <c r="K48" s="89"/>
      <c r="L48" s="89"/>
      <c r="M48" s="89"/>
      <c r="N48" s="89"/>
      <c r="O48" s="89"/>
      <c r="P48" s="89"/>
      <c r="Q48" s="89"/>
      <c r="R48" s="89"/>
      <c r="S48" s="89"/>
      <c r="T48" s="89"/>
      <c r="U48" s="89"/>
      <c r="V48" s="89"/>
      <c r="W48" s="89"/>
      <c r="X48" s="89"/>
      <c r="Y48" s="89"/>
    </row>
    <row r="49" spans="3:27" x14ac:dyDescent="0.3">
      <c r="C49" s="31" t="str">
        <f ca="1">INDEX('Version control'!$H$34:$H$57,MATCH($A$1,'Version control'!$F$34:$F$57,0),1)&amp;"-B: Initial unit rate 2"</f>
        <v>Section 111-B: Initial unit rate 2</v>
      </c>
      <c r="D49" s="31"/>
      <c r="E49" s="31"/>
      <c r="F49" s="31"/>
      <c r="G49" s="31"/>
      <c r="H49" s="31"/>
      <c r="I49" s="31"/>
      <c r="J49" s="90"/>
      <c r="K49" s="90"/>
      <c r="L49" s="90"/>
      <c r="M49" s="90"/>
      <c r="N49" s="90"/>
      <c r="O49" s="90"/>
      <c r="P49" s="90"/>
      <c r="Q49" s="90"/>
      <c r="R49" s="90"/>
      <c r="S49" s="90"/>
      <c r="T49" s="90"/>
      <c r="U49" s="90"/>
      <c r="V49" s="90"/>
      <c r="W49" s="90"/>
      <c r="X49" s="90"/>
      <c r="Y49" s="90"/>
      <c r="Z49" s="31"/>
      <c r="AA49" s="31"/>
    </row>
    <row r="50" spans="3:27" x14ac:dyDescent="0.3">
      <c r="C50" s="32"/>
      <c r="D50"/>
      <c r="E50" s="32"/>
      <c r="J50" s="89"/>
      <c r="K50" s="89"/>
      <c r="L50" s="89"/>
      <c r="M50" s="89"/>
      <c r="N50" s="89"/>
      <c r="O50" s="89"/>
      <c r="P50" s="89"/>
      <c r="Q50" s="89"/>
      <c r="R50" s="89"/>
      <c r="S50" s="89"/>
      <c r="T50" s="89"/>
      <c r="U50" s="89"/>
      <c r="V50" s="89"/>
      <c r="W50" s="89"/>
      <c r="X50" s="89"/>
      <c r="Y50" s="89"/>
    </row>
    <row r="51" spans="3:27" x14ac:dyDescent="0.3">
      <c r="D51"/>
      <c r="E51" s="32" t="s">
        <v>621</v>
      </c>
      <c r="J51" s="89"/>
      <c r="K51" s="89"/>
      <c r="L51" s="89"/>
      <c r="M51" s="89"/>
      <c r="N51" s="89"/>
      <c r="O51" s="89"/>
      <c r="P51" s="89"/>
      <c r="Q51" s="89"/>
      <c r="R51" s="89"/>
      <c r="S51" s="89"/>
      <c r="T51" s="89"/>
      <c r="U51" s="89"/>
      <c r="V51" s="89"/>
      <c r="W51" s="89"/>
      <c r="X51" s="89"/>
      <c r="Y51" s="89"/>
    </row>
    <row r="52" spans="3:27" x14ac:dyDescent="0.3">
      <c r="D52"/>
      <c r="F52" s="23" t="s">
        <v>189</v>
      </c>
      <c r="G52" s="23" t="s">
        <v>269</v>
      </c>
      <c r="H52" s="266"/>
      <c r="I52" s="266"/>
      <c r="J52" s="278">
        <f>'Initial unit rates'!J181</f>
        <v>0</v>
      </c>
      <c r="K52" s="278">
        <f>'Initial unit rates'!K181</f>
        <v>0</v>
      </c>
      <c r="L52" s="278">
        <f>'Initial unit rates'!L181</f>
        <v>0</v>
      </c>
      <c r="M52" s="278">
        <f>'Initial unit rates'!M181</f>
        <v>0</v>
      </c>
      <c r="N52" s="278">
        <f>'Initial unit rates'!N181</f>
        <v>0</v>
      </c>
      <c r="O52" s="278">
        <f>'Initial unit rates'!O181</f>
        <v>0</v>
      </c>
      <c r="P52" s="278">
        <f>'Initial unit rates'!P181</f>
        <v>0</v>
      </c>
      <c r="Q52" s="278">
        <f>'Initial unit rates'!Q181</f>
        <v>0</v>
      </c>
      <c r="R52" s="278">
        <f>'Initial unit rates'!R181</f>
        <v>0</v>
      </c>
      <c r="S52" s="278">
        <f>'Initial unit rates'!S181</f>
        <v>0</v>
      </c>
      <c r="T52" s="278">
        <f>'Initial unit rates'!T181</f>
        <v>0</v>
      </c>
      <c r="U52" s="278">
        <f>'Initial unit rates'!U181</f>
        <v>0</v>
      </c>
      <c r="V52" s="278">
        <f>'Initial unit rates'!V181</f>
        <v>0</v>
      </c>
      <c r="W52" s="278">
        <f>'Initial unit rates'!W181</f>
        <v>0</v>
      </c>
      <c r="X52" s="278">
        <f>'Initial unit rates'!X181</f>
        <v>0</v>
      </c>
      <c r="Y52" s="278">
        <f>'Initial unit rates'!Y181</f>
        <v>0</v>
      </c>
      <c r="Z52" s="267"/>
      <c r="AA52" s="267"/>
    </row>
    <row r="53" spans="3:27" x14ac:dyDescent="0.3">
      <c r="D53"/>
      <c r="F53" t="s">
        <v>191</v>
      </c>
      <c r="G53" t="s">
        <v>269</v>
      </c>
      <c r="H53" s="267"/>
      <c r="I53" s="267"/>
      <c r="J53" s="279">
        <f>'Initial unit rates'!J182</f>
        <v>0</v>
      </c>
      <c r="K53" s="279">
        <f>'Initial unit rates'!K182</f>
        <v>0</v>
      </c>
      <c r="L53" s="279">
        <f>'Initial unit rates'!L182</f>
        <v>0</v>
      </c>
      <c r="M53" s="279">
        <f>'Initial unit rates'!M182</f>
        <v>0</v>
      </c>
      <c r="N53" s="279">
        <f>'Initial unit rates'!N182</f>
        <v>0</v>
      </c>
      <c r="O53" s="279">
        <f>'Initial unit rates'!O182</f>
        <v>0</v>
      </c>
      <c r="P53" s="279">
        <f>'Initial unit rates'!P182</f>
        <v>0</v>
      </c>
      <c r="Q53" s="279">
        <f>'Initial unit rates'!Q182</f>
        <v>0</v>
      </c>
      <c r="R53" s="279">
        <f>'Initial unit rates'!R182</f>
        <v>0</v>
      </c>
      <c r="S53" s="279">
        <f>'Initial unit rates'!S182</f>
        <v>0</v>
      </c>
      <c r="T53" s="279">
        <f>'Initial unit rates'!T182</f>
        <v>0</v>
      </c>
      <c r="U53" s="279">
        <f>'Initial unit rates'!U182</f>
        <v>0</v>
      </c>
      <c r="V53" s="279">
        <f>'Initial unit rates'!V182</f>
        <v>0</v>
      </c>
      <c r="W53" s="279">
        <f>'Initial unit rates'!W182</f>
        <v>0</v>
      </c>
      <c r="X53" s="279">
        <f>'Initial unit rates'!X182</f>
        <v>0</v>
      </c>
      <c r="Y53" s="279">
        <f>'Initial unit rates'!Y182</f>
        <v>0</v>
      </c>
      <c r="Z53" s="267"/>
      <c r="AA53" s="267"/>
    </row>
    <row r="54" spans="3:27" x14ac:dyDescent="0.3">
      <c r="D54"/>
      <c r="F54" t="s">
        <v>192</v>
      </c>
      <c r="G54" t="s">
        <v>269</v>
      </c>
      <c r="H54" s="267"/>
      <c r="I54" s="267"/>
      <c r="J54" s="279">
        <f>'Initial unit rates'!J183</f>
        <v>0.10969044910655311</v>
      </c>
      <c r="K54" s="279">
        <f>'Initial unit rates'!K183</f>
        <v>0.10969044910655311</v>
      </c>
      <c r="L54" s="279">
        <f>'Initial unit rates'!L183</f>
        <v>0.12487178030940556</v>
      </c>
      <c r="M54" s="279">
        <f>'Initial unit rates'!M183</f>
        <v>0.12487178030940556</v>
      </c>
      <c r="N54" s="279">
        <f>'Initial unit rates'!N183</f>
        <v>0.10045541680772457</v>
      </c>
      <c r="O54" s="279">
        <f>'Initial unit rates'!O183</f>
        <v>7.3511219284082011E-2</v>
      </c>
      <c r="P54" s="279">
        <f>'Initial unit rates'!P183</f>
        <v>8.2645696146807224E-2</v>
      </c>
      <c r="Q54" s="279">
        <f>'Initial unit rates'!Q183</f>
        <v>6.506518887068552E-2</v>
      </c>
      <c r="R54" s="279">
        <f>'Initial unit rates'!R183</f>
        <v>-7.6549904161643353E-2</v>
      </c>
      <c r="S54" s="279">
        <f>'Initial unit rates'!S183</f>
        <v>-7.4934630954562806E-2</v>
      </c>
      <c r="T54" s="279">
        <f>'Initial unit rates'!T183</f>
        <v>-7.6549904161643353E-2</v>
      </c>
      <c r="U54" s="279">
        <f>'Initial unit rates'!U183</f>
        <v>-7.6549904161643353E-2</v>
      </c>
      <c r="V54" s="279">
        <f>'Initial unit rates'!V183</f>
        <v>-7.4934630954562806E-2</v>
      </c>
      <c r="W54" s="279">
        <f>'Initial unit rates'!W183</f>
        <v>-7.4934630954562806E-2</v>
      </c>
      <c r="X54" s="279">
        <f>'Initial unit rates'!X183</f>
        <v>-7.381096263659373E-2</v>
      </c>
      <c r="Y54" s="279">
        <f>'Initial unit rates'!Y183</f>
        <v>-7.381096263659373E-2</v>
      </c>
      <c r="Z54" s="267"/>
      <c r="AA54" s="267"/>
    </row>
    <row r="55" spans="3:27" x14ac:dyDescent="0.3">
      <c r="D55"/>
      <c r="F55" t="s">
        <v>193</v>
      </c>
      <c r="G55" t="s">
        <v>269</v>
      </c>
      <c r="H55" s="267"/>
      <c r="I55" s="267"/>
      <c r="J55" s="279">
        <f>'Initial unit rates'!J184</f>
        <v>2.5968907272619145E-2</v>
      </c>
      <c r="K55" s="279">
        <f>'Initial unit rates'!K184</f>
        <v>2.5968907272619145E-2</v>
      </c>
      <c r="L55" s="279">
        <f>'Initial unit rates'!L184</f>
        <v>2.9563045007426198E-2</v>
      </c>
      <c r="M55" s="279">
        <f>'Initial unit rates'!M184</f>
        <v>2.9563045007426198E-2</v>
      </c>
      <c r="N55" s="279">
        <f>'Initial unit rates'!N184</f>
        <v>2.3782539185139107E-2</v>
      </c>
      <c r="O55" s="279">
        <f>'Initial unit rates'!O184</f>
        <v>1.7403575722723979E-2</v>
      </c>
      <c r="P55" s="279">
        <f>'Initial unit rates'!P184</f>
        <v>1.9566137591730169E-2</v>
      </c>
      <c r="Q55" s="279">
        <f>'Initial unit rates'!Q184</f>
        <v>1.5404001626585917E-2</v>
      </c>
      <c r="R55" s="279">
        <f>'Initial unit rates'!R184</f>
        <v>-1.812297587523358E-2</v>
      </c>
      <c r="S55" s="279">
        <f>'Initial unit rates'!S184</f>
        <v>-1.7740564457682777E-2</v>
      </c>
      <c r="T55" s="279">
        <f>'Initial unit rates'!T184</f>
        <v>-1.812297587523358E-2</v>
      </c>
      <c r="U55" s="279">
        <f>'Initial unit rates'!U184</f>
        <v>-1.812297587523358E-2</v>
      </c>
      <c r="V55" s="279">
        <f>'Initial unit rates'!V184</f>
        <v>-1.7740564457682777E-2</v>
      </c>
      <c r="W55" s="279">
        <f>'Initial unit rates'!W184</f>
        <v>-1.7740564457682777E-2</v>
      </c>
      <c r="X55" s="279">
        <f>'Initial unit rates'!X184</f>
        <v>-1.7474539123734395E-2</v>
      </c>
      <c r="Y55" s="279">
        <f>'Initial unit rates'!Y184</f>
        <v>-1.7474539123734395E-2</v>
      </c>
      <c r="Z55" s="267"/>
      <c r="AA55" s="267"/>
    </row>
    <row r="56" spans="3:27" x14ac:dyDescent="0.3">
      <c r="D56"/>
      <c r="F56" t="s">
        <v>194</v>
      </c>
      <c r="G56" t="s">
        <v>269</v>
      </c>
      <c r="H56" s="267"/>
      <c r="I56" s="267"/>
      <c r="J56" s="279">
        <f>'Initial unit rates'!J185</f>
        <v>2.0495720067508036E-2</v>
      </c>
      <c r="K56" s="279">
        <f>'Initial unit rates'!K185</f>
        <v>2.0495720067508036E-2</v>
      </c>
      <c r="L56" s="279">
        <f>'Initial unit rates'!L185</f>
        <v>2.3332360058684803E-2</v>
      </c>
      <c r="M56" s="279">
        <f>'Initial unit rates'!M185</f>
        <v>2.3332360058684803E-2</v>
      </c>
      <c r="N56" s="279">
        <f>'Initial unit rates'!N185</f>
        <v>1.8770149260269198E-2</v>
      </c>
      <c r="O56" s="279">
        <f>'Initial unit rates'!O185</f>
        <v>1.3735611300161335E-2</v>
      </c>
      <c r="P56" s="279">
        <f>'Initial unit rates'!P185</f>
        <v>1.5442393269480123E-2</v>
      </c>
      <c r="Q56" s="279">
        <f>'Initial unit rates'!Q185</f>
        <v>1.2150244782115946E-2</v>
      </c>
      <c r="R56" s="279">
        <f>'Initial unit rates'!R185</f>
        <v>-1.4303391222033741E-2</v>
      </c>
      <c r="S56" s="279">
        <f>'Initial unit rates'!S185</f>
        <v>-1.4001576544871556E-2</v>
      </c>
      <c r="T56" s="279">
        <f>'Initial unit rates'!T185</f>
        <v>-1.4303391222033741E-2</v>
      </c>
      <c r="U56" s="279">
        <f>'Initial unit rates'!U185</f>
        <v>-1.4303391222033741E-2</v>
      </c>
      <c r="V56" s="279">
        <f>'Initial unit rates'!V185</f>
        <v>-1.4001576544871556E-2</v>
      </c>
      <c r="W56" s="279">
        <f>'Initial unit rates'!W185</f>
        <v>-1.4001576544871556E-2</v>
      </c>
      <c r="X56" s="279">
        <f>'Initial unit rates'!X185</f>
        <v>-1.3791618508584824E-2</v>
      </c>
      <c r="Y56" s="279">
        <f>'Initial unit rates'!Y185</f>
        <v>-1.3791618508584824E-2</v>
      </c>
      <c r="Z56" s="267"/>
      <c r="AA56" s="267"/>
    </row>
    <row r="57" spans="3:27" x14ac:dyDescent="0.3">
      <c r="D57"/>
      <c r="F57" t="s">
        <v>195</v>
      </c>
      <c r="G57" t="s">
        <v>269</v>
      </c>
      <c r="H57" s="267"/>
      <c r="I57" s="267"/>
      <c r="J57" s="279">
        <f>'Initial unit rates'!J186</f>
        <v>3.9509356521241615E-2</v>
      </c>
      <c r="K57" s="279">
        <f>'Initial unit rates'!K186</f>
        <v>3.9509356521241615E-2</v>
      </c>
      <c r="L57" s="279">
        <f>'Initial unit rates'!L186</f>
        <v>4.4977513793329163E-2</v>
      </c>
      <c r="M57" s="279">
        <f>'Initial unit rates'!M186</f>
        <v>4.4977513793329163E-2</v>
      </c>
      <c r="N57" s="279">
        <f>'Initial unit rates'!N186</f>
        <v>3.6182994139178942E-2</v>
      </c>
      <c r="O57" s="279">
        <f>'Initial unit rates'!O186</f>
        <v>2.6477975016627533E-2</v>
      </c>
      <c r="P57" s="279">
        <f>'Initial unit rates'!P186</f>
        <v>2.209862852312099E-2</v>
      </c>
      <c r="Q57" s="279">
        <f>'Initial unit rates'!Q186</f>
        <v>2.3421882780200416E-2</v>
      </c>
      <c r="R57" s="279">
        <f>'Initial unit rates'!R186</f>
        <v>-2.757247763888095E-2</v>
      </c>
      <c r="S57" s="279">
        <f>'Initial unit rates'!S186</f>
        <v>-2.6990673064849511E-2</v>
      </c>
      <c r="T57" s="279">
        <f>'Initial unit rates'!T186</f>
        <v>-2.757247763888095E-2</v>
      </c>
      <c r="U57" s="279">
        <f>'Initial unit rates'!U186</f>
        <v>-2.757247763888095E-2</v>
      </c>
      <c r="V57" s="279">
        <f>'Initial unit rates'!V186</f>
        <v>-2.6990673064849511E-2</v>
      </c>
      <c r="W57" s="279">
        <f>'Initial unit rates'!W186</f>
        <v>-2.6990673064849511E-2</v>
      </c>
      <c r="X57" s="279">
        <f>'Initial unit rates'!X186</f>
        <v>-1.9736309575547832E-2</v>
      </c>
      <c r="Y57" s="279">
        <f>'Initial unit rates'!Y186</f>
        <v>-1.9736309575547832E-2</v>
      </c>
      <c r="Z57" s="267"/>
      <c r="AA57" s="267"/>
    </row>
    <row r="58" spans="3:27" x14ac:dyDescent="0.3">
      <c r="D58"/>
      <c r="F58" t="s">
        <v>196</v>
      </c>
      <c r="G58" t="s">
        <v>269</v>
      </c>
      <c r="H58" s="267"/>
      <c r="I58" s="267"/>
      <c r="J58" s="279">
        <f>'Initial unit rates'!J187</f>
        <v>5.4323285520320549E-2</v>
      </c>
      <c r="K58" s="279">
        <f>'Initial unit rates'!K187</f>
        <v>5.4323285520320549E-2</v>
      </c>
      <c r="L58" s="279">
        <f>'Initial unit rates'!L187</f>
        <v>6.1841713936180098E-2</v>
      </c>
      <c r="M58" s="279">
        <f>'Initial unit rates'!M187</f>
        <v>6.1841713936180098E-2</v>
      </c>
      <c r="N58" s="279">
        <f>'Initial unit rates'!N187</f>
        <v>4.9749712338289759E-2</v>
      </c>
      <c r="O58" s="279">
        <f>'Initial unit rates'!O187</f>
        <v>3.6405821898285125E-2</v>
      </c>
      <c r="P58" s="279">
        <f>'Initial unit rates'!P187</f>
        <v>3.038445099007336E-2</v>
      </c>
      <c r="Q58" s="279">
        <f>'Initial unit rates'!Q187</f>
        <v>3.2222995358715076E-2</v>
      </c>
      <c r="R58" s="279">
        <f>'Initial unit rates'!R187</f>
        <v>-3.7910705391374797E-2</v>
      </c>
      <c r="S58" s="279">
        <f>'Initial unit rates'!S187</f>
        <v>-3.7110754727153132E-2</v>
      </c>
      <c r="T58" s="279">
        <f>'Initial unit rates'!T187</f>
        <v>-3.7910705391374797E-2</v>
      </c>
      <c r="U58" s="279">
        <f>'Initial unit rates'!U187</f>
        <v>-3.7910705391374797E-2</v>
      </c>
      <c r="V58" s="279">
        <f>'Initial unit rates'!V187</f>
        <v>-3.7110754727153132E-2</v>
      </c>
      <c r="W58" s="279">
        <f>'Initial unit rates'!W187</f>
        <v>-3.7110754727153132E-2</v>
      </c>
      <c r="X58" s="279">
        <f>'Initial unit rates'!X187</f>
        <v>-2.7136386785077116E-2</v>
      </c>
      <c r="Y58" s="279">
        <f>'Initial unit rates'!Y187</f>
        <v>-2.7136386785077116E-2</v>
      </c>
      <c r="Z58" s="267"/>
      <c r="AA58" s="267"/>
    </row>
    <row r="59" spans="3:27" x14ac:dyDescent="0.3">
      <c r="D59"/>
      <c r="F59" t="s">
        <v>197</v>
      </c>
      <c r="G59" t="s">
        <v>269</v>
      </c>
      <c r="H59" s="267"/>
      <c r="I59" s="267"/>
      <c r="J59" s="279">
        <f>'Initial unit rates'!J188</f>
        <v>0.15458715896920883</v>
      </c>
      <c r="K59" s="279">
        <f>'Initial unit rates'!K188</f>
        <v>0.15458715896920883</v>
      </c>
      <c r="L59" s="279">
        <f>'Initial unit rates'!L188</f>
        <v>0.17598226564563285</v>
      </c>
      <c r="M59" s="279">
        <f>'Initial unit rates'!M188</f>
        <v>0.17598226564563285</v>
      </c>
      <c r="N59" s="279">
        <f>'Initial unit rates'!N188</f>
        <v>0.1415721935123895</v>
      </c>
      <c r="O59" s="279">
        <f>'Initial unit rates'!O188</f>
        <v>0.10359963546552617</v>
      </c>
      <c r="P59" s="279">
        <f>'Initial unit rates'!P188</f>
        <v>9.2076100673491659E-2</v>
      </c>
      <c r="Q59" s="279">
        <f>'Initial unit rates'!Q188</f>
        <v>9.1642148480813396E-2</v>
      </c>
      <c r="R59" s="279">
        <f>'Initial unit rates'!R188</f>
        <v>-0.10788206539494148</v>
      </c>
      <c r="S59" s="279">
        <f>'Initial unit rates'!S188</f>
        <v>-0.10560565484073625</v>
      </c>
      <c r="T59" s="279">
        <f>'Initial unit rates'!T188</f>
        <v>-0.10788206539494148</v>
      </c>
      <c r="U59" s="279">
        <f>'Initial unit rates'!U188</f>
        <v>-0.10788206539494148</v>
      </c>
      <c r="V59" s="279">
        <f>'Initial unit rates'!V188</f>
        <v>-0.10560565484073625</v>
      </c>
      <c r="W59" s="279">
        <f>'Initial unit rates'!W188</f>
        <v>-0.10560565484073625</v>
      </c>
      <c r="X59" s="279">
        <f>'Initial unit rates'!X188</f>
        <v>0</v>
      </c>
      <c r="Y59" s="279">
        <f>'Initial unit rates'!Y188</f>
        <v>0</v>
      </c>
      <c r="Z59" s="267"/>
      <c r="AA59" s="267"/>
    </row>
    <row r="60" spans="3:27" x14ac:dyDescent="0.3">
      <c r="D60"/>
      <c r="F60" t="s">
        <v>198</v>
      </c>
      <c r="G60" t="s">
        <v>269</v>
      </c>
      <c r="H60" s="267"/>
      <c r="I60" s="267"/>
      <c r="J60" s="279">
        <f>'Initial unit rates'!J189</f>
        <v>4.406711862465159E-2</v>
      </c>
      <c r="K60" s="279">
        <f>'Initial unit rates'!K189</f>
        <v>4.406711862465159E-2</v>
      </c>
      <c r="L60" s="279">
        <f>'Initial unit rates'!L189</f>
        <v>5.0166077362128914E-2</v>
      </c>
      <c r="M60" s="279">
        <f>'Initial unit rates'!M189</f>
        <v>5.0166077362128914E-2</v>
      </c>
      <c r="N60" s="279">
        <f>'Initial unit rates'!N189</f>
        <v>4.0357030215590145E-2</v>
      </c>
      <c r="O60" s="279">
        <f>'Initial unit rates'!O189</f>
        <v>2.9532449240750602E-2</v>
      </c>
      <c r="P60" s="279">
        <f>'Initial unit rates'!P189</f>
        <v>0</v>
      </c>
      <c r="Q60" s="279">
        <f>'Initial unit rates'!Q189</f>
        <v>2.6123809086408795E-2</v>
      </c>
      <c r="R60" s="279">
        <f>'Initial unit rates'!R189</f>
        <v>-3.075321265318184E-2</v>
      </c>
      <c r="S60" s="279">
        <f>'Initial unit rates'!S189</f>
        <v>0</v>
      </c>
      <c r="T60" s="279">
        <f>'Initial unit rates'!T189</f>
        <v>-3.075321265318184E-2</v>
      </c>
      <c r="U60" s="279">
        <f>'Initial unit rates'!U189</f>
        <v>-3.075321265318184E-2</v>
      </c>
      <c r="V60" s="279">
        <f>'Initial unit rates'!V189</f>
        <v>0</v>
      </c>
      <c r="W60" s="279">
        <f>'Initial unit rates'!W189</f>
        <v>0</v>
      </c>
      <c r="X60" s="279">
        <f>'Initial unit rates'!X189</f>
        <v>0</v>
      </c>
      <c r="Y60" s="279">
        <f>'Initial unit rates'!Y189</f>
        <v>0</v>
      </c>
      <c r="Z60" s="267"/>
      <c r="AA60" s="267"/>
    </row>
    <row r="61" spans="3:27" x14ac:dyDescent="0.3">
      <c r="D61"/>
      <c r="F61" t="s">
        <v>199</v>
      </c>
      <c r="G61" t="s">
        <v>269</v>
      </c>
      <c r="H61" s="267"/>
      <c r="I61" s="267"/>
      <c r="J61" s="279">
        <f>'Initial unit rates'!J190</f>
        <v>2.9423761356768198E-2</v>
      </c>
      <c r="K61" s="279">
        <f>'Initial unit rates'!K190</f>
        <v>2.9423761356768198E-2</v>
      </c>
      <c r="L61" s="279">
        <f>'Initial unit rates'!L190</f>
        <v>3.3496056347163156E-2</v>
      </c>
      <c r="M61" s="279">
        <f>'Initial unit rates'!M190</f>
        <v>3.3496056347163156E-2</v>
      </c>
      <c r="N61" s="279">
        <f>'Initial unit rates'!N190</f>
        <v>2.6946523012900903E-2</v>
      </c>
      <c r="O61" s="279">
        <f>'Initial unit rates'!O190</f>
        <v>0</v>
      </c>
      <c r="P61" s="279">
        <f>'Initial unit rates'!P190</f>
        <v>0</v>
      </c>
      <c r="Q61" s="279">
        <f>'Initial unit rates'!Q190</f>
        <v>1.744295402736562E-2</v>
      </c>
      <c r="R61" s="279">
        <f>'Initial unit rates'!R190</f>
        <v>0</v>
      </c>
      <c r="S61" s="279">
        <f>'Initial unit rates'!S190</f>
        <v>0</v>
      </c>
      <c r="T61" s="279">
        <f>'Initial unit rates'!T190</f>
        <v>0</v>
      </c>
      <c r="U61" s="279">
        <f>'Initial unit rates'!U190</f>
        <v>0</v>
      </c>
      <c r="V61" s="279">
        <f>'Initial unit rates'!V190</f>
        <v>0</v>
      </c>
      <c r="W61" s="279">
        <f>'Initial unit rates'!W190</f>
        <v>0</v>
      </c>
      <c r="X61" s="279">
        <f>'Initial unit rates'!X190</f>
        <v>0</v>
      </c>
      <c r="Y61" s="279">
        <f>'Initial unit rates'!Y190</f>
        <v>0</v>
      </c>
      <c r="Z61" s="267"/>
      <c r="AA61" s="267"/>
    </row>
    <row r="62" spans="3:27" x14ac:dyDescent="0.3">
      <c r="D62"/>
      <c r="F62" s="23" t="s">
        <v>376</v>
      </c>
      <c r="G62" s="23" t="s">
        <v>269</v>
      </c>
      <c r="H62" s="266"/>
      <c r="I62" s="266"/>
      <c r="J62" s="280"/>
      <c r="K62" s="280"/>
      <c r="L62" s="280"/>
      <c r="M62" s="280"/>
      <c r="N62" s="280"/>
      <c r="O62" s="280"/>
      <c r="P62" s="280"/>
      <c r="Q62" s="280"/>
      <c r="R62" s="280"/>
      <c r="S62" s="280"/>
      <c r="T62" s="280"/>
      <c r="U62" s="280"/>
      <c r="V62" s="280"/>
      <c r="W62" s="280"/>
      <c r="X62" s="280"/>
      <c r="Y62" s="280"/>
      <c r="Z62" s="267"/>
      <c r="AA62" s="267"/>
    </row>
    <row r="63" spans="3:27" x14ac:dyDescent="0.3">
      <c r="D63"/>
      <c r="F63" s="37" t="s">
        <v>377</v>
      </c>
      <c r="G63" s="37" t="s">
        <v>269</v>
      </c>
      <c r="H63" s="269"/>
      <c r="I63" s="269"/>
      <c r="J63" s="270"/>
      <c r="K63" s="270"/>
      <c r="L63" s="270"/>
      <c r="M63" s="270"/>
      <c r="N63" s="270"/>
      <c r="O63" s="270"/>
      <c r="P63" s="270"/>
      <c r="Q63" s="270"/>
      <c r="R63" s="270"/>
      <c r="S63" s="270"/>
      <c r="T63" s="270"/>
      <c r="U63" s="270"/>
      <c r="V63" s="270"/>
      <c r="W63" s="270"/>
      <c r="X63" s="270"/>
      <c r="Y63" s="270"/>
      <c r="Z63" s="267"/>
      <c r="AA63" s="267"/>
    </row>
    <row r="64" spans="3:27" x14ac:dyDescent="0.3">
      <c r="D64"/>
      <c r="J64" s="89"/>
      <c r="K64" s="89"/>
      <c r="L64" s="89"/>
      <c r="M64" s="89"/>
      <c r="N64" s="89"/>
      <c r="O64" s="89"/>
      <c r="P64" s="89"/>
      <c r="Q64" s="89"/>
      <c r="R64" s="89"/>
      <c r="S64" s="89"/>
      <c r="T64" s="89"/>
      <c r="U64" s="89"/>
      <c r="V64" s="89"/>
      <c r="W64" s="89"/>
      <c r="X64" s="89"/>
      <c r="Y64" s="89"/>
    </row>
    <row r="65" spans="3:27" x14ac:dyDescent="0.3">
      <c r="D65"/>
      <c r="E65" s="32" t="s">
        <v>622</v>
      </c>
      <c r="J65" s="89"/>
      <c r="K65" s="89"/>
      <c r="L65" s="89"/>
      <c r="M65" s="89"/>
      <c r="N65" s="89"/>
      <c r="O65" s="89"/>
      <c r="P65" s="89"/>
      <c r="Q65" s="89"/>
      <c r="R65" s="89"/>
      <c r="S65" s="89"/>
      <c r="T65" s="89"/>
      <c r="U65" s="89"/>
      <c r="V65" s="89"/>
      <c r="W65" s="89"/>
      <c r="X65" s="89"/>
      <c r="Y65" s="89"/>
    </row>
    <row r="66" spans="3:27" x14ac:dyDescent="0.3">
      <c r="D66"/>
      <c r="F66" s="23" t="s">
        <v>189</v>
      </c>
      <c r="G66" s="23" t="s">
        <v>269</v>
      </c>
      <c r="H66" s="266"/>
      <c r="I66" s="266"/>
      <c r="J66" s="278">
        <f>'Initial unit rates'!J193</f>
        <v>6.3994810232321425E-2</v>
      </c>
      <c r="K66" s="278">
        <f>'Initial unit rates'!K193</f>
        <v>6.3994810232321425E-2</v>
      </c>
      <c r="L66" s="278">
        <f>'Initial unit rates'!L193</f>
        <v>7.2851792926018163E-2</v>
      </c>
      <c r="M66" s="278">
        <f>'Initial unit rates'!M193</f>
        <v>7.2851792926018163E-2</v>
      </c>
      <c r="N66" s="278">
        <f>'Initial unit rates'!N193</f>
        <v>5.8606974333511308E-2</v>
      </c>
      <c r="O66" s="278">
        <f>'Initial unit rates'!O193</f>
        <v>4.2887385058124894E-2</v>
      </c>
      <c r="P66" s="278">
        <f>'Initial unit rates'!P193</f>
        <v>4.8216555630065862E-2</v>
      </c>
      <c r="Q66" s="278">
        <f>'Initial unit rates'!Q193</f>
        <v>5.4796604497384362E-2</v>
      </c>
      <c r="R66" s="278">
        <f>'Initial unit rates'!R193</f>
        <v>-4.4660192660603268E-2</v>
      </c>
      <c r="S66" s="278">
        <f>'Initial unit rates'!S193</f>
        <v>-4.371782162281071E-2</v>
      </c>
      <c r="T66" s="278">
        <f>'Initial unit rates'!T193</f>
        <v>-4.4660192660603268E-2</v>
      </c>
      <c r="U66" s="278">
        <f>'Initial unit rates'!U193</f>
        <v>-4.4660192660603268E-2</v>
      </c>
      <c r="V66" s="278">
        <f>'Initial unit rates'!V193</f>
        <v>-4.371782162281071E-2</v>
      </c>
      <c r="W66" s="278">
        <f>'Initial unit rates'!W193</f>
        <v>-4.371782162281071E-2</v>
      </c>
      <c r="X66" s="278">
        <f>'Initial unit rates'!X193</f>
        <v>-4.3062259161737636E-2</v>
      </c>
      <c r="Y66" s="278">
        <f>'Initial unit rates'!Y193</f>
        <v>-4.3062259161737636E-2</v>
      </c>
      <c r="Z66" s="267"/>
      <c r="AA66" s="267"/>
    </row>
    <row r="67" spans="3:27" x14ac:dyDescent="0.3">
      <c r="D67"/>
      <c r="F67" t="s">
        <v>191</v>
      </c>
      <c r="G67" t="s">
        <v>269</v>
      </c>
      <c r="H67" s="267"/>
      <c r="I67" s="267"/>
      <c r="J67" s="279">
        <f>'Initial unit rates'!J194</f>
        <v>0</v>
      </c>
      <c r="K67" s="279">
        <f>'Initial unit rates'!K194</f>
        <v>0</v>
      </c>
      <c r="L67" s="279">
        <f>'Initial unit rates'!L194</f>
        <v>0</v>
      </c>
      <c r="M67" s="279">
        <f>'Initial unit rates'!M194</f>
        <v>0</v>
      </c>
      <c r="N67" s="279">
        <f>'Initial unit rates'!N194</f>
        <v>0</v>
      </c>
      <c r="O67" s="279">
        <f>'Initial unit rates'!O194</f>
        <v>0</v>
      </c>
      <c r="P67" s="279">
        <f>'Initial unit rates'!P194</f>
        <v>0</v>
      </c>
      <c r="Q67" s="279">
        <f>'Initial unit rates'!Q194</f>
        <v>0</v>
      </c>
      <c r="R67" s="279">
        <f>'Initial unit rates'!R194</f>
        <v>0</v>
      </c>
      <c r="S67" s="279">
        <f>'Initial unit rates'!S194</f>
        <v>0</v>
      </c>
      <c r="T67" s="279">
        <f>'Initial unit rates'!T194</f>
        <v>0</v>
      </c>
      <c r="U67" s="279">
        <f>'Initial unit rates'!U194</f>
        <v>0</v>
      </c>
      <c r="V67" s="279">
        <f>'Initial unit rates'!V194</f>
        <v>0</v>
      </c>
      <c r="W67" s="279">
        <f>'Initial unit rates'!W194</f>
        <v>0</v>
      </c>
      <c r="X67" s="279">
        <f>'Initial unit rates'!X194</f>
        <v>0</v>
      </c>
      <c r="Y67" s="279">
        <f>'Initial unit rates'!Y194</f>
        <v>0</v>
      </c>
      <c r="Z67" s="267"/>
      <c r="AA67" s="267"/>
    </row>
    <row r="68" spans="3:27" x14ac:dyDescent="0.3">
      <c r="D68"/>
      <c r="F68" t="s">
        <v>192</v>
      </c>
      <c r="G68" t="s">
        <v>269</v>
      </c>
      <c r="H68" s="267"/>
      <c r="I68" s="267"/>
      <c r="J68" s="279">
        <f>'Initial unit rates'!J195</f>
        <v>7.701498882512553E-2</v>
      </c>
      <c r="K68" s="279">
        <f>'Initial unit rates'!K195</f>
        <v>7.701498882512553E-2</v>
      </c>
      <c r="L68" s="279">
        <f>'Initial unit rates'!L195</f>
        <v>8.7673984776563949E-2</v>
      </c>
      <c r="M68" s="279">
        <f>'Initial unit rates'!M195</f>
        <v>8.7673984776563949E-2</v>
      </c>
      <c r="N68" s="279">
        <f>'Initial unit rates'!N195</f>
        <v>7.0530961135503625E-2</v>
      </c>
      <c r="O68" s="279">
        <f>'Initial unit rates'!O195</f>
        <v>5.1613114704137916E-2</v>
      </c>
      <c r="P68" s="279">
        <f>'Initial unit rates'!P195</f>
        <v>5.8026541207869146E-2</v>
      </c>
      <c r="Q68" s="279">
        <f>'Initial unit rates'!Q195</f>
        <v>4.5683054765441398E-2</v>
      </c>
      <c r="R68" s="279">
        <f>'Initial unit rates'!R195</f>
        <v>-5.3746612048661824E-2</v>
      </c>
      <c r="S68" s="279">
        <f>'Initial unit rates'!S195</f>
        <v>-5.2612509225616659E-2</v>
      </c>
      <c r="T68" s="279">
        <f>'Initial unit rates'!T195</f>
        <v>-5.3746612048661824E-2</v>
      </c>
      <c r="U68" s="279">
        <f>'Initial unit rates'!U195</f>
        <v>-5.3746612048661824E-2</v>
      </c>
      <c r="V68" s="279">
        <f>'Initial unit rates'!V195</f>
        <v>-5.2612509225616659E-2</v>
      </c>
      <c r="W68" s="279">
        <f>'Initial unit rates'!W195</f>
        <v>-5.2612509225616659E-2</v>
      </c>
      <c r="X68" s="279">
        <f>'Initial unit rates'!X195</f>
        <v>-5.1823568131324368E-2</v>
      </c>
      <c r="Y68" s="279">
        <f>'Initial unit rates'!Y195</f>
        <v>-5.1823568131324368E-2</v>
      </c>
      <c r="Z68" s="267"/>
      <c r="AA68" s="267"/>
    </row>
    <row r="69" spans="3:27" x14ac:dyDescent="0.3">
      <c r="D69"/>
      <c r="F69" t="s">
        <v>193</v>
      </c>
      <c r="G69" t="s">
        <v>269</v>
      </c>
      <c r="H69" s="267"/>
      <c r="I69" s="267"/>
      <c r="J69" s="279">
        <f>'Initial unit rates'!J196</f>
        <v>1.8233083369534692E-2</v>
      </c>
      <c r="K69" s="279">
        <f>'Initial unit rates'!K196</f>
        <v>1.8233083369534692E-2</v>
      </c>
      <c r="L69" s="279">
        <f>'Initial unit rates'!L196</f>
        <v>2.0756570872199957E-2</v>
      </c>
      <c r="M69" s="279">
        <f>'Initial unit rates'!M196</f>
        <v>2.0756570872199957E-2</v>
      </c>
      <c r="N69" s="279">
        <f>'Initial unit rates'!N196</f>
        <v>1.6698007935015146E-2</v>
      </c>
      <c r="O69" s="279">
        <f>'Initial unit rates'!O196</f>
        <v>1.221926066234639E-2</v>
      </c>
      <c r="P69" s="279">
        <f>'Initial unit rates'!P196</f>
        <v>1.3737621463416396E-2</v>
      </c>
      <c r="Q69" s="279">
        <f>'Initial unit rates'!Q196</f>
        <v>1.0815335544677389E-2</v>
      </c>
      <c r="R69" s="279">
        <f>'Initial unit rates'!R196</f>
        <v>-1.2724360196149018E-2</v>
      </c>
      <c r="S69" s="279">
        <f>'Initial unit rates'!S196</f>
        <v>-1.245586452228532E-2</v>
      </c>
      <c r="T69" s="279">
        <f>'Initial unit rates'!T196</f>
        <v>-1.2724360196149018E-2</v>
      </c>
      <c r="U69" s="279">
        <f>'Initial unit rates'!U196</f>
        <v>-1.2724360196149018E-2</v>
      </c>
      <c r="V69" s="279">
        <f>'Initial unit rates'!V196</f>
        <v>-1.245586452228532E-2</v>
      </c>
      <c r="W69" s="279">
        <f>'Initial unit rates'!W196</f>
        <v>-1.245586452228532E-2</v>
      </c>
      <c r="X69" s="279">
        <f>'Initial unit rates'!X196</f>
        <v>-1.2269084923075794E-2</v>
      </c>
      <c r="Y69" s="279">
        <f>'Initial unit rates'!Y196</f>
        <v>-1.2269084923075794E-2</v>
      </c>
      <c r="Z69" s="267"/>
      <c r="AA69" s="267"/>
    </row>
    <row r="70" spans="3:27" x14ac:dyDescent="0.3">
      <c r="D70"/>
      <c r="F70" t="s">
        <v>194</v>
      </c>
      <c r="G70" t="s">
        <v>269</v>
      </c>
      <c r="H70" s="267"/>
      <c r="I70" s="267"/>
      <c r="J70" s="279">
        <f>'Initial unit rates'!J197</f>
        <v>1.4390292544328101E-2</v>
      </c>
      <c r="K70" s="279">
        <f>'Initial unit rates'!K197</f>
        <v>1.4390292544328101E-2</v>
      </c>
      <c r="L70" s="279">
        <f>'Initial unit rates'!L197</f>
        <v>1.6381931734438152E-2</v>
      </c>
      <c r="M70" s="279">
        <f>'Initial unit rates'!M197</f>
        <v>1.6381931734438152E-2</v>
      </c>
      <c r="N70" s="279">
        <f>'Initial unit rates'!N197</f>
        <v>1.3178748444373074E-2</v>
      </c>
      <c r="O70" s="279">
        <f>'Initial unit rates'!O197</f>
        <v>9.6439385507538743E-3</v>
      </c>
      <c r="P70" s="279">
        <f>'Initial unit rates'!P197</f>
        <v>1.0842290780730832E-2</v>
      </c>
      <c r="Q70" s="279">
        <f>'Initial unit rates'!Q197</f>
        <v>8.5308335752022728E-3</v>
      </c>
      <c r="R70" s="279">
        <f>'Initial unit rates'!R197</f>
        <v>-1.0042583689818415E-2</v>
      </c>
      <c r="S70" s="279">
        <f>'Initial unit rates'!S197</f>
        <v>-9.8306759605837121E-3</v>
      </c>
      <c r="T70" s="279">
        <f>'Initial unit rates'!T197</f>
        <v>-1.0042583689818415E-2</v>
      </c>
      <c r="U70" s="279">
        <f>'Initial unit rates'!U197</f>
        <v>-1.0042583689818415E-2</v>
      </c>
      <c r="V70" s="279">
        <f>'Initial unit rates'!V197</f>
        <v>-9.8306759605837121E-3</v>
      </c>
      <c r="W70" s="279">
        <f>'Initial unit rates'!W197</f>
        <v>-9.8306759605837121E-3</v>
      </c>
      <c r="X70" s="279">
        <f>'Initial unit rates'!X197</f>
        <v>-9.6832618880726157E-3</v>
      </c>
      <c r="Y70" s="279">
        <f>'Initial unit rates'!Y197</f>
        <v>-9.6832618880726157E-3</v>
      </c>
      <c r="Z70" s="267"/>
      <c r="AA70" s="267"/>
    </row>
    <row r="71" spans="3:27" x14ac:dyDescent="0.3">
      <c r="D71"/>
      <c r="F71" t="s">
        <v>195</v>
      </c>
      <c r="G71" t="s">
        <v>269</v>
      </c>
      <c r="H71" s="267"/>
      <c r="I71" s="267"/>
      <c r="J71" s="279">
        <f>'Initial unit rates'!J198</f>
        <v>2.7739996287329812E-2</v>
      </c>
      <c r="K71" s="279">
        <f>'Initial unit rates'!K198</f>
        <v>2.7739996287329812E-2</v>
      </c>
      <c r="L71" s="279">
        <f>'Initial unit rates'!L198</f>
        <v>3.157925553582433E-2</v>
      </c>
      <c r="M71" s="279">
        <f>'Initial unit rates'!M198</f>
        <v>3.157925553582433E-2</v>
      </c>
      <c r="N71" s="279">
        <f>'Initial unit rates'!N198</f>
        <v>2.5404517093202145E-2</v>
      </c>
      <c r="O71" s="279">
        <f>'Initial unit rates'!O198</f>
        <v>1.8590505979573901E-2</v>
      </c>
      <c r="P71" s="279">
        <f>'Initial unit rates'!P198</f>
        <v>2.0900555362383472E-2</v>
      </c>
      <c r="Q71" s="279">
        <f>'Initial unit rates'!Q198</f>
        <v>1.6444786718197244E-2</v>
      </c>
      <c r="R71" s="279">
        <f>'Initial unit rates'!R198</f>
        <v>-1.9358969486729709E-2</v>
      </c>
      <c r="S71" s="279">
        <f>'Initial unit rates'!S198</f>
        <v>-1.8950477470037242E-2</v>
      </c>
      <c r="T71" s="279">
        <f>'Initial unit rates'!T198</f>
        <v>-1.9358969486729709E-2</v>
      </c>
      <c r="U71" s="279">
        <f>'Initial unit rates'!U198</f>
        <v>-1.9358969486729709E-2</v>
      </c>
      <c r="V71" s="279">
        <f>'Initial unit rates'!V198</f>
        <v>-1.8950477470037242E-2</v>
      </c>
      <c r="W71" s="279">
        <f>'Initial unit rates'!W198</f>
        <v>-1.8950477470037242E-2</v>
      </c>
      <c r="X71" s="279">
        <f>'Initial unit rates'!X198</f>
        <v>-1.8666309110599008E-2</v>
      </c>
      <c r="Y71" s="279">
        <f>'Initial unit rates'!Y198</f>
        <v>-1.8666309110599008E-2</v>
      </c>
      <c r="Z71" s="267"/>
      <c r="AA71" s="267"/>
    </row>
    <row r="72" spans="3:27" x14ac:dyDescent="0.3">
      <c r="D72"/>
      <c r="F72" t="s">
        <v>196</v>
      </c>
      <c r="G72" t="s">
        <v>269</v>
      </c>
      <c r="H72" s="267"/>
      <c r="I72" s="267"/>
      <c r="J72" s="279">
        <f>'Initial unit rates'!J199</f>
        <v>3.8141034715133172E-2</v>
      </c>
      <c r="K72" s="279">
        <f>'Initial unit rates'!K199</f>
        <v>3.8141034715133172E-2</v>
      </c>
      <c r="L72" s="279">
        <f>'Initial unit rates'!L199</f>
        <v>4.3419814090605129E-2</v>
      </c>
      <c r="M72" s="279">
        <f>'Initial unit rates'!M199</f>
        <v>4.3419814090605129E-2</v>
      </c>
      <c r="N72" s="279">
        <f>'Initial unit rates'!N199</f>
        <v>3.4929873758331578E-2</v>
      </c>
      <c r="O72" s="279">
        <f>'Initial unit rates'!O199</f>
        <v>2.5560967153506121E-2</v>
      </c>
      <c r="P72" s="279">
        <f>'Initial unit rates'!P199</f>
        <v>2.8737163458321585E-2</v>
      </c>
      <c r="Q72" s="279">
        <f>'Initial unit rates'!Q199</f>
        <v>2.2624154132624974E-2</v>
      </c>
      <c r="R72" s="279">
        <f>'Initial unit rates'!R199</f>
        <v>-2.6617564025407277E-2</v>
      </c>
      <c r="S72" s="279">
        <f>'Initial unit rates'!S199</f>
        <v>-2.6055909004687679E-2</v>
      </c>
      <c r="T72" s="279">
        <f>'Initial unit rates'!T199</f>
        <v>-2.6617564025407277E-2</v>
      </c>
      <c r="U72" s="279">
        <f>'Initial unit rates'!U199</f>
        <v>-2.6617564025407277E-2</v>
      </c>
      <c r="V72" s="279">
        <f>'Initial unit rates'!V199</f>
        <v>-2.6055909004687679E-2</v>
      </c>
      <c r="W72" s="279">
        <f>'Initial unit rates'!W199</f>
        <v>-2.6055909004687679E-2</v>
      </c>
      <c r="X72" s="279">
        <f>'Initial unit rates'!X199</f>
        <v>-2.5665192468534909E-2</v>
      </c>
      <c r="Y72" s="279">
        <f>'Initial unit rates'!Y199</f>
        <v>-2.5665192468534909E-2</v>
      </c>
      <c r="Z72" s="267"/>
      <c r="AA72" s="267"/>
    </row>
    <row r="73" spans="3:27" x14ac:dyDescent="0.3">
      <c r="D73"/>
      <c r="F73" t="s">
        <v>197</v>
      </c>
      <c r="G73" t="s">
        <v>269</v>
      </c>
      <c r="H73" s="267"/>
      <c r="I73" s="267"/>
      <c r="J73" s="279">
        <f>'Initial unit rates'!J200</f>
        <v>0.17701615804483212</v>
      </c>
      <c r="K73" s="279">
        <f>'Initial unit rates'!K200</f>
        <v>0.17701615804483212</v>
      </c>
      <c r="L73" s="279">
        <f>'Initial unit rates'!L200</f>
        <v>0.2015154735770768</v>
      </c>
      <c r="M73" s="279">
        <f>'Initial unit rates'!M200</f>
        <v>0.2015154735770768</v>
      </c>
      <c r="N73" s="279">
        <f>'Initial unit rates'!N200</f>
        <v>0.16211285561263428</v>
      </c>
      <c r="O73" s="279">
        <f>'Initial unit rates'!O200</f>
        <v>0.11863087184754692</v>
      </c>
      <c r="P73" s="279">
        <f>'Initial unit rates'!P200</f>
        <v>0.13337190001507976</v>
      </c>
      <c r="Q73" s="279">
        <f>'Initial unit rates'!Q200</f>
        <v>0.10493847708449582</v>
      </c>
      <c r="R73" s="279">
        <f>'Initial unit rates'!R200</f>
        <v>-0.12353463809990613</v>
      </c>
      <c r="S73" s="279">
        <f>'Initial unit rates'!S200</f>
        <v>-0.12092794390146776</v>
      </c>
      <c r="T73" s="279">
        <f>'Initial unit rates'!T200</f>
        <v>-0.12353463809990613</v>
      </c>
      <c r="U73" s="279">
        <f>'Initial unit rates'!U200</f>
        <v>-0.12353463809990613</v>
      </c>
      <c r="V73" s="279">
        <f>'Initial unit rates'!V200</f>
        <v>-0.12092794390146776</v>
      </c>
      <c r="W73" s="279">
        <f>'Initial unit rates'!W200</f>
        <v>-0.12092794390146776</v>
      </c>
      <c r="X73" s="279">
        <f>'Initial unit rates'!X200</f>
        <v>0</v>
      </c>
      <c r="Y73" s="279">
        <f>'Initial unit rates'!Y200</f>
        <v>0</v>
      </c>
      <c r="Z73" s="267"/>
      <c r="AA73" s="267"/>
    </row>
    <row r="74" spans="3:27" x14ac:dyDescent="0.3">
      <c r="D74"/>
      <c r="F74" t="s">
        <v>198</v>
      </c>
      <c r="G74" t="s">
        <v>269</v>
      </c>
      <c r="H74" s="267"/>
      <c r="I74" s="267"/>
      <c r="J74" s="279">
        <f>'Initial unit rates'!J201</f>
        <v>8.6243639478132489E-2</v>
      </c>
      <c r="K74" s="279">
        <f>'Initial unit rates'!K201</f>
        <v>8.6243639478132489E-2</v>
      </c>
      <c r="L74" s="279">
        <f>'Initial unit rates'!L201</f>
        <v>9.8179895238969833E-2</v>
      </c>
      <c r="M74" s="279">
        <f>'Initial unit rates'!M201</f>
        <v>9.8179895238969833E-2</v>
      </c>
      <c r="N74" s="279">
        <f>'Initial unit rates'!N201</f>
        <v>7.8982635419562214E-2</v>
      </c>
      <c r="O74" s="279">
        <f>'Initial unit rates'!O201</f>
        <v>5.7797877072923318E-2</v>
      </c>
      <c r="P74" s="279">
        <f>'Initial unit rates'!P201</f>
        <v>0</v>
      </c>
      <c r="Q74" s="279">
        <f>'Initial unit rates'!Q201</f>
        <v>5.1126836583852427E-2</v>
      </c>
      <c r="R74" s="279">
        <f>'Initial unit rates'!R201</f>
        <v>-6.018702986792631E-2</v>
      </c>
      <c r="S74" s="279">
        <f>'Initial unit rates'!S201</f>
        <v>0</v>
      </c>
      <c r="T74" s="279">
        <f>'Initial unit rates'!T201</f>
        <v>-6.018702986792631E-2</v>
      </c>
      <c r="U74" s="279">
        <f>'Initial unit rates'!U201</f>
        <v>-6.018702986792631E-2</v>
      </c>
      <c r="V74" s="279">
        <f>'Initial unit rates'!V201</f>
        <v>0</v>
      </c>
      <c r="W74" s="279">
        <f>'Initial unit rates'!W201</f>
        <v>0</v>
      </c>
      <c r="X74" s="279">
        <f>'Initial unit rates'!X201</f>
        <v>0</v>
      </c>
      <c r="Y74" s="279">
        <f>'Initial unit rates'!Y201</f>
        <v>0</v>
      </c>
      <c r="Z74" s="267"/>
      <c r="AA74" s="267"/>
    </row>
    <row r="75" spans="3:27" x14ac:dyDescent="0.3">
      <c r="D75"/>
      <c r="F75" t="s">
        <v>199</v>
      </c>
      <c r="G75" t="s">
        <v>269</v>
      </c>
      <c r="H75" s="267"/>
      <c r="I75" s="267"/>
      <c r="J75" s="279">
        <f>'Initial unit rates'!J202</f>
        <v>0.19796978920728103</v>
      </c>
      <c r="K75" s="279">
        <f>'Initial unit rates'!K202</f>
        <v>0.19796978920728103</v>
      </c>
      <c r="L75" s="279">
        <f>'Initial unit rates'!L202</f>
        <v>0.22536912034863807</v>
      </c>
      <c r="M75" s="279">
        <f>'Initial unit rates'!M202</f>
        <v>0.22536912034863807</v>
      </c>
      <c r="N75" s="279">
        <f>'Initial unit rates'!N202</f>
        <v>0.18130236362544616</v>
      </c>
      <c r="O75" s="279">
        <f>'Initial unit rates'!O202</f>
        <v>0</v>
      </c>
      <c r="P75" s="279">
        <f>'Initial unit rates'!P202</f>
        <v>0</v>
      </c>
      <c r="Q75" s="279">
        <f>'Initial unit rates'!Q202</f>
        <v>0.11736018009660579</v>
      </c>
      <c r="R75" s="279">
        <f>'Initial unit rates'!R202</f>
        <v>0</v>
      </c>
      <c r="S75" s="279">
        <f>'Initial unit rates'!S202</f>
        <v>0</v>
      </c>
      <c r="T75" s="279">
        <f>'Initial unit rates'!T202</f>
        <v>0</v>
      </c>
      <c r="U75" s="279">
        <f>'Initial unit rates'!U202</f>
        <v>0</v>
      </c>
      <c r="V75" s="279">
        <f>'Initial unit rates'!V202</f>
        <v>0</v>
      </c>
      <c r="W75" s="279">
        <f>'Initial unit rates'!W202</f>
        <v>0</v>
      </c>
      <c r="X75" s="279">
        <f>'Initial unit rates'!X202</f>
        <v>0</v>
      </c>
      <c r="Y75" s="279">
        <f>'Initial unit rates'!Y202</f>
        <v>0</v>
      </c>
      <c r="Z75" s="267"/>
      <c r="AA75" s="267"/>
    </row>
    <row r="76" spans="3:27" x14ac:dyDescent="0.3">
      <c r="D76"/>
      <c r="F76" s="23" t="s">
        <v>376</v>
      </c>
      <c r="G76" s="23" t="s">
        <v>269</v>
      </c>
      <c r="H76" s="266"/>
      <c r="I76" s="266" t="s">
        <v>154</v>
      </c>
      <c r="J76" s="280"/>
      <c r="K76" s="280"/>
      <c r="L76" s="280"/>
      <c r="M76" s="280"/>
      <c r="N76" s="280"/>
      <c r="O76" s="280"/>
      <c r="P76" s="280"/>
      <c r="Q76" s="278">
        <f>'Service model charges'!$Q$44</f>
        <v>0.8808124324004668</v>
      </c>
      <c r="R76" s="280"/>
      <c r="S76" s="280"/>
      <c r="T76" s="280"/>
      <c r="U76" s="280"/>
      <c r="V76" s="280"/>
      <c r="W76" s="280"/>
      <c r="X76" s="280"/>
      <c r="Y76" s="280"/>
      <c r="Z76" s="267"/>
      <c r="AA76" s="267" t="s">
        <v>654</v>
      </c>
    </row>
    <row r="77" spans="3:27" x14ac:dyDescent="0.3">
      <c r="D77"/>
      <c r="F77" s="37" t="s">
        <v>377</v>
      </c>
      <c r="G77" s="37" t="s">
        <v>269</v>
      </c>
      <c r="H77" s="269"/>
      <c r="I77" s="269"/>
      <c r="J77" s="270"/>
      <c r="K77" s="270"/>
      <c r="L77" s="270"/>
      <c r="M77" s="270"/>
      <c r="N77" s="270"/>
      <c r="O77" s="270"/>
      <c r="P77" s="270"/>
      <c r="Q77" s="270"/>
      <c r="R77" s="270"/>
      <c r="S77" s="270"/>
      <c r="T77" s="270"/>
      <c r="U77" s="270"/>
      <c r="V77" s="270"/>
      <c r="W77" s="270"/>
      <c r="X77" s="270"/>
      <c r="Y77" s="270"/>
      <c r="Z77" s="267"/>
      <c r="AA77" s="267"/>
    </row>
    <row r="78" spans="3:27" x14ac:dyDescent="0.3">
      <c r="J78" s="89"/>
      <c r="K78" s="89"/>
      <c r="L78" s="89"/>
      <c r="M78" s="89"/>
      <c r="N78" s="89"/>
      <c r="O78" s="89"/>
      <c r="P78" s="89"/>
      <c r="Q78" s="89"/>
      <c r="R78" s="89"/>
      <c r="S78" s="89"/>
      <c r="T78" s="89"/>
      <c r="U78" s="89"/>
      <c r="V78" s="89"/>
      <c r="W78" s="89"/>
      <c r="X78" s="89"/>
      <c r="Y78" s="89"/>
    </row>
    <row r="79" spans="3:27" x14ac:dyDescent="0.3">
      <c r="C79" s="31" t="str">
        <f ca="1">INDEX('Version control'!$H$34:$H$57,MATCH($A$1,'Version control'!$F$34:$F$57,0),1)&amp;"-C: Initial unit rate 3"</f>
        <v>Section 111-C: Initial unit rate 3</v>
      </c>
      <c r="D79" s="31"/>
      <c r="E79" s="31"/>
      <c r="F79" s="31"/>
      <c r="G79" s="31"/>
      <c r="H79" s="31"/>
      <c r="I79" s="31"/>
      <c r="J79" s="90"/>
      <c r="K79" s="90"/>
      <c r="L79" s="90"/>
      <c r="M79" s="90"/>
      <c r="N79" s="90"/>
      <c r="O79" s="90"/>
      <c r="P79" s="90"/>
      <c r="Q79" s="90"/>
      <c r="R79" s="90"/>
      <c r="S79" s="90"/>
      <c r="T79" s="90"/>
      <c r="U79" s="90"/>
      <c r="V79" s="90"/>
      <c r="W79" s="90"/>
      <c r="X79" s="90"/>
      <c r="Y79" s="90"/>
      <c r="Z79" s="31"/>
      <c r="AA79" s="31"/>
    </row>
    <row r="80" spans="3:27" x14ac:dyDescent="0.3">
      <c r="D80" s="32"/>
      <c r="E80" s="32"/>
      <c r="J80" s="89"/>
      <c r="K80" s="89"/>
      <c r="L80" s="89"/>
      <c r="M80" s="89"/>
      <c r="N80" s="89"/>
      <c r="O80" s="89"/>
      <c r="P80" s="89"/>
      <c r="Q80" s="89"/>
      <c r="R80" s="89"/>
      <c r="S80" s="89"/>
      <c r="T80" s="89"/>
      <c r="U80" s="89"/>
      <c r="V80" s="89"/>
      <c r="W80" s="89"/>
      <c r="X80" s="89"/>
      <c r="Y80" s="89"/>
    </row>
    <row r="81" spans="4:27" x14ac:dyDescent="0.3">
      <c r="D81"/>
      <c r="E81" s="32" t="s">
        <v>621</v>
      </c>
      <c r="J81" s="89"/>
      <c r="K81" s="89"/>
      <c r="L81" s="89"/>
      <c r="M81" s="89"/>
      <c r="N81" s="89"/>
      <c r="O81" s="89"/>
      <c r="P81" s="89"/>
      <c r="Q81" s="89"/>
      <c r="R81" s="89"/>
      <c r="S81" s="89"/>
      <c r="T81" s="89"/>
      <c r="U81" s="89"/>
      <c r="V81" s="89"/>
      <c r="W81" s="89"/>
      <c r="X81" s="89"/>
      <c r="Y81" s="89"/>
    </row>
    <row r="82" spans="4:27" x14ac:dyDescent="0.3">
      <c r="D82"/>
      <c r="F82" s="23" t="s">
        <v>189</v>
      </c>
      <c r="G82" s="23" t="s">
        <v>269</v>
      </c>
      <c r="H82" s="266"/>
      <c r="I82" s="266"/>
      <c r="J82" s="278">
        <f>'Initial unit rates'!J210</f>
        <v>0</v>
      </c>
      <c r="K82" s="278">
        <f>'Initial unit rates'!K210</f>
        <v>0</v>
      </c>
      <c r="L82" s="278">
        <f>'Initial unit rates'!L210</f>
        <v>0</v>
      </c>
      <c r="M82" s="278">
        <f>'Initial unit rates'!M210</f>
        <v>0</v>
      </c>
      <c r="N82" s="278">
        <f>'Initial unit rates'!N210</f>
        <v>0</v>
      </c>
      <c r="O82" s="278">
        <f>'Initial unit rates'!O210</f>
        <v>0</v>
      </c>
      <c r="P82" s="278">
        <f>'Initial unit rates'!P210</f>
        <v>0</v>
      </c>
      <c r="Q82" s="278">
        <f>'Initial unit rates'!Q210</f>
        <v>0</v>
      </c>
      <c r="R82" s="278">
        <f>'Initial unit rates'!R210</f>
        <v>0</v>
      </c>
      <c r="S82" s="278">
        <f>'Initial unit rates'!S210</f>
        <v>0</v>
      </c>
      <c r="T82" s="278">
        <f>'Initial unit rates'!T210</f>
        <v>0</v>
      </c>
      <c r="U82" s="278">
        <f>'Initial unit rates'!U210</f>
        <v>0</v>
      </c>
      <c r="V82" s="278">
        <f>'Initial unit rates'!V210</f>
        <v>0</v>
      </c>
      <c r="W82" s="278">
        <f>'Initial unit rates'!W210</f>
        <v>0</v>
      </c>
      <c r="X82" s="278">
        <f>'Initial unit rates'!X210</f>
        <v>0</v>
      </c>
      <c r="Y82" s="278">
        <f>'Initial unit rates'!Y210</f>
        <v>0</v>
      </c>
      <c r="Z82" s="267"/>
      <c r="AA82" s="267"/>
    </row>
    <row r="83" spans="4:27" x14ac:dyDescent="0.3">
      <c r="D83"/>
      <c r="F83" t="s">
        <v>191</v>
      </c>
      <c r="G83" t="s">
        <v>269</v>
      </c>
      <c r="H83" s="267"/>
      <c r="I83" s="267"/>
      <c r="J83" s="279">
        <f>'Initial unit rates'!J211</f>
        <v>0</v>
      </c>
      <c r="K83" s="279">
        <f>'Initial unit rates'!K211</f>
        <v>0</v>
      </c>
      <c r="L83" s="279">
        <f>'Initial unit rates'!L211</f>
        <v>0</v>
      </c>
      <c r="M83" s="279">
        <f>'Initial unit rates'!M211</f>
        <v>0</v>
      </c>
      <c r="N83" s="279">
        <f>'Initial unit rates'!N211</f>
        <v>0</v>
      </c>
      <c r="O83" s="279">
        <f>'Initial unit rates'!O211</f>
        <v>0</v>
      </c>
      <c r="P83" s="279">
        <f>'Initial unit rates'!P211</f>
        <v>0</v>
      </c>
      <c r="Q83" s="279">
        <f>'Initial unit rates'!Q211</f>
        <v>0</v>
      </c>
      <c r="R83" s="279">
        <f>'Initial unit rates'!R211</f>
        <v>0</v>
      </c>
      <c r="S83" s="279">
        <f>'Initial unit rates'!S211</f>
        <v>0</v>
      </c>
      <c r="T83" s="279">
        <f>'Initial unit rates'!T211</f>
        <v>0</v>
      </c>
      <c r="U83" s="279">
        <f>'Initial unit rates'!U211</f>
        <v>0</v>
      </c>
      <c r="V83" s="279">
        <f>'Initial unit rates'!V211</f>
        <v>0</v>
      </c>
      <c r="W83" s="279">
        <f>'Initial unit rates'!W211</f>
        <v>0</v>
      </c>
      <c r="X83" s="279">
        <f>'Initial unit rates'!X211</f>
        <v>0</v>
      </c>
      <c r="Y83" s="279">
        <f>'Initial unit rates'!Y211</f>
        <v>0</v>
      </c>
      <c r="Z83" s="267"/>
      <c r="AA83" s="267"/>
    </row>
    <row r="84" spans="4:27" x14ac:dyDescent="0.3">
      <c r="D84"/>
      <c r="F84" t="s">
        <v>192</v>
      </c>
      <c r="G84" t="s">
        <v>269</v>
      </c>
      <c r="H84" s="267"/>
      <c r="I84" s="267"/>
      <c r="J84" s="279">
        <f>'Initial unit rates'!J212</f>
        <v>4.3786142509730855E-3</v>
      </c>
      <c r="K84" s="279">
        <f>'Initial unit rates'!K212</f>
        <v>4.3786142509730855E-3</v>
      </c>
      <c r="L84" s="279">
        <f>'Initial unit rates'!L212</f>
        <v>4.9846213709638168E-3</v>
      </c>
      <c r="M84" s="279">
        <f>'Initial unit rates'!M212</f>
        <v>4.9846213709638168E-3</v>
      </c>
      <c r="N84" s="279">
        <f>'Initial unit rates'!N212</f>
        <v>4.0099709975156463E-3</v>
      </c>
      <c r="O84" s="279">
        <f>'Initial unit rates'!O212</f>
        <v>2.9344147552082494E-3</v>
      </c>
      <c r="P84" s="279">
        <f>'Initial unit rates'!P212</f>
        <v>3.2990440451062257E-3</v>
      </c>
      <c r="Q84" s="279">
        <f>'Initial unit rates'!Q212</f>
        <v>2.9888533130027831E-3</v>
      </c>
      <c r="R84" s="279">
        <f>'Initial unit rates'!R212</f>
        <v>-3.0557127261572228E-3</v>
      </c>
      <c r="S84" s="279">
        <f>'Initial unit rates'!S212</f>
        <v>-2.9912343842291348E-3</v>
      </c>
      <c r="T84" s="279">
        <f>'Initial unit rates'!T212</f>
        <v>-3.0557127261572228E-3</v>
      </c>
      <c r="U84" s="279">
        <f>'Initial unit rates'!U212</f>
        <v>-3.0557127261572228E-3</v>
      </c>
      <c r="V84" s="279">
        <f>'Initial unit rates'!V212</f>
        <v>-2.9912343842291348E-3</v>
      </c>
      <c r="W84" s="279">
        <f>'Initial unit rates'!W212</f>
        <v>-2.9912343842291348E-3</v>
      </c>
      <c r="X84" s="279">
        <f>'Initial unit rates'!X212</f>
        <v>-2.9463798854965514E-3</v>
      </c>
      <c r="Y84" s="279">
        <f>'Initial unit rates'!Y212</f>
        <v>-2.9463798854965514E-3</v>
      </c>
      <c r="Z84" s="267"/>
      <c r="AA84" s="267"/>
    </row>
    <row r="85" spans="4:27" x14ac:dyDescent="0.3">
      <c r="D85"/>
      <c r="F85" t="s">
        <v>193</v>
      </c>
      <c r="G85" t="s">
        <v>269</v>
      </c>
      <c r="H85" s="267"/>
      <c r="I85" s="267"/>
      <c r="J85" s="279">
        <f>'Initial unit rates'!J213</f>
        <v>1.0366246869463831E-3</v>
      </c>
      <c r="K85" s="279">
        <f>'Initial unit rates'!K213</f>
        <v>1.0366246869463831E-3</v>
      </c>
      <c r="L85" s="279">
        <f>'Initial unit rates'!L213</f>
        <v>1.180095178988029E-3</v>
      </c>
      <c r="M85" s="279">
        <f>'Initial unit rates'!M213</f>
        <v>1.180095178988029E-3</v>
      </c>
      <c r="N85" s="279">
        <f>'Initial unit rates'!N213</f>
        <v>9.4934942694253888E-4</v>
      </c>
      <c r="O85" s="279">
        <f>'Initial unit rates'!O213</f>
        <v>6.9471449244760074E-4</v>
      </c>
      <c r="P85" s="279">
        <f>'Initial unit rates'!P213</f>
        <v>7.8103945779661971E-4</v>
      </c>
      <c r="Q85" s="279">
        <f>'Initial unit rates'!Q213</f>
        <v>7.0760266886529496E-4</v>
      </c>
      <c r="R85" s="279">
        <f>'Initial unit rates'!R213</f>
        <v>-7.234314480767173E-4</v>
      </c>
      <c r="S85" s="279">
        <f>'Initial unit rates'!S213</f>
        <v>-7.0816638082372237E-4</v>
      </c>
      <c r="T85" s="279">
        <f>'Initial unit rates'!T213</f>
        <v>-7.234314480767173E-4</v>
      </c>
      <c r="U85" s="279">
        <f>'Initial unit rates'!U213</f>
        <v>-7.234314480767173E-4</v>
      </c>
      <c r="V85" s="279">
        <f>'Initial unit rates'!V213</f>
        <v>-7.0816638082372237E-4</v>
      </c>
      <c r="W85" s="279">
        <f>'Initial unit rates'!W213</f>
        <v>-7.0816638082372237E-4</v>
      </c>
      <c r="X85" s="279">
        <f>'Initial unit rates'!X213</f>
        <v>-6.9754720360424747E-4</v>
      </c>
      <c r="Y85" s="279">
        <f>'Initial unit rates'!Y213</f>
        <v>-6.9754720360424747E-4</v>
      </c>
      <c r="Z85" s="267"/>
      <c r="AA85" s="267"/>
    </row>
    <row r="86" spans="4:27" x14ac:dyDescent="0.3">
      <c r="D86"/>
      <c r="F86" t="s">
        <v>194</v>
      </c>
      <c r="G86" t="s">
        <v>269</v>
      </c>
      <c r="H86" s="267"/>
      <c r="I86" s="267"/>
      <c r="J86" s="279">
        <f>'Initial unit rates'!J214</f>
        <v>2.7881859360769212E-3</v>
      </c>
      <c r="K86" s="279">
        <f>'Initial unit rates'!K214</f>
        <v>2.7881859360769212E-3</v>
      </c>
      <c r="L86" s="279">
        <f>'Initial unit rates'!L214</f>
        <v>3.1740752682429445E-3</v>
      </c>
      <c r="M86" s="279">
        <f>'Initial unit rates'!M214</f>
        <v>3.1740752682429445E-3</v>
      </c>
      <c r="N86" s="279">
        <f>'Initial unit rates'!N214</f>
        <v>2.5534436464378541E-3</v>
      </c>
      <c r="O86" s="279">
        <f>'Initial unit rates'!O214</f>
        <v>1.8685578318003179E-3</v>
      </c>
      <c r="P86" s="279">
        <f>'Initial unit rates'!P214</f>
        <v>2.100744135434924E-3</v>
      </c>
      <c r="Q86" s="279">
        <f>'Initial unit rates'!Q214</f>
        <v>1.9032228679334501E-3</v>
      </c>
      <c r="R86" s="279">
        <f>'Initial unit rates'!R214</f>
        <v>-1.9457971767824513E-3</v>
      </c>
      <c r="S86" s="279">
        <f>'Initial unit rates'!S214</f>
        <v>-1.9047390712173165E-3</v>
      </c>
      <c r="T86" s="279">
        <f>'Initial unit rates'!T214</f>
        <v>-1.9457971767824513E-3</v>
      </c>
      <c r="U86" s="279">
        <f>'Initial unit rates'!U214</f>
        <v>-1.9457971767824513E-3</v>
      </c>
      <c r="V86" s="279">
        <f>'Initial unit rates'!V214</f>
        <v>-1.9047390712173165E-3</v>
      </c>
      <c r="W86" s="279">
        <f>'Initial unit rates'!W214</f>
        <v>-1.9047390712173165E-3</v>
      </c>
      <c r="X86" s="279">
        <f>'Initial unit rates'!X214</f>
        <v>-1.8761769108241798E-3</v>
      </c>
      <c r="Y86" s="279">
        <f>'Initial unit rates'!Y214</f>
        <v>-1.8761769108241798E-3</v>
      </c>
      <c r="Z86" s="267"/>
      <c r="AA86" s="267"/>
    </row>
    <row r="87" spans="4:27" x14ac:dyDescent="0.3">
      <c r="D87"/>
      <c r="F87" t="s">
        <v>195</v>
      </c>
      <c r="G87" t="s">
        <v>269</v>
      </c>
      <c r="H87" s="267"/>
      <c r="I87" s="267"/>
      <c r="J87" s="279">
        <f>'Initial unit rates'!J215</f>
        <v>5.3747529646743734E-3</v>
      </c>
      <c r="K87" s="279">
        <f>'Initial unit rates'!K215</f>
        <v>5.3747529646743734E-3</v>
      </c>
      <c r="L87" s="279">
        <f>'Initial unit rates'!L215</f>
        <v>6.118627254139382E-3</v>
      </c>
      <c r="M87" s="279">
        <f>'Initial unit rates'!M215</f>
        <v>6.118627254139382E-3</v>
      </c>
      <c r="N87" s="279">
        <f>'Initial unit rates'!N215</f>
        <v>4.9222430366789478E-3</v>
      </c>
      <c r="O87" s="279">
        <f>'Initial unit rates'!O215</f>
        <v>3.6019967736675394E-3</v>
      </c>
      <c r="P87" s="279">
        <f>'Initial unit rates'!P215</f>
        <v>3.0062415495434557E-3</v>
      </c>
      <c r="Q87" s="279">
        <f>'Initial unit rates'!Q215</f>
        <v>3.6688201527386105E-3</v>
      </c>
      <c r="R87" s="279">
        <f>'Initial unit rates'!R215</f>
        <v>-3.7508901430302545E-3</v>
      </c>
      <c r="S87" s="279">
        <f>'Initial unit rates'!S215</f>
        <v>-3.671742919828698E-3</v>
      </c>
      <c r="T87" s="279">
        <f>'Initial unit rates'!T215</f>
        <v>-3.7508901430302545E-3</v>
      </c>
      <c r="U87" s="279">
        <f>'Initial unit rates'!U215</f>
        <v>-3.7508901430302545E-3</v>
      </c>
      <c r="V87" s="279">
        <f>'Initial unit rates'!V215</f>
        <v>-3.671742919828698E-3</v>
      </c>
      <c r="W87" s="279">
        <f>'Initial unit rates'!W215</f>
        <v>-3.671742919828698E-3</v>
      </c>
      <c r="X87" s="279">
        <f>'Initial unit rates'!X215</f>
        <v>-2.6848776528637162E-3</v>
      </c>
      <c r="Y87" s="279">
        <f>'Initial unit rates'!Y215</f>
        <v>-2.6848776528637162E-3</v>
      </c>
      <c r="Z87" s="267"/>
      <c r="AA87" s="267"/>
    </row>
    <row r="88" spans="4:27" x14ac:dyDescent="0.3">
      <c r="D88"/>
      <c r="F88" t="s">
        <v>196</v>
      </c>
      <c r="G88" t="s">
        <v>269</v>
      </c>
      <c r="H88" s="267"/>
      <c r="I88" s="267"/>
      <c r="J88" s="279">
        <f>'Initial unit rates'!J216</f>
        <v>2.1684724064526158E-3</v>
      </c>
      <c r="K88" s="279">
        <f>'Initial unit rates'!K216</f>
        <v>2.1684724064526158E-3</v>
      </c>
      <c r="L88" s="279">
        <f>'Initial unit rates'!L216</f>
        <v>2.4685924084650512E-3</v>
      </c>
      <c r="M88" s="279">
        <f>'Initial unit rates'!M216</f>
        <v>2.4685924084650512E-3</v>
      </c>
      <c r="N88" s="279">
        <f>'Initial unit rates'!N216</f>
        <v>1.9859048914517862E-3</v>
      </c>
      <c r="O88" s="279">
        <f>'Initial unit rates'!O216</f>
        <v>1.4532445794562434E-3</v>
      </c>
      <c r="P88" s="279">
        <f>'Initial unit rates'!P216</f>
        <v>1.2128839948853882E-3</v>
      </c>
      <c r="Q88" s="279">
        <f>'Initial unit rates'!Q216</f>
        <v>1.480204823875648E-3</v>
      </c>
      <c r="R88" s="279">
        <f>'Initial unit rates'!R216</f>
        <v>-1.5133163939356955E-3</v>
      </c>
      <c r="S88" s="279">
        <f>'Initial unit rates'!S216</f>
        <v>-1.4813840296599881E-3</v>
      </c>
      <c r="T88" s="279">
        <f>'Initial unit rates'!T216</f>
        <v>-1.5133163939356955E-3</v>
      </c>
      <c r="U88" s="279">
        <f>'Initial unit rates'!U216</f>
        <v>-1.5133163939356955E-3</v>
      </c>
      <c r="V88" s="279">
        <f>'Initial unit rates'!V216</f>
        <v>-1.4813840296599881E-3</v>
      </c>
      <c r="W88" s="279">
        <f>'Initial unit rates'!W216</f>
        <v>-1.4813840296599881E-3</v>
      </c>
      <c r="X88" s="279">
        <f>'Initial unit rates'!X216</f>
        <v>-1.083228037307378E-3</v>
      </c>
      <c r="Y88" s="279">
        <f>'Initial unit rates'!Y216</f>
        <v>-1.083228037307378E-3</v>
      </c>
      <c r="Z88" s="267"/>
      <c r="AA88" s="267"/>
    </row>
    <row r="89" spans="4:27" x14ac:dyDescent="0.3">
      <c r="D89"/>
      <c r="F89" t="s">
        <v>197</v>
      </c>
      <c r="G89" t="s">
        <v>269</v>
      </c>
      <c r="H89" s="267"/>
      <c r="I89" s="267"/>
      <c r="J89" s="279">
        <f>'Initial unit rates'!J217</f>
        <v>2.1029646244014131E-2</v>
      </c>
      <c r="K89" s="279">
        <f>'Initial unit rates'!K217</f>
        <v>2.1029646244014131E-2</v>
      </c>
      <c r="L89" s="279">
        <f>'Initial unit rates'!L217</f>
        <v>2.3940182460335701E-2</v>
      </c>
      <c r="M89" s="279">
        <f>'Initial unit rates'!M217</f>
        <v>2.3940182460335701E-2</v>
      </c>
      <c r="N89" s="279">
        <f>'Initial unit rates'!N217</f>
        <v>1.9259123250642534E-2</v>
      </c>
      <c r="O89" s="279">
        <f>'Initial unit rates'!O217</f>
        <v>1.4093432464741712E-2</v>
      </c>
      <c r="P89" s="279">
        <f>'Initial unit rates'!P217</f>
        <v>1.252579992803571E-2</v>
      </c>
      <c r="Q89" s="279">
        <f>'Initial unit rates'!Q217</f>
        <v>1.4354890439076616E-2</v>
      </c>
      <c r="R89" s="279">
        <f>'Initial unit rates'!R217</f>
        <v>-1.467600340453316E-2</v>
      </c>
      <c r="S89" s="279">
        <f>'Initial unit rates'!S217</f>
        <v>-1.4366326268474202E-2</v>
      </c>
      <c r="T89" s="279">
        <f>'Initial unit rates'!T217</f>
        <v>-1.467600340453316E-2</v>
      </c>
      <c r="U89" s="279">
        <f>'Initial unit rates'!U217</f>
        <v>-1.467600340453316E-2</v>
      </c>
      <c r="V89" s="279">
        <f>'Initial unit rates'!V217</f>
        <v>-1.4366326268474202E-2</v>
      </c>
      <c r="W89" s="279">
        <f>'Initial unit rates'!W217</f>
        <v>-1.4366326268474202E-2</v>
      </c>
      <c r="X89" s="279">
        <f>'Initial unit rates'!X217</f>
        <v>0</v>
      </c>
      <c r="Y89" s="279">
        <f>'Initial unit rates'!Y217</f>
        <v>0</v>
      </c>
      <c r="Z89" s="267"/>
      <c r="AA89" s="267"/>
    </row>
    <row r="90" spans="4:27" x14ac:dyDescent="0.3">
      <c r="D90"/>
      <c r="F90" t="s">
        <v>198</v>
      </c>
      <c r="G90" t="s">
        <v>269</v>
      </c>
      <c r="H90" s="267"/>
      <c r="I90" s="267"/>
      <c r="J90" s="279">
        <f>'Initial unit rates'!J218</f>
        <v>5.9947793972590932E-3</v>
      </c>
      <c r="K90" s="279">
        <f>'Initial unit rates'!K218</f>
        <v>5.9947793972590932E-3</v>
      </c>
      <c r="L90" s="279">
        <f>'Initial unit rates'!L218</f>
        <v>6.824466323141043E-3</v>
      </c>
      <c r="M90" s="279">
        <f>'Initial unit rates'!M218</f>
        <v>6.824466323141043E-3</v>
      </c>
      <c r="N90" s="279">
        <f>'Initial unit rates'!N218</f>
        <v>5.4900683507735325E-3</v>
      </c>
      <c r="O90" s="279">
        <f>'Initial unit rates'!O218</f>
        <v>4.017519724105887E-3</v>
      </c>
      <c r="P90" s="279">
        <f>'Initial unit rates'!P218</f>
        <v>0</v>
      </c>
      <c r="Q90" s="279">
        <f>'Initial unit rates'!Q218</f>
        <v>4.0920517851593683E-3</v>
      </c>
      <c r="R90" s="279">
        <f>'Initial unit rates'!R218</f>
        <v>-4.1835892921233573E-3</v>
      </c>
      <c r="S90" s="279">
        <f>'Initial unit rates'!S218</f>
        <v>0</v>
      </c>
      <c r="T90" s="279">
        <f>'Initial unit rates'!T218</f>
        <v>-4.1835892921233573E-3</v>
      </c>
      <c r="U90" s="279">
        <f>'Initial unit rates'!U218</f>
        <v>-4.1835892921233573E-3</v>
      </c>
      <c r="V90" s="279">
        <f>'Initial unit rates'!V218</f>
        <v>0</v>
      </c>
      <c r="W90" s="279">
        <f>'Initial unit rates'!W218</f>
        <v>0</v>
      </c>
      <c r="X90" s="279">
        <f>'Initial unit rates'!X218</f>
        <v>0</v>
      </c>
      <c r="Y90" s="279">
        <f>'Initial unit rates'!Y218</f>
        <v>0</v>
      </c>
      <c r="Z90" s="267"/>
      <c r="AA90" s="267"/>
    </row>
    <row r="91" spans="4:27" x14ac:dyDescent="0.3">
      <c r="D91"/>
      <c r="F91" t="s">
        <v>199</v>
      </c>
      <c r="G91" t="s">
        <v>269</v>
      </c>
      <c r="H91" s="267"/>
      <c r="I91" s="267"/>
      <c r="J91" s="279">
        <f>'Initial unit rates'!J219</f>
        <v>4.0027340991781683E-3</v>
      </c>
      <c r="K91" s="279">
        <f>'Initial unit rates'!K219</f>
        <v>4.0027340991781683E-3</v>
      </c>
      <c r="L91" s="279">
        <f>'Initial unit rates'!L219</f>
        <v>4.5567188131758864E-3</v>
      </c>
      <c r="M91" s="279">
        <f>'Initial unit rates'!M219</f>
        <v>4.5567188131758864E-3</v>
      </c>
      <c r="N91" s="279">
        <f>'Initial unit rates'!N219</f>
        <v>3.6657368583917381E-3</v>
      </c>
      <c r="O91" s="279">
        <f>'Initial unit rates'!O219</f>
        <v>0</v>
      </c>
      <c r="P91" s="279">
        <f>'Initial unit rates'!P219</f>
        <v>0</v>
      </c>
      <c r="Q91" s="279">
        <f>'Initial unit rates'!Q219</f>
        <v>2.7322765577577745E-3</v>
      </c>
      <c r="R91" s="279">
        <f>'Initial unit rates'!R219</f>
        <v>0</v>
      </c>
      <c r="S91" s="279">
        <f>'Initial unit rates'!S219</f>
        <v>0</v>
      </c>
      <c r="T91" s="279">
        <f>'Initial unit rates'!T219</f>
        <v>0</v>
      </c>
      <c r="U91" s="279">
        <f>'Initial unit rates'!U219</f>
        <v>0</v>
      </c>
      <c r="V91" s="279">
        <f>'Initial unit rates'!V219</f>
        <v>0</v>
      </c>
      <c r="W91" s="279">
        <f>'Initial unit rates'!W219</f>
        <v>0</v>
      </c>
      <c r="X91" s="279">
        <f>'Initial unit rates'!X219</f>
        <v>0</v>
      </c>
      <c r="Y91" s="279">
        <f>'Initial unit rates'!Y219</f>
        <v>0</v>
      </c>
      <c r="Z91" s="267"/>
      <c r="AA91" s="267"/>
    </row>
    <row r="92" spans="4:27" x14ac:dyDescent="0.3">
      <c r="D92"/>
      <c r="F92" s="23" t="s">
        <v>376</v>
      </c>
      <c r="G92" s="23" t="s">
        <v>269</v>
      </c>
      <c r="H92" s="266"/>
      <c r="I92" s="266"/>
      <c r="J92" s="280"/>
      <c r="K92" s="280"/>
      <c r="L92" s="280"/>
      <c r="M92" s="280"/>
      <c r="N92" s="280"/>
      <c r="O92" s="280"/>
      <c r="P92" s="280"/>
      <c r="Q92" s="280"/>
      <c r="R92" s="280"/>
      <c r="S92" s="280"/>
      <c r="T92" s="280"/>
      <c r="U92" s="280"/>
      <c r="V92" s="280"/>
      <c r="W92" s="280"/>
      <c r="X92" s="280"/>
      <c r="Y92" s="280"/>
      <c r="Z92" s="267"/>
      <c r="AA92" s="267"/>
    </row>
    <row r="93" spans="4:27" x14ac:dyDescent="0.3">
      <c r="D93"/>
      <c r="F93" s="37" t="s">
        <v>377</v>
      </c>
      <c r="G93" s="37" t="s">
        <v>269</v>
      </c>
      <c r="H93" s="269"/>
      <c r="I93" s="269"/>
      <c r="J93" s="270"/>
      <c r="K93" s="270"/>
      <c r="L93" s="270"/>
      <c r="M93" s="270"/>
      <c r="N93" s="270"/>
      <c r="O93" s="270"/>
      <c r="P93" s="270"/>
      <c r="Q93" s="270"/>
      <c r="R93" s="270"/>
      <c r="S93" s="270"/>
      <c r="T93" s="270"/>
      <c r="U93" s="270"/>
      <c r="V93" s="270"/>
      <c r="W93" s="270"/>
      <c r="X93" s="270"/>
      <c r="Y93" s="270"/>
      <c r="Z93" s="267"/>
      <c r="AA93" s="267"/>
    </row>
    <row r="94" spans="4:27" x14ac:dyDescent="0.3">
      <c r="D94"/>
      <c r="J94" s="89"/>
      <c r="K94" s="89"/>
      <c r="L94" s="89"/>
      <c r="M94" s="89"/>
      <c r="N94" s="89"/>
      <c r="O94" s="89"/>
      <c r="P94" s="89"/>
      <c r="Q94" s="89"/>
      <c r="R94" s="89"/>
      <c r="S94" s="89"/>
      <c r="T94" s="89"/>
      <c r="U94" s="89"/>
      <c r="V94" s="89"/>
      <c r="W94" s="89"/>
      <c r="X94" s="89"/>
      <c r="Y94" s="89"/>
    </row>
    <row r="95" spans="4:27" x14ac:dyDescent="0.3">
      <c r="D95"/>
      <c r="E95" s="32" t="s">
        <v>622</v>
      </c>
      <c r="J95" s="89"/>
      <c r="K95" s="89"/>
      <c r="L95" s="89"/>
      <c r="M95" s="89"/>
      <c r="N95" s="89"/>
      <c r="O95" s="89"/>
      <c r="P95" s="89"/>
      <c r="Q95" s="89"/>
      <c r="R95" s="89"/>
      <c r="S95" s="89"/>
      <c r="T95" s="89"/>
      <c r="U95" s="89"/>
      <c r="V95" s="89"/>
      <c r="W95" s="89"/>
      <c r="X95" s="89"/>
      <c r="Y95" s="89"/>
    </row>
    <row r="96" spans="4:27" x14ac:dyDescent="0.3">
      <c r="D96"/>
      <c r="F96" s="23" t="s">
        <v>189</v>
      </c>
      <c r="G96" s="23" t="s">
        <v>269</v>
      </c>
      <c r="H96" s="266"/>
      <c r="I96" s="266"/>
      <c r="J96" s="278">
        <f>'Initial unit rates'!J222</f>
        <v>0</v>
      </c>
      <c r="K96" s="278">
        <f>'Initial unit rates'!K222</f>
        <v>0</v>
      </c>
      <c r="L96" s="278">
        <f>'Initial unit rates'!L222</f>
        <v>0</v>
      </c>
      <c r="M96" s="278">
        <f>'Initial unit rates'!M222</f>
        <v>0</v>
      </c>
      <c r="N96" s="278">
        <f>'Initial unit rates'!N222</f>
        <v>0</v>
      </c>
      <c r="O96" s="278">
        <f>'Initial unit rates'!O222</f>
        <v>0</v>
      </c>
      <c r="P96" s="278">
        <f>'Initial unit rates'!P222</f>
        <v>0</v>
      </c>
      <c r="Q96" s="278">
        <f>'Initial unit rates'!Q222</f>
        <v>0</v>
      </c>
      <c r="R96" s="278">
        <f>'Initial unit rates'!R222</f>
        <v>0</v>
      </c>
      <c r="S96" s="278">
        <f>'Initial unit rates'!S222</f>
        <v>0</v>
      </c>
      <c r="T96" s="278">
        <f>'Initial unit rates'!T222</f>
        <v>0</v>
      </c>
      <c r="U96" s="278">
        <f>'Initial unit rates'!U222</f>
        <v>0</v>
      </c>
      <c r="V96" s="278">
        <f>'Initial unit rates'!V222</f>
        <v>0</v>
      </c>
      <c r="W96" s="278">
        <f>'Initial unit rates'!W222</f>
        <v>0</v>
      </c>
      <c r="X96" s="278">
        <f>'Initial unit rates'!X222</f>
        <v>0</v>
      </c>
      <c r="Y96" s="278">
        <f>'Initial unit rates'!Y222</f>
        <v>0</v>
      </c>
      <c r="Z96" s="267"/>
      <c r="AA96" s="267"/>
    </row>
    <row r="97" spans="3:42" x14ac:dyDescent="0.3">
      <c r="D97"/>
      <c r="F97" t="s">
        <v>191</v>
      </c>
      <c r="G97" t="s">
        <v>269</v>
      </c>
      <c r="H97" s="267"/>
      <c r="I97" s="267"/>
      <c r="J97" s="279">
        <f>'Initial unit rates'!J223</f>
        <v>0</v>
      </c>
      <c r="K97" s="279">
        <f>'Initial unit rates'!K223</f>
        <v>0</v>
      </c>
      <c r="L97" s="279">
        <f>'Initial unit rates'!L223</f>
        <v>0</v>
      </c>
      <c r="M97" s="279">
        <f>'Initial unit rates'!M223</f>
        <v>0</v>
      </c>
      <c r="N97" s="279">
        <f>'Initial unit rates'!N223</f>
        <v>0</v>
      </c>
      <c r="O97" s="279">
        <f>'Initial unit rates'!O223</f>
        <v>0</v>
      </c>
      <c r="P97" s="279">
        <f>'Initial unit rates'!P223</f>
        <v>0</v>
      </c>
      <c r="Q97" s="279">
        <f>'Initial unit rates'!Q223</f>
        <v>0</v>
      </c>
      <c r="R97" s="279">
        <f>'Initial unit rates'!R223</f>
        <v>0</v>
      </c>
      <c r="S97" s="279">
        <f>'Initial unit rates'!S223</f>
        <v>0</v>
      </c>
      <c r="T97" s="279">
        <f>'Initial unit rates'!T223</f>
        <v>0</v>
      </c>
      <c r="U97" s="279">
        <f>'Initial unit rates'!U223</f>
        <v>0</v>
      </c>
      <c r="V97" s="279">
        <f>'Initial unit rates'!V223</f>
        <v>0</v>
      </c>
      <c r="W97" s="279">
        <f>'Initial unit rates'!W223</f>
        <v>0</v>
      </c>
      <c r="X97" s="279">
        <f>'Initial unit rates'!X223</f>
        <v>0</v>
      </c>
      <c r="Y97" s="279">
        <f>'Initial unit rates'!Y223</f>
        <v>0</v>
      </c>
      <c r="Z97" s="267"/>
      <c r="AA97" s="267"/>
    </row>
    <row r="98" spans="3:42" x14ac:dyDescent="0.3">
      <c r="D98"/>
      <c r="F98" t="s">
        <v>192</v>
      </c>
      <c r="G98" t="s">
        <v>269</v>
      </c>
      <c r="H98" s="267"/>
      <c r="I98" s="267"/>
      <c r="J98" s="279">
        <f>'Initial unit rates'!J224</f>
        <v>3.0742779371853396E-3</v>
      </c>
      <c r="K98" s="279">
        <f>'Initial unit rates'!K224</f>
        <v>3.0742779371853396E-3</v>
      </c>
      <c r="L98" s="279">
        <f>'Initial unit rates'!L224</f>
        <v>3.4997628536405177E-3</v>
      </c>
      <c r="M98" s="279">
        <f>'Initial unit rates'!M224</f>
        <v>3.4997628536405177E-3</v>
      </c>
      <c r="N98" s="279">
        <f>'Initial unit rates'!N224</f>
        <v>2.8154490575815778E-3</v>
      </c>
      <c r="O98" s="279">
        <f>'Initial unit rates'!O224</f>
        <v>2.0602880325625863E-3</v>
      </c>
      <c r="P98" s="279">
        <f>'Initial unit rates'!P224</f>
        <v>2.3162986598828129E-3</v>
      </c>
      <c r="Q98" s="279">
        <f>'Initial unit rates'!Q224</f>
        <v>2.0985100013333519E-3</v>
      </c>
      <c r="R98" s="279">
        <f>'Initial unit rates'!R224</f>
        <v>-2.1454528026335976E-3</v>
      </c>
      <c r="S98" s="279">
        <f>'Initial unit rates'!S224</f>
        <v>-2.1001817801927052E-3</v>
      </c>
      <c r="T98" s="279">
        <f>'Initial unit rates'!T224</f>
        <v>-2.1454528026335976E-3</v>
      </c>
      <c r="U98" s="279">
        <f>'Initial unit rates'!U224</f>
        <v>-2.1454528026335976E-3</v>
      </c>
      <c r="V98" s="279">
        <f>'Initial unit rates'!V224</f>
        <v>-2.1001817801927052E-3</v>
      </c>
      <c r="W98" s="279">
        <f>'Initial unit rates'!W224</f>
        <v>-2.1001817801927052E-3</v>
      </c>
      <c r="X98" s="279">
        <f>'Initial unit rates'!X224</f>
        <v>-2.068688895016432E-3</v>
      </c>
      <c r="Y98" s="279">
        <f>'Initial unit rates'!Y224</f>
        <v>-2.068688895016432E-3</v>
      </c>
      <c r="Z98" s="267"/>
      <c r="AA98" s="267"/>
    </row>
    <row r="99" spans="3:42" x14ac:dyDescent="0.3">
      <c r="D99"/>
      <c r="F99" t="s">
        <v>193</v>
      </c>
      <c r="G99" t="s">
        <v>269</v>
      </c>
      <c r="H99" s="267"/>
      <c r="I99" s="267"/>
      <c r="J99" s="279">
        <f>'Initial unit rates'!J225</f>
        <v>7.2782670990318191E-4</v>
      </c>
      <c r="K99" s="279">
        <f>'Initial unit rates'!K225</f>
        <v>7.2782670990318191E-4</v>
      </c>
      <c r="L99" s="279">
        <f>'Initial unit rates'!L225</f>
        <v>8.285590747655891E-4</v>
      </c>
      <c r="M99" s="279">
        <f>'Initial unit rates'!M225</f>
        <v>8.285590747655891E-4</v>
      </c>
      <c r="N99" s="279">
        <f>'Initial unit rates'!N225</f>
        <v>6.6654969600950416E-4</v>
      </c>
      <c r="O99" s="279">
        <f>'Initial unit rates'!O225</f>
        <v>4.8776743379482017E-4</v>
      </c>
      <c r="P99" s="279">
        <f>'Initial unit rates'!P225</f>
        <v>5.4837723433657809E-4</v>
      </c>
      <c r="Q99" s="279">
        <f>'Initial unit rates'!Q225</f>
        <v>4.9681637808185442E-4</v>
      </c>
      <c r="R99" s="279">
        <f>'Initial unit rates'!R225</f>
        <v>-5.0792995509801636E-4</v>
      </c>
      <c r="S99" s="279">
        <f>'Initial unit rates'!S225</f>
        <v>-4.9721216705466364E-4</v>
      </c>
      <c r="T99" s="279">
        <f>'Initial unit rates'!T225</f>
        <v>-5.0792995509801636E-4</v>
      </c>
      <c r="U99" s="279">
        <f>'Initial unit rates'!U225</f>
        <v>-5.0792995509801636E-4</v>
      </c>
      <c r="V99" s="279">
        <f>'Initial unit rates'!V225</f>
        <v>-4.9721216705466364E-4</v>
      </c>
      <c r="W99" s="279">
        <f>'Initial unit rates'!W225</f>
        <v>-4.9721216705466364E-4</v>
      </c>
      <c r="X99" s="279">
        <f>'Initial unit rates'!X225</f>
        <v>-4.8975631450276611E-4</v>
      </c>
      <c r="Y99" s="279">
        <f>'Initial unit rates'!Y225</f>
        <v>-4.8975631450276611E-4</v>
      </c>
      <c r="Z99" s="267"/>
      <c r="AA99" s="267"/>
    </row>
    <row r="100" spans="3:42" x14ac:dyDescent="0.3">
      <c r="D100"/>
      <c r="F100" t="s">
        <v>194</v>
      </c>
      <c r="G100" t="s">
        <v>269</v>
      </c>
      <c r="H100" s="267"/>
      <c r="I100" s="267"/>
      <c r="J100" s="279">
        <f>'Initial unit rates'!J226</f>
        <v>1.9576190129438334E-3</v>
      </c>
      <c r="K100" s="279">
        <f>'Initial unit rates'!K226</f>
        <v>1.9576190129438334E-3</v>
      </c>
      <c r="L100" s="279">
        <f>'Initial unit rates'!L226</f>
        <v>2.228556572654544E-3</v>
      </c>
      <c r="M100" s="279">
        <f>'Initial unit rates'!M226</f>
        <v>2.228556572654544E-3</v>
      </c>
      <c r="N100" s="279">
        <f>'Initial unit rates'!N226</f>
        <v>1.7928036168852796E-3</v>
      </c>
      <c r="O100" s="279">
        <f>'Initial unit rates'!O226</f>
        <v>1.3119370164617642E-3</v>
      </c>
      <c r="P100" s="279">
        <f>'Initial unit rates'!P226</f>
        <v>1.4749578238831653E-3</v>
      </c>
      <c r="Q100" s="279">
        <f>'Initial unit rates'!Q226</f>
        <v>1.336275756909644E-3</v>
      </c>
      <c r="R100" s="279">
        <f>'Initial unit rates'!R226</f>
        <v>-1.3661676932354601E-3</v>
      </c>
      <c r="S100" s="279">
        <f>'Initial unit rates'!S226</f>
        <v>-1.3373403015433355E-3</v>
      </c>
      <c r="T100" s="279">
        <f>'Initial unit rates'!T226</f>
        <v>-1.3661676932354601E-3</v>
      </c>
      <c r="U100" s="279">
        <f>'Initial unit rates'!U226</f>
        <v>-1.3661676932354601E-3</v>
      </c>
      <c r="V100" s="279">
        <f>'Initial unit rates'!V226</f>
        <v>-1.3373403015433355E-3</v>
      </c>
      <c r="W100" s="279">
        <f>'Initial unit rates'!W226</f>
        <v>-1.3373403015433355E-3</v>
      </c>
      <c r="X100" s="279">
        <f>'Initial unit rates'!X226</f>
        <v>-1.3172864638444661E-3</v>
      </c>
      <c r="Y100" s="279">
        <f>'Initial unit rates'!Y226</f>
        <v>-1.3172864638444661E-3</v>
      </c>
      <c r="Z100" s="267"/>
      <c r="AA100" s="267"/>
    </row>
    <row r="101" spans="3:42" x14ac:dyDescent="0.3">
      <c r="D101"/>
      <c r="F101" t="s">
        <v>195</v>
      </c>
      <c r="G101" t="s">
        <v>269</v>
      </c>
      <c r="H101" s="267"/>
      <c r="I101" s="267"/>
      <c r="J101" s="279">
        <f>'Initial unit rates'!J227</f>
        <v>3.7736789564067697E-3</v>
      </c>
      <c r="K101" s="279">
        <f>'Initial unit rates'!K227</f>
        <v>3.7736789564067697E-3</v>
      </c>
      <c r="L101" s="279">
        <f>'Initial unit rates'!L227</f>
        <v>4.2959620772899275E-3</v>
      </c>
      <c r="M101" s="279">
        <f>'Initial unit rates'!M227</f>
        <v>4.2959620772899275E-3</v>
      </c>
      <c r="N101" s="279">
        <f>'Initial unit rates'!N227</f>
        <v>3.4559662719234299E-3</v>
      </c>
      <c r="O101" s="279">
        <f>'Initial unit rates'!O227</f>
        <v>2.5290054287467668E-3</v>
      </c>
      <c r="P101" s="279">
        <f>'Initial unit rates'!P227</f>
        <v>2.8432587059957818E-3</v>
      </c>
      <c r="Q101" s="279">
        <f>'Initial unit rates'!Q227</f>
        <v>2.5759229300819689E-3</v>
      </c>
      <c r="R101" s="279">
        <f>'Initial unit rates'!R227</f>
        <v>-2.6335452612573046E-3</v>
      </c>
      <c r="S101" s="279">
        <f>'Initial unit rates'!S227</f>
        <v>-2.5779750401482052E-3</v>
      </c>
      <c r="T101" s="279">
        <f>'Initial unit rates'!T227</f>
        <v>-2.6335452612573046E-3</v>
      </c>
      <c r="U101" s="279">
        <f>'Initial unit rates'!U227</f>
        <v>-2.6335452612573046E-3</v>
      </c>
      <c r="V101" s="279">
        <f>'Initial unit rates'!V227</f>
        <v>-2.5779750401482052E-3</v>
      </c>
      <c r="W101" s="279">
        <f>'Initial unit rates'!W227</f>
        <v>-2.5779750401482052E-3</v>
      </c>
      <c r="X101" s="279">
        <f>'Initial unit rates'!X227</f>
        <v>-2.5393174950288319E-3</v>
      </c>
      <c r="Y101" s="279">
        <f>'Initial unit rates'!Y227</f>
        <v>-2.5393174950288319E-3</v>
      </c>
      <c r="Z101" s="267"/>
      <c r="AA101" s="267"/>
    </row>
    <row r="102" spans="3:42" x14ac:dyDescent="0.3">
      <c r="D102"/>
      <c r="F102" t="s">
        <v>196</v>
      </c>
      <c r="G102" t="s">
        <v>269</v>
      </c>
      <c r="H102" s="267"/>
      <c r="I102" s="267"/>
      <c r="J102" s="279">
        <f>'Initial unit rates'!J228</f>
        <v>1.5225106607806211E-3</v>
      </c>
      <c r="K102" s="279">
        <f>'Initial unit rates'!K228</f>
        <v>1.5225106607806211E-3</v>
      </c>
      <c r="L102" s="279">
        <f>'Initial unit rates'!L228</f>
        <v>1.733228538129557E-3</v>
      </c>
      <c r="M102" s="279">
        <f>'Initial unit rates'!M228</f>
        <v>1.733228538129557E-3</v>
      </c>
      <c r="N102" s="279">
        <f>'Initial unit rates'!N228</f>
        <v>1.3943278040037148E-3</v>
      </c>
      <c r="O102" s="279">
        <f>'Initial unit rates'!O228</f>
        <v>1.0203405671014838E-3</v>
      </c>
      <c r="P102" s="279">
        <f>'Initial unit rates'!P228</f>
        <v>1.1471277077999733E-3</v>
      </c>
      <c r="Q102" s="279">
        <f>'Initial unit rates'!Q228</f>
        <v>1.0392696802521294E-3</v>
      </c>
      <c r="R102" s="279">
        <f>'Initial unit rates'!R228</f>
        <v>-1.0625177134120608E-3</v>
      </c>
      <c r="S102" s="279">
        <f>'Initial unit rates'!S228</f>
        <v>-1.0400976148721734E-3</v>
      </c>
      <c r="T102" s="279">
        <f>'Initial unit rates'!T228</f>
        <v>-1.0625177134120608E-3</v>
      </c>
      <c r="U102" s="279">
        <f>'Initial unit rates'!U228</f>
        <v>-1.0625177134120608E-3</v>
      </c>
      <c r="V102" s="279">
        <f>'Initial unit rates'!V228</f>
        <v>-1.0400976148721734E-3</v>
      </c>
      <c r="W102" s="279">
        <f>'Initial unit rates'!W228</f>
        <v>-1.0400976148721734E-3</v>
      </c>
      <c r="X102" s="279">
        <f>'Initial unit rates'!X228</f>
        <v>-1.0245010245835558E-3</v>
      </c>
      <c r="Y102" s="279">
        <f>'Initial unit rates'!Y228</f>
        <v>-1.0245010245835558E-3</v>
      </c>
      <c r="Z102" s="267"/>
      <c r="AA102" s="267"/>
    </row>
    <row r="103" spans="3:42" x14ac:dyDescent="0.3">
      <c r="D103"/>
      <c r="F103" t="s">
        <v>197</v>
      </c>
      <c r="G103" t="s">
        <v>269</v>
      </c>
      <c r="H103" s="267"/>
      <c r="I103" s="267"/>
      <c r="J103" s="279">
        <f>'Initial unit rates'!J229</f>
        <v>2.4080830568202576E-2</v>
      </c>
      <c r="K103" s="279">
        <f>'Initial unit rates'!K229</f>
        <v>2.4080830568202576E-2</v>
      </c>
      <c r="L103" s="279">
        <f>'Initial unit rates'!L229</f>
        <v>2.741365550850831E-2</v>
      </c>
      <c r="M103" s="279">
        <f>'Initial unit rates'!M229</f>
        <v>2.741365550850831E-2</v>
      </c>
      <c r="N103" s="279">
        <f>'Initial unit rates'!N229</f>
        <v>2.2053422987220371E-2</v>
      </c>
      <c r="O103" s="279">
        <f>'Initial unit rates'!O229</f>
        <v>1.6138243856786336E-2</v>
      </c>
      <c r="P103" s="279">
        <f>'Initial unit rates'!P229</f>
        <v>1.8143576057101953E-2</v>
      </c>
      <c r="Q103" s="279">
        <f>'Initial unit rates'!Q229</f>
        <v>1.6437636680974064E-2</v>
      </c>
      <c r="R103" s="279">
        <f>'Initial unit rates'!R229</f>
        <v>-1.6805339818948301E-2</v>
      </c>
      <c r="S103" s="279">
        <f>'Initial unit rates'!S229</f>
        <v>-1.6450731731025538E-2</v>
      </c>
      <c r="T103" s="279">
        <f>'Initial unit rates'!T229</f>
        <v>-1.6805339818948301E-2</v>
      </c>
      <c r="U103" s="279">
        <f>'Initial unit rates'!U229</f>
        <v>-1.6805339818948301E-2</v>
      </c>
      <c r="V103" s="279">
        <f>'Initial unit rates'!V229</f>
        <v>-1.6450731731025538E-2</v>
      </c>
      <c r="W103" s="279">
        <f>'Initial unit rates'!W229</f>
        <v>-1.6450731731025538E-2</v>
      </c>
      <c r="X103" s="279">
        <f>'Initial unit rates'!X229</f>
        <v>0</v>
      </c>
      <c r="Y103" s="279">
        <f>'Initial unit rates'!Y229</f>
        <v>0</v>
      </c>
      <c r="Z103" s="267"/>
      <c r="AA103" s="267"/>
    </row>
    <row r="104" spans="3:42" x14ac:dyDescent="0.3">
      <c r="D104"/>
      <c r="F104" t="s">
        <v>198</v>
      </c>
      <c r="G104" t="s">
        <v>269</v>
      </c>
      <c r="H104" s="267"/>
      <c r="I104" s="267"/>
      <c r="J104" s="279">
        <f>'Initial unit rates'!J230</f>
        <v>1.173236665396426E-2</v>
      </c>
      <c r="K104" s="279">
        <f>'Initial unit rates'!K230</f>
        <v>1.173236665396426E-2</v>
      </c>
      <c r="L104" s="279">
        <f>'Initial unit rates'!L230</f>
        <v>1.3356144707731863E-2</v>
      </c>
      <c r="M104" s="279">
        <f>'Initial unit rates'!M230</f>
        <v>1.3356144707731863E-2</v>
      </c>
      <c r="N104" s="279">
        <f>'Initial unit rates'!N230</f>
        <v>1.0744598020746165E-2</v>
      </c>
      <c r="O104" s="279">
        <f>'Initial unit rates'!O230</f>
        <v>7.8626770593584246E-3</v>
      </c>
      <c r="P104" s="279">
        <f>'Initial unit rates'!P230</f>
        <v>0</v>
      </c>
      <c r="Q104" s="279">
        <f>'Initial unit rates'!Q230</f>
        <v>8.0085435558228165E-3</v>
      </c>
      <c r="R104" s="279">
        <f>'Initial unit rates'!R230</f>
        <v>-8.1876913647951285E-3</v>
      </c>
      <c r="S104" s="279">
        <f>'Initial unit rates'!S230</f>
        <v>0</v>
      </c>
      <c r="T104" s="279">
        <f>'Initial unit rates'!T230</f>
        <v>-8.1876913647951285E-3</v>
      </c>
      <c r="U104" s="279">
        <f>'Initial unit rates'!U230</f>
        <v>-8.1876913647951285E-3</v>
      </c>
      <c r="V104" s="279">
        <f>'Initial unit rates'!V230</f>
        <v>0</v>
      </c>
      <c r="W104" s="279">
        <f>'Initial unit rates'!W230</f>
        <v>0</v>
      </c>
      <c r="X104" s="279">
        <f>'Initial unit rates'!X230</f>
        <v>0</v>
      </c>
      <c r="Y104" s="279">
        <f>'Initial unit rates'!Y230</f>
        <v>0</v>
      </c>
      <c r="Z104" s="267"/>
      <c r="AA104" s="267"/>
    </row>
    <row r="105" spans="3:42" x14ac:dyDescent="0.3">
      <c r="D105"/>
      <c r="F105" t="s">
        <v>199</v>
      </c>
      <c r="G105" t="s">
        <v>269</v>
      </c>
      <c r="H105" s="267"/>
      <c r="I105" s="267"/>
      <c r="J105" s="279">
        <f>'Initial unit rates'!J231</f>
        <v>2.6931309571841044E-2</v>
      </c>
      <c r="K105" s="279">
        <f>'Initial unit rates'!K231</f>
        <v>2.6931309571841044E-2</v>
      </c>
      <c r="L105" s="279">
        <f>'Initial unit rates'!L231</f>
        <v>3.0658645303136212E-2</v>
      </c>
      <c r="M105" s="279">
        <f>'Initial unit rates'!M231</f>
        <v>3.0658645303136212E-2</v>
      </c>
      <c r="N105" s="279">
        <f>'Initial unit rates'!N231</f>
        <v>2.4663915138036653E-2</v>
      </c>
      <c r="O105" s="279">
        <f>'Initial unit rates'!O231</f>
        <v>0</v>
      </c>
      <c r="P105" s="279">
        <f>'Initial unit rates'!P231</f>
        <v>0</v>
      </c>
      <c r="Q105" s="279">
        <f>'Initial unit rates'!Q231</f>
        <v>1.8383380956523414E-2</v>
      </c>
      <c r="R105" s="279">
        <f>'Initial unit rates'!R231</f>
        <v>0</v>
      </c>
      <c r="S105" s="279">
        <f>'Initial unit rates'!S231</f>
        <v>0</v>
      </c>
      <c r="T105" s="279">
        <f>'Initial unit rates'!T231</f>
        <v>0</v>
      </c>
      <c r="U105" s="279">
        <f>'Initial unit rates'!U231</f>
        <v>0</v>
      </c>
      <c r="V105" s="279">
        <f>'Initial unit rates'!V231</f>
        <v>0</v>
      </c>
      <c r="W105" s="279">
        <f>'Initial unit rates'!W231</f>
        <v>0</v>
      </c>
      <c r="X105" s="279">
        <f>'Initial unit rates'!X231</f>
        <v>0</v>
      </c>
      <c r="Y105" s="279">
        <f>'Initial unit rates'!Y231</f>
        <v>0</v>
      </c>
      <c r="Z105" s="267"/>
      <c r="AA105" s="267"/>
    </row>
    <row r="106" spans="3:42" x14ac:dyDescent="0.3">
      <c r="D106"/>
      <c r="F106" s="23" t="s">
        <v>376</v>
      </c>
      <c r="G106" s="23" t="s">
        <v>269</v>
      </c>
      <c r="H106" s="266"/>
      <c r="I106" s="266" t="s">
        <v>154</v>
      </c>
      <c r="J106" s="280"/>
      <c r="K106" s="280"/>
      <c r="L106" s="280"/>
      <c r="M106" s="280"/>
      <c r="N106" s="280"/>
      <c r="O106" s="280"/>
      <c r="P106" s="280"/>
      <c r="Q106" s="278">
        <f>'Service model charges'!$Q$44</f>
        <v>0.8808124324004668</v>
      </c>
      <c r="R106" s="280"/>
      <c r="S106" s="280"/>
      <c r="T106" s="280"/>
      <c r="U106" s="280"/>
      <c r="V106" s="280"/>
      <c r="W106" s="280"/>
      <c r="X106" s="280"/>
      <c r="Y106" s="280"/>
      <c r="Z106" s="267"/>
      <c r="AA106" s="267" t="s">
        <v>654</v>
      </c>
    </row>
    <row r="107" spans="3:42" x14ac:dyDescent="0.3">
      <c r="D107"/>
      <c r="F107" s="37" t="s">
        <v>377</v>
      </c>
      <c r="G107" s="37" t="s">
        <v>269</v>
      </c>
      <c r="H107" s="269"/>
      <c r="I107" s="269"/>
      <c r="J107" s="270"/>
      <c r="K107" s="270"/>
      <c r="L107" s="270"/>
      <c r="M107" s="270"/>
      <c r="N107" s="270"/>
      <c r="O107" s="270"/>
      <c r="P107" s="270"/>
      <c r="Q107" s="270"/>
      <c r="R107" s="270"/>
      <c r="S107" s="270"/>
      <c r="T107" s="270"/>
      <c r="U107" s="270"/>
      <c r="V107" s="270"/>
      <c r="W107" s="270"/>
      <c r="X107" s="270"/>
      <c r="Y107" s="270"/>
      <c r="Z107" s="267"/>
      <c r="AA107" s="267"/>
    </row>
    <row r="109" spans="3:42" x14ac:dyDescent="0.3">
      <c r="C109" s="31" t="str">
        <f ca="1">INDEX('Version control'!$H$34:$H$57,MATCH($A$1,'Version control'!$F$34:$F$57,0),1)&amp;"-D: Standing charge factors"</f>
        <v>Section 111-D: Standing charge factors</v>
      </c>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row>
    <row r="110" spans="3:42" x14ac:dyDescent="0.3">
      <c r="D110" s="32"/>
      <c r="E110" s="32"/>
      <c r="J110" s="63"/>
      <c r="K110" s="63"/>
      <c r="L110" s="63"/>
      <c r="M110" s="63"/>
      <c r="N110" s="63"/>
      <c r="O110" s="63"/>
      <c r="P110" s="63"/>
      <c r="Q110" s="63"/>
      <c r="R110" s="63"/>
      <c r="S110" s="63"/>
      <c r="T110" s="63"/>
      <c r="U110" s="63"/>
      <c r="V110" s="63"/>
      <c r="W110" s="63"/>
      <c r="X110" s="63"/>
      <c r="Y110" s="63"/>
    </row>
    <row r="111" spans="3:42" x14ac:dyDescent="0.3">
      <c r="D111"/>
      <c r="E111" s="32" t="s">
        <v>120</v>
      </c>
      <c r="H111" s="14"/>
      <c r="I111" t="s">
        <v>154</v>
      </c>
      <c r="J111" s="63"/>
      <c r="L111" s="63"/>
      <c r="AA111" t="s">
        <v>203</v>
      </c>
      <c r="AP111" s="3"/>
    </row>
    <row r="112" spans="3:42" x14ac:dyDescent="0.3">
      <c r="C112" s="32"/>
      <c r="D112"/>
      <c r="E112"/>
      <c r="F112" s="23" t="s">
        <v>191</v>
      </c>
      <c r="G112" s="23" t="s">
        <v>167</v>
      </c>
      <c r="H112" s="129"/>
      <c r="I112" s="23"/>
      <c r="J112" s="107">
        <f>'Standing charge factors'!J44</f>
        <v>0</v>
      </c>
      <c r="K112" s="107">
        <f>'Standing charge factors'!K44</f>
        <v>0</v>
      </c>
      <c r="L112" s="107">
        <f>'Standing charge factors'!L44</f>
        <v>0</v>
      </c>
      <c r="M112" s="107">
        <f>'Standing charge factors'!M44</f>
        <v>0</v>
      </c>
      <c r="N112" s="107">
        <f>'Standing charge factors'!N44</f>
        <v>0</v>
      </c>
      <c r="O112" s="107">
        <f>'Standing charge factors'!O44</f>
        <v>0</v>
      </c>
      <c r="P112" s="107">
        <f>'Standing charge factors'!P44</f>
        <v>0</v>
      </c>
      <c r="Q112" s="107">
        <f>'Standing charge factors'!Q44</f>
        <v>0</v>
      </c>
      <c r="R112" s="107">
        <f>'Standing charge factors'!R44</f>
        <v>0</v>
      </c>
      <c r="S112" s="107">
        <f>'Standing charge factors'!S44</f>
        <v>0</v>
      </c>
      <c r="T112" s="107">
        <f>'Standing charge factors'!T44</f>
        <v>0</v>
      </c>
      <c r="U112" s="107">
        <f>'Standing charge factors'!U44</f>
        <v>0</v>
      </c>
      <c r="V112" s="107">
        <f>'Standing charge factors'!V44</f>
        <v>0</v>
      </c>
      <c r="W112" s="107">
        <f>'Standing charge factors'!W44</f>
        <v>0</v>
      </c>
      <c r="X112" s="107">
        <f>'Standing charge factors'!X44</f>
        <v>0</v>
      </c>
      <c r="Y112" s="107">
        <f>'Standing charge factors'!Y44</f>
        <v>0</v>
      </c>
      <c r="AP112" s="3"/>
    </row>
    <row r="113" spans="2:42" x14ac:dyDescent="0.3">
      <c r="C113" s="32"/>
      <c r="D113"/>
      <c r="E113"/>
      <c r="F113" t="s">
        <v>192</v>
      </c>
      <c r="G113" t="s">
        <v>167</v>
      </c>
      <c r="H113" s="63"/>
      <c r="J113" s="25">
        <f>'Standing charge factors'!J45</f>
        <v>0</v>
      </c>
      <c r="K113" s="25">
        <f>'Standing charge factors'!K45</f>
        <v>0</v>
      </c>
      <c r="L113" s="25">
        <f>'Standing charge factors'!L45</f>
        <v>0</v>
      </c>
      <c r="M113" s="25">
        <f>'Standing charge factors'!M45</f>
        <v>0</v>
      </c>
      <c r="N113" s="25">
        <f>'Standing charge factors'!N45</f>
        <v>0</v>
      </c>
      <c r="O113" s="25">
        <f>'Standing charge factors'!O45</f>
        <v>0</v>
      </c>
      <c r="P113" s="25">
        <f>'Standing charge factors'!P45</f>
        <v>0.13851312583363759</v>
      </c>
      <c r="Q113" s="25">
        <f>'Standing charge factors'!Q45</f>
        <v>0</v>
      </c>
      <c r="R113" s="25">
        <f>'Standing charge factors'!R45</f>
        <v>0</v>
      </c>
      <c r="S113" s="25">
        <f>'Standing charge factors'!S45</f>
        <v>0</v>
      </c>
      <c r="T113" s="25">
        <f>'Standing charge factors'!T45</f>
        <v>0</v>
      </c>
      <c r="U113" s="25">
        <f>'Standing charge factors'!U45</f>
        <v>0</v>
      </c>
      <c r="V113" s="25">
        <f>'Standing charge factors'!V45</f>
        <v>0</v>
      </c>
      <c r="W113" s="25">
        <f>'Standing charge factors'!W45</f>
        <v>0</v>
      </c>
      <c r="X113" s="25">
        <f>'Standing charge factors'!X45</f>
        <v>0</v>
      </c>
      <c r="Y113" s="25">
        <f>'Standing charge factors'!Y45</f>
        <v>0</v>
      </c>
      <c r="AP113" s="3"/>
    </row>
    <row r="114" spans="2:42" x14ac:dyDescent="0.3">
      <c r="C114" s="32"/>
      <c r="D114"/>
      <c r="E114"/>
      <c r="F114" t="s">
        <v>193</v>
      </c>
      <c r="G114" t="s">
        <v>167</v>
      </c>
      <c r="H114" s="63"/>
      <c r="J114" s="25">
        <f>'Standing charge factors'!J46</f>
        <v>0</v>
      </c>
      <c r="K114" s="25">
        <f>'Standing charge factors'!K46</f>
        <v>0</v>
      </c>
      <c r="L114" s="25">
        <f>'Standing charge factors'!L46</f>
        <v>0</v>
      </c>
      <c r="M114" s="25">
        <f>'Standing charge factors'!M46</f>
        <v>0</v>
      </c>
      <c r="N114" s="25">
        <f>'Standing charge factors'!N46</f>
        <v>0</v>
      </c>
      <c r="O114" s="25">
        <f>'Standing charge factors'!O46</f>
        <v>0</v>
      </c>
      <c r="P114" s="25">
        <f>'Standing charge factors'!P46</f>
        <v>0</v>
      </c>
      <c r="Q114" s="25">
        <f>'Standing charge factors'!Q46</f>
        <v>0</v>
      </c>
      <c r="R114" s="25">
        <f>'Standing charge factors'!R46</f>
        <v>0</v>
      </c>
      <c r="S114" s="25">
        <f>'Standing charge factors'!S46</f>
        <v>0</v>
      </c>
      <c r="T114" s="25">
        <f>'Standing charge factors'!T46</f>
        <v>0</v>
      </c>
      <c r="U114" s="25">
        <f>'Standing charge factors'!U46</f>
        <v>0</v>
      </c>
      <c r="V114" s="25">
        <f>'Standing charge factors'!V46</f>
        <v>0</v>
      </c>
      <c r="W114" s="25">
        <f>'Standing charge factors'!W46</f>
        <v>0</v>
      </c>
      <c r="X114" s="25">
        <f>'Standing charge factors'!X46</f>
        <v>0</v>
      </c>
      <c r="Y114" s="25">
        <f>'Standing charge factors'!Y46</f>
        <v>0</v>
      </c>
      <c r="AP114" s="3"/>
    </row>
    <row r="115" spans="2:42" x14ac:dyDescent="0.3">
      <c r="C115" s="32"/>
      <c r="D115"/>
      <c r="E115"/>
      <c r="F115" t="s">
        <v>194</v>
      </c>
      <c r="G115" t="s">
        <v>167</v>
      </c>
      <c r="H115" s="63"/>
      <c r="J115" s="25">
        <f>'Standing charge factors'!J47</f>
        <v>0</v>
      </c>
      <c r="K115" s="25">
        <f>'Standing charge factors'!K47</f>
        <v>0</v>
      </c>
      <c r="L115" s="25">
        <f>'Standing charge factors'!L47</f>
        <v>0</v>
      </c>
      <c r="M115" s="25">
        <f>'Standing charge factors'!M47</f>
        <v>0</v>
      </c>
      <c r="N115" s="25">
        <f>'Standing charge factors'!N47</f>
        <v>0</v>
      </c>
      <c r="O115" s="25">
        <f>'Standing charge factors'!O47</f>
        <v>0</v>
      </c>
      <c r="P115" s="25">
        <f>'Standing charge factors'!P47</f>
        <v>0.2</v>
      </c>
      <c r="Q115" s="25">
        <f>'Standing charge factors'!Q47</f>
        <v>0</v>
      </c>
      <c r="R115" s="25">
        <f>'Standing charge factors'!R47</f>
        <v>0</v>
      </c>
      <c r="S115" s="25">
        <f>'Standing charge factors'!S47</f>
        <v>0</v>
      </c>
      <c r="T115" s="25">
        <f>'Standing charge factors'!T47</f>
        <v>0</v>
      </c>
      <c r="U115" s="25">
        <f>'Standing charge factors'!U47</f>
        <v>0</v>
      </c>
      <c r="V115" s="25">
        <f>'Standing charge factors'!V47</f>
        <v>0</v>
      </c>
      <c r="W115" s="25">
        <f>'Standing charge factors'!W47</f>
        <v>0</v>
      </c>
      <c r="X115" s="25">
        <f>'Standing charge factors'!X47</f>
        <v>0</v>
      </c>
      <c r="Y115" s="25">
        <f>'Standing charge factors'!Y47</f>
        <v>0</v>
      </c>
      <c r="AP115" s="3"/>
    </row>
    <row r="116" spans="2:42" x14ac:dyDescent="0.3">
      <c r="C116" s="32"/>
      <c r="D116"/>
      <c r="E116"/>
      <c r="F116" t="s">
        <v>195</v>
      </c>
      <c r="G116" t="s">
        <v>167</v>
      </c>
      <c r="H116" s="63"/>
      <c r="J116" s="25">
        <f>'Standing charge factors'!J48</f>
        <v>0</v>
      </c>
      <c r="K116" s="25">
        <f>'Standing charge factors'!K48</f>
        <v>0</v>
      </c>
      <c r="L116" s="25">
        <f>'Standing charge factors'!L48</f>
        <v>0</v>
      </c>
      <c r="M116" s="25">
        <f>'Standing charge factors'!M48</f>
        <v>0</v>
      </c>
      <c r="N116" s="25">
        <f>'Standing charge factors'!N48</f>
        <v>0</v>
      </c>
      <c r="O116" s="25">
        <f>'Standing charge factors'!O48</f>
        <v>0</v>
      </c>
      <c r="P116" s="25">
        <f>'Standing charge factors'!P48</f>
        <v>1</v>
      </c>
      <c r="Q116" s="25">
        <f>'Standing charge factors'!Q48</f>
        <v>0</v>
      </c>
      <c r="R116" s="25">
        <f>'Standing charge factors'!R48</f>
        <v>0</v>
      </c>
      <c r="S116" s="25">
        <f>'Standing charge factors'!S48</f>
        <v>0</v>
      </c>
      <c r="T116" s="25">
        <f>'Standing charge factors'!T48</f>
        <v>0</v>
      </c>
      <c r="U116" s="25">
        <f>'Standing charge factors'!U48</f>
        <v>0</v>
      </c>
      <c r="V116" s="25">
        <f>'Standing charge factors'!V48</f>
        <v>0</v>
      </c>
      <c r="W116" s="25">
        <f>'Standing charge factors'!W48</f>
        <v>0</v>
      </c>
      <c r="X116" s="25">
        <f>'Standing charge factors'!X48</f>
        <v>0</v>
      </c>
      <c r="Y116" s="25">
        <f>'Standing charge factors'!Y48</f>
        <v>0</v>
      </c>
      <c r="AP116" s="3"/>
    </row>
    <row r="117" spans="2:42" x14ac:dyDescent="0.3">
      <c r="C117" s="32"/>
      <c r="D117"/>
      <c r="E117"/>
      <c r="F117" t="s">
        <v>196</v>
      </c>
      <c r="G117" t="s">
        <v>167</v>
      </c>
      <c r="H117" s="63"/>
      <c r="J117" s="25">
        <f>'Standing charge factors'!J49</f>
        <v>0</v>
      </c>
      <c r="K117" s="25">
        <f>'Standing charge factors'!K49</f>
        <v>0</v>
      </c>
      <c r="L117" s="25">
        <f>'Standing charge factors'!L49</f>
        <v>0</v>
      </c>
      <c r="M117" s="25">
        <f>'Standing charge factors'!M49</f>
        <v>0</v>
      </c>
      <c r="N117" s="25">
        <f>'Standing charge factors'!N49</f>
        <v>0</v>
      </c>
      <c r="O117" s="25">
        <f>'Standing charge factors'!O49</f>
        <v>0</v>
      </c>
      <c r="P117" s="25">
        <f>'Standing charge factors'!P49</f>
        <v>1</v>
      </c>
      <c r="Q117" s="25">
        <f>'Standing charge factors'!Q49</f>
        <v>0</v>
      </c>
      <c r="R117" s="25">
        <f>'Standing charge factors'!R49</f>
        <v>0</v>
      </c>
      <c r="S117" s="25">
        <f>'Standing charge factors'!S49</f>
        <v>0</v>
      </c>
      <c r="T117" s="25">
        <f>'Standing charge factors'!T49</f>
        <v>0</v>
      </c>
      <c r="U117" s="25">
        <f>'Standing charge factors'!U49</f>
        <v>0</v>
      </c>
      <c r="V117" s="25">
        <f>'Standing charge factors'!V49</f>
        <v>0</v>
      </c>
      <c r="W117" s="25">
        <f>'Standing charge factors'!W49</f>
        <v>0</v>
      </c>
      <c r="X117" s="25">
        <f>'Standing charge factors'!X49</f>
        <v>0</v>
      </c>
      <c r="Y117" s="25">
        <f>'Standing charge factors'!Y49</f>
        <v>0</v>
      </c>
      <c r="AP117" s="3"/>
    </row>
    <row r="118" spans="2:42" x14ac:dyDescent="0.3">
      <c r="C118" s="32"/>
      <c r="D118"/>
      <c r="E118"/>
      <c r="F118" t="s">
        <v>197</v>
      </c>
      <c r="G118" t="s">
        <v>167</v>
      </c>
      <c r="H118" s="63"/>
      <c r="J118" s="25">
        <f>'Standing charge factors'!J50</f>
        <v>0</v>
      </c>
      <c r="K118" s="25">
        <f>'Standing charge factors'!K50</f>
        <v>0</v>
      </c>
      <c r="L118" s="25">
        <f>'Standing charge factors'!L50</f>
        <v>0</v>
      </c>
      <c r="M118" s="25">
        <f>'Standing charge factors'!M50</f>
        <v>0</v>
      </c>
      <c r="N118" s="25">
        <f>'Standing charge factors'!N50</f>
        <v>0.2</v>
      </c>
      <c r="O118" s="25">
        <f>'Standing charge factors'!O50</f>
        <v>1</v>
      </c>
      <c r="P118" s="25">
        <f>'Standing charge factors'!P50</f>
        <v>1</v>
      </c>
      <c r="Q118" s="25">
        <f>'Standing charge factors'!Q50</f>
        <v>0</v>
      </c>
      <c r="R118" s="25">
        <f>'Standing charge factors'!R50</f>
        <v>0</v>
      </c>
      <c r="S118" s="25">
        <f>'Standing charge factors'!S50</f>
        <v>0</v>
      </c>
      <c r="T118" s="25">
        <f>'Standing charge factors'!T50</f>
        <v>0</v>
      </c>
      <c r="U118" s="25">
        <f>'Standing charge factors'!U50</f>
        <v>0</v>
      </c>
      <c r="V118" s="25">
        <f>'Standing charge factors'!V50</f>
        <v>0</v>
      </c>
      <c r="W118" s="25">
        <f>'Standing charge factors'!W50</f>
        <v>0</v>
      </c>
      <c r="X118" s="25">
        <f>'Standing charge factors'!X50</f>
        <v>0</v>
      </c>
      <c r="Y118" s="25">
        <f>'Standing charge factors'!Y50</f>
        <v>0</v>
      </c>
      <c r="AP118" s="3"/>
    </row>
    <row r="119" spans="2:42" x14ac:dyDescent="0.3">
      <c r="C119" s="32"/>
      <c r="D119"/>
      <c r="E119"/>
      <c r="F119" t="s">
        <v>198</v>
      </c>
      <c r="G119" t="s">
        <v>167</v>
      </c>
      <c r="H119" s="63"/>
      <c r="J119" s="25">
        <f>'Standing charge factors'!J51</f>
        <v>0</v>
      </c>
      <c r="K119" s="25">
        <f>'Standing charge factors'!K51</f>
        <v>0</v>
      </c>
      <c r="L119" s="25">
        <f>'Standing charge factors'!L51</f>
        <v>0</v>
      </c>
      <c r="M119" s="25">
        <f>'Standing charge factors'!M51</f>
        <v>0</v>
      </c>
      <c r="N119" s="25">
        <f>'Standing charge factors'!N51</f>
        <v>1</v>
      </c>
      <c r="O119" s="25">
        <f>'Standing charge factors'!O51</f>
        <v>1</v>
      </c>
      <c r="P119" s="25">
        <f>'Standing charge factors'!P51</f>
        <v>0</v>
      </c>
      <c r="Q119" s="25">
        <f>'Standing charge factors'!Q51</f>
        <v>0</v>
      </c>
      <c r="R119" s="25">
        <f>'Standing charge factors'!R51</f>
        <v>0</v>
      </c>
      <c r="S119" s="25">
        <f>'Standing charge factors'!S51</f>
        <v>0</v>
      </c>
      <c r="T119" s="25">
        <f>'Standing charge factors'!T51</f>
        <v>0</v>
      </c>
      <c r="U119" s="25">
        <f>'Standing charge factors'!U51</f>
        <v>0</v>
      </c>
      <c r="V119" s="25">
        <f>'Standing charge factors'!V51</f>
        <v>0</v>
      </c>
      <c r="W119" s="25">
        <f>'Standing charge factors'!W51</f>
        <v>0</v>
      </c>
      <c r="X119" s="25">
        <f>'Standing charge factors'!X51</f>
        <v>0</v>
      </c>
      <c r="Y119" s="25">
        <f>'Standing charge factors'!Y51</f>
        <v>0</v>
      </c>
      <c r="AP119" s="3"/>
    </row>
    <row r="120" spans="2:42" x14ac:dyDescent="0.3">
      <c r="C120" s="32"/>
      <c r="D120"/>
      <c r="E120"/>
      <c r="F120" s="37" t="s">
        <v>199</v>
      </c>
      <c r="G120" s="37" t="s">
        <v>167</v>
      </c>
      <c r="H120" s="130"/>
      <c r="I120" s="37"/>
      <c r="J120" s="141">
        <f>'Standing charge factors'!J52</f>
        <v>1</v>
      </c>
      <c r="K120" s="141">
        <f>'Standing charge factors'!K52</f>
        <v>1</v>
      </c>
      <c r="L120" s="141">
        <f>'Standing charge factors'!L52</f>
        <v>1</v>
      </c>
      <c r="M120" s="141">
        <f>'Standing charge factors'!M52</f>
        <v>1</v>
      </c>
      <c r="N120" s="141">
        <f>'Standing charge factors'!N52</f>
        <v>1</v>
      </c>
      <c r="O120" s="141">
        <f>'Standing charge factors'!O52</f>
        <v>0</v>
      </c>
      <c r="P120" s="141">
        <f>'Standing charge factors'!P52</f>
        <v>0</v>
      </c>
      <c r="Q120" s="141">
        <f>'Standing charge factors'!Q52</f>
        <v>0</v>
      </c>
      <c r="R120" s="141">
        <f>'Standing charge factors'!R52</f>
        <v>0</v>
      </c>
      <c r="S120" s="141">
        <f>'Standing charge factors'!S52</f>
        <v>0</v>
      </c>
      <c r="T120" s="141">
        <f>'Standing charge factors'!T52</f>
        <v>0</v>
      </c>
      <c r="U120" s="141">
        <f>'Standing charge factors'!U52</f>
        <v>0</v>
      </c>
      <c r="V120" s="141">
        <f>'Standing charge factors'!V52</f>
        <v>0</v>
      </c>
      <c r="W120" s="141">
        <f>'Standing charge factors'!W52</f>
        <v>0</v>
      </c>
      <c r="X120" s="141">
        <f>'Standing charge factors'!X52</f>
        <v>0</v>
      </c>
      <c r="Y120" s="141">
        <f>'Standing charge factors'!Y52</f>
        <v>0</v>
      </c>
      <c r="AP120" s="3"/>
    </row>
    <row r="122" spans="2:42" x14ac:dyDescent="0.3">
      <c r="B122" s="30" t="s">
        <v>655</v>
      </c>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row>
    <row r="124" spans="2:42" x14ac:dyDescent="0.3">
      <c r="C124" s="31" t="str">
        <f ca="1">INDEX('Version control'!$H$34:$H$57,MATCH($A$1,'Version control'!$F$34:$F$57,0),1)&amp;"-E: Contributions to unit rate 1 p/kWh by network level (taking account of standing charges)"</f>
        <v>Section 111-E: Contributions to unit rate 1 p/kWh by network level (taking account of standing charges)</v>
      </c>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row>
    <row r="125" spans="2:42" x14ac:dyDescent="0.3">
      <c r="C125" s="32"/>
      <c r="D125"/>
      <c r="E125" s="32"/>
      <c r="I125" t="s">
        <v>154</v>
      </c>
      <c r="AA125" t="s">
        <v>656</v>
      </c>
    </row>
    <row r="126" spans="2:42" x14ac:dyDescent="0.3">
      <c r="E126" s="32" t="s">
        <v>621</v>
      </c>
    </row>
    <row r="127" spans="2:42" x14ac:dyDescent="0.3">
      <c r="F127" s="23" t="s">
        <v>189</v>
      </c>
      <c r="G127" s="23" t="s">
        <v>269</v>
      </c>
      <c r="H127" s="266"/>
      <c r="I127" s="266"/>
      <c r="J127" s="434">
        <f t="shared" ref="J127:K127" si="0">J22 * (1 - J$112)</f>
        <v>0</v>
      </c>
      <c r="K127" s="434">
        <f t="shared" si="0"/>
        <v>0</v>
      </c>
      <c r="L127" s="434">
        <f t="shared" ref="L127:M127" si="1">L22 * (1 - L$112)</f>
        <v>0</v>
      </c>
      <c r="M127" s="434">
        <f t="shared" si="1"/>
        <v>0</v>
      </c>
      <c r="N127" s="434">
        <f t="shared" ref="N127:P127" si="2">N22 * (1 - N$112)</f>
        <v>0</v>
      </c>
      <c r="O127" s="434">
        <f t="shared" si="2"/>
        <v>0</v>
      </c>
      <c r="P127" s="434">
        <f t="shared" si="2"/>
        <v>0</v>
      </c>
      <c r="Q127" s="434">
        <f t="shared" ref="Q127:S127" si="3">Q22 * (1 - Q$112)</f>
        <v>0</v>
      </c>
      <c r="R127" s="434">
        <f t="shared" si="3"/>
        <v>0</v>
      </c>
      <c r="S127" s="434">
        <f t="shared" si="3"/>
        <v>0</v>
      </c>
      <c r="T127" s="434">
        <f t="shared" ref="T127:U127" si="4">T22 * (1 - T$112)</f>
        <v>0</v>
      </c>
      <c r="U127" s="434">
        <f t="shared" si="4"/>
        <v>0</v>
      </c>
      <c r="V127" s="434">
        <f t="shared" ref="V127:W127" si="5">V22 * (1 - V$112)</f>
        <v>0</v>
      </c>
      <c r="W127" s="434">
        <f t="shared" si="5"/>
        <v>0</v>
      </c>
      <c r="X127" s="434">
        <f t="shared" ref="X127:Y127" si="6">X22 * (1 - X$112)</f>
        <v>0</v>
      </c>
      <c r="Y127" s="434">
        <f t="shared" si="6"/>
        <v>0</v>
      </c>
      <c r="Z127" s="267"/>
      <c r="AA127" s="267"/>
    </row>
    <row r="128" spans="2:42" x14ac:dyDescent="0.3">
      <c r="F128" t="s">
        <v>191</v>
      </c>
      <c r="G128" t="s">
        <v>269</v>
      </c>
      <c r="H128" s="267"/>
      <c r="I128" s="267"/>
      <c r="J128" s="282">
        <f t="shared" ref="J128:K128" si="7">J23 * (1 - J$112)</f>
        <v>0</v>
      </c>
      <c r="K128" s="282">
        <f t="shared" si="7"/>
        <v>0</v>
      </c>
      <c r="L128" s="282">
        <f t="shared" ref="L128:M128" si="8">L23 * (1 - L$112)</f>
        <v>0</v>
      </c>
      <c r="M128" s="282">
        <f t="shared" si="8"/>
        <v>0</v>
      </c>
      <c r="N128" s="282">
        <f t="shared" ref="N128:P128" si="9">N23 * (1 - N$112)</f>
        <v>0</v>
      </c>
      <c r="O128" s="282">
        <f t="shared" si="9"/>
        <v>0</v>
      </c>
      <c r="P128" s="282">
        <f t="shared" si="9"/>
        <v>0</v>
      </c>
      <c r="Q128" s="282">
        <f t="shared" ref="Q128:S128" si="10">Q23 * (1 - Q$112)</f>
        <v>0</v>
      </c>
      <c r="R128" s="282">
        <f t="shared" si="10"/>
        <v>0</v>
      </c>
      <c r="S128" s="282">
        <f t="shared" si="10"/>
        <v>0</v>
      </c>
      <c r="T128" s="282">
        <f t="shared" ref="T128:U128" si="11">T23 * (1 - T$112)</f>
        <v>0</v>
      </c>
      <c r="U128" s="282">
        <f t="shared" si="11"/>
        <v>0</v>
      </c>
      <c r="V128" s="282">
        <f t="shared" ref="V128:W128" si="12">V23 * (1 - V$112)</f>
        <v>0</v>
      </c>
      <c r="W128" s="282">
        <f t="shared" si="12"/>
        <v>0</v>
      </c>
      <c r="X128" s="282">
        <f t="shared" ref="X128:Y128" si="13">X23 * (1 - X$112)</f>
        <v>0</v>
      </c>
      <c r="Y128" s="282">
        <f t="shared" si="13"/>
        <v>0</v>
      </c>
      <c r="Z128" s="267"/>
      <c r="AA128" s="267"/>
    </row>
    <row r="129" spans="4:27" x14ac:dyDescent="0.3">
      <c r="F129" t="s">
        <v>192</v>
      </c>
      <c r="G129" t="s">
        <v>269</v>
      </c>
      <c r="H129" s="267"/>
      <c r="I129" s="267"/>
      <c r="J129" s="282">
        <f t="shared" ref="J129:K129" si="14">J24 * (1 - J$113)</f>
        <v>0.55357336689290326</v>
      </c>
      <c r="K129" s="282">
        <f t="shared" si="14"/>
        <v>0.55357336689290326</v>
      </c>
      <c r="L129" s="282">
        <f t="shared" ref="L129:M129" si="15">L24 * (1 - L$113)</f>
        <v>0.63018879418243612</v>
      </c>
      <c r="M129" s="282">
        <f t="shared" si="15"/>
        <v>0.63018879418243612</v>
      </c>
      <c r="N129" s="282">
        <f t="shared" ref="N129:P129" si="16">N24 * (1 - N$113)</f>
        <v>0.50696704916271351</v>
      </c>
      <c r="O129" s="282">
        <f t="shared" si="16"/>
        <v>0.37098811696870582</v>
      </c>
      <c r="P129" s="282">
        <f t="shared" si="16"/>
        <v>0.35931494391017799</v>
      </c>
      <c r="Q129" s="282">
        <f t="shared" ref="Q129:S129" si="17">Q24 * (1 - Q$113)</f>
        <v>1.1185937698635886</v>
      </c>
      <c r="R129" s="282">
        <f t="shared" si="17"/>
        <v>-0.38632340853054598</v>
      </c>
      <c r="S129" s="282">
        <f t="shared" si="17"/>
        <v>-0.37817163018540606</v>
      </c>
      <c r="T129" s="282">
        <f t="shared" ref="T129:U129" si="18">T24 * (1 - T$113)</f>
        <v>-0.38632340853054598</v>
      </c>
      <c r="U129" s="282">
        <f t="shared" si="18"/>
        <v>-0.38632340853054598</v>
      </c>
      <c r="V129" s="282">
        <f t="shared" ref="V129:W129" si="19">V24 * (1 - V$113)</f>
        <v>-0.37817163018540606</v>
      </c>
      <c r="W129" s="282">
        <f t="shared" si="19"/>
        <v>-0.37817163018540606</v>
      </c>
      <c r="X129" s="282">
        <f t="shared" ref="X129:Y129" si="20">X24 * (1 - X$113)</f>
        <v>-0.37250082785835215</v>
      </c>
      <c r="Y129" s="282">
        <f t="shared" si="20"/>
        <v>-0.37250082785835215</v>
      </c>
      <c r="Z129" s="267"/>
      <c r="AA129" s="267"/>
    </row>
    <row r="130" spans="4:27" x14ac:dyDescent="0.3">
      <c r="F130" t="s">
        <v>193</v>
      </c>
      <c r="G130" t="s">
        <v>269</v>
      </c>
      <c r="H130" s="267"/>
      <c r="I130" s="267"/>
      <c r="J130" s="282">
        <f t="shared" ref="J130:K130" si="21">J25 * (1 - J$114)</f>
        <v>0.13105694753304234</v>
      </c>
      <c r="K130" s="282">
        <f t="shared" si="21"/>
        <v>0.13105694753304234</v>
      </c>
      <c r="L130" s="282">
        <f t="shared" ref="L130:M130" si="22">L25 * (1 - L$114)</f>
        <v>0.14919543582568542</v>
      </c>
      <c r="M130" s="282">
        <f t="shared" si="22"/>
        <v>0.14919543582568542</v>
      </c>
      <c r="N130" s="282">
        <f t="shared" ref="N130:P130" si="23">N25 * (1 - N$114)</f>
        <v>0.12002303206171606</v>
      </c>
      <c r="O130" s="282">
        <f t="shared" si="23"/>
        <v>8.7830399886915447E-2</v>
      </c>
      <c r="P130" s="282">
        <f t="shared" si="23"/>
        <v>9.8744172824220766E-2</v>
      </c>
      <c r="Q130" s="282">
        <f t="shared" ref="Q130:S130" si="24">Q25 * (1 - Q$114)</f>
        <v>0.26482394886631561</v>
      </c>
      <c r="R130" s="282">
        <f t="shared" si="24"/>
        <v>-9.1460987306437772E-2</v>
      </c>
      <c r="S130" s="282">
        <f t="shared" si="24"/>
        <v>-8.9531076565109266E-2</v>
      </c>
      <c r="T130" s="282">
        <f t="shared" ref="T130:U130" si="25">T25 * (1 - T$114)</f>
        <v>-9.1460987306437772E-2</v>
      </c>
      <c r="U130" s="282">
        <f t="shared" si="25"/>
        <v>-9.1460987306437772E-2</v>
      </c>
      <c r="V130" s="282">
        <f t="shared" ref="V130:W130" si="26">V25 * (1 - V$114)</f>
        <v>-8.9531076565109266E-2</v>
      </c>
      <c r="W130" s="282">
        <f t="shared" si="26"/>
        <v>-8.9531076565109266E-2</v>
      </c>
      <c r="X130" s="282">
        <f t="shared" ref="X130:Y130" si="27">X25 * (1 - X$114)</f>
        <v>-8.8188529962445958E-2</v>
      </c>
      <c r="Y130" s="282">
        <f t="shared" si="27"/>
        <v>-8.8188529962445958E-2</v>
      </c>
      <c r="Z130" s="267"/>
      <c r="AA130" s="267"/>
    </row>
    <row r="131" spans="4:27" x14ac:dyDescent="0.3">
      <c r="F131" t="s">
        <v>194</v>
      </c>
      <c r="G131" t="s">
        <v>269</v>
      </c>
      <c r="H131" s="267"/>
      <c r="I131" s="267"/>
      <c r="J131" s="282">
        <f t="shared" ref="J131:K131" si="28">J26 * (1 - J$115)</f>
        <v>0.14226043950146999</v>
      </c>
      <c r="K131" s="282">
        <f t="shared" si="28"/>
        <v>0.14226043950146999</v>
      </c>
      <c r="L131" s="282">
        <f t="shared" ref="L131:M131" si="29">L26 * (1 - L$115)</f>
        <v>0.16194950875705524</v>
      </c>
      <c r="M131" s="282">
        <f t="shared" si="29"/>
        <v>0.16194950875705524</v>
      </c>
      <c r="N131" s="282">
        <f t="shared" ref="N131:P131" si="30">N26 * (1 - N$115)</f>
        <v>0.13028328228912769</v>
      </c>
      <c r="O131" s="282">
        <f t="shared" si="30"/>
        <v>9.5338641138061286E-2</v>
      </c>
      <c r="P131" s="282">
        <f t="shared" si="30"/>
        <v>8.5748308280359453E-2</v>
      </c>
      <c r="Q131" s="282">
        <f t="shared" ref="Q131:S131" si="31">Q26 * (1 - Q$115)</f>
        <v>0.28953178204255803</v>
      </c>
      <c r="R131" s="282">
        <f t="shared" si="31"/>
        <v>-9.9279591783348831E-2</v>
      </c>
      <c r="S131" s="282">
        <f t="shared" si="31"/>
        <v>-9.7184701314525848E-2</v>
      </c>
      <c r="T131" s="282">
        <f t="shared" ref="T131:U131" si="32">T26 * (1 - T$115)</f>
        <v>-9.9279591783348831E-2</v>
      </c>
      <c r="U131" s="282">
        <f t="shared" si="32"/>
        <v>-9.9279591783348831E-2</v>
      </c>
      <c r="V131" s="282">
        <f t="shared" ref="V131:W131" si="33">V26 * (1 - V$115)</f>
        <v>-9.7184701314525848E-2</v>
      </c>
      <c r="W131" s="282">
        <f t="shared" si="33"/>
        <v>-9.7184701314525848E-2</v>
      </c>
      <c r="X131" s="282">
        <f t="shared" ref="X131:Y131" si="34">X26 * (1 - X$115)</f>
        <v>-9.5727386205779461E-2</v>
      </c>
      <c r="Y131" s="282">
        <f t="shared" si="34"/>
        <v>-9.5727386205779461E-2</v>
      </c>
      <c r="Z131" s="267"/>
      <c r="AA131" s="267"/>
    </row>
    <row r="132" spans="4:27" x14ac:dyDescent="0.3">
      <c r="F132" t="s">
        <v>195</v>
      </c>
      <c r="G132" t="s">
        <v>269</v>
      </c>
      <c r="H132" s="267"/>
      <c r="I132" s="267"/>
      <c r="J132" s="282">
        <f t="shared" ref="J132:K132" si="35">J27 * (1 - J$116)</f>
        <v>0.27423376220104101</v>
      </c>
      <c r="K132" s="282">
        <f t="shared" si="35"/>
        <v>0.27423376220104101</v>
      </c>
      <c r="L132" s="282">
        <f t="shared" ref="L132:M132" si="36">L27 * (1 - L$116)</f>
        <v>0.3121881475179808</v>
      </c>
      <c r="M132" s="282">
        <f t="shared" si="36"/>
        <v>0.3121881475179808</v>
      </c>
      <c r="N132" s="282">
        <f t="shared" ref="N132:P132" si="37">N27 * (1 - N$116)</f>
        <v>0.25114553827649716</v>
      </c>
      <c r="O132" s="282">
        <f t="shared" si="37"/>
        <v>0.18378316792811064</v>
      </c>
      <c r="P132" s="282">
        <f t="shared" si="37"/>
        <v>0</v>
      </c>
      <c r="Q132" s="282">
        <f t="shared" ref="Q132:S132" si="38">Q27 * (1 - Q$116)</f>
        <v>0.55812698276868489</v>
      </c>
      <c r="R132" s="282">
        <f t="shared" si="38"/>
        <v>-0.19138009175242268</v>
      </c>
      <c r="S132" s="282">
        <f t="shared" si="38"/>
        <v>-0.18734179623838068</v>
      </c>
      <c r="T132" s="282">
        <f t="shared" ref="T132:U132" si="39">T27 * (1 - T$116)</f>
        <v>-0.19138009175242268</v>
      </c>
      <c r="U132" s="282">
        <f t="shared" si="39"/>
        <v>-0.19138009175242268</v>
      </c>
      <c r="V132" s="282">
        <f t="shared" ref="V132:W132" si="40">V27 * (1 - V$116)</f>
        <v>-0.18734179623838068</v>
      </c>
      <c r="W132" s="282">
        <f t="shared" si="40"/>
        <v>-0.18734179623838068</v>
      </c>
      <c r="X132" s="282">
        <f t="shared" ref="X132:Y132" si="41">X27 * (1 - X$116)</f>
        <v>-0.13698938437423139</v>
      </c>
      <c r="Y132" s="282">
        <f t="shared" si="41"/>
        <v>-0.13698938437423139</v>
      </c>
      <c r="Z132" s="267"/>
      <c r="AA132" s="267"/>
    </row>
    <row r="133" spans="4:27" x14ac:dyDescent="0.3">
      <c r="F133" t="s">
        <v>196</v>
      </c>
      <c r="G133" t="s">
        <v>269</v>
      </c>
      <c r="H133" s="267"/>
      <c r="I133" s="267"/>
      <c r="J133" s="282">
        <f t="shared" ref="J133:K133" si="42">J28 * (1 - J$117)</f>
        <v>0.27415262049803929</v>
      </c>
      <c r="K133" s="282">
        <f t="shared" si="42"/>
        <v>0.27415262049803929</v>
      </c>
      <c r="L133" s="282">
        <f t="shared" ref="L133:M133" si="43">L28 * (1 - L$117)</f>
        <v>0.3120957756752753</v>
      </c>
      <c r="M133" s="282">
        <f t="shared" si="43"/>
        <v>0.3120957756752753</v>
      </c>
      <c r="N133" s="282">
        <f t="shared" ref="N133:P133" si="44">N28 * (1 - N$117)</f>
        <v>0.25107122803652715</v>
      </c>
      <c r="O133" s="282">
        <f t="shared" si="44"/>
        <v>0.18372878921445757</v>
      </c>
      <c r="P133" s="282">
        <f t="shared" si="44"/>
        <v>0</v>
      </c>
      <c r="Q133" s="282">
        <f t="shared" ref="Q133:S133" si="45">Q28 * (1 - Q$117)</f>
        <v>0.55397429071079629</v>
      </c>
      <c r="R133" s="282">
        <f t="shared" si="45"/>
        <v>-0.19132346522168195</v>
      </c>
      <c r="S133" s="282">
        <f t="shared" si="45"/>
        <v>-0.18728636457938957</v>
      </c>
      <c r="T133" s="282">
        <f t="shared" ref="T133:U133" si="46">T28 * (1 - T$117)</f>
        <v>-0.19132346522168195</v>
      </c>
      <c r="U133" s="282">
        <f t="shared" si="46"/>
        <v>-0.19132346522168195</v>
      </c>
      <c r="V133" s="282">
        <f t="shared" ref="V133:W133" si="47">V28 * (1 - V$117)</f>
        <v>-0.18728636457938957</v>
      </c>
      <c r="W133" s="282">
        <f t="shared" si="47"/>
        <v>-0.18728636457938957</v>
      </c>
      <c r="X133" s="282">
        <f t="shared" ref="X133:Y133" si="48">X28 * (1 - X$117)</f>
        <v>-0.13694885124712089</v>
      </c>
      <c r="Y133" s="282">
        <f t="shared" si="48"/>
        <v>-0.13694885124712089</v>
      </c>
      <c r="Z133" s="267"/>
      <c r="AA133" s="267"/>
    </row>
    <row r="134" spans="4:27" x14ac:dyDescent="0.3">
      <c r="F134" t="s">
        <v>197</v>
      </c>
      <c r="G134" t="s">
        <v>269</v>
      </c>
      <c r="H134" s="267"/>
      <c r="I134" s="267"/>
      <c r="J134" s="282">
        <f t="shared" ref="J134:K134" si="49">J29 * (1 - J$118)</f>
        <v>1.0729868042600128</v>
      </c>
      <c r="K134" s="282">
        <f t="shared" si="49"/>
        <v>1.0729868042600128</v>
      </c>
      <c r="L134" s="282">
        <f t="shared" ref="L134:M134" si="50">L29 * (1 - L$118)</f>
        <v>1.2214898707023611</v>
      </c>
      <c r="M134" s="282">
        <f t="shared" si="50"/>
        <v>1.2214898707023611</v>
      </c>
      <c r="N134" s="282">
        <f t="shared" ref="N134:P134" si="51">N29 * (1 - N$118)</f>
        <v>0.7861201227933603</v>
      </c>
      <c r="O134" s="282">
        <f t="shared" si="51"/>
        <v>0</v>
      </c>
      <c r="P134" s="282">
        <f t="shared" si="51"/>
        <v>0</v>
      </c>
      <c r="Q134" s="282">
        <f t="shared" ref="Q134:S134" si="52">Q29 * (1 - Q$118)</f>
        <v>2.1837679022659056</v>
      </c>
      <c r="R134" s="282">
        <f t="shared" si="52"/>
        <v>-0.748807555277891</v>
      </c>
      <c r="S134" s="282">
        <f t="shared" si="52"/>
        <v>-0.73300702888211888</v>
      </c>
      <c r="T134" s="282">
        <f t="shared" ref="T134:U134" si="53">T29 * (1 - T$118)</f>
        <v>-0.748807555277891</v>
      </c>
      <c r="U134" s="282">
        <f t="shared" si="53"/>
        <v>-0.748807555277891</v>
      </c>
      <c r="V134" s="282">
        <f t="shared" ref="V134:W134" si="54">V29 * (1 - V$118)</f>
        <v>-0.73300702888211888</v>
      </c>
      <c r="W134" s="282">
        <f t="shared" si="54"/>
        <v>-0.73300702888211888</v>
      </c>
      <c r="X134" s="282">
        <f t="shared" ref="X134:Y134" si="55">X29 * (1 - X$118)</f>
        <v>0</v>
      </c>
      <c r="Y134" s="282">
        <f t="shared" si="55"/>
        <v>0</v>
      </c>
      <c r="Z134" s="267"/>
      <c r="AA134" s="267"/>
    </row>
    <row r="135" spans="4:27" x14ac:dyDescent="0.3">
      <c r="F135" t="s">
        <v>198</v>
      </c>
      <c r="G135" t="s">
        <v>269</v>
      </c>
      <c r="H135" s="267"/>
      <c r="I135" s="267"/>
      <c r="J135" s="282">
        <f t="shared" ref="J135:K135" si="56">J30 * (1 - J$119)</f>
        <v>0.30586911035366049</v>
      </c>
      <c r="K135" s="282">
        <f t="shared" si="56"/>
        <v>0.30586911035366049</v>
      </c>
      <c r="L135" s="282">
        <f t="shared" ref="L135:M135" si="57">L30 * (1 - L$119)</f>
        <v>0.34820187776251732</v>
      </c>
      <c r="M135" s="282">
        <f t="shared" si="57"/>
        <v>0.34820187776251732</v>
      </c>
      <c r="N135" s="282">
        <f t="shared" ref="N135:P135" si="58">N30 * (1 - N$119)</f>
        <v>0</v>
      </c>
      <c r="O135" s="282">
        <f t="shared" si="58"/>
        <v>0</v>
      </c>
      <c r="P135" s="282">
        <f t="shared" si="58"/>
        <v>0</v>
      </c>
      <c r="Q135" s="282">
        <f t="shared" ref="Q135:S135" si="59">Q30 * (1 - Q$119)</f>
        <v>0.62251198508037842</v>
      </c>
      <c r="R135" s="282">
        <f t="shared" si="59"/>
        <v>-0.21345751862894888</v>
      </c>
      <c r="S135" s="282">
        <f t="shared" si="59"/>
        <v>0</v>
      </c>
      <c r="T135" s="282">
        <f t="shared" ref="T135:U135" si="60">T30 * (1 - T$119)</f>
        <v>-0.21345751862894888</v>
      </c>
      <c r="U135" s="282">
        <f t="shared" si="60"/>
        <v>-0.21345751862894888</v>
      </c>
      <c r="V135" s="282">
        <f t="shared" ref="V135:W135" si="61">V30 * (1 - V$119)</f>
        <v>0</v>
      </c>
      <c r="W135" s="282">
        <f t="shared" si="61"/>
        <v>0</v>
      </c>
      <c r="X135" s="282">
        <f t="shared" ref="X135:Y135" si="62">X30 * (1 - X$119)</f>
        <v>0</v>
      </c>
      <c r="Y135" s="282">
        <f t="shared" si="62"/>
        <v>0</v>
      </c>
      <c r="Z135" s="267"/>
      <c r="AA135" s="267"/>
    </row>
    <row r="136" spans="4:27" x14ac:dyDescent="0.3">
      <c r="F136" t="s">
        <v>199</v>
      </c>
      <c r="G136" t="s">
        <v>269</v>
      </c>
      <c r="H136" s="267"/>
      <c r="I136" s="267"/>
      <c r="J136" s="282">
        <f t="shared" ref="J136:K136" si="63">J31 * (1 - J$120)</f>
        <v>0</v>
      </c>
      <c r="K136" s="282">
        <f t="shared" si="63"/>
        <v>0</v>
      </c>
      <c r="L136" s="282">
        <f t="shared" ref="L136:M136" si="64">L31 * (1 - L$120)</f>
        <v>0</v>
      </c>
      <c r="M136" s="282">
        <f t="shared" si="64"/>
        <v>0</v>
      </c>
      <c r="N136" s="282">
        <f t="shared" ref="N136:P136" si="65">N31 * (1 - N$120)</f>
        <v>0</v>
      </c>
      <c r="O136" s="282">
        <f t="shared" si="65"/>
        <v>0</v>
      </c>
      <c r="P136" s="282">
        <f t="shared" si="65"/>
        <v>0</v>
      </c>
      <c r="Q136" s="282">
        <f t="shared" ref="Q136:S136" si="66">Q31 * (1 - Q$120)</f>
        <v>0.41565331844697889</v>
      </c>
      <c r="R136" s="282">
        <f t="shared" si="66"/>
        <v>0</v>
      </c>
      <c r="S136" s="282">
        <f t="shared" si="66"/>
        <v>0</v>
      </c>
      <c r="T136" s="282">
        <f t="shared" ref="T136:U136" si="67">T31 * (1 - T$120)</f>
        <v>0</v>
      </c>
      <c r="U136" s="282">
        <f t="shared" si="67"/>
        <v>0</v>
      </c>
      <c r="V136" s="282">
        <f t="shared" ref="V136:W136" si="68">V31 * (1 - V$120)</f>
        <v>0</v>
      </c>
      <c r="W136" s="282">
        <f t="shared" si="68"/>
        <v>0</v>
      </c>
      <c r="X136" s="282">
        <f t="shared" ref="X136:Y136" si="69">X31 * (1 - X$120)</f>
        <v>0</v>
      </c>
      <c r="Y136" s="282">
        <f t="shared" si="69"/>
        <v>0</v>
      </c>
      <c r="Z136" s="267"/>
      <c r="AA136" s="267"/>
    </row>
    <row r="137" spans="4:27" x14ac:dyDescent="0.3">
      <c r="D137"/>
      <c r="F137" s="23" t="s">
        <v>376</v>
      </c>
      <c r="G137" s="23" t="s">
        <v>269</v>
      </c>
      <c r="H137" s="266"/>
      <c r="I137" s="266"/>
      <c r="J137" s="280"/>
      <c r="K137" s="280"/>
      <c r="L137" s="280"/>
      <c r="M137" s="280"/>
      <c r="N137" s="280"/>
      <c r="O137" s="280"/>
      <c r="P137" s="280"/>
      <c r="Q137" s="280"/>
      <c r="R137" s="280"/>
      <c r="S137" s="280"/>
      <c r="T137" s="280"/>
      <c r="U137" s="280"/>
      <c r="V137" s="280"/>
      <c r="W137" s="280"/>
      <c r="X137" s="280"/>
      <c r="Y137" s="280"/>
      <c r="Z137" s="267"/>
      <c r="AA137" s="267"/>
    </row>
    <row r="138" spans="4:27" x14ac:dyDescent="0.3">
      <c r="D138"/>
      <c r="F138" s="37" t="s">
        <v>377</v>
      </c>
      <c r="G138" s="37" t="s">
        <v>269</v>
      </c>
      <c r="H138" s="269"/>
      <c r="I138" s="269"/>
      <c r="J138" s="270"/>
      <c r="K138" s="270"/>
      <c r="L138" s="270"/>
      <c r="M138" s="270"/>
      <c r="N138" s="270"/>
      <c r="O138" s="270"/>
      <c r="P138" s="270"/>
      <c r="Q138" s="270"/>
      <c r="R138" s="270"/>
      <c r="S138" s="270"/>
      <c r="T138" s="270"/>
      <c r="U138" s="270"/>
      <c r="V138" s="270"/>
      <c r="W138" s="270"/>
      <c r="X138" s="270"/>
      <c r="Y138" s="270"/>
      <c r="Z138" s="267"/>
      <c r="AA138" s="267"/>
    </row>
    <row r="139" spans="4:27" x14ac:dyDescent="0.3">
      <c r="E139"/>
      <c r="J139" s="89"/>
      <c r="K139" s="89"/>
      <c r="L139" s="89"/>
      <c r="M139" s="89"/>
      <c r="N139" s="89"/>
      <c r="O139" s="89"/>
      <c r="P139" s="89"/>
      <c r="Q139" s="89"/>
      <c r="R139" s="89"/>
      <c r="S139" s="89"/>
      <c r="T139" s="89"/>
      <c r="U139" s="89"/>
      <c r="V139" s="89"/>
      <c r="W139" s="89"/>
      <c r="X139" s="89"/>
      <c r="Y139" s="89"/>
    </row>
    <row r="140" spans="4:27" x14ac:dyDescent="0.3">
      <c r="E140" s="32" t="s">
        <v>622</v>
      </c>
      <c r="J140" s="89"/>
      <c r="K140" s="89"/>
      <c r="L140" s="89"/>
      <c r="M140" s="89"/>
      <c r="N140" s="89"/>
      <c r="O140" s="89"/>
      <c r="P140" s="89"/>
      <c r="Q140" s="89"/>
      <c r="R140" s="89"/>
      <c r="S140" s="89"/>
      <c r="T140" s="89"/>
      <c r="U140" s="89"/>
      <c r="V140" s="89"/>
      <c r="W140" s="89"/>
      <c r="X140" s="89"/>
      <c r="Y140" s="89"/>
    </row>
    <row r="141" spans="4:27" x14ac:dyDescent="0.3">
      <c r="F141" s="23" t="s">
        <v>189</v>
      </c>
      <c r="G141" s="23" t="s">
        <v>269</v>
      </c>
      <c r="H141" s="266"/>
      <c r="I141" s="266"/>
      <c r="J141" s="434">
        <f t="shared" ref="J141:K141" si="70">J36 * (1 - J$112)</f>
        <v>0.47513490875455816</v>
      </c>
      <c r="K141" s="434">
        <f t="shared" si="70"/>
        <v>0.47513490875455816</v>
      </c>
      <c r="L141" s="434">
        <f t="shared" ref="L141:M141" si="71">L36 * (1 - L$112)</f>
        <v>0.5408943296940526</v>
      </c>
      <c r="M141" s="434">
        <f t="shared" si="71"/>
        <v>0.5408943296940526</v>
      </c>
      <c r="N141" s="434">
        <f t="shared" ref="N141:P141" si="72">N36 * (1 - N$112)</f>
        <v>0.43513246310510223</v>
      </c>
      <c r="O141" s="434">
        <f t="shared" si="72"/>
        <v>0.31842103621118251</v>
      </c>
      <c r="P141" s="434">
        <f t="shared" si="72"/>
        <v>0.35798791615417175</v>
      </c>
      <c r="Q141" s="434">
        <f t="shared" ref="Q141:S141" si="73">Q36 * (1 - Q$112)</f>
        <v>0.75474446794705297</v>
      </c>
      <c r="R141" s="434">
        <f t="shared" si="73"/>
        <v>-0.33158339696176597</v>
      </c>
      <c r="S141" s="434">
        <f t="shared" si="73"/>
        <v>-0.32458668308092131</v>
      </c>
      <c r="T141" s="434">
        <f t="shared" ref="T141:U141" si="74">T36 * (1 - T$112)</f>
        <v>-0.33158339696176597</v>
      </c>
      <c r="U141" s="434">
        <f t="shared" si="74"/>
        <v>-0.33158339696176597</v>
      </c>
      <c r="V141" s="434">
        <f t="shared" ref="V141:W141" si="75">V36 * (1 - V$112)</f>
        <v>-0.32458668308092131</v>
      </c>
      <c r="W141" s="434">
        <f t="shared" si="75"/>
        <v>-0.32458668308092131</v>
      </c>
      <c r="X141" s="434">
        <f t="shared" ref="X141:Y141" si="76">X36 * (1 - X$112)</f>
        <v>-0.31971940385946424</v>
      </c>
      <c r="Y141" s="434">
        <f t="shared" si="76"/>
        <v>-0.31971940385946424</v>
      </c>
      <c r="Z141" s="267"/>
      <c r="AA141" s="267"/>
    </row>
    <row r="142" spans="4:27" x14ac:dyDescent="0.3">
      <c r="F142" t="s">
        <v>191</v>
      </c>
      <c r="G142" t="s">
        <v>269</v>
      </c>
      <c r="H142" s="267"/>
      <c r="I142" s="267"/>
      <c r="J142" s="282">
        <f t="shared" ref="J142:K142" si="77">J37 * (1 - J$112)</f>
        <v>0</v>
      </c>
      <c r="K142" s="282">
        <f t="shared" si="77"/>
        <v>0</v>
      </c>
      <c r="L142" s="282">
        <f t="shared" ref="L142:M142" si="78">L37 * (1 - L$112)</f>
        <v>0</v>
      </c>
      <c r="M142" s="282">
        <f t="shared" si="78"/>
        <v>0</v>
      </c>
      <c r="N142" s="282">
        <f t="shared" ref="N142:P142" si="79">N37 * (1 - N$112)</f>
        <v>0</v>
      </c>
      <c r="O142" s="282">
        <f t="shared" si="79"/>
        <v>0</v>
      </c>
      <c r="P142" s="282">
        <f t="shared" si="79"/>
        <v>0</v>
      </c>
      <c r="Q142" s="282">
        <f t="shared" ref="Q142:S142" si="80">Q37 * (1 - Q$112)</f>
        <v>0</v>
      </c>
      <c r="R142" s="282">
        <f t="shared" si="80"/>
        <v>0</v>
      </c>
      <c r="S142" s="282">
        <f t="shared" si="80"/>
        <v>0</v>
      </c>
      <c r="T142" s="282">
        <f t="shared" ref="T142:U142" si="81">T37 * (1 - T$112)</f>
        <v>0</v>
      </c>
      <c r="U142" s="282">
        <f t="shared" si="81"/>
        <v>0</v>
      </c>
      <c r="V142" s="282">
        <f t="shared" ref="V142:W142" si="82">V37 * (1 - V$112)</f>
        <v>0</v>
      </c>
      <c r="W142" s="282">
        <f t="shared" si="82"/>
        <v>0</v>
      </c>
      <c r="X142" s="282">
        <f t="shared" ref="X142:Y142" si="83">X37 * (1 - X$112)</f>
        <v>0</v>
      </c>
      <c r="Y142" s="282">
        <f t="shared" si="83"/>
        <v>0</v>
      </c>
      <c r="Z142" s="267"/>
      <c r="AA142" s="267"/>
    </row>
    <row r="143" spans="4:27" x14ac:dyDescent="0.3">
      <c r="F143" t="s">
        <v>192</v>
      </c>
      <c r="G143" t="s">
        <v>269</v>
      </c>
      <c r="H143" s="267"/>
      <c r="I143" s="267"/>
      <c r="J143" s="282">
        <f t="shared" ref="J143:K143" si="84">J38 * (1 - J$113)</f>
        <v>0.38867054526989864</v>
      </c>
      <c r="K143" s="282">
        <f t="shared" si="84"/>
        <v>0.38867054526989864</v>
      </c>
      <c r="L143" s="282">
        <f t="shared" ref="L143:M143" si="85">L38 * (1 - L$113)</f>
        <v>0.44246316189784063</v>
      </c>
      <c r="M143" s="282">
        <f t="shared" si="85"/>
        <v>0.44246316189784063</v>
      </c>
      <c r="N143" s="282">
        <f t="shared" ref="N143:P143" si="86">N38 * (1 - N$113)</f>
        <v>0.35594768682226757</v>
      </c>
      <c r="O143" s="282">
        <f t="shared" si="86"/>
        <v>0.26047523658914729</v>
      </c>
      <c r="P143" s="282">
        <f t="shared" si="86"/>
        <v>0.25227936083169655</v>
      </c>
      <c r="Q143" s="282">
        <f t="shared" ref="Q143:S143" si="87">Q38 * (1 - Q$113)</f>
        <v>0.78537819279247212</v>
      </c>
      <c r="R143" s="282">
        <f t="shared" si="87"/>
        <v>-0.27124232996769565</v>
      </c>
      <c r="S143" s="282">
        <f t="shared" si="87"/>
        <v>-0.26551886795920293</v>
      </c>
      <c r="T143" s="282">
        <f t="shared" ref="T143:U143" si="88">T38 * (1 - T$113)</f>
        <v>-0.27124232996769565</v>
      </c>
      <c r="U143" s="282">
        <f t="shared" si="88"/>
        <v>-0.27124232996769565</v>
      </c>
      <c r="V143" s="282">
        <f t="shared" ref="V143:W143" si="89">V38 * (1 - V$113)</f>
        <v>-0.26551886795920293</v>
      </c>
      <c r="W143" s="282">
        <f t="shared" si="89"/>
        <v>-0.26551886795920293</v>
      </c>
      <c r="X143" s="282">
        <f t="shared" ref="X143:Y143" si="90">X38 * (1 - X$113)</f>
        <v>-0.26153732917068628</v>
      </c>
      <c r="Y143" s="282">
        <f t="shared" si="90"/>
        <v>-0.26153732917068628</v>
      </c>
      <c r="Z143" s="267"/>
      <c r="AA143" s="267"/>
    </row>
    <row r="144" spans="4:27" x14ac:dyDescent="0.3">
      <c r="F144" t="s">
        <v>193</v>
      </c>
      <c r="G144" t="s">
        <v>269</v>
      </c>
      <c r="H144" s="267"/>
      <c r="I144" s="267"/>
      <c r="J144" s="282">
        <f t="shared" ref="J144:K144" si="91">J39 * (1 - J$114)</f>
        <v>9.2016665369905257E-2</v>
      </c>
      <c r="K144" s="282">
        <f t="shared" si="91"/>
        <v>9.2016665369905257E-2</v>
      </c>
      <c r="L144" s="282">
        <f t="shared" ref="L144:M144" si="92">L39 * (1 - L$114)</f>
        <v>0.10475191702162925</v>
      </c>
      <c r="M144" s="282">
        <f t="shared" si="92"/>
        <v>0.10475191702162925</v>
      </c>
      <c r="N144" s="282">
        <f t="shared" ref="N144:P144" si="93">N39 * (1 - N$114)</f>
        <v>8.4269620083436414E-2</v>
      </c>
      <c r="O144" s="282">
        <f t="shared" si="93"/>
        <v>6.1666784308871882E-2</v>
      </c>
      <c r="P144" s="282">
        <f t="shared" si="93"/>
        <v>6.9329476071488733E-2</v>
      </c>
      <c r="Q144" s="282">
        <f t="shared" ref="Q144:S144" si="94">Q39 * (1 - Q$114)</f>
        <v>0.18593609223673471</v>
      </c>
      <c r="R144" s="282">
        <f t="shared" si="94"/>
        <v>-6.4215863575304122E-2</v>
      </c>
      <c r="S144" s="282">
        <f t="shared" si="94"/>
        <v>-6.2860849940228877E-2</v>
      </c>
      <c r="T144" s="282">
        <f t="shared" ref="T144:U144" si="95">T39 * (1 - T$114)</f>
        <v>-6.4215863575304122E-2</v>
      </c>
      <c r="U144" s="282">
        <f t="shared" si="95"/>
        <v>-6.4215863575304122E-2</v>
      </c>
      <c r="V144" s="282">
        <f t="shared" ref="V144:W144" si="96">V39 * (1 - V$114)</f>
        <v>-6.2860849940228877E-2</v>
      </c>
      <c r="W144" s="282">
        <f t="shared" si="96"/>
        <v>-6.2860849940228877E-2</v>
      </c>
      <c r="X144" s="282">
        <f t="shared" ref="X144:Y144" si="97">X39 * (1 - X$114)</f>
        <v>-6.1918231759306983E-2</v>
      </c>
      <c r="Y144" s="282">
        <f t="shared" si="97"/>
        <v>-6.1918231759306983E-2</v>
      </c>
      <c r="Z144" s="267"/>
      <c r="AA144" s="267"/>
    </row>
    <row r="145" spans="3:27" x14ac:dyDescent="0.3">
      <c r="F145" t="s">
        <v>194</v>
      </c>
      <c r="G145" t="s">
        <v>269</v>
      </c>
      <c r="H145" s="267"/>
      <c r="I145" s="267"/>
      <c r="J145" s="282">
        <f t="shared" ref="J145:K145" si="98">J40 * (1 - J$115)</f>
        <v>9.9882772362617805E-2</v>
      </c>
      <c r="K145" s="282">
        <f t="shared" si="98"/>
        <v>9.9882772362617805E-2</v>
      </c>
      <c r="L145" s="282">
        <f t="shared" ref="L145:M145" si="99">L40 * (1 - L$115)</f>
        <v>0.11370670563162137</v>
      </c>
      <c r="M145" s="282">
        <f t="shared" si="99"/>
        <v>0.11370670563162137</v>
      </c>
      <c r="N145" s="282">
        <f t="shared" ref="N145:P145" si="100">N40 * (1 - N$115)</f>
        <v>9.1473465660178513E-2</v>
      </c>
      <c r="O145" s="282">
        <f t="shared" si="100"/>
        <v>6.6938411152988792E-2</v>
      </c>
      <c r="P145" s="282">
        <f t="shared" si="100"/>
        <v>6.0204922650743092E-2</v>
      </c>
      <c r="Q145" s="282">
        <f t="shared" ref="Q145:S145" si="101">Q40 * (1 - Q$115)</f>
        <v>0.20328376025578826</v>
      </c>
      <c r="R145" s="282">
        <f t="shared" si="101"/>
        <v>-6.9705400187853248E-2</v>
      </c>
      <c r="S145" s="282">
        <f t="shared" si="101"/>
        <v>-6.8234552293981107E-2</v>
      </c>
      <c r="T145" s="282">
        <f t="shared" ref="T145:U145" si="102">T40 * (1 - T$115)</f>
        <v>-6.9705400187853248E-2</v>
      </c>
      <c r="U145" s="282">
        <f t="shared" si="102"/>
        <v>-6.9705400187853248E-2</v>
      </c>
      <c r="V145" s="282">
        <f t="shared" ref="V145:W145" si="103">V40 * (1 - V$115)</f>
        <v>-6.8234552293981107E-2</v>
      </c>
      <c r="W145" s="282">
        <f t="shared" si="103"/>
        <v>-6.8234552293981107E-2</v>
      </c>
      <c r="X145" s="282">
        <f t="shared" ref="X145:Y145" si="104">X40 * (1 - X$115)</f>
        <v>-6.7211353759113523E-2</v>
      </c>
      <c r="Y145" s="282">
        <f t="shared" si="104"/>
        <v>-6.7211353759113523E-2</v>
      </c>
      <c r="Z145" s="267"/>
      <c r="AA145" s="267"/>
    </row>
    <row r="146" spans="3:27" x14ac:dyDescent="0.3">
      <c r="F146" t="s">
        <v>195</v>
      </c>
      <c r="G146" t="s">
        <v>269</v>
      </c>
      <c r="H146" s="267"/>
      <c r="I146" s="267"/>
      <c r="J146" s="282">
        <f t="shared" ref="J146:K146" si="105">J41 * (1 - J$116)</f>
        <v>0.19254283580213316</v>
      </c>
      <c r="K146" s="282">
        <f t="shared" si="105"/>
        <v>0.19254283580213316</v>
      </c>
      <c r="L146" s="282">
        <f t="shared" ref="L146:M146" si="106">L41 * (1 - L$116)</f>
        <v>0.21919106803071287</v>
      </c>
      <c r="M146" s="282">
        <f t="shared" si="106"/>
        <v>0.21919106803071287</v>
      </c>
      <c r="N146" s="282">
        <f t="shared" ref="N146:P146" si="107">N41 * (1 - N$116)</f>
        <v>0.17633231499540863</v>
      </c>
      <c r="O146" s="282">
        <f t="shared" si="107"/>
        <v>0.12903638137610668</v>
      </c>
      <c r="P146" s="282">
        <f t="shared" si="107"/>
        <v>0</v>
      </c>
      <c r="Q146" s="282">
        <f t="shared" ref="Q146:S146" si="108">Q41 * (1 - Q$116)</f>
        <v>0.39186769396099902</v>
      </c>
      <c r="R146" s="282">
        <f t="shared" si="108"/>
        <v>-0.1343702733256818</v>
      </c>
      <c r="S146" s="282">
        <f t="shared" si="108"/>
        <v>-0.13153493728302978</v>
      </c>
      <c r="T146" s="282">
        <f t="shared" ref="T146:U146" si="109">T41 * (1 - T$116)</f>
        <v>-0.1343702733256818</v>
      </c>
      <c r="U146" s="282">
        <f t="shared" si="109"/>
        <v>-0.1343702733256818</v>
      </c>
      <c r="V146" s="282">
        <f t="shared" ref="V146:W146" si="110">V41 * (1 - V$116)</f>
        <v>-0.13153493728302978</v>
      </c>
      <c r="W146" s="282">
        <f t="shared" si="110"/>
        <v>-0.13153493728302978</v>
      </c>
      <c r="X146" s="282">
        <f t="shared" ref="X146:Y146" si="111">X41 * (1 - X$116)</f>
        <v>-0.12956252960118492</v>
      </c>
      <c r="Y146" s="282">
        <f t="shared" si="111"/>
        <v>-0.12956252960118492</v>
      </c>
      <c r="Z146" s="267"/>
      <c r="AA146" s="267"/>
    </row>
    <row r="147" spans="3:27" x14ac:dyDescent="0.3">
      <c r="F147" t="s">
        <v>196</v>
      </c>
      <c r="G147" t="s">
        <v>269</v>
      </c>
      <c r="H147" s="267"/>
      <c r="I147" s="267"/>
      <c r="J147" s="282">
        <f t="shared" ref="J147:K147" si="112">J42 * (1 - J$117)</f>
        <v>0.19248586523267314</v>
      </c>
      <c r="K147" s="282">
        <f t="shared" si="112"/>
        <v>0.19248586523267314</v>
      </c>
      <c r="L147" s="282">
        <f t="shared" ref="L147:M147" si="113">L42 * (1 - L$117)</f>
        <v>0.21912621264456331</v>
      </c>
      <c r="M147" s="282">
        <f t="shared" si="113"/>
        <v>0.21912621264456331</v>
      </c>
      <c r="N147" s="282">
        <f t="shared" ref="N147:P147" si="114">N42 * (1 - N$117)</f>
        <v>0.17628014087863275</v>
      </c>
      <c r="O147" s="282">
        <f t="shared" si="114"/>
        <v>0.12899820142463025</v>
      </c>
      <c r="P147" s="282">
        <f t="shared" si="114"/>
        <v>0</v>
      </c>
      <c r="Q147" s="282">
        <f t="shared" ref="Q147:S147" si="115">Q42 * (1 - Q$117)</f>
        <v>0.38895203872357897</v>
      </c>
      <c r="R147" s="282">
        <f t="shared" si="115"/>
        <v>-0.1343305151546858</v>
      </c>
      <c r="S147" s="282">
        <f t="shared" si="115"/>
        <v>-0.13149601804591723</v>
      </c>
      <c r="T147" s="282">
        <f t="shared" ref="T147:U147" si="116">T42 * (1 - T$117)</f>
        <v>-0.1343305151546858</v>
      </c>
      <c r="U147" s="282">
        <f t="shared" si="116"/>
        <v>-0.1343305151546858</v>
      </c>
      <c r="V147" s="282">
        <f t="shared" ref="V147:W147" si="117">V42 * (1 - V$117)</f>
        <v>-0.13149601804591723</v>
      </c>
      <c r="W147" s="282">
        <f t="shared" si="117"/>
        <v>-0.13149601804591723</v>
      </c>
      <c r="X147" s="282">
        <f t="shared" ref="X147:Y147" si="118">X42 * (1 - X$117)</f>
        <v>-0.12952419397025211</v>
      </c>
      <c r="Y147" s="282">
        <f t="shared" si="118"/>
        <v>-0.12952419397025211</v>
      </c>
      <c r="Z147" s="267"/>
      <c r="AA147" s="267"/>
    </row>
    <row r="148" spans="3:27" x14ac:dyDescent="0.3">
      <c r="F148" t="s">
        <v>197</v>
      </c>
      <c r="G148" t="s">
        <v>269</v>
      </c>
      <c r="H148" s="267"/>
      <c r="I148" s="267"/>
      <c r="J148" s="282">
        <f t="shared" ref="J148:K148" si="119">J43 * (1 - J$118)</f>
        <v>1.2286661000137911</v>
      </c>
      <c r="K148" s="282">
        <f t="shared" si="119"/>
        <v>1.2286661000137911</v>
      </c>
      <c r="L148" s="282">
        <f t="shared" ref="L148:M148" si="120">L43 * (1 - L$118)</f>
        <v>1.3987154265864916</v>
      </c>
      <c r="M148" s="282">
        <f t="shared" si="120"/>
        <v>1.3987154265864916</v>
      </c>
      <c r="N148" s="282">
        <f t="shared" ref="N148:P148" si="121">N43 * (1 - N$118)</f>
        <v>0.90017802789382939</v>
      </c>
      <c r="O148" s="282">
        <f t="shared" si="121"/>
        <v>0</v>
      </c>
      <c r="P148" s="282">
        <f t="shared" si="121"/>
        <v>0</v>
      </c>
      <c r="Q148" s="282">
        <f t="shared" ref="Q148:S148" si="122">Q43 * (1 - Q$118)</f>
        <v>2.5006100551840125</v>
      </c>
      <c r="R148" s="282">
        <f t="shared" si="122"/>
        <v>-0.85745179246510028</v>
      </c>
      <c r="S148" s="282">
        <f t="shared" si="122"/>
        <v>-0.83935877299106598</v>
      </c>
      <c r="T148" s="282">
        <f t="shared" ref="T148:U148" si="123">T43 * (1 - T$118)</f>
        <v>-0.85745179246510028</v>
      </c>
      <c r="U148" s="282">
        <f t="shared" si="123"/>
        <v>-0.85745179246510028</v>
      </c>
      <c r="V148" s="282">
        <f t="shared" ref="V148:W148" si="124">V43 * (1 - V$118)</f>
        <v>-0.83935877299106598</v>
      </c>
      <c r="W148" s="282">
        <f t="shared" si="124"/>
        <v>-0.83935877299106598</v>
      </c>
      <c r="X148" s="282">
        <f t="shared" ref="X148:Y148" si="125">X43 * (1 - X$118)</f>
        <v>0</v>
      </c>
      <c r="Y148" s="282">
        <f t="shared" si="125"/>
        <v>0</v>
      </c>
      <c r="Z148" s="267"/>
      <c r="AA148" s="267"/>
    </row>
    <row r="149" spans="3:27" x14ac:dyDescent="0.3">
      <c r="F149" t="s">
        <v>198</v>
      </c>
      <c r="G149" t="s">
        <v>269</v>
      </c>
      <c r="H149" s="267"/>
      <c r="I149" s="267"/>
      <c r="J149" s="282">
        <f t="shared" ref="J149:K149" si="126">J44 * (1 - J$119)</f>
        <v>0.59861561418452702</v>
      </c>
      <c r="K149" s="282">
        <f t="shared" si="126"/>
        <v>0.59861561418452702</v>
      </c>
      <c r="L149" s="282">
        <f t="shared" ref="L149:M149" si="127">L44 * (1 - L$119)</f>
        <v>0.68146495955739905</v>
      </c>
      <c r="M149" s="282">
        <f t="shared" si="127"/>
        <v>0.68146495955739905</v>
      </c>
      <c r="N149" s="282">
        <f t="shared" ref="N149:P149" si="128">N44 * (1 - N$119)</f>
        <v>0</v>
      </c>
      <c r="O149" s="282">
        <f t="shared" si="128"/>
        <v>0</v>
      </c>
      <c r="P149" s="282">
        <f t="shared" si="128"/>
        <v>0</v>
      </c>
      <c r="Q149" s="282">
        <f t="shared" ref="Q149:S149" si="129">Q44 * (1 - Q$119)</f>
        <v>1.218316533680859</v>
      </c>
      <c r="R149" s="282">
        <f t="shared" si="129"/>
        <v>-0.41775713627515099</v>
      </c>
      <c r="S149" s="282">
        <f t="shared" si="129"/>
        <v>0</v>
      </c>
      <c r="T149" s="282">
        <f t="shared" ref="T149:U149" si="130">T44 * (1 - T$119)</f>
        <v>-0.41775713627515099</v>
      </c>
      <c r="U149" s="282">
        <f t="shared" si="130"/>
        <v>-0.41775713627515099</v>
      </c>
      <c r="V149" s="282">
        <f t="shared" ref="V149:W149" si="131">V44 * (1 - V$119)</f>
        <v>0</v>
      </c>
      <c r="W149" s="282">
        <f t="shared" si="131"/>
        <v>0</v>
      </c>
      <c r="X149" s="282">
        <f t="shared" ref="X149:Y149" si="132">X44 * (1 - X$119)</f>
        <v>0</v>
      </c>
      <c r="Y149" s="282">
        <f t="shared" si="132"/>
        <v>0</v>
      </c>
      <c r="Z149" s="267"/>
      <c r="AA149" s="267"/>
    </row>
    <row r="150" spans="3:27" x14ac:dyDescent="0.3">
      <c r="F150" t="s">
        <v>199</v>
      </c>
      <c r="G150" t="s">
        <v>269</v>
      </c>
      <c r="H150" s="267"/>
      <c r="I150" s="267"/>
      <c r="J150" s="282">
        <f t="shared" ref="J150:K150" si="133">J45 * (1 - J$120)</f>
        <v>0</v>
      </c>
      <c r="K150" s="282">
        <f t="shared" si="133"/>
        <v>0</v>
      </c>
      <c r="L150" s="282">
        <f t="shared" ref="L150:M150" si="134">L45 * (1 - L$120)</f>
        <v>0</v>
      </c>
      <c r="M150" s="282">
        <f t="shared" si="134"/>
        <v>0</v>
      </c>
      <c r="N150" s="282">
        <f t="shared" ref="N150:P150" si="135">N45 * (1 - N$120)</f>
        <v>0</v>
      </c>
      <c r="O150" s="282">
        <f t="shared" si="135"/>
        <v>0</v>
      </c>
      <c r="P150" s="282">
        <f t="shared" si="135"/>
        <v>0</v>
      </c>
      <c r="Q150" s="282">
        <f t="shared" ref="Q150:S150" si="136">Q45 * (1 - Q$120)</f>
        <v>2.7966104958000977</v>
      </c>
      <c r="R150" s="282">
        <f t="shared" si="136"/>
        <v>0</v>
      </c>
      <c r="S150" s="282">
        <f t="shared" si="136"/>
        <v>0</v>
      </c>
      <c r="T150" s="282">
        <f t="shared" ref="T150:U150" si="137">T45 * (1 - T$120)</f>
        <v>0</v>
      </c>
      <c r="U150" s="282">
        <f t="shared" si="137"/>
        <v>0</v>
      </c>
      <c r="V150" s="282">
        <f t="shared" ref="V150:W150" si="138">V45 * (1 - V$120)</f>
        <v>0</v>
      </c>
      <c r="W150" s="282">
        <f t="shared" si="138"/>
        <v>0</v>
      </c>
      <c r="X150" s="282">
        <f t="shared" ref="X150:Y150" si="139">X45 * (1 - X$120)</f>
        <v>0</v>
      </c>
      <c r="Y150" s="282">
        <f t="shared" si="139"/>
        <v>0</v>
      </c>
      <c r="Z150" s="267"/>
      <c r="AA150" s="267"/>
    </row>
    <row r="151" spans="3:27" x14ac:dyDescent="0.3">
      <c r="D151"/>
      <c r="F151" s="23" t="s">
        <v>376</v>
      </c>
      <c r="G151" s="23" t="s">
        <v>269</v>
      </c>
      <c r="H151" s="266"/>
      <c r="I151" s="266" t="s">
        <v>154</v>
      </c>
      <c r="J151" s="280"/>
      <c r="K151" s="280"/>
      <c r="L151" s="280"/>
      <c r="M151" s="280"/>
      <c r="N151" s="280"/>
      <c r="O151" s="280"/>
      <c r="P151" s="280"/>
      <c r="Q151" s="281">
        <f t="shared" ref="Q151" si="140">Q46</f>
        <v>0.8808124324004668</v>
      </c>
      <c r="R151" s="280"/>
      <c r="S151" s="280"/>
      <c r="T151" s="280"/>
      <c r="U151" s="280"/>
      <c r="V151" s="280"/>
      <c r="W151" s="280"/>
      <c r="X151" s="280"/>
      <c r="Y151" s="280"/>
      <c r="Z151" s="267"/>
      <c r="AA151" s="267" t="s">
        <v>654</v>
      </c>
    </row>
    <row r="152" spans="3:27" x14ac:dyDescent="0.3">
      <c r="D152"/>
      <c r="F152" s="37" t="s">
        <v>377</v>
      </c>
      <c r="G152" s="37" t="s">
        <v>269</v>
      </c>
      <c r="H152" s="269"/>
      <c r="I152" s="269"/>
      <c r="J152" s="270"/>
      <c r="K152" s="270"/>
      <c r="L152" s="270"/>
      <c r="M152" s="270"/>
      <c r="N152" s="270"/>
      <c r="O152" s="270"/>
      <c r="P152" s="270"/>
      <c r="Q152" s="270"/>
      <c r="R152" s="270"/>
      <c r="S152" s="270"/>
      <c r="T152" s="270"/>
      <c r="U152" s="270"/>
      <c r="V152" s="270"/>
      <c r="W152" s="270"/>
      <c r="X152" s="270"/>
      <c r="Y152" s="270"/>
      <c r="Z152" s="267"/>
      <c r="AA152" s="267"/>
    </row>
    <row r="153" spans="3:27" x14ac:dyDescent="0.3">
      <c r="E153"/>
      <c r="J153" s="89"/>
      <c r="K153" s="89"/>
      <c r="L153" s="89"/>
      <c r="M153" s="89"/>
      <c r="N153" s="89"/>
      <c r="O153" s="89"/>
      <c r="P153" s="89"/>
      <c r="Q153" s="89"/>
      <c r="R153" s="89"/>
      <c r="S153" s="89"/>
      <c r="T153" s="89"/>
      <c r="U153" s="89"/>
      <c r="V153" s="89"/>
      <c r="W153" s="89"/>
      <c r="X153" s="89"/>
      <c r="Y153" s="89"/>
    </row>
    <row r="154" spans="3:27" x14ac:dyDescent="0.3">
      <c r="C154" s="31" t="str">
        <f ca="1">INDEX('Version control'!$H$34:$H$57,MATCH($A$1,'Version control'!$F$34:$F$57,0),1)&amp;"-F: Contributions to unit rate 2 p/kWh by network level (taking account of standing charges)"</f>
        <v>Section 111-F: Contributions to unit rate 2 p/kWh by network level (taking account of standing charges)</v>
      </c>
      <c r="D154" s="31"/>
      <c r="E154" s="31"/>
      <c r="F154" s="31"/>
      <c r="G154" s="31"/>
      <c r="H154" s="31"/>
      <c r="I154" s="31"/>
      <c r="J154" s="90"/>
      <c r="K154" s="90"/>
      <c r="L154" s="90"/>
      <c r="M154" s="90"/>
      <c r="N154" s="90"/>
      <c r="O154" s="90"/>
      <c r="P154" s="90"/>
      <c r="Q154" s="90"/>
      <c r="R154" s="90"/>
      <c r="S154" s="90"/>
      <c r="T154" s="90"/>
      <c r="U154" s="90"/>
      <c r="V154" s="90"/>
      <c r="W154" s="90"/>
      <c r="X154" s="90"/>
      <c r="Y154" s="90"/>
      <c r="Z154" s="31"/>
      <c r="AA154" s="31"/>
    </row>
    <row r="155" spans="3:27" x14ac:dyDescent="0.3">
      <c r="C155" s="32"/>
      <c r="D155" s="32"/>
      <c r="E155"/>
      <c r="I155" t="s">
        <v>154</v>
      </c>
      <c r="J155" s="89"/>
      <c r="K155" s="89"/>
      <c r="L155" s="89"/>
      <c r="M155" s="89"/>
      <c r="N155" s="89"/>
      <c r="O155" s="89"/>
      <c r="P155" s="89"/>
      <c r="Q155" s="89"/>
      <c r="R155" s="89"/>
      <c r="S155" s="89"/>
      <c r="T155" s="89"/>
      <c r="U155" s="89"/>
      <c r="V155" s="89"/>
      <c r="W155" s="89"/>
      <c r="X155" s="89"/>
      <c r="Y155" s="89"/>
      <c r="AA155" t="s">
        <v>656</v>
      </c>
    </row>
    <row r="156" spans="3:27" x14ac:dyDescent="0.3">
      <c r="E156" s="32" t="s">
        <v>621</v>
      </c>
      <c r="J156" s="89"/>
      <c r="K156" s="89"/>
      <c r="L156" s="89"/>
      <c r="M156" s="89"/>
      <c r="N156" s="89"/>
      <c r="O156" s="89"/>
      <c r="P156" s="89"/>
      <c r="Q156" s="89"/>
      <c r="R156" s="89"/>
      <c r="S156" s="89"/>
      <c r="T156" s="89"/>
      <c r="U156" s="89"/>
      <c r="V156" s="89"/>
      <c r="W156" s="89"/>
      <c r="X156" s="89"/>
      <c r="Y156" s="89"/>
    </row>
    <row r="157" spans="3:27" x14ac:dyDescent="0.3">
      <c r="F157" s="23" t="s">
        <v>189</v>
      </c>
      <c r="G157" s="23" t="s">
        <v>269</v>
      </c>
      <c r="H157" s="266"/>
      <c r="I157" s="266"/>
      <c r="J157" s="434">
        <f t="shared" ref="J157:K157" si="141">J52 * (1 - J$112)</f>
        <v>0</v>
      </c>
      <c r="K157" s="434">
        <f t="shared" si="141"/>
        <v>0</v>
      </c>
      <c r="L157" s="434">
        <f t="shared" ref="L157:M157" si="142">L52 * (1 - L$112)</f>
        <v>0</v>
      </c>
      <c r="M157" s="434">
        <f t="shared" si="142"/>
        <v>0</v>
      </c>
      <c r="N157" s="434">
        <f t="shared" ref="N157:P157" si="143">N52 * (1 - N$112)</f>
        <v>0</v>
      </c>
      <c r="O157" s="434">
        <f t="shared" si="143"/>
        <v>0</v>
      </c>
      <c r="P157" s="434">
        <f t="shared" si="143"/>
        <v>0</v>
      </c>
      <c r="Q157" s="434">
        <f t="shared" ref="Q157:S157" si="144">Q52 * (1 - Q$112)</f>
        <v>0</v>
      </c>
      <c r="R157" s="434">
        <f t="shared" si="144"/>
        <v>0</v>
      </c>
      <c r="S157" s="434">
        <f t="shared" si="144"/>
        <v>0</v>
      </c>
      <c r="T157" s="434">
        <f t="shared" ref="T157:U157" si="145">T52 * (1 - T$112)</f>
        <v>0</v>
      </c>
      <c r="U157" s="434">
        <f t="shared" si="145"/>
        <v>0</v>
      </c>
      <c r="V157" s="434">
        <f t="shared" ref="V157:W157" si="146">V52 * (1 - V$112)</f>
        <v>0</v>
      </c>
      <c r="W157" s="434">
        <f t="shared" si="146"/>
        <v>0</v>
      </c>
      <c r="X157" s="434">
        <f t="shared" ref="X157:Y157" si="147">X52 * (1 - X$112)</f>
        <v>0</v>
      </c>
      <c r="Y157" s="434">
        <f t="shared" si="147"/>
        <v>0</v>
      </c>
      <c r="Z157" s="267"/>
      <c r="AA157" s="267"/>
    </row>
    <row r="158" spans="3:27" x14ac:dyDescent="0.3">
      <c r="F158" t="s">
        <v>191</v>
      </c>
      <c r="G158" t="s">
        <v>269</v>
      </c>
      <c r="H158" s="267"/>
      <c r="I158" s="267"/>
      <c r="J158" s="282">
        <f t="shared" ref="J158:K158" si="148">J53 * (1 - J$112)</f>
        <v>0</v>
      </c>
      <c r="K158" s="282">
        <f t="shared" si="148"/>
        <v>0</v>
      </c>
      <c r="L158" s="282">
        <f t="shared" ref="L158:M158" si="149">L53 * (1 - L$112)</f>
        <v>0</v>
      </c>
      <c r="M158" s="282">
        <f t="shared" si="149"/>
        <v>0</v>
      </c>
      <c r="N158" s="282">
        <f t="shared" ref="N158:P158" si="150">N53 * (1 - N$112)</f>
        <v>0</v>
      </c>
      <c r="O158" s="282">
        <f t="shared" si="150"/>
        <v>0</v>
      </c>
      <c r="P158" s="282">
        <f t="shared" si="150"/>
        <v>0</v>
      </c>
      <c r="Q158" s="282">
        <f t="shared" ref="Q158:S158" si="151">Q53 * (1 - Q$112)</f>
        <v>0</v>
      </c>
      <c r="R158" s="282">
        <f t="shared" si="151"/>
        <v>0</v>
      </c>
      <c r="S158" s="282">
        <f t="shared" si="151"/>
        <v>0</v>
      </c>
      <c r="T158" s="282">
        <f t="shared" ref="T158:U158" si="152">T53 * (1 - T$112)</f>
        <v>0</v>
      </c>
      <c r="U158" s="282">
        <f t="shared" si="152"/>
        <v>0</v>
      </c>
      <c r="V158" s="282">
        <f t="shared" ref="V158:W158" si="153">V53 * (1 - V$112)</f>
        <v>0</v>
      </c>
      <c r="W158" s="282">
        <f t="shared" si="153"/>
        <v>0</v>
      </c>
      <c r="X158" s="282">
        <f t="shared" ref="X158:Y158" si="154">X53 * (1 - X$112)</f>
        <v>0</v>
      </c>
      <c r="Y158" s="282">
        <f t="shared" si="154"/>
        <v>0</v>
      </c>
      <c r="Z158" s="267"/>
      <c r="AA158" s="267"/>
    </row>
    <row r="159" spans="3:27" x14ac:dyDescent="0.3">
      <c r="F159" t="s">
        <v>192</v>
      </c>
      <c r="G159" t="s">
        <v>269</v>
      </c>
      <c r="H159" s="267"/>
      <c r="I159" s="267"/>
      <c r="J159" s="282">
        <f t="shared" ref="J159:K159" si="155">J54 * (1 - J$113)</f>
        <v>0.10969044910655311</v>
      </c>
      <c r="K159" s="282">
        <f t="shared" si="155"/>
        <v>0.10969044910655311</v>
      </c>
      <c r="L159" s="282">
        <f t="shared" ref="L159:M159" si="156">L54 * (1 - L$113)</f>
        <v>0.12487178030940556</v>
      </c>
      <c r="M159" s="282">
        <f t="shared" si="156"/>
        <v>0.12487178030940556</v>
      </c>
      <c r="N159" s="282">
        <f t="shared" ref="N159:P159" si="157">N54 * (1 - N$113)</f>
        <v>0.10045541680772457</v>
      </c>
      <c r="O159" s="282">
        <f t="shared" si="157"/>
        <v>7.3511219284082011E-2</v>
      </c>
      <c r="P159" s="282">
        <f t="shared" si="157"/>
        <v>7.1198182436815929E-2</v>
      </c>
      <c r="Q159" s="282">
        <f t="shared" ref="Q159:S159" si="158">Q54 * (1 - Q$113)</f>
        <v>6.506518887068552E-2</v>
      </c>
      <c r="R159" s="282">
        <f t="shared" si="158"/>
        <v>-7.6549904161643353E-2</v>
      </c>
      <c r="S159" s="282">
        <f t="shared" si="158"/>
        <v>-7.4934630954562806E-2</v>
      </c>
      <c r="T159" s="282">
        <f t="shared" ref="T159:U159" si="159">T54 * (1 - T$113)</f>
        <v>-7.6549904161643353E-2</v>
      </c>
      <c r="U159" s="282">
        <f t="shared" si="159"/>
        <v>-7.6549904161643353E-2</v>
      </c>
      <c r="V159" s="282">
        <f t="shared" ref="V159:W159" si="160">V54 * (1 - V$113)</f>
        <v>-7.4934630954562806E-2</v>
      </c>
      <c r="W159" s="282">
        <f t="shared" si="160"/>
        <v>-7.4934630954562806E-2</v>
      </c>
      <c r="X159" s="282">
        <f t="shared" ref="X159:Y159" si="161">X54 * (1 - X$113)</f>
        <v>-7.381096263659373E-2</v>
      </c>
      <c r="Y159" s="282">
        <f t="shared" si="161"/>
        <v>-7.381096263659373E-2</v>
      </c>
      <c r="Z159" s="267"/>
      <c r="AA159" s="267"/>
    </row>
    <row r="160" spans="3:27" x14ac:dyDescent="0.3">
      <c r="F160" t="s">
        <v>193</v>
      </c>
      <c r="G160" t="s">
        <v>269</v>
      </c>
      <c r="H160" s="267"/>
      <c r="I160" s="267"/>
      <c r="J160" s="282">
        <f t="shared" ref="J160:K160" si="162">J55 * (1 - J$114)</f>
        <v>2.5968907272619145E-2</v>
      </c>
      <c r="K160" s="282">
        <f t="shared" si="162"/>
        <v>2.5968907272619145E-2</v>
      </c>
      <c r="L160" s="282">
        <f t="shared" ref="L160:M160" si="163">L55 * (1 - L$114)</f>
        <v>2.9563045007426198E-2</v>
      </c>
      <c r="M160" s="282">
        <f t="shared" si="163"/>
        <v>2.9563045007426198E-2</v>
      </c>
      <c r="N160" s="282">
        <f t="shared" ref="N160:P160" si="164">N55 * (1 - N$114)</f>
        <v>2.3782539185139107E-2</v>
      </c>
      <c r="O160" s="282">
        <f t="shared" si="164"/>
        <v>1.7403575722723979E-2</v>
      </c>
      <c r="P160" s="282">
        <f t="shared" si="164"/>
        <v>1.9566137591730169E-2</v>
      </c>
      <c r="Q160" s="282">
        <f t="shared" ref="Q160:S160" si="165">Q55 * (1 - Q$114)</f>
        <v>1.5404001626585917E-2</v>
      </c>
      <c r="R160" s="282">
        <f t="shared" si="165"/>
        <v>-1.812297587523358E-2</v>
      </c>
      <c r="S160" s="282">
        <f t="shared" si="165"/>
        <v>-1.7740564457682777E-2</v>
      </c>
      <c r="T160" s="282">
        <f t="shared" ref="T160:U160" si="166">T55 * (1 - T$114)</f>
        <v>-1.812297587523358E-2</v>
      </c>
      <c r="U160" s="282">
        <f t="shared" si="166"/>
        <v>-1.812297587523358E-2</v>
      </c>
      <c r="V160" s="282">
        <f t="shared" ref="V160:W160" si="167">V55 * (1 - V$114)</f>
        <v>-1.7740564457682777E-2</v>
      </c>
      <c r="W160" s="282">
        <f t="shared" si="167"/>
        <v>-1.7740564457682777E-2</v>
      </c>
      <c r="X160" s="282">
        <f t="shared" ref="X160:Y160" si="168">X55 * (1 - X$114)</f>
        <v>-1.7474539123734395E-2</v>
      </c>
      <c r="Y160" s="282">
        <f t="shared" si="168"/>
        <v>-1.7474539123734395E-2</v>
      </c>
      <c r="Z160" s="267"/>
      <c r="AA160" s="267"/>
    </row>
    <row r="161" spans="4:27" x14ac:dyDescent="0.3">
      <c r="F161" t="s">
        <v>194</v>
      </c>
      <c r="G161" t="s">
        <v>269</v>
      </c>
      <c r="H161" s="267"/>
      <c r="I161" s="267"/>
      <c r="J161" s="282">
        <f t="shared" ref="J161:K161" si="169">J56 * (1 - J$115)</f>
        <v>2.0495720067508036E-2</v>
      </c>
      <c r="K161" s="282">
        <f t="shared" si="169"/>
        <v>2.0495720067508036E-2</v>
      </c>
      <c r="L161" s="282">
        <f t="shared" ref="L161:M161" si="170">L56 * (1 - L$115)</f>
        <v>2.3332360058684803E-2</v>
      </c>
      <c r="M161" s="282">
        <f t="shared" si="170"/>
        <v>2.3332360058684803E-2</v>
      </c>
      <c r="N161" s="282">
        <f t="shared" ref="N161:P161" si="171">N56 * (1 - N$115)</f>
        <v>1.8770149260269198E-2</v>
      </c>
      <c r="O161" s="282">
        <f t="shared" si="171"/>
        <v>1.3735611300161335E-2</v>
      </c>
      <c r="P161" s="282">
        <f t="shared" si="171"/>
        <v>1.2353914615584098E-2</v>
      </c>
      <c r="Q161" s="282">
        <f t="shared" ref="Q161:S161" si="172">Q56 * (1 - Q$115)</f>
        <v>1.2150244782115946E-2</v>
      </c>
      <c r="R161" s="282">
        <f t="shared" si="172"/>
        <v>-1.4303391222033741E-2</v>
      </c>
      <c r="S161" s="282">
        <f t="shared" si="172"/>
        <v>-1.4001576544871556E-2</v>
      </c>
      <c r="T161" s="282">
        <f t="shared" ref="T161:U161" si="173">T56 * (1 - T$115)</f>
        <v>-1.4303391222033741E-2</v>
      </c>
      <c r="U161" s="282">
        <f t="shared" si="173"/>
        <v>-1.4303391222033741E-2</v>
      </c>
      <c r="V161" s="282">
        <f t="shared" ref="V161:W161" si="174">V56 * (1 - V$115)</f>
        <v>-1.4001576544871556E-2</v>
      </c>
      <c r="W161" s="282">
        <f t="shared" si="174"/>
        <v>-1.4001576544871556E-2</v>
      </c>
      <c r="X161" s="282">
        <f t="shared" ref="X161:Y161" si="175">X56 * (1 - X$115)</f>
        <v>-1.3791618508584824E-2</v>
      </c>
      <c r="Y161" s="282">
        <f t="shared" si="175"/>
        <v>-1.3791618508584824E-2</v>
      </c>
      <c r="Z161" s="267"/>
      <c r="AA161" s="267"/>
    </row>
    <row r="162" spans="4:27" x14ac:dyDescent="0.3">
      <c r="F162" t="s">
        <v>195</v>
      </c>
      <c r="G162" t="s">
        <v>269</v>
      </c>
      <c r="H162" s="267"/>
      <c r="I162" s="267"/>
      <c r="J162" s="282">
        <f t="shared" ref="J162:K162" si="176">J57 * (1 - J$116)</f>
        <v>3.9509356521241615E-2</v>
      </c>
      <c r="K162" s="282">
        <f t="shared" si="176"/>
        <v>3.9509356521241615E-2</v>
      </c>
      <c r="L162" s="282">
        <f t="shared" ref="L162:M162" si="177">L57 * (1 - L$116)</f>
        <v>4.4977513793329163E-2</v>
      </c>
      <c r="M162" s="282">
        <f t="shared" si="177"/>
        <v>4.4977513793329163E-2</v>
      </c>
      <c r="N162" s="282">
        <f t="shared" ref="N162:P162" si="178">N57 * (1 - N$116)</f>
        <v>3.6182994139178942E-2</v>
      </c>
      <c r="O162" s="282">
        <f t="shared" si="178"/>
        <v>2.6477975016627533E-2</v>
      </c>
      <c r="P162" s="282">
        <f t="shared" si="178"/>
        <v>0</v>
      </c>
      <c r="Q162" s="282">
        <f t="shared" ref="Q162:S162" si="179">Q57 * (1 - Q$116)</f>
        <v>2.3421882780200416E-2</v>
      </c>
      <c r="R162" s="282">
        <f t="shared" si="179"/>
        <v>-2.757247763888095E-2</v>
      </c>
      <c r="S162" s="282">
        <f t="shared" si="179"/>
        <v>-2.6990673064849511E-2</v>
      </c>
      <c r="T162" s="282">
        <f t="shared" ref="T162:U162" si="180">T57 * (1 - T$116)</f>
        <v>-2.757247763888095E-2</v>
      </c>
      <c r="U162" s="282">
        <f t="shared" si="180"/>
        <v>-2.757247763888095E-2</v>
      </c>
      <c r="V162" s="282">
        <f t="shared" ref="V162:W162" si="181">V57 * (1 - V$116)</f>
        <v>-2.6990673064849511E-2</v>
      </c>
      <c r="W162" s="282">
        <f t="shared" si="181"/>
        <v>-2.6990673064849511E-2</v>
      </c>
      <c r="X162" s="282">
        <f t="shared" ref="X162:Y162" si="182">X57 * (1 - X$116)</f>
        <v>-1.9736309575547832E-2</v>
      </c>
      <c r="Y162" s="282">
        <f t="shared" si="182"/>
        <v>-1.9736309575547832E-2</v>
      </c>
      <c r="Z162" s="267"/>
      <c r="AA162" s="267"/>
    </row>
    <row r="163" spans="4:27" x14ac:dyDescent="0.3">
      <c r="F163" t="s">
        <v>196</v>
      </c>
      <c r="G163" t="s">
        <v>269</v>
      </c>
      <c r="H163" s="267"/>
      <c r="I163" s="267"/>
      <c r="J163" s="282">
        <f t="shared" ref="J163:K163" si="183">J58 * (1 - J$117)</f>
        <v>5.4323285520320549E-2</v>
      </c>
      <c r="K163" s="282">
        <f t="shared" si="183"/>
        <v>5.4323285520320549E-2</v>
      </c>
      <c r="L163" s="282">
        <f t="shared" ref="L163:M163" si="184">L58 * (1 - L$117)</f>
        <v>6.1841713936180098E-2</v>
      </c>
      <c r="M163" s="282">
        <f t="shared" si="184"/>
        <v>6.1841713936180098E-2</v>
      </c>
      <c r="N163" s="282">
        <f t="shared" ref="N163:P163" si="185">N58 * (1 - N$117)</f>
        <v>4.9749712338289759E-2</v>
      </c>
      <c r="O163" s="282">
        <f t="shared" si="185"/>
        <v>3.6405821898285125E-2</v>
      </c>
      <c r="P163" s="282">
        <f t="shared" si="185"/>
        <v>0</v>
      </c>
      <c r="Q163" s="282">
        <f t="shared" ref="Q163:S163" si="186">Q58 * (1 - Q$117)</f>
        <v>3.2222995358715076E-2</v>
      </c>
      <c r="R163" s="282">
        <f t="shared" si="186"/>
        <v>-3.7910705391374797E-2</v>
      </c>
      <c r="S163" s="282">
        <f t="shared" si="186"/>
        <v>-3.7110754727153132E-2</v>
      </c>
      <c r="T163" s="282">
        <f t="shared" ref="T163:U163" si="187">T58 * (1 - T$117)</f>
        <v>-3.7910705391374797E-2</v>
      </c>
      <c r="U163" s="282">
        <f t="shared" si="187"/>
        <v>-3.7910705391374797E-2</v>
      </c>
      <c r="V163" s="282">
        <f t="shared" ref="V163:W163" si="188">V58 * (1 - V$117)</f>
        <v>-3.7110754727153132E-2</v>
      </c>
      <c r="W163" s="282">
        <f t="shared" si="188"/>
        <v>-3.7110754727153132E-2</v>
      </c>
      <c r="X163" s="282">
        <f t="shared" ref="X163:Y163" si="189">X58 * (1 - X$117)</f>
        <v>-2.7136386785077116E-2</v>
      </c>
      <c r="Y163" s="282">
        <f t="shared" si="189"/>
        <v>-2.7136386785077116E-2</v>
      </c>
      <c r="Z163" s="267"/>
      <c r="AA163" s="267"/>
    </row>
    <row r="164" spans="4:27" x14ac:dyDescent="0.3">
      <c r="F164" t="s">
        <v>197</v>
      </c>
      <c r="G164" t="s">
        <v>269</v>
      </c>
      <c r="H164" s="267"/>
      <c r="I164" s="267"/>
      <c r="J164" s="282">
        <f t="shared" ref="J164:K164" si="190">J59 * (1 - J$118)</f>
        <v>0.15458715896920883</v>
      </c>
      <c r="K164" s="282">
        <f t="shared" si="190"/>
        <v>0.15458715896920883</v>
      </c>
      <c r="L164" s="282">
        <f t="shared" ref="L164:M164" si="191">L59 * (1 - L$118)</f>
        <v>0.17598226564563285</v>
      </c>
      <c r="M164" s="282">
        <f t="shared" si="191"/>
        <v>0.17598226564563285</v>
      </c>
      <c r="N164" s="282">
        <f t="shared" ref="N164:P164" si="192">N59 * (1 - N$118)</f>
        <v>0.11325775480991161</v>
      </c>
      <c r="O164" s="282">
        <f t="shared" si="192"/>
        <v>0</v>
      </c>
      <c r="P164" s="282">
        <f t="shared" si="192"/>
        <v>0</v>
      </c>
      <c r="Q164" s="282">
        <f t="shared" ref="Q164:S164" si="193">Q59 * (1 - Q$118)</f>
        <v>9.1642148480813396E-2</v>
      </c>
      <c r="R164" s="282">
        <f t="shared" si="193"/>
        <v>-0.10788206539494148</v>
      </c>
      <c r="S164" s="282">
        <f t="shared" si="193"/>
        <v>-0.10560565484073625</v>
      </c>
      <c r="T164" s="282">
        <f t="shared" ref="T164:U164" si="194">T59 * (1 - T$118)</f>
        <v>-0.10788206539494148</v>
      </c>
      <c r="U164" s="282">
        <f t="shared" si="194"/>
        <v>-0.10788206539494148</v>
      </c>
      <c r="V164" s="282">
        <f t="shared" ref="V164:W164" si="195">V59 * (1 - V$118)</f>
        <v>-0.10560565484073625</v>
      </c>
      <c r="W164" s="282">
        <f t="shared" si="195"/>
        <v>-0.10560565484073625</v>
      </c>
      <c r="X164" s="282">
        <f t="shared" ref="X164:Y164" si="196">X59 * (1 - X$118)</f>
        <v>0</v>
      </c>
      <c r="Y164" s="282">
        <f t="shared" si="196"/>
        <v>0</v>
      </c>
      <c r="Z164" s="267"/>
      <c r="AA164" s="267"/>
    </row>
    <row r="165" spans="4:27" x14ac:dyDescent="0.3">
      <c r="F165" t="s">
        <v>198</v>
      </c>
      <c r="G165" t="s">
        <v>269</v>
      </c>
      <c r="H165" s="267"/>
      <c r="I165" s="267"/>
      <c r="J165" s="282">
        <f t="shared" ref="J165:K165" si="197">J60 * (1 - J$119)</f>
        <v>4.406711862465159E-2</v>
      </c>
      <c r="K165" s="282">
        <f t="shared" si="197"/>
        <v>4.406711862465159E-2</v>
      </c>
      <c r="L165" s="282">
        <f t="shared" ref="L165:M165" si="198">L60 * (1 - L$119)</f>
        <v>5.0166077362128914E-2</v>
      </c>
      <c r="M165" s="282">
        <f t="shared" si="198"/>
        <v>5.0166077362128914E-2</v>
      </c>
      <c r="N165" s="282">
        <f t="shared" ref="N165:P165" si="199">N60 * (1 - N$119)</f>
        <v>0</v>
      </c>
      <c r="O165" s="282">
        <f t="shared" si="199"/>
        <v>0</v>
      </c>
      <c r="P165" s="282">
        <f t="shared" si="199"/>
        <v>0</v>
      </c>
      <c r="Q165" s="282">
        <f t="shared" ref="Q165:S165" si="200">Q60 * (1 - Q$119)</f>
        <v>2.6123809086408795E-2</v>
      </c>
      <c r="R165" s="282">
        <f t="shared" si="200"/>
        <v>-3.075321265318184E-2</v>
      </c>
      <c r="S165" s="282">
        <f t="shared" si="200"/>
        <v>0</v>
      </c>
      <c r="T165" s="282">
        <f t="shared" ref="T165:U165" si="201">T60 * (1 - T$119)</f>
        <v>-3.075321265318184E-2</v>
      </c>
      <c r="U165" s="282">
        <f t="shared" si="201"/>
        <v>-3.075321265318184E-2</v>
      </c>
      <c r="V165" s="282">
        <f t="shared" ref="V165:W165" si="202">V60 * (1 - V$119)</f>
        <v>0</v>
      </c>
      <c r="W165" s="282">
        <f t="shared" si="202"/>
        <v>0</v>
      </c>
      <c r="X165" s="282">
        <f t="shared" ref="X165:Y165" si="203">X60 * (1 - X$119)</f>
        <v>0</v>
      </c>
      <c r="Y165" s="282">
        <f t="shared" si="203"/>
        <v>0</v>
      </c>
      <c r="Z165" s="267"/>
      <c r="AA165" s="267"/>
    </row>
    <row r="166" spans="4:27" x14ac:dyDescent="0.3">
      <c r="F166" t="s">
        <v>199</v>
      </c>
      <c r="G166" t="s">
        <v>269</v>
      </c>
      <c r="H166" s="267"/>
      <c r="I166" s="267"/>
      <c r="J166" s="282">
        <f t="shared" ref="J166:K166" si="204">J61 * (1 - J$120)</f>
        <v>0</v>
      </c>
      <c r="K166" s="282">
        <f t="shared" si="204"/>
        <v>0</v>
      </c>
      <c r="L166" s="282">
        <f t="shared" ref="L166:M166" si="205">L61 * (1 - L$120)</f>
        <v>0</v>
      </c>
      <c r="M166" s="282">
        <f t="shared" si="205"/>
        <v>0</v>
      </c>
      <c r="N166" s="282">
        <f t="shared" ref="N166:P166" si="206">N61 * (1 - N$120)</f>
        <v>0</v>
      </c>
      <c r="O166" s="282">
        <f t="shared" si="206"/>
        <v>0</v>
      </c>
      <c r="P166" s="282">
        <f t="shared" si="206"/>
        <v>0</v>
      </c>
      <c r="Q166" s="282">
        <f t="shared" ref="Q166:S166" si="207">Q61 * (1 - Q$120)</f>
        <v>1.744295402736562E-2</v>
      </c>
      <c r="R166" s="282">
        <f t="shared" si="207"/>
        <v>0</v>
      </c>
      <c r="S166" s="282">
        <f t="shared" si="207"/>
        <v>0</v>
      </c>
      <c r="T166" s="282">
        <f t="shared" ref="T166:U166" si="208">T61 * (1 - T$120)</f>
        <v>0</v>
      </c>
      <c r="U166" s="282">
        <f t="shared" si="208"/>
        <v>0</v>
      </c>
      <c r="V166" s="282">
        <f t="shared" ref="V166:W166" si="209">V61 * (1 - V$120)</f>
        <v>0</v>
      </c>
      <c r="W166" s="282">
        <f t="shared" si="209"/>
        <v>0</v>
      </c>
      <c r="X166" s="282">
        <f t="shared" ref="X166:Y166" si="210">X61 * (1 - X$120)</f>
        <v>0</v>
      </c>
      <c r="Y166" s="282">
        <f t="shared" si="210"/>
        <v>0</v>
      </c>
      <c r="Z166" s="267"/>
      <c r="AA166" s="267"/>
    </row>
    <row r="167" spans="4:27" x14ac:dyDescent="0.3">
      <c r="D167"/>
      <c r="F167" s="23" t="s">
        <v>376</v>
      </c>
      <c r="G167" s="23" t="s">
        <v>269</v>
      </c>
      <c r="H167" s="266"/>
      <c r="I167" s="266"/>
      <c r="J167" s="280"/>
      <c r="K167" s="280"/>
      <c r="L167" s="280"/>
      <c r="M167" s="280"/>
      <c r="N167" s="280"/>
      <c r="O167" s="280"/>
      <c r="P167" s="280"/>
      <c r="Q167" s="280"/>
      <c r="R167" s="280"/>
      <c r="S167" s="280"/>
      <c r="T167" s="280"/>
      <c r="U167" s="280"/>
      <c r="V167" s="280"/>
      <c r="W167" s="280"/>
      <c r="X167" s="280"/>
      <c r="Y167" s="280"/>
      <c r="Z167" s="267"/>
      <c r="AA167" s="267"/>
    </row>
    <row r="168" spans="4:27" x14ac:dyDescent="0.3">
      <c r="D168"/>
      <c r="F168" s="37" t="s">
        <v>377</v>
      </c>
      <c r="G168" s="37" t="s">
        <v>269</v>
      </c>
      <c r="H168" s="269"/>
      <c r="I168" s="269"/>
      <c r="J168" s="270"/>
      <c r="K168" s="270"/>
      <c r="L168" s="270"/>
      <c r="M168" s="270"/>
      <c r="N168" s="270"/>
      <c r="O168" s="270"/>
      <c r="P168" s="270"/>
      <c r="Q168" s="270"/>
      <c r="R168" s="270"/>
      <c r="S168" s="270"/>
      <c r="T168" s="270"/>
      <c r="U168" s="270"/>
      <c r="V168" s="270"/>
      <c r="W168" s="270"/>
      <c r="X168" s="270"/>
      <c r="Y168" s="270"/>
      <c r="Z168" s="267"/>
      <c r="AA168" s="267"/>
    </row>
    <row r="169" spans="4:27" x14ac:dyDescent="0.3">
      <c r="D169"/>
      <c r="J169" s="89"/>
      <c r="K169" s="89"/>
      <c r="L169" s="89"/>
      <c r="M169" s="89"/>
      <c r="N169" s="89"/>
      <c r="O169" s="89"/>
      <c r="P169" s="89"/>
      <c r="Q169" s="89"/>
      <c r="R169" s="89"/>
      <c r="S169" s="89"/>
      <c r="T169" s="89"/>
      <c r="U169" s="89"/>
      <c r="V169" s="89"/>
      <c r="W169" s="89"/>
      <c r="X169" s="89"/>
      <c r="Y169" s="89"/>
    </row>
    <row r="170" spans="4:27" x14ac:dyDescent="0.3">
      <c r="E170" s="32" t="s">
        <v>622</v>
      </c>
      <c r="J170" s="89"/>
      <c r="K170" s="89"/>
      <c r="L170" s="89"/>
      <c r="M170" s="89"/>
      <c r="N170" s="89"/>
      <c r="O170" s="89"/>
      <c r="P170" s="89"/>
      <c r="Q170" s="89"/>
      <c r="R170" s="89"/>
      <c r="S170" s="89"/>
      <c r="T170" s="89"/>
      <c r="U170" s="89"/>
      <c r="V170" s="89"/>
      <c r="W170" s="89"/>
      <c r="X170" s="89"/>
      <c r="Y170" s="89"/>
    </row>
    <row r="171" spans="4:27" x14ac:dyDescent="0.3">
      <c r="F171" s="23" t="s">
        <v>189</v>
      </c>
      <c r="G171" s="23" t="s">
        <v>269</v>
      </c>
      <c r="H171" s="266"/>
      <c r="I171" s="266"/>
      <c r="J171" s="434">
        <f t="shared" ref="J171:K171" si="211">J66 * (1 - J$112)</f>
        <v>6.3994810232321425E-2</v>
      </c>
      <c r="K171" s="434">
        <f t="shared" si="211"/>
        <v>6.3994810232321425E-2</v>
      </c>
      <c r="L171" s="434">
        <f t="shared" ref="L171:M171" si="212">L66 * (1 - L$112)</f>
        <v>7.2851792926018163E-2</v>
      </c>
      <c r="M171" s="434">
        <f t="shared" si="212"/>
        <v>7.2851792926018163E-2</v>
      </c>
      <c r="N171" s="434">
        <f t="shared" ref="N171:P171" si="213">N66 * (1 - N$112)</f>
        <v>5.8606974333511308E-2</v>
      </c>
      <c r="O171" s="434">
        <f t="shared" si="213"/>
        <v>4.2887385058124894E-2</v>
      </c>
      <c r="P171" s="434">
        <f t="shared" si="213"/>
        <v>4.8216555630065862E-2</v>
      </c>
      <c r="Q171" s="434">
        <f t="shared" ref="Q171:S171" si="214">Q66 * (1 - Q$112)</f>
        <v>5.4796604497384362E-2</v>
      </c>
      <c r="R171" s="434">
        <f t="shared" si="214"/>
        <v>-4.4660192660603268E-2</v>
      </c>
      <c r="S171" s="434">
        <f t="shared" si="214"/>
        <v>-4.371782162281071E-2</v>
      </c>
      <c r="T171" s="434">
        <f t="shared" ref="T171:U171" si="215">T66 * (1 - T$112)</f>
        <v>-4.4660192660603268E-2</v>
      </c>
      <c r="U171" s="434">
        <f t="shared" si="215"/>
        <v>-4.4660192660603268E-2</v>
      </c>
      <c r="V171" s="434">
        <f t="shared" ref="V171:W171" si="216">V66 * (1 - V$112)</f>
        <v>-4.371782162281071E-2</v>
      </c>
      <c r="W171" s="434">
        <f t="shared" si="216"/>
        <v>-4.371782162281071E-2</v>
      </c>
      <c r="X171" s="434">
        <f t="shared" ref="X171:Y171" si="217">X66 * (1 - X$112)</f>
        <v>-4.3062259161737636E-2</v>
      </c>
      <c r="Y171" s="434">
        <f t="shared" si="217"/>
        <v>-4.3062259161737636E-2</v>
      </c>
      <c r="Z171" s="267"/>
      <c r="AA171" s="267"/>
    </row>
    <row r="172" spans="4:27" x14ac:dyDescent="0.3">
      <c r="F172" t="s">
        <v>191</v>
      </c>
      <c r="G172" t="s">
        <v>269</v>
      </c>
      <c r="H172" s="267"/>
      <c r="I172" s="267"/>
      <c r="J172" s="282">
        <f t="shared" ref="J172:K172" si="218">J67 * (1 - J$112)</f>
        <v>0</v>
      </c>
      <c r="K172" s="282">
        <f t="shared" si="218"/>
        <v>0</v>
      </c>
      <c r="L172" s="282">
        <f t="shared" ref="L172:M172" si="219">L67 * (1 - L$112)</f>
        <v>0</v>
      </c>
      <c r="M172" s="282">
        <f t="shared" si="219"/>
        <v>0</v>
      </c>
      <c r="N172" s="282">
        <f t="shared" ref="N172:P172" si="220">N67 * (1 - N$112)</f>
        <v>0</v>
      </c>
      <c r="O172" s="282">
        <f t="shared" si="220"/>
        <v>0</v>
      </c>
      <c r="P172" s="282">
        <f t="shared" si="220"/>
        <v>0</v>
      </c>
      <c r="Q172" s="282">
        <f t="shared" ref="Q172:S172" si="221">Q67 * (1 - Q$112)</f>
        <v>0</v>
      </c>
      <c r="R172" s="282">
        <f t="shared" si="221"/>
        <v>0</v>
      </c>
      <c r="S172" s="282">
        <f t="shared" si="221"/>
        <v>0</v>
      </c>
      <c r="T172" s="282">
        <f t="shared" ref="T172:U172" si="222">T67 * (1 - T$112)</f>
        <v>0</v>
      </c>
      <c r="U172" s="282">
        <f t="shared" si="222"/>
        <v>0</v>
      </c>
      <c r="V172" s="282">
        <f t="shared" ref="V172:W172" si="223">V67 * (1 - V$112)</f>
        <v>0</v>
      </c>
      <c r="W172" s="282">
        <f t="shared" si="223"/>
        <v>0</v>
      </c>
      <c r="X172" s="282">
        <f t="shared" ref="X172:Y172" si="224">X67 * (1 - X$112)</f>
        <v>0</v>
      </c>
      <c r="Y172" s="282">
        <f t="shared" si="224"/>
        <v>0</v>
      </c>
      <c r="Z172" s="267"/>
      <c r="AA172" s="267"/>
    </row>
    <row r="173" spans="4:27" x14ac:dyDescent="0.3">
      <c r="F173" t="s">
        <v>192</v>
      </c>
      <c r="G173" t="s">
        <v>269</v>
      </c>
      <c r="H173" s="267"/>
      <c r="I173" s="267"/>
      <c r="J173" s="282">
        <f t="shared" ref="J173:K173" si="225">J68 * (1 - J$113)</f>
        <v>7.701498882512553E-2</v>
      </c>
      <c r="K173" s="282">
        <f t="shared" si="225"/>
        <v>7.701498882512553E-2</v>
      </c>
      <c r="L173" s="282">
        <f t="shared" ref="L173:M173" si="226">L68 * (1 - L$113)</f>
        <v>8.7673984776563949E-2</v>
      </c>
      <c r="M173" s="282">
        <f t="shared" si="226"/>
        <v>8.7673984776563949E-2</v>
      </c>
      <c r="N173" s="282">
        <f t="shared" ref="N173:P173" si="227">N68 * (1 - N$113)</f>
        <v>7.0530961135503625E-2</v>
      </c>
      <c r="O173" s="282">
        <f t="shared" si="227"/>
        <v>5.1613114704137916E-2</v>
      </c>
      <c r="P173" s="282">
        <f t="shared" si="227"/>
        <v>4.9989103603852808E-2</v>
      </c>
      <c r="Q173" s="282">
        <f t="shared" ref="Q173:S173" si="228">Q68 * (1 - Q$113)</f>
        <v>4.5683054765441398E-2</v>
      </c>
      <c r="R173" s="282">
        <f t="shared" si="228"/>
        <v>-5.3746612048661824E-2</v>
      </c>
      <c r="S173" s="282">
        <f t="shared" si="228"/>
        <v>-5.2612509225616659E-2</v>
      </c>
      <c r="T173" s="282">
        <f t="shared" ref="T173:U173" si="229">T68 * (1 - T$113)</f>
        <v>-5.3746612048661824E-2</v>
      </c>
      <c r="U173" s="282">
        <f t="shared" si="229"/>
        <v>-5.3746612048661824E-2</v>
      </c>
      <c r="V173" s="282">
        <f t="shared" ref="V173:W173" si="230">V68 * (1 - V$113)</f>
        <v>-5.2612509225616659E-2</v>
      </c>
      <c r="W173" s="282">
        <f t="shared" si="230"/>
        <v>-5.2612509225616659E-2</v>
      </c>
      <c r="X173" s="282">
        <f t="shared" ref="X173:Y173" si="231">X68 * (1 - X$113)</f>
        <v>-5.1823568131324368E-2</v>
      </c>
      <c r="Y173" s="282">
        <f t="shared" si="231"/>
        <v>-5.1823568131324368E-2</v>
      </c>
      <c r="Z173" s="267"/>
      <c r="AA173" s="267"/>
    </row>
    <row r="174" spans="4:27" x14ac:dyDescent="0.3">
      <c r="F174" t="s">
        <v>193</v>
      </c>
      <c r="G174" t="s">
        <v>269</v>
      </c>
      <c r="H174" s="267"/>
      <c r="I174" s="267"/>
      <c r="J174" s="282">
        <f t="shared" ref="J174:K174" si="232">J69 * (1 - J$114)</f>
        <v>1.8233083369534692E-2</v>
      </c>
      <c r="K174" s="282">
        <f t="shared" si="232"/>
        <v>1.8233083369534692E-2</v>
      </c>
      <c r="L174" s="282">
        <f t="shared" ref="L174:M174" si="233">L69 * (1 - L$114)</f>
        <v>2.0756570872199957E-2</v>
      </c>
      <c r="M174" s="282">
        <f t="shared" si="233"/>
        <v>2.0756570872199957E-2</v>
      </c>
      <c r="N174" s="282">
        <f t="shared" ref="N174:P174" si="234">N69 * (1 - N$114)</f>
        <v>1.6698007935015146E-2</v>
      </c>
      <c r="O174" s="282">
        <f t="shared" si="234"/>
        <v>1.221926066234639E-2</v>
      </c>
      <c r="P174" s="282">
        <f t="shared" si="234"/>
        <v>1.3737621463416396E-2</v>
      </c>
      <c r="Q174" s="282">
        <f t="shared" ref="Q174:S174" si="235">Q69 * (1 - Q$114)</f>
        <v>1.0815335544677389E-2</v>
      </c>
      <c r="R174" s="282">
        <f t="shared" si="235"/>
        <v>-1.2724360196149018E-2</v>
      </c>
      <c r="S174" s="282">
        <f t="shared" si="235"/>
        <v>-1.245586452228532E-2</v>
      </c>
      <c r="T174" s="282">
        <f t="shared" ref="T174:U174" si="236">T69 * (1 - T$114)</f>
        <v>-1.2724360196149018E-2</v>
      </c>
      <c r="U174" s="282">
        <f t="shared" si="236"/>
        <v>-1.2724360196149018E-2</v>
      </c>
      <c r="V174" s="282">
        <f t="shared" ref="V174:W174" si="237">V69 * (1 - V$114)</f>
        <v>-1.245586452228532E-2</v>
      </c>
      <c r="W174" s="282">
        <f t="shared" si="237"/>
        <v>-1.245586452228532E-2</v>
      </c>
      <c r="X174" s="282">
        <f t="shared" ref="X174:Y174" si="238">X69 * (1 - X$114)</f>
        <v>-1.2269084923075794E-2</v>
      </c>
      <c r="Y174" s="282">
        <f t="shared" si="238"/>
        <v>-1.2269084923075794E-2</v>
      </c>
      <c r="Z174" s="267"/>
      <c r="AA174" s="267"/>
    </row>
    <row r="175" spans="4:27" x14ac:dyDescent="0.3">
      <c r="F175" t="s">
        <v>194</v>
      </c>
      <c r="G175" t="s">
        <v>269</v>
      </c>
      <c r="H175" s="267"/>
      <c r="I175" s="267"/>
      <c r="J175" s="282">
        <f t="shared" ref="J175:K175" si="239">J70 * (1 - J$115)</f>
        <v>1.4390292544328101E-2</v>
      </c>
      <c r="K175" s="282">
        <f t="shared" si="239"/>
        <v>1.4390292544328101E-2</v>
      </c>
      <c r="L175" s="282">
        <f t="shared" ref="L175:M175" si="240">L70 * (1 - L$115)</f>
        <v>1.6381931734438152E-2</v>
      </c>
      <c r="M175" s="282">
        <f t="shared" si="240"/>
        <v>1.6381931734438152E-2</v>
      </c>
      <c r="N175" s="282">
        <f t="shared" ref="N175:P175" si="241">N70 * (1 - N$115)</f>
        <v>1.3178748444373074E-2</v>
      </c>
      <c r="O175" s="282">
        <f t="shared" si="241"/>
        <v>9.6439385507538743E-3</v>
      </c>
      <c r="P175" s="282">
        <f t="shared" si="241"/>
        <v>8.6738326245846663E-3</v>
      </c>
      <c r="Q175" s="282">
        <f t="shared" ref="Q175:S175" si="242">Q70 * (1 - Q$115)</f>
        <v>8.5308335752022728E-3</v>
      </c>
      <c r="R175" s="282">
        <f t="shared" si="242"/>
        <v>-1.0042583689818415E-2</v>
      </c>
      <c r="S175" s="282">
        <f t="shared" si="242"/>
        <v>-9.8306759605837121E-3</v>
      </c>
      <c r="T175" s="282">
        <f t="shared" ref="T175:U175" si="243">T70 * (1 - T$115)</f>
        <v>-1.0042583689818415E-2</v>
      </c>
      <c r="U175" s="282">
        <f t="shared" si="243"/>
        <v>-1.0042583689818415E-2</v>
      </c>
      <c r="V175" s="282">
        <f t="shared" ref="V175:W175" si="244">V70 * (1 - V$115)</f>
        <v>-9.8306759605837121E-3</v>
      </c>
      <c r="W175" s="282">
        <f t="shared" si="244"/>
        <v>-9.8306759605837121E-3</v>
      </c>
      <c r="X175" s="282">
        <f t="shared" ref="X175:Y175" si="245">X70 * (1 - X$115)</f>
        <v>-9.6832618880726157E-3</v>
      </c>
      <c r="Y175" s="282">
        <f t="shared" si="245"/>
        <v>-9.6832618880726157E-3</v>
      </c>
      <c r="Z175" s="267"/>
      <c r="AA175" s="267"/>
    </row>
    <row r="176" spans="4:27" x14ac:dyDescent="0.3">
      <c r="F176" t="s">
        <v>195</v>
      </c>
      <c r="G176" t="s">
        <v>269</v>
      </c>
      <c r="H176" s="267"/>
      <c r="I176" s="267"/>
      <c r="J176" s="282">
        <f t="shared" ref="J176:K176" si="246">J71 * (1 - J$116)</f>
        <v>2.7739996287329812E-2</v>
      </c>
      <c r="K176" s="282">
        <f t="shared" si="246"/>
        <v>2.7739996287329812E-2</v>
      </c>
      <c r="L176" s="282">
        <f t="shared" ref="L176:M176" si="247">L71 * (1 - L$116)</f>
        <v>3.157925553582433E-2</v>
      </c>
      <c r="M176" s="282">
        <f t="shared" si="247"/>
        <v>3.157925553582433E-2</v>
      </c>
      <c r="N176" s="282">
        <f t="shared" ref="N176:P176" si="248">N71 * (1 - N$116)</f>
        <v>2.5404517093202145E-2</v>
      </c>
      <c r="O176" s="282">
        <f t="shared" si="248"/>
        <v>1.8590505979573901E-2</v>
      </c>
      <c r="P176" s="282">
        <f t="shared" si="248"/>
        <v>0</v>
      </c>
      <c r="Q176" s="282">
        <f t="shared" ref="Q176:S176" si="249">Q71 * (1 - Q$116)</f>
        <v>1.6444786718197244E-2</v>
      </c>
      <c r="R176" s="282">
        <f t="shared" si="249"/>
        <v>-1.9358969486729709E-2</v>
      </c>
      <c r="S176" s="282">
        <f t="shared" si="249"/>
        <v>-1.8950477470037242E-2</v>
      </c>
      <c r="T176" s="282">
        <f t="shared" ref="T176:U176" si="250">T71 * (1 - T$116)</f>
        <v>-1.9358969486729709E-2</v>
      </c>
      <c r="U176" s="282">
        <f t="shared" si="250"/>
        <v>-1.9358969486729709E-2</v>
      </c>
      <c r="V176" s="282">
        <f t="shared" ref="V176:W176" si="251">V71 * (1 - V$116)</f>
        <v>-1.8950477470037242E-2</v>
      </c>
      <c r="W176" s="282">
        <f t="shared" si="251"/>
        <v>-1.8950477470037242E-2</v>
      </c>
      <c r="X176" s="282">
        <f t="shared" ref="X176:Y176" si="252">X71 * (1 - X$116)</f>
        <v>-1.8666309110599008E-2</v>
      </c>
      <c r="Y176" s="282">
        <f t="shared" si="252"/>
        <v>-1.8666309110599008E-2</v>
      </c>
      <c r="Z176" s="267"/>
      <c r="AA176" s="267"/>
    </row>
    <row r="177" spans="3:27" x14ac:dyDescent="0.3">
      <c r="F177" t="s">
        <v>196</v>
      </c>
      <c r="G177" t="s">
        <v>269</v>
      </c>
      <c r="H177" s="267"/>
      <c r="I177" s="267"/>
      <c r="J177" s="282">
        <f t="shared" ref="J177:K177" si="253">J72 * (1 - J$117)</f>
        <v>3.8141034715133172E-2</v>
      </c>
      <c r="K177" s="282">
        <f t="shared" si="253"/>
        <v>3.8141034715133172E-2</v>
      </c>
      <c r="L177" s="282">
        <f t="shared" ref="L177:M177" si="254">L72 * (1 - L$117)</f>
        <v>4.3419814090605129E-2</v>
      </c>
      <c r="M177" s="282">
        <f t="shared" si="254"/>
        <v>4.3419814090605129E-2</v>
      </c>
      <c r="N177" s="282">
        <f t="shared" ref="N177:P177" si="255">N72 * (1 - N$117)</f>
        <v>3.4929873758331578E-2</v>
      </c>
      <c r="O177" s="282">
        <f t="shared" si="255"/>
        <v>2.5560967153506121E-2</v>
      </c>
      <c r="P177" s="282">
        <f t="shared" si="255"/>
        <v>0</v>
      </c>
      <c r="Q177" s="282">
        <f t="shared" ref="Q177:S177" si="256">Q72 * (1 - Q$117)</f>
        <v>2.2624154132624974E-2</v>
      </c>
      <c r="R177" s="282">
        <f t="shared" si="256"/>
        <v>-2.6617564025407277E-2</v>
      </c>
      <c r="S177" s="282">
        <f t="shared" si="256"/>
        <v>-2.6055909004687679E-2</v>
      </c>
      <c r="T177" s="282">
        <f t="shared" ref="T177:U177" si="257">T72 * (1 - T$117)</f>
        <v>-2.6617564025407277E-2</v>
      </c>
      <c r="U177" s="282">
        <f t="shared" si="257"/>
        <v>-2.6617564025407277E-2</v>
      </c>
      <c r="V177" s="282">
        <f t="shared" ref="V177:W177" si="258">V72 * (1 - V$117)</f>
        <v>-2.6055909004687679E-2</v>
      </c>
      <c r="W177" s="282">
        <f t="shared" si="258"/>
        <v>-2.6055909004687679E-2</v>
      </c>
      <c r="X177" s="282">
        <f t="shared" ref="X177:Y177" si="259">X72 * (1 - X$117)</f>
        <v>-2.5665192468534909E-2</v>
      </c>
      <c r="Y177" s="282">
        <f t="shared" si="259"/>
        <v>-2.5665192468534909E-2</v>
      </c>
      <c r="Z177" s="267"/>
      <c r="AA177" s="267"/>
    </row>
    <row r="178" spans="3:27" x14ac:dyDescent="0.3">
      <c r="F178" t="s">
        <v>197</v>
      </c>
      <c r="G178" t="s">
        <v>269</v>
      </c>
      <c r="H178" s="267"/>
      <c r="I178" s="267"/>
      <c r="J178" s="282">
        <f t="shared" ref="J178:K178" si="260">J73 * (1 - J$118)</f>
        <v>0.17701615804483212</v>
      </c>
      <c r="K178" s="282">
        <f t="shared" si="260"/>
        <v>0.17701615804483212</v>
      </c>
      <c r="L178" s="282">
        <f t="shared" ref="L178:M178" si="261">L73 * (1 - L$118)</f>
        <v>0.2015154735770768</v>
      </c>
      <c r="M178" s="282">
        <f t="shared" si="261"/>
        <v>0.2015154735770768</v>
      </c>
      <c r="N178" s="282">
        <f t="shared" ref="N178:P178" si="262">N73 * (1 - N$118)</f>
        <v>0.12969028449010742</v>
      </c>
      <c r="O178" s="282">
        <f t="shared" si="262"/>
        <v>0</v>
      </c>
      <c r="P178" s="282">
        <f t="shared" si="262"/>
        <v>0</v>
      </c>
      <c r="Q178" s="282">
        <f t="shared" ref="Q178:S178" si="263">Q73 * (1 - Q$118)</f>
        <v>0.10493847708449582</v>
      </c>
      <c r="R178" s="282">
        <f t="shared" si="263"/>
        <v>-0.12353463809990613</v>
      </c>
      <c r="S178" s="282">
        <f t="shared" si="263"/>
        <v>-0.12092794390146776</v>
      </c>
      <c r="T178" s="282">
        <f t="shared" ref="T178:U178" si="264">T73 * (1 - T$118)</f>
        <v>-0.12353463809990613</v>
      </c>
      <c r="U178" s="282">
        <f t="shared" si="264"/>
        <v>-0.12353463809990613</v>
      </c>
      <c r="V178" s="282">
        <f t="shared" ref="V178:W178" si="265">V73 * (1 - V$118)</f>
        <v>-0.12092794390146776</v>
      </c>
      <c r="W178" s="282">
        <f t="shared" si="265"/>
        <v>-0.12092794390146776</v>
      </c>
      <c r="X178" s="282">
        <f t="shared" ref="X178:Y178" si="266">X73 * (1 - X$118)</f>
        <v>0</v>
      </c>
      <c r="Y178" s="282">
        <f t="shared" si="266"/>
        <v>0</v>
      </c>
      <c r="Z178" s="267"/>
      <c r="AA178" s="267"/>
    </row>
    <row r="179" spans="3:27" x14ac:dyDescent="0.3">
      <c r="F179" t="s">
        <v>198</v>
      </c>
      <c r="G179" t="s">
        <v>269</v>
      </c>
      <c r="H179" s="267"/>
      <c r="I179" s="267"/>
      <c r="J179" s="282">
        <f t="shared" ref="J179:K179" si="267">J74 * (1 - J$119)</f>
        <v>8.6243639478132489E-2</v>
      </c>
      <c r="K179" s="282">
        <f t="shared" si="267"/>
        <v>8.6243639478132489E-2</v>
      </c>
      <c r="L179" s="282">
        <f t="shared" ref="L179:M179" si="268">L74 * (1 - L$119)</f>
        <v>9.8179895238969833E-2</v>
      </c>
      <c r="M179" s="282">
        <f t="shared" si="268"/>
        <v>9.8179895238969833E-2</v>
      </c>
      <c r="N179" s="282">
        <f t="shared" ref="N179:P179" si="269">N74 * (1 - N$119)</f>
        <v>0</v>
      </c>
      <c r="O179" s="282">
        <f t="shared" si="269"/>
        <v>0</v>
      </c>
      <c r="P179" s="282">
        <f t="shared" si="269"/>
        <v>0</v>
      </c>
      <c r="Q179" s="282">
        <f t="shared" ref="Q179:S179" si="270">Q74 * (1 - Q$119)</f>
        <v>5.1126836583852427E-2</v>
      </c>
      <c r="R179" s="282">
        <f t="shared" si="270"/>
        <v>-6.018702986792631E-2</v>
      </c>
      <c r="S179" s="282">
        <f t="shared" si="270"/>
        <v>0</v>
      </c>
      <c r="T179" s="282">
        <f t="shared" ref="T179:U179" si="271">T74 * (1 - T$119)</f>
        <v>-6.018702986792631E-2</v>
      </c>
      <c r="U179" s="282">
        <f t="shared" si="271"/>
        <v>-6.018702986792631E-2</v>
      </c>
      <c r="V179" s="282">
        <f t="shared" ref="V179:W179" si="272">V74 * (1 - V$119)</f>
        <v>0</v>
      </c>
      <c r="W179" s="282">
        <f t="shared" si="272"/>
        <v>0</v>
      </c>
      <c r="X179" s="282">
        <f t="shared" ref="X179:Y179" si="273">X74 * (1 - X$119)</f>
        <v>0</v>
      </c>
      <c r="Y179" s="282">
        <f t="shared" si="273"/>
        <v>0</v>
      </c>
      <c r="Z179" s="267"/>
      <c r="AA179" s="267"/>
    </row>
    <row r="180" spans="3:27" x14ac:dyDescent="0.3">
      <c r="F180" t="s">
        <v>199</v>
      </c>
      <c r="G180" t="s">
        <v>269</v>
      </c>
      <c r="H180" s="267"/>
      <c r="I180" s="267"/>
      <c r="J180" s="282">
        <f t="shared" ref="J180:K180" si="274">J75 * (1 - J$120)</f>
        <v>0</v>
      </c>
      <c r="K180" s="282">
        <f t="shared" si="274"/>
        <v>0</v>
      </c>
      <c r="L180" s="282">
        <f t="shared" ref="L180:M180" si="275">L75 * (1 - L$120)</f>
        <v>0</v>
      </c>
      <c r="M180" s="282">
        <f t="shared" si="275"/>
        <v>0</v>
      </c>
      <c r="N180" s="282">
        <f t="shared" ref="N180:P180" si="276">N75 * (1 - N$120)</f>
        <v>0</v>
      </c>
      <c r="O180" s="282">
        <f t="shared" si="276"/>
        <v>0</v>
      </c>
      <c r="P180" s="282">
        <f t="shared" si="276"/>
        <v>0</v>
      </c>
      <c r="Q180" s="282">
        <f t="shared" ref="Q180:S180" si="277">Q75 * (1 - Q$120)</f>
        <v>0.11736018009660579</v>
      </c>
      <c r="R180" s="282">
        <f t="shared" si="277"/>
        <v>0</v>
      </c>
      <c r="S180" s="282">
        <f t="shared" si="277"/>
        <v>0</v>
      </c>
      <c r="T180" s="282">
        <f t="shared" ref="T180:U180" si="278">T75 * (1 - T$120)</f>
        <v>0</v>
      </c>
      <c r="U180" s="282">
        <f t="shared" si="278"/>
        <v>0</v>
      </c>
      <c r="V180" s="282">
        <f t="shared" ref="V180:W180" si="279">V75 * (1 - V$120)</f>
        <v>0</v>
      </c>
      <c r="W180" s="282">
        <f t="shared" si="279"/>
        <v>0</v>
      </c>
      <c r="X180" s="282">
        <f t="shared" ref="X180:Y180" si="280">X75 * (1 - X$120)</f>
        <v>0</v>
      </c>
      <c r="Y180" s="282">
        <f t="shared" si="280"/>
        <v>0</v>
      </c>
      <c r="Z180" s="267"/>
      <c r="AA180" s="267"/>
    </row>
    <row r="181" spans="3:27" x14ac:dyDescent="0.3">
      <c r="F181" s="23" t="s">
        <v>376</v>
      </c>
      <c r="G181" s="23" t="s">
        <v>269</v>
      </c>
      <c r="H181" s="266"/>
      <c r="I181" s="266" t="s">
        <v>154</v>
      </c>
      <c r="J181" s="280"/>
      <c r="K181" s="280"/>
      <c r="L181" s="280"/>
      <c r="M181" s="280"/>
      <c r="N181" s="280"/>
      <c r="O181" s="280"/>
      <c r="P181" s="280"/>
      <c r="Q181" s="281">
        <f>Q76</f>
        <v>0.8808124324004668</v>
      </c>
      <c r="R181" s="280"/>
      <c r="S181" s="280"/>
      <c r="T181" s="280"/>
      <c r="U181" s="280"/>
      <c r="V181" s="280"/>
      <c r="W181" s="280"/>
      <c r="X181" s="280"/>
      <c r="Y181" s="280"/>
      <c r="Z181" s="267"/>
      <c r="AA181" s="267" t="s">
        <v>654</v>
      </c>
    </row>
    <row r="182" spans="3:27" x14ac:dyDescent="0.3">
      <c r="F182" s="37" t="s">
        <v>377</v>
      </c>
      <c r="G182" s="37" t="s">
        <v>269</v>
      </c>
      <c r="H182" s="269"/>
      <c r="I182" s="269"/>
      <c r="J182" s="270"/>
      <c r="K182" s="270"/>
      <c r="L182" s="270"/>
      <c r="M182" s="270"/>
      <c r="N182" s="270"/>
      <c r="O182" s="270"/>
      <c r="P182" s="270"/>
      <c r="Q182" s="270"/>
      <c r="R182" s="270"/>
      <c r="S182" s="270"/>
      <c r="T182" s="270"/>
      <c r="U182" s="270"/>
      <c r="V182" s="270"/>
      <c r="W182" s="270"/>
      <c r="X182" s="270"/>
      <c r="Y182" s="270"/>
      <c r="Z182" s="267"/>
      <c r="AA182" s="267"/>
    </row>
    <row r="183" spans="3:27" x14ac:dyDescent="0.3">
      <c r="E183"/>
      <c r="J183" s="89"/>
      <c r="K183" s="89"/>
      <c r="L183" s="89"/>
      <c r="M183" s="89"/>
      <c r="N183" s="89"/>
      <c r="O183" s="89"/>
      <c r="P183" s="89"/>
      <c r="Q183" s="89"/>
      <c r="R183" s="89"/>
      <c r="S183" s="89"/>
      <c r="T183" s="89"/>
      <c r="U183" s="89"/>
      <c r="V183" s="89"/>
      <c r="W183" s="89"/>
      <c r="X183" s="89"/>
      <c r="Y183" s="89"/>
    </row>
    <row r="184" spans="3:27" x14ac:dyDescent="0.3">
      <c r="C184" s="31" t="str">
        <f ca="1">INDEX('Version control'!$H$34:$H$57,MATCH($A$1,'Version control'!$F$34:$F$57,0),1)&amp;"-G: Contributions to unit rate 3 p/kWh by network level (taking account of standing charges)"</f>
        <v>Section 111-G: Contributions to unit rate 3 p/kWh by network level (taking account of standing charges)</v>
      </c>
      <c r="D184" s="31"/>
      <c r="E184" s="31"/>
      <c r="F184" s="31"/>
      <c r="G184" s="31"/>
      <c r="H184" s="31"/>
      <c r="I184" s="31"/>
      <c r="J184" s="90"/>
      <c r="K184" s="90"/>
      <c r="L184" s="90"/>
      <c r="M184" s="90"/>
      <c r="N184" s="90"/>
      <c r="O184" s="90"/>
      <c r="P184" s="90"/>
      <c r="Q184" s="90"/>
      <c r="R184" s="90"/>
      <c r="S184" s="90"/>
      <c r="T184" s="90"/>
      <c r="U184" s="90"/>
      <c r="V184" s="90"/>
      <c r="W184" s="90"/>
      <c r="X184" s="90"/>
      <c r="Y184" s="90"/>
      <c r="Z184" s="31"/>
      <c r="AA184" s="31"/>
    </row>
    <row r="185" spans="3:27" x14ac:dyDescent="0.3">
      <c r="C185" s="32"/>
      <c r="D185" s="32"/>
      <c r="E185"/>
      <c r="I185" t="s">
        <v>154</v>
      </c>
      <c r="J185" s="89"/>
      <c r="K185" s="89"/>
      <c r="L185" s="89"/>
      <c r="M185" s="89"/>
      <c r="N185" s="89"/>
      <c r="O185" s="89"/>
      <c r="P185" s="89"/>
      <c r="Q185" s="89"/>
      <c r="R185" s="89"/>
      <c r="S185" s="89"/>
      <c r="T185" s="89"/>
      <c r="U185" s="89"/>
      <c r="V185" s="89"/>
      <c r="W185" s="89"/>
      <c r="X185" s="89"/>
      <c r="Y185" s="89"/>
      <c r="AA185" t="s">
        <v>656</v>
      </c>
    </row>
    <row r="186" spans="3:27" x14ac:dyDescent="0.3">
      <c r="E186" s="32" t="s">
        <v>621</v>
      </c>
      <c r="J186" s="89"/>
      <c r="K186" s="89"/>
      <c r="L186" s="89"/>
      <c r="M186" s="89"/>
      <c r="N186" s="89"/>
      <c r="O186" s="89"/>
      <c r="P186" s="89"/>
      <c r="Q186" s="89"/>
      <c r="R186" s="89"/>
      <c r="S186" s="89"/>
      <c r="T186" s="89"/>
      <c r="U186" s="89"/>
      <c r="V186" s="89"/>
      <c r="W186" s="89"/>
      <c r="X186" s="89"/>
      <c r="Y186" s="89"/>
    </row>
    <row r="187" spans="3:27" x14ac:dyDescent="0.3">
      <c r="F187" s="23" t="s">
        <v>189</v>
      </c>
      <c r="G187" s="23" t="s">
        <v>269</v>
      </c>
      <c r="H187" s="266"/>
      <c r="I187" s="266"/>
      <c r="J187" s="434">
        <f t="shared" ref="J187:K187" si="281">J82 * (1 - J$112)</f>
        <v>0</v>
      </c>
      <c r="K187" s="434">
        <f t="shared" si="281"/>
        <v>0</v>
      </c>
      <c r="L187" s="434">
        <f t="shared" ref="L187:M187" si="282">L82 * (1 - L$112)</f>
        <v>0</v>
      </c>
      <c r="M187" s="434">
        <f t="shared" si="282"/>
        <v>0</v>
      </c>
      <c r="N187" s="434">
        <f t="shared" ref="N187:P187" si="283">N82 * (1 - N$112)</f>
        <v>0</v>
      </c>
      <c r="O187" s="434">
        <f t="shared" si="283"/>
        <v>0</v>
      </c>
      <c r="P187" s="434">
        <f t="shared" si="283"/>
        <v>0</v>
      </c>
      <c r="Q187" s="434">
        <f t="shared" ref="Q187:S187" si="284">Q82 * (1 - Q$112)</f>
        <v>0</v>
      </c>
      <c r="R187" s="434">
        <f t="shared" si="284"/>
        <v>0</v>
      </c>
      <c r="S187" s="434">
        <f t="shared" si="284"/>
        <v>0</v>
      </c>
      <c r="T187" s="434">
        <f t="shared" ref="T187:U187" si="285">T82 * (1 - T$112)</f>
        <v>0</v>
      </c>
      <c r="U187" s="434">
        <f t="shared" si="285"/>
        <v>0</v>
      </c>
      <c r="V187" s="434">
        <f t="shared" ref="V187:W187" si="286">V82 * (1 - V$112)</f>
        <v>0</v>
      </c>
      <c r="W187" s="434">
        <f t="shared" si="286"/>
        <v>0</v>
      </c>
      <c r="X187" s="434">
        <f t="shared" ref="X187:Y187" si="287">X82 * (1 - X$112)</f>
        <v>0</v>
      </c>
      <c r="Y187" s="434">
        <f t="shared" si="287"/>
        <v>0</v>
      </c>
      <c r="Z187" s="267"/>
      <c r="AA187" s="267"/>
    </row>
    <row r="188" spans="3:27" x14ac:dyDescent="0.3">
      <c r="F188" t="s">
        <v>191</v>
      </c>
      <c r="G188" t="s">
        <v>269</v>
      </c>
      <c r="H188" s="267"/>
      <c r="I188" s="267"/>
      <c r="J188" s="282">
        <f t="shared" ref="J188:K188" si="288">J83 * (1 - J$112)</f>
        <v>0</v>
      </c>
      <c r="K188" s="282">
        <f t="shared" si="288"/>
        <v>0</v>
      </c>
      <c r="L188" s="282">
        <f t="shared" ref="L188:M188" si="289">L83 * (1 - L$112)</f>
        <v>0</v>
      </c>
      <c r="M188" s="282">
        <f t="shared" si="289"/>
        <v>0</v>
      </c>
      <c r="N188" s="282">
        <f t="shared" ref="N188:P188" si="290">N83 * (1 - N$112)</f>
        <v>0</v>
      </c>
      <c r="O188" s="282">
        <f t="shared" si="290"/>
        <v>0</v>
      </c>
      <c r="P188" s="282">
        <f t="shared" si="290"/>
        <v>0</v>
      </c>
      <c r="Q188" s="282">
        <f t="shared" ref="Q188:S188" si="291">Q83 * (1 - Q$112)</f>
        <v>0</v>
      </c>
      <c r="R188" s="282">
        <f t="shared" si="291"/>
        <v>0</v>
      </c>
      <c r="S188" s="282">
        <f t="shared" si="291"/>
        <v>0</v>
      </c>
      <c r="T188" s="282">
        <f t="shared" ref="T188:U188" si="292">T83 * (1 - T$112)</f>
        <v>0</v>
      </c>
      <c r="U188" s="282">
        <f t="shared" si="292"/>
        <v>0</v>
      </c>
      <c r="V188" s="282">
        <f t="shared" ref="V188:W188" si="293">V83 * (1 - V$112)</f>
        <v>0</v>
      </c>
      <c r="W188" s="282">
        <f t="shared" si="293"/>
        <v>0</v>
      </c>
      <c r="X188" s="282">
        <f t="shared" ref="X188:Y188" si="294">X83 * (1 - X$112)</f>
        <v>0</v>
      </c>
      <c r="Y188" s="282">
        <f t="shared" si="294"/>
        <v>0</v>
      </c>
      <c r="Z188" s="267"/>
      <c r="AA188" s="267"/>
    </row>
    <row r="189" spans="3:27" x14ac:dyDescent="0.3">
      <c r="F189" t="s">
        <v>192</v>
      </c>
      <c r="G189" t="s">
        <v>269</v>
      </c>
      <c r="H189" s="267"/>
      <c r="I189" s="267"/>
      <c r="J189" s="282">
        <f t="shared" ref="J189:K189" si="295">J84 * (1 - J$113)</f>
        <v>4.3786142509730855E-3</v>
      </c>
      <c r="K189" s="282">
        <f t="shared" si="295"/>
        <v>4.3786142509730855E-3</v>
      </c>
      <c r="L189" s="282">
        <f t="shared" ref="L189:M189" si="296">L84 * (1 - L$113)</f>
        <v>4.9846213709638168E-3</v>
      </c>
      <c r="M189" s="282">
        <f t="shared" si="296"/>
        <v>4.9846213709638168E-3</v>
      </c>
      <c r="N189" s="282">
        <f t="shared" ref="N189:P189" si="297">N84 * (1 - N$113)</f>
        <v>4.0099709975156463E-3</v>
      </c>
      <c r="O189" s="282">
        <f t="shared" si="297"/>
        <v>2.9344147552082494E-3</v>
      </c>
      <c r="P189" s="282">
        <f t="shared" si="297"/>
        <v>2.8420831421557143E-3</v>
      </c>
      <c r="Q189" s="282">
        <f t="shared" ref="Q189:S189" si="298">Q84 * (1 - Q$113)</f>
        <v>2.9888533130027831E-3</v>
      </c>
      <c r="R189" s="282">
        <f t="shared" si="298"/>
        <v>-3.0557127261572228E-3</v>
      </c>
      <c r="S189" s="282">
        <f t="shared" si="298"/>
        <v>-2.9912343842291348E-3</v>
      </c>
      <c r="T189" s="282">
        <f t="shared" ref="T189:U189" si="299">T84 * (1 - T$113)</f>
        <v>-3.0557127261572228E-3</v>
      </c>
      <c r="U189" s="282">
        <f t="shared" si="299"/>
        <v>-3.0557127261572228E-3</v>
      </c>
      <c r="V189" s="282">
        <f t="shared" ref="V189:W189" si="300">V84 * (1 - V$113)</f>
        <v>-2.9912343842291348E-3</v>
      </c>
      <c r="W189" s="282">
        <f t="shared" si="300"/>
        <v>-2.9912343842291348E-3</v>
      </c>
      <c r="X189" s="282">
        <f t="shared" ref="X189:Y189" si="301">X84 * (1 - X$113)</f>
        <v>-2.9463798854965514E-3</v>
      </c>
      <c r="Y189" s="282">
        <f t="shared" si="301"/>
        <v>-2.9463798854965514E-3</v>
      </c>
      <c r="Z189" s="267"/>
      <c r="AA189" s="267"/>
    </row>
    <row r="190" spans="3:27" x14ac:dyDescent="0.3">
      <c r="F190" t="s">
        <v>193</v>
      </c>
      <c r="G190" t="s">
        <v>269</v>
      </c>
      <c r="H190" s="267"/>
      <c r="I190" s="267"/>
      <c r="J190" s="282">
        <f t="shared" ref="J190:K190" si="302">J85 * (1 - J$114)</f>
        <v>1.0366246869463831E-3</v>
      </c>
      <c r="K190" s="282">
        <f t="shared" si="302"/>
        <v>1.0366246869463831E-3</v>
      </c>
      <c r="L190" s="282">
        <f t="shared" ref="L190:M190" si="303">L85 * (1 - L$114)</f>
        <v>1.180095178988029E-3</v>
      </c>
      <c r="M190" s="282">
        <f t="shared" si="303"/>
        <v>1.180095178988029E-3</v>
      </c>
      <c r="N190" s="282">
        <f t="shared" ref="N190:P190" si="304">N85 * (1 - N$114)</f>
        <v>9.4934942694253888E-4</v>
      </c>
      <c r="O190" s="282">
        <f t="shared" si="304"/>
        <v>6.9471449244760074E-4</v>
      </c>
      <c r="P190" s="282">
        <f t="shared" si="304"/>
        <v>7.8103945779661971E-4</v>
      </c>
      <c r="Q190" s="282">
        <f t="shared" ref="Q190:S190" si="305">Q85 * (1 - Q$114)</f>
        <v>7.0760266886529496E-4</v>
      </c>
      <c r="R190" s="282">
        <f t="shared" si="305"/>
        <v>-7.234314480767173E-4</v>
      </c>
      <c r="S190" s="282">
        <f t="shared" si="305"/>
        <v>-7.0816638082372237E-4</v>
      </c>
      <c r="T190" s="282">
        <f t="shared" ref="T190:U190" si="306">T85 * (1 - T$114)</f>
        <v>-7.234314480767173E-4</v>
      </c>
      <c r="U190" s="282">
        <f t="shared" si="306"/>
        <v>-7.234314480767173E-4</v>
      </c>
      <c r="V190" s="282">
        <f t="shared" ref="V190:W190" si="307">V85 * (1 - V$114)</f>
        <v>-7.0816638082372237E-4</v>
      </c>
      <c r="W190" s="282">
        <f t="shared" si="307"/>
        <v>-7.0816638082372237E-4</v>
      </c>
      <c r="X190" s="282">
        <f t="shared" ref="X190:Y190" si="308">X85 * (1 - X$114)</f>
        <v>-6.9754720360424747E-4</v>
      </c>
      <c r="Y190" s="282">
        <f t="shared" si="308"/>
        <v>-6.9754720360424747E-4</v>
      </c>
      <c r="Z190" s="267"/>
      <c r="AA190" s="267"/>
    </row>
    <row r="191" spans="3:27" x14ac:dyDescent="0.3">
      <c r="F191" t="s">
        <v>194</v>
      </c>
      <c r="G191" t="s">
        <v>269</v>
      </c>
      <c r="H191" s="267"/>
      <c r="I191" s="267"/>
      <c r="J191" s="282">
        <f t="shared" ref="J191:K191" si="309">J86 * (1 - J$115)</f>
        <v>2.7881859360769212E-3</v>
      </c>
      <c r="K191" s="282">
        <f t="shared" si="309"/>
        <v>2.7881859360769212E-3</v>
      </c>
      <c r="L191" s="282">
        <f t="shared" ref="L191:M191" si="310">L86 * (1 - L$115)</f>
        <v>3.1740752682429445E-3</v>
      </c>
      <c r="M191" s="282">
        <f t="shared" si="310"/>
        <v>3.1740752682429445E-3</v>
      </c>
      <c r="N191" s="282">
        <f t="shared" ref="N191:P191" si="311">N86 * (1 - N$115)</f>
        <v>2.5534436464378541E-3</v>
      </c>
      <c r="O191" s="282">
        <f t="shared" si="311"/>
        <v>1.8685578318003179E-3</v>
      </c>
      <c r="P191" s="282">
        <f t="shared" si="311"/>
        <v>1.6805953083479392E-3</v>
      </c>
      <c r="Q191" s="282">
        <f t="shared" ref="Q191:S191" si="312">Q86 * (1 - Q$115)</f>
        <v>1.9032228679334501E-3</v>
      </c>
      <c r="R191" s="282">
        <f t="shared" si="312"/>
        <v>-1.9457971767824513E-3</v>
      </c>
      <c r="S191" s="282">
        <f t="shared" si="312"/>
        <v>-1.9047390712173165E-3</v>
      </c>
      <c r="T191" s="282">
        <f t="shared" ref="T191:U191" si="313">T86 * (1 - T$115)</f>
        <v>-1.9457971767824513E-3</v>
      </c>
      <c r="U191" s="282">
        <f t="shared" si="313"/>
        <v>-1.9457971767824513E-3</v>
      </c>
      <c r="V191" s="282">
        <f t="shared" ref="V191:W191" si="314">V86 * (1 - V$115)</f>
        <v>-1.9047390712173165E-3</v>
      </c>
      <c r="W191" s="282">
        <f t="shared" si="314"/>
        <v>-1.9047390712173165E-3</v>
      </c>
      <c r="X191" s="282">
        <f t="shared" ref="X191:Y191" si="315">X86 * (1 - X$115)</f>
        <v>-1.8761769108241798E-3</v>
      </c>
      <c r="Y191" s="282">
        <f t="shared" si="315"/>
        <v>-1.8761769108241798E-3</v>
      </c>
      <c r="Z191" s="267"/>
      <c r="AA191" s="267"/>
    </row>
    <row r="192" spans="3:27" x14ac:dyDescent="0.3">
      <c r="F192" t="s">
        <v>195</v>
      </c>
      <c r="G192" t="s">
        <v>269</v>
      </c>
      <c r="H192" s="267"/>
      <c r="I192" s="267"/>
      <c r="J192" s="282">
        <f t="shared" ref="J192:K192" si="316">J87 * (1 - J$116)</f>
        <v>5.3747529646743734E-3</v>
      </c>
      <c r="K192" s="282">
        <f t="shared" si="316"/>
        <v>5.3747529646743734E-3</v>
      </c>
      <c r="L192" s="282">
        <f t="shared" ref="L192:M192" si="317">L87 * (1 - L$116)</f>
        <v>6.118627254139382E-3</v>
      </c>
      <c r="M192" s="282">
        <f t="shared" si="317"/>
        <v>6.118627254139382E-3</v>
      </c>
      <c r="N192" s="282">
        <f t="shared" ref="N192:P192" si="318">N87 * (1 - N$116)</f>
        <v>4.9222430366789478E-3</v>
      </c>
      <c r="O192" s="282">
        <f t="shared" si="318"/>
        <v>3.6019967736675394E-3</v>
      </c>
      <c r="P192" s="282">
        <f t="shared" si="318"/>
        <v>0</v>
      </c>
      <c r="Q192" s="282">
        <f t="shared" ref="Q192:S192" si="319">Q87 * (1 - Q$116)</f>
        <v>3.6688201527386105E-3</v>
      </c>
      <c r="R192" s="282">
        <f t="shared" si="319"/>
        <v>-3.7508901430302545E-3</v>
      </c>
      <c r="S192" s="282">
        <f t="shared" si="319"/>
        <v>-3.671742919828698E-3</v>
      </c>
      <c r="T192" s="282">
        <f t="shared" ref="T192:U192" si="320">T87 * (1 - T$116)</f>
        <v>-3.7508901430302545E-3</v>
      </c>
      <c r="U192" s="282">
        <f t="shared" si="320"/>
        <v>-3.7508901430302545E-3</v>
      </c>
      <c r="V192" s="282">
        <f t="shared" ref="V192:W192" si="321">V87 * (1 - V$116)</f>
        <v>-3.671742919828698E-3</v>
      </c>
      <c r="W192" s="282">
        <f t="shared" si="321"/>
        <v>-3.671742919828698E-3</v>
      </c>
      <c r="X192" s="282">
        <f t="shared" ref="X192:Y192" si="322">X87 * (1 - X$116)</f>
        <v>-2.6848776528637162E-3</v>
      </c>
      <c r="Y192" s="282">
        <f t="shared" si="322"/>
        <v>-2.6848776528637162E-3</v>
      </c>
      <c r="Z192" s="267"/>
      <c r="AA192" s="267"/>
    </row>
    <row r="193" spans="4:27" x14ac:dyDescent="0.3">
      <c r="F193" t="s">
        <v>196</v>
      </c>
      <c r="G193" t="s">
        <v>269</v>
      </c>
      <c r="H193" s="267"/>
      <c r="I193" s="267"/>
      <c r="J193" s="282">
        <f t="shared" ref="J193:K193" si="323">J88 * (1 - J$117)</f>
        <v>2.1684724064526158E-3</v>
      </c>
      <c r="K193" s="282">
        <f t="shared" si="323"/>
        <v>2.1684724064526158E-3</v>
      </c>
      <c r="L193" s="282">
        <f t="shared" ref="L193:M193" si="324">L88 * (1 - L$117)</f>
        <v>2.4685924084650512E-3</v>
      </c>
      <c r="M193" s="282">
        <f t="shared" si="324"/>
        <v>2.4685924084650512E-3</v>
      </c>
      <c r="N193" s="282">
        <f t="shared" ref="N193:P193" si="325">N88 * (1 - N$117)</f>
        <v>1.9859048914517862E-3</v>
      </c>
      <c r="O193" s="282">
        <f t="shared" si="325"/>
        <v>1.4532445794562434E-3</v>
      </c>
      <c r="P193" s="282">
        <f t="shared" si="325"/>
        <v>0</v>
      </c>
      <c r="Q193" s="282">
        <f t="shared" ref="Q193:S193" si="326">Q88 * (1 - Q$117)</f>
        <v>1.480204823875648E-3</v>
      </c>
      <c r="R193" s="282">
        <f t="shared" si="326"/>
        <v>-1.5133163939356955E-3</v>
      </c>
      <c r="S193" s="282">
        <f t="shared" si="326"/>
        <v>-1.4813840296599881E-3</v>
      </c>
      <c r="T193" s="282">
        <f t="shared" ref="T193:U193" si="327">T88 * (1 - T$117)</f>
        <v>-1.5133163939356955E-3</v>
      </c>
      <c r="U193" s="282">
        <f t="shared" si="327"/>
        <v>-1.5133163939356955E-3</v>
      </c>
      <c r="V193" s="282">
        <f t="shared" ref="V193:W193" si="328">V88 * (1 - V$117)</f>
        <v>-1.4813840296599881E-3</v>
      </c>
      <c r="W193" s="282">
        <f t="shared" si="328"/>
        <v>-1.4813840296599881E-3</v>
      </c>
      <c r="X193" s="282">
        <f t="shared" ref="X193:Y193" si="329">X88 * (1 - X$117)</f>
        <v>-1.083228037307378E-3</v>
      </c>
      <c r="Y193" s="282">
        <f t="shared" si="329"/>
        <v>-1.083228037307378E-3</v>
      </c>
      <c r="Z193" s="267"/>
      <c r="AA193" s="267"/>
    </row>
    <row r="194" spans="4:27" x14ac:dyDescent="0.3">
      <c r="F194" t="s">
        <v>197</v>
      </c>
      <c r="G194" t="s">
        <v>269</v>
      </c>
      <c r="H194" s="267"/>
      <c r="I194" s="267"/>
      <c r="J194" s="282">
        <f t="shared" ref="J194:K194" si="330">J89 * (1 - J$118)</f>
        <v>2.1029646244014131E-2</v>
      </c>
      <c r="K194" s="282">
        <f t="shared" si="330"/>
        <v>2.1029646244014131E-2</v>
      </c>
      <c r="L194" s="282">
        <f t="shared" ref="L194:M194" si="331">L89 * (1 - L$118)</f>
        <v>2.3940182460335701E-2</v>
      </c>
      <c r="M194" s="282">
        <f t="shared" si="331"/>
        <v>2.3940182460335701E-2</v>
      </c>
      <c r="N194" s="282">
        <f t="shared" ref="N194:P194" si="332">N89 * (1 - N$118)</f>
        <v>1.5407298600514027E-2</v>
      </c>
      <c r="O194" s="282">
        <f t="shared" si="332"/>
        <v>0</v>
      </c>
      <c r="P194" s="282">
        <f t="shared" si="332"/>
        <v>0</v>
      </c>
      <c r="Q194" s="282">
        <f t="shared" ref="Q194:S194" si="333">Q89 * (1 - Q$118)</f>
        <v>1.4354890439076616E-2</v>
      </c>
      <c r="R194" s="282">
        <f t="shared" si="333"/>
        <v>-1.467600340453316E-2</v>
      </c>
      <c r="S194" s="282">
        <f t="shared" si="333"/>
        <v>-1.4366326268474202E-2</v>
      </c>
      <c r="T194" s="282">
        <f t="shared" ref="T194:U194" si="334">T89 * (1 - T$118)</f>
        <v>-1.467600340453316E-2</v>
      </c>
      <c r="U194" s="282">
        <f t="shared" si="334"/>
        <v>-1.467600340453316E-2</v>
      </c>
      <c r="V194" s="282">
        <f t="shared" ref="V194:W194" si="335">V89 * (1 - V$118)</f>
        <v>-1.4366326268474202E-2</v>
      </c>
      <c r="W194" s="282">
        <f t="shared" si="335"/>
        <v>-1.4366326268474202E-2</v>
      </c>
      <c r="X194" s="282">
        <f t="shared" ref="X194:Y194" si="336">X89 * (1 - X$118)</f>
        <v>0</v>
      </c>
      <c r="Y194" s="282">
        <f t="shared" si="336"/>
        <v>0</v>
      </c>
      <c r="Z194" s="267"/>
      <c r="AA194" s="267"/>
    </row>
    <row r="195" spans="4:27" x14ac:dyDescent="0.3">
      <c r="F195" t="s">
        <v>198</v>
      </c>
      <c r="G195" t="s">
        <v>269</v>
      </c>
      <c r="H195" s="267"/>
      <c r="I195" s="267"/>
      <c r="J195" s="282">
        <f t="shared" ref="J195:K195" si="337">J90 * (1 - J$119)</f>
        <v>5.9947793972590932E-3</v>
      </c>
      <c r="K195" s="282">
        <f t="shared" si="337"/>
        <v>5.9947793972590932E-3</v>
      </c>
      <c r="L195" s="282">
        <f t="shared" ref="L195:M195" si="338">L90 * (1 - L$119)</f>
        <v>6.824466323141043E-3</v>
      </c>
      <c r="M195" s="282">
        <f t="shared" si="338"/>
        <v>6.824466323141043E-3</v>
      </c>
      <c r="N195" s="282">
        <f t="shared" ref="N195:P195" si="339">N90 * (1 - N$119)</f>
        <v>0</v>
      </c>
      <c r="O195" s="282">
        <f t="shared" si="339"/>
        <v>0</v>
      </c>
      <c r="P195" s="282">
        <f t="shared" si="339"/>
        <v>0</v>
      </c>
      <c r="Q195" s="282">
        <f t="shared" ref="Q195:S195" si="340">Q90 * (1 - Q$119)</f>
        <v>4.0920517851593683E-3</v>
      </c>
      <c r="R195" s="282">
        <f t="shared" si="340"/>
        <v>-4.1835892921233573E-3</v>
      </c>
      <c r="S195" s="282">
        <f t="shared" si="340"/>
        <v>0</v>
      </c>
      <c r="T195" s="282">
        <f t="shared" ref="T195:U195" si="341">T90 * (1 - T$119)</f>
        <v>-4.1835892921233573E-3</v>
      </c>
      <c r="U195" s="282">
        <f t="shared" si="341"/>
        <v>-4.1835892921233573E-3</v>
      </c>
      <c r="V195" s="282">
        <f t="shared" ref="V195:W195" si="342">V90 * (1 - V$119)</f>
        <v>0</v>
      </c>
      <c r="W195" s="282">
        <f t="shared" si="342"/>
        <v>0</v>
      </c>
      <c r="X195" s="282">
        <f t="shared" ref="X195:Y195" si="343">X90 * (1 - X$119)</f>
        <v>0</v>
      </c>
      <c r="Y195" s="282">
        <f t="shared" si="343"/>
        <v>0</v>
      </c>
      <c r="Z195" s="267"/>
      <c r="AA195" s="267"/>
    </row>
    <row r="196" spans="4:27" x14ac:dyDescent="0.3">
      <c r="F196" t="s">
        <v>199</v>
      </c>
      <c r="G196" t="s">
        <v>269</v>
      </c>
      <c r="H196" s="267"/>
      <c r="I196" s="267"/>
      <c r="J196" s="282">
        <f t="shared" ref="J196:K196" si="344">J91 * (1 - J$120)</f>
        <v>0</v>
      </c>
      <c r="K196" s="282">
        <f t="shared" si="344"/>
        <v>0</v>
      </c>
      <c r="L196" s="282">
        <f t="shared" ref="L196:M196" si="345">L91 * (1 - L$120)</f>
        <v>0</v>
      </c>
      <c r="M196" s="282">
        <f t="shared" si="345"/>
        <v>0</v>
      </c>
      <c r="N196" s="282">
        <f t="shared" ref="N196:P196" si="346">N91 * (1 - N$120)</f>
        <v>0</v>
      </c>
      <c r="O196" s="282">
        <f t="shared" si="346"/>
        <v>0</v>
      </c>
      <c r="P196" s="282">
        <f t="shared" si="346"/>
        <v>0</v>
      </c>
      <c r="Q196" s="282">
        <f t="shared" ref="Q196:S196" si="347">Q91 * (1 - Q$120)</f>
        <v>2.7322765577577745E-3</v>
      </c>
      <c r="R196" s="282">
        <f t="shared" si="347"/>
        <v>0</v>
      </c>
      <c r="S196" s="282">
        <f t="shared" si="347"/>
        <v>0</v>
      </c>
      <c r="T196" s="282">
        <f t="shared" ref="T196:U196" si="348">T91 * (1 - T$120)</f>
        <v>0</v>
      </c>
      <c r="U196" s="282">
        <f t="shared" si="348"/>
        <v>0</v>
      </c>
      <c r="V196" s="282">
        <f t="shared" ref="V196:W196" si="349">V91 * (1 - V$120)</f>
        <v>0</v>
      </c>
      <c r="W196" s="282">
        <f t="shared" si="349"/>
        <v>0</v>
      </c>
      <c r="X196" s="282">
        <f t="shared" ref="X196:Y196" si="350">X91 * (1 - X$120)</f>
        <v>0</v>
      </c>
      <c r="Y196" s="282">
        <f t="shared" si="350"/>
        <v>0</v>
      </c>
      <c r="Z196" s="267"/>
      <c r="AA196" s="267"/>
    </row>
    <row r="197" spans="4:27" x14ac:dyDescent="0.3">
      <c r="D197"/>
      <c r="F197" s="23" t="s">
        <v>376</v>
      </c>
      <c r="G197" s="23" t="s">
        <v>269</v>
      </c>
      <c r="H197" s="266"/>
      <c r="I197" s="266"/>
      <c r="J197" s="280"/>
      <c r="K197" s="280"/>
      <c r="L197" s="280"/>
      <c r="M197" s="280"/>
      <c r="N197" s="280"/>
      <c r="O197" s="280"/>
      <c r="P197" s="280"/>
      <c r="Q197" s="280"/>
      <c r="R197" s="280"/>
      <c r="S197" s="280"/>
      <c r="T197" s="280"/>
      <c r="U197" s="280"/>
      <c r="V197" s="280"/>
      <c r="W197" s="280"/>
      <c r="X197" s="280"/>
      <c r="Y197" s="280"/>
      <c r="Z197" s="267"/>
      <c r="AA197" s="267"/>
    </row>
    <row r="198" spans="4:27" x14ac:dyDescent="0.3">
      <c r="D198"/>
      <c r="F198" s="37" t="s">
        <v>377</v>
      </c>
      <c r="G198" s="37" t="s">
        <v>269</v>
      </c>
      <c r="H198" s="269"/>
      <c r="I198" s="269"/>
      <c r="J198" s="270"/>
      <c r="K198" s="270"/>
      <c r="L198" s="270"/>
      <c r="M198" s="270"/>
      <c r="N198" s="270"/>
      <c r="O198" s="270"/>
      <c r="P198" s="270"/>
      <c r="Q198" s="270"/>
      <c r="R198" s="270"/>
      <c r="S198" s="270"/>
      <c r="T198" s="270"/>
      <c r="U198" s="270"/>
      <c r="V198" s="270"/>
      <c r="W198" s="270"/>
      <c r="X198" s="270"/>
      <c r="Y198" s="270"/>
      <c r="Z198" s="267"/>
      <c r="AA198" s="267"/>
    </row>
    <row r="199" spans="4:27" x14ac:dyDescent="0.3">
      <c r="D199"/>
      <c r="J199" s="89"/>
      <c r="K199" s="89"/>
      <c r="L199" s="89"/>
      <c r="M199" s="89"/>
      <c r="N199" s="89"/>
      <c r="O199" s="89"/>
      <c r="P199" s="89"/>
      <c r="Q199" s="89"/>
      <c r="R199" s="89"/>
      <c r="S199" s="89"/>
      <c r="T199" s="89"/>
      <c r="U199" s="89"/>
      <c r="V199" s="89"/>
      <c r="W199" s="89"/>
      <c r="X199" s="89"/>
      <c r="Y199" s="89"/>
    </row>
    <row r="200" spans="4:27" x14ac:dyDescent="0.3">
      <c r="E200" s="32" t="s">
        <v>622</v>
      </c>
      <c r="J200" s="89"/>
      <c r="K200" s="89"/>
      <c r="L200" s="89"/>
      <c r="M200" s="89"/>
      <c r="N200" s="89"/>
      <c r="O200" s="89"/>
      <c r="P200" s="89"/>
      <c r="Q200" s="89"/>
      <c r="R200" s="89"/>
      <c r="S200" s="89"/>
      <c r="T200" s="89"/>
      <c r="U200" s="89"/>
      <c r="V200" s="89"/>
      <c r="W200" s="89"/>
      <c r="X200" s="89"/>
      <c r="Y200" s="89"/>
    </row>
    <row r="201" spans="4:27" x14ac:dyDescent="0.3">
      <c r="F201" s="23" t="s">
        <v>189</v>
      </c>
      <c r="G201" s="23" t="s">
        <v>269</v>
      </c>
      <c r="H201" s="266"/>
      <c r="I201" s="266"/>
      <c r="J201" s="434">
        <f t="shared" ref="J201:K201" si="351">J96 * (1 - J$112)</f>
        <v>0</v>
      </c>
      <c r="K201" s="434">
        <f t="shared" si="351"/>
        <v>0</v>
      </c>
      <c r="L201" s="434">
        <f t="shared" ref="L201:M201" si="352">L96 * (1 - L$112)</f>
        <v>0</v>
      </c>
      <c r="M201" s="434">
        <f t="shared" si="352"/>
        <v>0</v>
      </c>
      <c r="N201" s="434">
        <f t="shared" ref="N201:P201" si="353">N96 * (1 - N$112)</f>
        <v>0</v>
      </c>
      <c r="O201" s="434">
        <f t="shared" si="353"/>
        <v>0</v>
      </c>
      <c r="P201" s="434">
        <f t="shared" si="353"/>
        <v>0</v>
      </c>
      <c r="Q201" s="434">
        <f t="shared" ref="Q201:S201" si="354">Q96 * (1 - Q$112)</f>
        <v>0</v>
      </c>
      <c r="R201" s="434">
        <f t="shared" si="354"/>
        <v>0</v>
      </c>
      <c r="S201" s="434">
        <f t="shared" si="354"/>
        <v>0</v>
      </c>
      <c r="T201" s="434">
        <f t="shared" ref="T201:U201" si="355">T96 * (1 - T$112)</f>
        <v>0</v>
      </c>
      <c r="U201" s="434">
        <f t="shared" si="355"/>
        <v>0</v>
      </c>
      <c r="V201" s="434">
        <f t="shared" ref="V201:W201" si="356">V96 * (1 - V$112)</f>
        <v>0</v>
      </c>
      <c r="W201" s="434">
        <f t="shared" si="356"/>
        <v>0</v>
      </c>
      <c r="X201" s="434">
        <f t="shared" ref="X201:Y201" si="357">X96 * (1 - X$112)</f>
        <v>0</v>
      </c>
      <c r="Y201" s="434">
        <f t="shared" si="357"/>
        <v>0</v>
      </c>
      <c r="Z201" s="267"/>
      <c r="AA201" s="267"/>
    </row>
    <row r="202" spans="4:27" x14ac:dyDescent="0.3">
      <c r="F202" t="s">
        <v>191</v>
      </c>
      <c r="G202" t="s">
        <v>269</v>
      </c>
      <c r="H202" s="267"/>
      <c r="I202" s="267"/>
      <c r="J202" s="282">
        <f t="shared" ref="J202:K202" si="358">J97 * (1 - J$112)</f>
        <v>0</v>
      </c>
      <c r="K202" s="282">
        <f t="shared" si="358"/>
        <v>0</v>
      </c>
      <c r="L202" s="282">
        <f t="shared" ref="L202:M202" si="359">L97 * (1 - L$112)</f>
        <v>0</v>
      </c>
      <c r="M202" s="282">
        <f t="shared" si="359"/>
        <v>0</v>
      </c>
      <c r="N202" s="282">
        <f t="shared" ref="N202:P202" si="360">N97 * (1 - N$112)</f>
        <v>0</v>
      </c>
      <c r="O202" s="282">
        <f t="shared" si="360"/>
        <v>0</v>
      </c>
      <c r="P202" s="282">
        <f t="shared" si="360"/>
        <v>0</v>
      </c>
      <c r="Q202" s="282">
        <f t="shared" ref="Q202:S202" si="361">Q97 * (1 - Q$112)</f>
        <v>0</v>
      </c>
      <c r="R202" s="282">
        <f t="shared" si="361"/>
        <v>0</v>
      </c>
      <c r="S202" s="282">
        <f t="shared" si="361"/>
        <v>0</v>
      </c>
      <c r="T202" s="282">
        <f t="shared" ref="T202:U202" si="362">T97 * (1 - T$112)</f>
        <v>0</v>
      </c>
      <c r="U202" s="282">
        <f t="shared" si="362"/>
        <v>0</v>
      </c>
      <c r="V202" s="282">
        <f t="shared" ref="V202:W202" si="363">V97 * (1 - V$112)</f>
        <v>0</v>
      </c>
      <c r="W202" s="282">
        <f t="shared" si="363"/>
        <v>0</v>
      </c>
      <c r="X202" s="282">
        <f t="shared" ref="X202:Y202" si="364">X97 * (1 - X$112)</f>
        <v>0</v>
      </c>
      <c r="Y202" s="282">
        <f t="shared" si="364"/>
        <v>0</v>
      </c>
      <c r="Z202" s="267"/>
      <c r="AA202" s="267"/>
    </row>
    <row r="203" spans="4:27" x14ac:dyDescent="0.3">
      <c r="F203" t="s">
        <v>192</v>
      </c>
      <c r="G203" t="s">
        <v>269</v>
      </c>
      <c r="H203" s="267"/>
      <c r="I203" s="267"/>
      <c r="J203" s="282">
        <f t="shared" ref="J203:K203" si="365">J98 * (1 - J$113)</f>
        <v>3.0742779371853396E-3</v>
      </c>
      <c r="K203" s="282">
        <f t="shared" si="365"/>
        <v>3.0742779371853396E-3</v>
      </c>
      <c r="L203" s="282">
        <f t="shared" ref="L203:M203" si="366">L98 * (1 - L$113)</f>
        <v>3.4997628536405177E-3</v>
      </c>
      <c r="M203" s="282">
        <f t="shared" si="366"/>
        <v>3.4997628536405177E-3</v>
      </c>
      <c r="N203" s="282">
        <f t="shared" ref="N203:P203" si="367">N98 * (1 - N$113)</f>
        <v>2.8154490575815778E-3</v>
      </c>
      <c r="O203" s="282">
        <f t="shared" si="367"/>
        <v>2.0602880325625863E-3</v>
      </c>
      <c r="P203" s="282">
        <f t="shared" si="367"/>
        <v>1.9954608921381786E-3</v>
      </c>
      <c r="Q203" s="282">
        <f t="shared" ref="Q203:S203" si="368">Q98 * (1 - Q$113)</f>
        <v>2.0985100013333519E-3</v>
      </c>
      <c r="R203" s="282">
        <f t="shared" si="368"/>
        <v>-2.1454528026335976E-3</v>
      </c>
      <c r="S203" s="282">
        <f t="shared" si="368"/>
        <v>-2.1001817801927052E-3</v>
      </c>
      <c r="T203" s="282">
        <f t="shared" ref="T203:U203" si="369">T98 * (1 - T$113)</f>
        <v>-2.1454528026335976E-3</v>
      </c>
      <c r="U203" s="282">
        <f t="shared" si="369"/>
        <v>-2.1454528026335976E-3</v>
      </c>
      <c r="V203" s="282">
        <f t="shared" ref="V203:W203" si="370">V98 * (1 - V$113)</f>
        <v>-2.1001817801927052E-3</v>
      </c>
      <c r="W203" s="282">
        <f t="shared" si="370"/>
        <v>-2.1001817801927052E-3</v>
      </c>
      <c r="X203" s="282">
        <f t="shared" ref="X203:Y203" si="371">X98 * (1 - X$113)</f>
        <v>-2.068688895016432E-3</v>
      </c>
      <c r="Y203" s="282">
        <f t="shared" si="371"/>
        <v>-2.068688895016432E-3</v>
      </c>
      <c r="Z203" s="267"/>
      <c r="AA203" s="267"/>
    </row>
    <row r="204" spans="4:27" x14ac:dyDescent="0.3">
      <c r="F204" t="s">
        <v>193</v>
      </c>
      <c r="G204" t="s">
        <v>269</v>
      </c>
      <c r="H204" s="267"/>
      <c r="I204" s="267"/>
      <c r="J204" s="282">
        <f t="shared" ref="J204:K204" si="372">J99 * (1 - J$114)</f>
        <v>7.2782670990318191E-4</v>
      </c>
      <c r="K204" s="282">
        <f t="shared" si="372"/>
        <v>7.2782670990318191E-4</v>
      </c>
      <c r="L204" s="282">
        <f t="shared" ref="L204:M204" si="373">L99 * (1 - L$114)</f>
        <v>8.285590747655891E-4</v>
      </c>
      <c r="M204" s="282">
        <f t="shared" si="373"/>
        <v>8.285590747655891E-4</v>
      </c>
      <c r="N204" s="282">
        <f t="shared" ref="N204:P204" si="374">N99 * (1 - N$114)</f>
        <v>6.6654969600950416E-4</v>
      </c>
      <c r="O204" s="282">
        <f t="shared" si="374"/>
        <v>4.8776743379482017E-4</v>
      </c>
      <c r="P204" s="282">
        <f t="shared" si="374"/>
        <v>5.4837723433657809E-4</v>
      </c>
      <c r="Q204" s="282">
        <f t="shared" ref="Q204:S204" si="375">Q99 * (1 - Q$114)</f>
        <v>4.9681637808185442E-4</v>
      </c>
      <c r="R204" s="282">
        <f t="shared" si="375"/>
        <v>-5.0792995509801636E-4</v>
      </c>
      <c r="S204" s="282">
        <f t="shared" si="375"/>
        <v>-4.9721216705466364E-4</v>
      </c>
      <c r="T204" s="282">
        <f t="shared" ref="T204:U204" si="376">T99 * (1 - T$114)</f>
        <v>-5.0792995509801636E-4</v>
      </c>
      <c r="U204" s="282">
        <f t="shared" si="376"/>
        <v>-5.0792995509801636E-4</v>
      </c>
      <c r="V204" s="282">
        <f t="shared" ref="V204:W204" si="377">V99 * (1 - V$114)</f>
        <v>-4.9721216705466364E-4</v>
      </c>
      <c r="W204" s="282">
        <f t="shared" si="377"/>
        <v>-4.9721216705466364E-4</v>
      </c>
      <c r="X204" s="282">
        <f t="shared" ref="X204:Y204" si="378">X99 * (1 - X$114)</f>
        <v>-4.8975631450276611E-4</v>
      </c>
      <c r="Y204" s="282">
        <f t="shared" si="378"/>
        <v>-4.8975631450276611E-4</v>
      </c>
      <c r="Z204" s="267"/>
      <c r="AA204" s="267"/>
    </row>
    <row r="205" spans="4:27" x14ac:dyDescent="0.3">
      <c r="F205" t="s">
        <v>194</v>
      </c>
      <c r="G205" t="s">
        <v>269</v>
      </c>
      <c r="H205" s="267"/>
      <c r="I205" s="267"/>
      <c r="J205" s="282">
        <f t="shared" ref="J205:K205" si="379">J100 * (1 - J$115)</f>
        <v>1.9576190129438334E-3</v>
      </c>
      <c r="K205" s="282">
        <f t="shared" si="379"/>
        <v>1.9576190129438334E-3</v>
      </c>
      <c r="L205" s="282">
        <f t="shared" ref="L205:M205" si="380">L100 * (1 - L$115)</f>
        <v>2.228556572654544E-3</v>
      </c>
      <c r="M205" s="282">
        <f t="shared" si="380"/>
        <v>2.228556572654544E-3</v>
      </c>
      <c r="N205" s="282">
        <f t="shared" ref="N205:P205" si="381">N100 * (1 - N$115)</f>
        <v>1.7928036168852796E-3</v>
      </c>
      <c r="O205" s="282">
        <f t="shared" si="381"/>
        <v>1.3119370164617642E-3</v>
      </c>
      <c r="P205" s="282">
        <f t="shared" si="381"/>
        <v>1.1799662591065324E-3</v>
      </c>
      <c r="Q205" s="282">
        <f t="shared" ref="Q205:S205" si="382">Q100 * (1 - Q$115)</f>
        <v>1.336275756909644E-3</v>
      </c>
      <c r="R205" s="282">
        <f t="shared" si="382"/>
        <v>-1.3661676932354601E-3</v>
      </c>
      <c r="S205" s="282">
        <f t="shared" si="382"/>
        <v>-1.3373403015433355E-3</v>
      </c>
      <c r="T205" s="282">
        <f t="shared" ref="T205:U205" si="383">T100 * (1 - T$115)</f>
        <v>-1.3661676932354601E-3</v>
      </c>
      <c r="U205" s="282">
        <f t="shared" si="383"/>
        <v>-1.3661676932354601E-3</v>
      </c>
      <c r="V205" s="282">
        <f t="shared" ref="V205:W205" si="384">V100 * (1 - V$115)</f>
        <v>-1.3373403015433355E-3</v>
      </c>
      <c r="W205" s="282">
        <f t="shared" si="384"/>
        <v>-1.3373403015433355E-3</v>
      </c>
      <c r="X205" s="282">
        <f t="shared" ref="X205:Y205" si="385">X100 * (1 - X$115)</f>
        <v>-1.3172864638444661E-3</v>
      </c>
      <c r="Y205" s="282">
        <f t="shared" si="385"/>
        <v>-1.3172864638444661E-3</v>
      </c>
      <c r="Z205" s="267"/>
      <c r="AA205" s="267"/>
    </row>
    <row r="206" spans="4:27" x14ac:dyDescent="0.3">
      <c r="F206" t="s">
        <v>195</v>
      </c>
      <c r="G206" t="s">
        <v>269</v>
      </c>
      <c r="H206" s="267"/>
      <c r="I206" s="267"/>
      <c r="J206" s="282">
        <f t="shared" ref="J206:K206" si="386">J101 * (1 - J$116)</f>
        <v>3.7736789564067697E-3</v>
      </c>
      <c r="K206" s="282">
        <f t="shared" si="386"/>
        <v>3.7736789564067697E-3</v>
      </c>
      <c r="L206" s="282">
        <f t="shared" ref="L206:M206" si="387">L101 * (1 - L$116)</f>
        <v>4.2959620772899275E-3</v>
      </c>
      <c r="M206" s="282">
        <f t="shared" si="387"/>
        <v>4.2959620772899275E-3</v>
      </c>
      <c r="N206" s="282">
        <f t="shared" ref="N206:P206" si="388">N101 * (1 - N$116)</f>
        <v>3.4559662719234299E-3</v>
      </c>
      <c r="O206" s="282">
        <f t="shared" si="388"/>
        <v>2.5290054287467668E-3</v>
      </c>
      <c r="P206" s="282">
        <f t="shared" si="388"/>
        <v>0</v>
      </c>
      <c r="Q206" s="282">
        <f t="shared" ref="Q206:S206" si="389">Q101 * (1 - Q$116)</f>
        <v>2.5759229300819689E-3</v>
      </c>
      <c r="R206" s="282">
        <f t="shared" si="389"/>
        <v>-2.6335452612573046E-3</v>
      </c>
      <c r="S206" s="282">
        <f t="shared" si="389"/>
        <v>-2.5779750401482052E-3</v>
      </c>
      <c r="T206" s="282">
        <f t="shared" ref="T206:U206" si="390">T101 * (1 - T$116)</f>
        <v>-2.6335452612573046E-3</v>
      </c>
      <c r="U206" s="282">
        <f t="shared" si="390"/>
        <v>-2.6335452612573046E-3</v>
      </c>
      <c r="V206" s="282">
        <f t="shared" ref="V206:W206" si="391">V101 * (1 - V$116)</f>
        <v>-2.5779750401482052E-3</v>
      </c>
      <c r="W206" s="282">
        <f t="shared" si="391"/>
        <v>-2.5779750401482052E-3</v>
      </c>
      <c r="X206" s="282">
        <f t="shared" ref="X206:Y206" si="392">X101 * (1 - X$116)</f>
        <v>-2.5393174950288319E-3</v>
      </c>
      <c r="Y206" s="282">
        <f t="shared" si="392"/>
        <v>-2.5393174950288319E-3</v>
      </c>
      <c r="Z206" s="267"/>
      <c r="AA206" s="267"/>
    </row>
    <row r="207" spans="4:27" x14ac:dyDescent="0.3">
      <c r="F207" t="s">
        <v>196</v>
      </c>
      <c r="G207" t="s">
        <v>269</v>
      </c>
      <c r="H207" s="267"/>
      <c r="I207" s="267"/>
      <c r="J207" s="282">
        <f t="shared" ref="J207:K207" si="393">J102 * (1 - J$117)</f>
        <v>1.5225106607806211E-3</v>
      </c>
      <c r="K207" s="282">
        <f t="shared" si="393"/>
        <v>1.5225106607806211E-3</v>
      </c>
      <c r="L207" s="282">
        <f t="shared" ref="L207:M207" si="394">L102 * (1 - L$117)</f>
        <v>1.733228538129557E-3</v>
      </c>
      <c r="M207" s="282">
        <f t="shared" si="394"/>
        <v>1.733228538129557E-3</v>
      </c>
      <c r="N207" s="282">
        <f t="shared" ref="N207:P207" si="395">N102 * (1 - N$117)</f>
        <v>1.3943278040037148E-3</v>
      </c>
      <c r="O207" s="282">
        <f t="shared" si="395"/>
        <v>1.0203405671014838E-3</v>
      </c>
      <c r="P207" s="282">
        <f t="shared" si="395"/>
        <v>0</v>
      </c>
      <c r="Q207" s="282">
        <f t="shared" ref="Q207:S207" si="396">Q102 * (1 - Q$117)</f>
        <v>1.0392696802521294E-3</v>
      </c>
      <c r="R207" s="282">
        <f t="shared" si="396"/>
        <v>-1.0625177134120608E-3</v>
      </c>
      <c r="S207" s="282">
        <f t="shared" si="396"/>
        <v>-1.0400976148721734E-3</v>
      </c>
      <c r="T207" s="282">
        <f t="shared" ref="T207:U207" si="397">T102 * (1 - T$117)</f>
        <v>-1.0625177134120608E-3</v>
      </c>
      <c r="U207" s="282">
        <f t="shared" si="397"/>
        <v>-1.0625177134120608E-3</v>
      </c>
      <c r="V207" s="282">
        <f t="shared" ref="V207:W207" si="398">V102 * (1 - V$117)</f>
        <v>-1.0400976148721734E-3</v>
      </c>
      <c r="W207" s="282">
        <f t="shared" si="398"/>
        <v>-1.0400976148721734E-3</v>
      </c>
      <c r="X207" s="282">
        <f t="shared" ref="X207:Y207" si="399">X102 * (1 - X$117)</f>
        <v>-1.0245010245835558E-3</v>
      </c>
      <c r="Y207" s="282">
        <f t="shared" si="399"/>
        <v>-1.0245010245835558E-3</v>
      </c>
      <c r="Z207" s="267"/>
      <c r="AA207" s="267"/>
    </row>
    <row r="208" spans="4:27" x14ac:dyDescent="0.3">
      <c r="F208" t="s">
        <v>197</v>
      </c>
      <c r="G208" t="s">
        <v>269</v>
      </c>
      <c r="H208" s="267"/>
      <c r="I208" s="267"/>
      <c r="J208" s="282">
        <f t="shared" ref="J208:K208" si="400">J103 * (1 - J$118)</f>
        <v>2.4080830568202576E-2</v>
      </c>
      <c r="K208" s="282">
        <f t="shared" si="400"/>
        <v>2.4080830568202576E-2</v>
      </c>
      <c r="L208" s="282">
        <f t="shared" ref="L208:M208" si="401">L103 * (1 - L$118)</f>
        <v>2.741365550850831E-2</v>
      </c>
      <c r="M208" s="282">
        <f t="shared" si="401"/>
        <v>2.741365550850831E-2</v>
      </c>
      <c r="N208" s="282">
        <f t="shared" ref="N208:P208" si="402">N103 * (1 - N$118)</f>
        <v>1.7642738389776296E-2</v>
      </c>
      <c r="O208" s="282">
        <f t="shared" si="402"/>
        <v>0</v>
      </c>
      <c r="P208" s="282">
        <f t="shared" si="402"/>
        <v>0</v>
      </c>
      <c r="Q208" s="282">
        <f t="shared" ref="Q208:S208" si="403">Q103 * (1 - Q$118)</f>
        <v>1.6437636680974064E-2</v>
      </c>
      <c r="R208" s="282">
        <f t="shared" si="403"/>
        <v>-1.6805339818948301E-2</v>
      </c>
      <c r="S208" s="282">
        <f t="shared" si="403"/>
        <v>-1.6450731731025538E-2</v>
      </c>
      <c r="T208" s="282">
        <f t="shared" ref="T208:U208" si="404">T103 * (1 - T$118)</f>
        <v>-1.6805339818948301E-2</v>
      </c>
      <c r="U208" s="282">
        <f t="shared" si="404"/>
        <v>-1.6805339818948301E-2</v>
      </c>
      <c r="V208" s="282">
        <f t="shared" ref="V208:W208" si="405">V103 * (1 - V$118)</f>
        <v>-1.6450731731025538E-2</v>
      </c>
      <c r="W208" s="282">
        <f t="shared" si="405"/>
        <v>-1.6450731731025538E-2</v>
      </c>
      <c r="X208" s="282">
        <f t="shared" ref="X208:Y208" si="406">X103 * (1 - X$118)</f>
        <v>0</v>
      </c>
      <c r="Y208" s="282">
        <f t="shared" si="406"/>
        <v>0</v>
      </c>
      <c r="Z208" s="267"/>
      <c r="AA208" s="267"/>
    </row>
    <row r="209" spans="2:27" x14ac:dyDescent="0.3">
      <c r="F209" t="s">
        <v>198</v>
      </c>
      <c r="G209" t="s">
        <v>269</v>
      </c>
      <c r="H209" s="267"/>
      <c r="I209" s="267"/>
      <c r="J209" s="282">
        <f t="shared" ref="J209:K209" si="407">J104 * (1 - J$119)</f>
        <v>1.173236665396426E-2</v>
      </c>
      <c r="K209" s="282">
        <f t="shared" si="407"/>
        <v>1.173236665396426E-2</v>
      </c>
      <c r="L209" s="282">
        <f t="shared" ref="L209:M209" si="408">L104 * (1 - L$119)</f>
        <v>1.3356144707731863E-2</v>
      </c>
      <c r="M209" s="282">
        <f t="shared" si="408"/>
        <v>1.3356144707731863E-2</v>
      </c>
      <c r="N209" s="282">
        <f t="shared" ref="N209:P209" si="409">N104 * (1 - N$119)</f>
        <v>0</v>
      </c>
      <c r="O209" s="282">
        <f t="shared" si="409"/>
        <v>0</v>
      </c>
      <c r="P209" s="282">
        <f t="shared" si="409"/>
        <v>0</v>
      </c>
      <c r="Q209" s="282">
        <f t="shared" ref="Q209:S209" si="410">Q104 * (1 - Q$119)</f>
        <v>8.0085435558228165E-3</v>
      </c>
      <c r="R209" s="282">
        <f t="shared" si="410"/>
        <v>-8.1876913647951285E-3</v>
      </c>
      <c r="S209" s="282">
        <f t="shared" si="410"/>
        <v>0</v>
      </c>
      <c r="T209" s="282">
        <f t="shared" ref="T209:U209" si="411">T104 * (1 - T$119)</f>
        <v>-8.1876913647951285E-3</v>
      </c>
      <c r="U209" s="282">
        <f t="shared" si="411"/>
        <v>-8.1876913647951285E-3</v>
      </c>
      <c r="V209" s="282">
        <f t="shared" ref="V209:W209" si="412">V104 * (1 - V$119)</f>
        <v>0</v>
      </c>
      <c r="W209" s="282">
        <f t="shared" si="412"/>
        <v>0</v>
      </c>
      <c r="X209" s="282">
        <f t="shared" ref="X209:Y209" si="413">X104 * (1 - X$119)</f>
        <v>0</v>
      </c>
      <c r="Y209" s="282">
        <f t="shared" si="413"/>
        <v>0</v>
      </c>
      <c r="Z209" s="267"/>
      <c r="AA209" s="267"/>
    </row>
    <row r="210" spans="2:27" x14ac:dyDescent="0.3">
      <c r="F210" t="s">
        <v>199</v>
      </c>
      <c r="G210" t="s">
        <v>269</v>
      </c>
      <c r="H210" s="267"/>
      <c r="I210" s="267"/>
      <c r="J210" s="282">
        <f t="shared" ref="J210:K210" si="414">J105 * (1 - J$120)</f>
        <v>0</v>
      </c>
      <c r="K210" s="282">
        <f t="shared" si="414"/>
        <v>0</v>
      </c>
      <c r="L210" s="282">
        <f t="shared" ref="L210:M210" si="415">L105 * (1 - L$120)</f>
        <v>0</v>
      </c>
      <c r="M210" s="282">
        <f t="shared" si="415"/>
        <v>0</v>
      </c>
      <c r="N210" s="282">
        <f t="shared" ref="N210:P210" si="416">N105 * (1 - N$120)</f>
        <v>0</v>
      </c>
      <c r="O210" s="282">
        <f t="shared" si="416"/>
        <v>0</v>
      </c>
      <c r="P210" s="282">
        <f t="shared" si="416"/>
        <v>0</v>
      </c>
      <c r="Q210" s="282">
        <f t="shared" ref="Q210:S210" si="417">Q105 * (1 - Q$120)</f>
        <v>1.8383380956523414E-2</v>
      </c>
      <c r="R210" s="282">
        <f t="shared" si="417"/>
        <v>0</v>
      </c>
      <c r="S210" s="282">
        <f t="shared" si="417"/>
        <v>0</v>
      </c>
      <c r="T210" s="282">
        <f t="shared" ref="T210:U210" si="418">T105 * (1 - T$120)</f>
        <v>0</v>
      </c>
      <c r="U210" s="282">
        <f t="shared" si="418"/>
        <v>0</v>
      </c>
      <c r="V210" s="282">
        <f t="shared" ref="V210:W210" si="419">V105 * (1 - V$120)</f>
        <v>0</v>
      </c>
      <c r="W210" s="282">
        <f t="shared" si="419"/>
        <v>0</v>
      </c>
      <c r="X210" s="282">
        <f t="shared" ref="X210:Y210" si="420">X105 * (1 - X$120)</f>
        <v>0</v>
      </c>
      <c r="Y210" s="282">
        <f t="shared" si="420"/>
        <v>0</v>
      </c>
      <c r="Z210" s="267"/>
      <c r="AA210" s="267"/>
    </row>
    <row r="211" spans="2:27" x14ac:dyDescent="0.3">
      <c r="D211"/>
      <c r="F211" s="23" t="s">
        <v>376</v>
      </c>
      <c r="G211" s="23" t="s">
        <v>269</v>
      </c>
      <c r="H211" s="266"/>
      <c r="I211" s="266" t="s">
        <v>154</v>
      </c>
      <c r="J211" s="280"/>
      <c r="K211" s="280"/>
      <c r="L211" s="280"/>
      <c r="M211" s="280"/>
      <c r="N211" s="280"/>
      <c r="O211" s="280"/>
      <c r="P211" s="280"/>
      <c r="Q211" s="281">
        <f>Q106</f>
        <v>0.8808124324004668</v>
      </c>
      <c r="R211" s="280"/>
      <c r="S211" s="280"/>
      <c r="T211" s="280"/>
      <c r="U211" s="280"/>
      <c r="V211" s="280"/>
      <c r="W211" s="280"/>
      <c r="X211" s="280"/>
      <c r="Y211" s="280"/>
      <c r="Z211" s="267"/>
      <c r="AA211" s="267" t="s">
        <v>654</v>
      </c>
    </row>
    <row r="212" spans="2:27" x14ac:dyDescent="0.3">
      <c r="D212"/>
      <c r="F212" s="37" t="s">
        <v>377</v>
      </c>
      <c r="G212" s="37" t="s">
        <v>269</v>
      </c>
      <c r="H212" s="269"/>
      <c r="I212" s="269"/>
      <c r="J212" s="270"/>
      <c r="K212" s="270"/>
      <c r="L212" s="270"/>
      <c r="M212" s="270"/>
      <c r="N212" s="270"/>
      <c r="O212" s="270"/>
      <c r="P212" s="270"/>
      <c r="Q212" s="270"/>
      <c r="R212" s="270"/>
      <c r="S212" s="270"/>
      <c r="T212" s="270"/>
      <c r="U212" s="270"/>
      <c r="V212" s="270"/>
      <c r="W212" s="270"/>
      <c r="X212" s="270"/>
      <c r="Y212" s="270"/>
      <c r="Z212" s="267"/>
      <c r="AA212" s="267"/>
    </row>
    <row r="213" spans="2:27" x14ac:dyDescent="0.3">
      <c r="J213" s="89"/>
      <c r="K213" s="89"/>
      <c r="L213" s="89"/>
      <c r="M213" s="89"/>
      <c r="N213" s="89"/>
      <c r="O213" s="89"/>
      <c r="P213" s="89"/>
      <c r="Q213" s="89"/>
      <c r="R213" s="89"/>
      <c r="S213" s="89"/>
      <c r="T213" s="89"/>
      <c r="U213" s="89"/>
      <c r="V213" s="89"/>
      <c r="W213" s="89"/>
      <c r="X213" s="89"/>
      <c r="Y213" s="89"/>
    </row>
    <row r="214" spans="2:27" x14ac:dyDescent="0.3">
      <c r="C214" s="31" t="str">
        <f ca="1">INDEX('Version control'!$H$34:$H$57,MATCH($A$1,'Version control'!$F$34:$F$57,0),1)&amp;"-H: Unit rates, post application of standing charges"</f>
        <v>Section 111-H: Unit rates, post application of standing charges</v>
      </c>
      <c r="D214" s="31"/>
      <c r="E214" s="31"/>
      <c r="F214" s="31"/>
      <c r="G214" s="31"/>
      <c r="H214" s="31"/>
      <c r="I214" s="31"/>
      <c r="J214" s="90"/>
      <c r="K214" s="90"/>
      <c r="L214" s="90"/>
      <c r="M214" s="90"/>
      <c r="N214" s="90"/>
      <c r="O214" s="90"/>
      <c r="P214" s="90"/>
      <c r="Q214" s="90"/>
      <c r="R214" s="90"/>
      <c r="S214" s="90"/>
      <c r="T214" s="90"/>
      <c r="U214" s="90"/>
      <c r="V214" s="90"/>
      <c r="W214" s="90"/>
      <c r="X214" s="90"/>
      <c r="Y214" s="90"/>
      <c r="Z214" s="31"/>
      <c r="AA214" s="31"/>
    </row>
    <row r="215" spans="2:27" x14ac:dyDescent="0.3">
      <c r="J215" s="89"/>
      <c r="K215" s="89"/>
      <c r="L215" s="89"/>
      <c r="M215" s="89"/>
      <c r="N215" s="89"/>
      <c r="O215" s="89"/>
      <c r="P215" s="89"/>
      <c r="Q215" s="89"/>
      <c r="R215" s="89"/>
      <c r="S215" s="89"/>
      <c r="T215" s="89"/>
      <c r="U215" s="89"/>
      <c r="V215" s="89"/>
      <c r="W215" s="89"/>
      <c r="X215" s="89"/>
      <c r="Y215" s="89"/>
      <c r="AA215" s="3"/>
    </row>
    <row r="216" spans="2:27" x14ac:dyDescent="0.3">
      <c r="D216"/>
      <c r="E216" s="32" t="s">
        <v>657</v>
      </c>
      <c r="F216" s="2"/>
      <c r="J216" s="89"/>
      <c r="K216" s="89"/>
      <c r="L216" s="89"/>
      <c r="M216" s="89"/>
      <c r="N216" s="89"/>
      <c r="O216" s="89"/>
      <c r="P216" s="89"/>
      <c r="Q216" s="89"/>
      <c r="R216" s="89"/>
      <c r="S216" s="89"/>
      <c r="T216" s="89"/>
      <c r="U216" s="89"/>
      <c r="V216" s="89"/>
      <c r="W216" s="89"/>
      <c r="X216" s="89"/>
      <c r="Y216" s="89"/>
      <c r="AA216" s="3"/>
    </row>
    <row r="217" spans="2:27" x14ac:dyDescent="0.3">
      <c r="D217"/>
      <c r="F217" s="23" t="s">
        <v>658</v>
      </c>
      <c r="G217" s="23" t="s">
        <v>269</v>
      </c>
      <c r="H217" s="266"/>
      <c r="I217" s="266"/>
      <c r="J217" s="435">
        <f t="shared" ref="J217:K217" si="421">SUM(J127:J138,J141:J152)</f>
        <v>6.0221483582302726</v>
      </c>
      <c r="K217" s="435">
        <f t="shared" si="421"/>
        <v>6.0221483582302726</v>
      </c>
      <c r="L217" s="435">
        <f t="shared" ref="L217:M217" si="422">SUM(L127:L138,L141:L152)</f>
        <v>6.8556231914876227</v>
      </c>
      <c r="M217" s="435">
        <f t="shared" si="422"/>
        <v>6.8556231914876227</v>
      </c>
      <c r="N217" s="435">
        <f t="shared" ref="N217:P217" si="423">SUM(N127:N138,N141:N152)</f>
        <v>4.2652239720587968</v>
      </c>
      <c r="O217" s="435">
        <f t="shared" si="423"/>
        <v>1.887205166199178</v>
      </c>
      <c r="P217" s="435">
        <f t="shared" si="423"/>
        <v>1.2836091007228583</v>
      </c>
      <c r="Q217" s="435">
        <f t="shared" ref="Q217:S217" si="424">SUM(Q127:Q138,Q141:Q152)</f>
        <v>16.113495743027269</v>
      </c>
      <c r="R217" s="435">
        <f t="shared" si="424"/>
        <v>-4.2026893264145153</v>
      </c>
      <c r="S217" s="435">
        <f t="shared" si="424"/>
        <v>-3.4961132793592773</v>
      </c>
      <c r="T217" s="435">
        <f t="shared" ref="T217:U217" si="425">SUM(T127:T138,T141:T152)</f>
        <v>-4.2026893264145153</v>
      </c>
      <c r="U217" s="435">
        <f t="shared" si="425"/>
        <v>-4.2026893264145153</v>
      </c>
      <c r="V217" s="435">
        <f t="shared" ref="V217:W217" si="426">SUM(V127:V138,V141:V152)</f>
        <v>-3.4961132793592773</v>
      </c>
      <c r="W217" s="435">
        <f t="shared" si="426"/>
        <v>-3.4961132793592773</v>
      </c>
      <c r="X217" s="435">
        <f t="shared" ref="X217:Y217" si="427">SUM(X127:X138,X141:X152)</f>
        <v>-1.7998280217679377</v>
      </c>
      <c r="Y217" s="435">
        <f t="shared" si="427"/>
        <v>-1.7998280217679377</v>
      </c>
      <c r="Z217" s="267"/>
      <c r="AA217" s="267"/>
    </row>
    <row r="218" spans="2:27" x14ac:dyDescent="0.3">
      <c r="D218"/>
      <c r="F218" t="s">
        <v>659</v>
      </c>
      <c r="G218" t="s">
        <v>269</v>
      </c>
      <c r="H218" s="267"/>
      <c r="I218" s="267"/>
      <c r="J218" s="435">
        <f t="shared" ref="J218:K218" si="428">SUM(J157:J168,J171:J182)</f>
        <v>0.95141599957884027</v>
      </c>
      <c r="K218" s="435">
        <f t="shared" si="428"/>
        <v>0.95141599957884027</v>
      </c>
      <c r="L218" s="435">
        <f t="shared" ref="L218:M218" si="429">SUM(L157:L168,L171:L182)</f>
        <v>1.0830934748644838</v>
      </c>
      <c r="M218" s="435">
        <f t="shared" si="429"/>
        <v>1.0830934748644838</v>
      </c>
      <c r="N218" s="435">
        <f t="shared" ref="N218:P218" si="430">SUM(N157:N168,N171:N182)</f>
        <v>0.69123793373055742</v>
      </c>
      <c r="O218" s="435">
        <f t="shared" si="430"/>
        <v>0.32804937533032308</v>
      </c>
      <c r="P218" s="435">
        <f t="shared" si="430"/>
        <v>0.22373534796604991</v>
      </c>
      <c r="Q218" s="435">
        <f t="shared" ref="Q218:S218" si="431">SUM(Q157:Q168,Q171:Q182)</f>
        <v>1.596605920411839</v>
      </c>
      <c r="R218" s="435">
        <f t="shared" si="431"/>
        <v>-0.66396668241249179</v>
      </c>
      <c r="S218" s="435">
        <f t="shared" si="431"/>
        <v>-0.56093505629734508</v>
      </c>
      <c r="T218" s="435">
        <f t="shared" ref="T218:U218" si="432">SUM(T157:T168,T171:T182)</f>
        <v>-0.66396668241249179</v>
      </c>
      <c r="U218" s="435">
        <f t="shared" si="432"/>
        <v>-0.66396668241249179</v>
      </c>
      <c r="V218" s="435">
        <f t="shared" ref="V218:W218" si="433">SUM(V157:V168,V171:V182)</f>
        <v>-0.56093505629734508</v>
      </c>
      <c r="W218" s="435">
        <f t="shared" si="433"/>
        <v>-0.56093505629734508</v>
      </c>
      <c r="X218" s="435">
        <f t="shared" ref="X218:Y218" si="434">SUM(X157:X168,X171:X182)</f>
        <v>-0.31311949231288227</v>
      </c>
      <c r="Y218" s="435">
        <f t="shared" si="434"/>
        <v>-0.31311949231288227</v>
      </c>
      <c r="Z218" s="267"/>
      <c r="AA218" s="267"/>
    </row>
    <row r="219" spans="2:27" x14ac:dyDescent="0.3">
      <c r="D219"/>
      <c r="F219" s="37" t="s">
        <v>660</v>
      </c>
      <c r="G219" s="37" t="s">
        <v>269</v>
      </c>
      <c r="H219" s="269"/>
      <c r="I219" s="269"/>
      <c r="J219" s="273">
        <f t="shared" ref="J219:K219" si="435">SUM(J187:J198,J201:J212)</f>
        <v>8.964018638578318E-2</v>
      </c>
      <c r="K219" s="273">
        <f t="shared" si="435"/>
        <v>8.964018638578318E-2</v>
      </c>
      <c r="L219" s="273">
        <f t="shared" ref="L219:M219" si="436">SUM(L187:L198,L201:L212)</f>
        <v>0.10204652959699627</v>
      </c>
      <c r="M219" s="273">
        <f t="shared" si="436"/>
        <v>0.10204652959699627</v>
      </c>
      <c r="N219" s="273">
        <f t="shared" ref="N219:P219" si="437">SUM(N187:N198,N201:N212)</f>
        <v>5.7596045435720597E-2</v>
      </c>
      <c r="O219" s="273">
        <f t="shared" si="437"/>
        <v>1.7962266911247374E-2</v>
      </c>
      <c r="P219" s="273">
        <f t="shared" si="437"/>
        <v>9.0275222938815628E-3</v>
      </c>
      <c r="Q219" s="273">
        <f t="shared" ref="Q219:S219" si="438">SUM(Q187:Q198,Q201:Q212)</f>
        <v>0.96311671094885565</v>
      </c>
      <c r="R219" s="273">
        <f t="shared" si="438"/>
        <v>-6.2557385194018711E-2</v>
      </c>
      <c r="S219" s="273">
        <f t="shared" si="438"/>
        <v>-4.9127131689069681E-2</v>
      </c>
      <c r="T219" s="273">
        <f t="shared" ref="T219:U219" si="439">SUM(T187:T198,T201:T212)</f>
        <v>-6.2557385194018711E-2</v>
      </c>
      <c r="U219" s="273">
        <f t="shared" si="439"/>
        <v>-6.2557385194018711E-2</v>
      </c>
      <c r="V219" s="273">
        <f t="shared" ref="V219:W219" si="440">SUM(V187:V198,V201:V212)</f>
        <v>-4.9127131689069681E-2</v>
      </c>
      <c r="W219" s="273">
        <f t="shared" si="440"/>
        <v>-4.9127131689069681E-2</v>
      </c>
      <c r="X219" s="273">
        <f t="shared" ref="X219:Y219" si="441">SUM(X187:X198,X201:X212)</f>
        <v>-1.6727759883072124E-2</v>
      </c>
      <c r="Y219" s="273">
        <f t="shared" si="441"/>
        <v>-1.6727759883072124E-2</v>
      </c>
      <c r="Z219" s="267"/>
      <c r="AA219" s="267"/>
    </row>
    <row r="221" spans="2:27" x14ac:dyDescent="0.3">
      <c r="B221" s="30" t="s">
        <v>231</v>
      </c>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row>
    <row r="222" spans="2:27" x14ac:dyDescent="0.3">
      <c r="AA222" s="3"/>
    </row>
    <row r="223" spans="2:27" x14ac:dyDescent="0.3">
      <c r="E223" t="s">
        <v>232</v>
      </c>
      <c r="G223" s="6" t="s">
        <v>55</v>
      </c>
      <c r="H223" s="103">
        <f t="array" ref="H223">SUM(IF(ISERROR(H22:Y219), 1))</f>
        <v>0</v>
      </c>
      <c r="AA223" s="3"/>
    </row>
    <row r="225" spans="2:27" x14ac:dyDescent="0.3">
      <c r="B225" s="30" t="s">
        <v>106</v>
      </c>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row>
    <row r="226" spans="2:27" x14ac:dyDescent="0.3">
      <c r="AA226" s="3"/>
    </row>
    <row r="228" spans="2:27" x14ac:dyDescent="0.3">
      <c r="AA228" s="3"/>
    </row>
    <row r="229" spans="2:27" x14ac:dyDescent="0.3">
      <c r="J229" s="63"/>
      <c r="L229" s="63"/>
    </row>
    <row r="230" spans="2:27" x14ac:dyDescent="0.3">
      <c r="J230" s="63"/>
      <c r="L230" s="63"/>
    </row>
    <row r="231" spans="2:27" x14ac:dyDescent="0.3">
      <c r="J231" s="63"/>
      <c r="L231" s="63"/>
    </row>
    <row r="232" spans="2:27" x14ac:dyDescent="0.3">
      <c r="J232" s="63"/>
      <c r="L232" s="63"/>
    </row>
    <row r="233" spans="2:27" x14ac:dyDescent="0.3">
      <c r="J233" s="63"/>
      <c r="L233" s="63"/>
    </row>
    <row r="234" spans="2:27" x14ac:dyDescent="0.3">
      <c r="J234" s="63"/>
      <c r="L234" s="63"/>
    </row>
    <row r="235" spans="2:27" x14ac:dyDescent="0.3">
      <c r="J235" s="63"/>
      <c r="L235" s="63"/>
    </row>
    <row r="236" spans="2:27" x14ac:dyDescent="0.3">
      <c r="J236" s="63"/>
      <c r="L236" s="63"/>
    </row>
    <row r="237" spans="2:27" x14ac:dyDescent="0.3">
      <c r="J237" s="63"/>
      <c r="L237" s="63"/>
    </row>
    <row r="238" spans="2:27" x14ac:dyDescent="0.3">
      <c r="J238" s="63"/>
      <c r="L238" s="63"/>
    </row>
    <row r="239" spans="2:27" x14ac:dyDescent="0.3">
      <c r="J239" s="63"/>
      <c r="L239" s="63"/>
    </row>
    <row r="240" spans="2:27" x14ac:dyDescent="0.3">
      <c r="J240" s="63"/>
      <c r="L240" s="63"/>
    </row>
    <row r="241" spans="10:12" x14ac:dyDescent="0.3">
      <c r="J241" s="63"/>
      <c r="L241" s="63"/>
    </row>
    <row r="242" spans="10:12" x14ac:dyDescent="0.3">
      <c r="J242" s="63"/>
      <c r="L242" s="63"/>
    </row>
    <row r="243" spans="10:12" x14ac:dyDescent="0.3">
      <c r="J243" s="63"/>
      <c r="L243" s="63"/>
    </row>
    <row r="244" spans="10:12" x14ac:dyDescent="0.3">
      <c r="J244" s="63"/>
      <c r="L244" s="63"/>
    </row>
    <row r="245" spans="10:12" x14ac:dyDescent="0.3">
      <c r="J245" s="63"/>
      <c r="L245" s="63"/>
    </row>
    <row r="246" spans="10:12" x14ac:dyDescent="0.3">
      <c r="J246" s="63"/>
      <c r="L246" s="63"/>
    </row>
    <row r="247" spans="10:12" x14ac:dyDescent="0.3">
      <c r="J247" s="63"/>
      <c r="L247" s="63"/>
    </row>
    <row r="248" spans="10:12" x14ac:dyDescent="0.3">
      <c r="J248" s="63"/>
      <c r="L248" s="63"/>
    </row>
    <row r="249" spans="10:12" x14ac:dyDescent="0.3">
      <c r="J249" s="63"/>
      <c r="L249" s="63"/>
    </row>
    <row r="250" spans="10:12" x14ac:dyDescent="0.3">
      <c r="J250" s="63"/>
      <c r="L250" s="63"/>
    </row>
    <row r="251" spans="10:12" x14ac:dyDescent="0.3">
      <c r="J251" s="63"/>
      <c r="L251" s="63"/>
    </row>
    <row r="252" spans="10:12" x14ac:dyDescent="0.3">
      <c r="J252" s="63"/>
      <c r="L252" s="63"/>
    </row>
    <row r="253" spans="10:12" x14ac:dyDescent="0.3">
      <c r="J253" s="63"/>
      <c r="L253" s="63"/>
    </row>
    <row r="254" spans="10:12" x14ac:dyDescent="0.3">
      <c r="J254" s="63"/>
      <c r="L254" s="63"/>
    </row>
    <row r="255" spans="10:12" x14ac:dyDescent="0.3">
      <c r="J255" s="63"/>
      <c r="L255" s="63"/>
    </row>
    <row r="256" spans="10:12" x14ac:dyDescent="0.3">
      <c r="J256" s="63"/>
      <c r="L256" s="63"/>
    </row>
    <row r="257" spans="10:12" x14ac:dyDescent="0.3">
      <c r="J257" s="63"/>
      <c r="L257" s="63"/>
    </row>
    <row r="258" spans="10:12" x14ac:dyDescent="0.3">
      <c r="J258" s="63"/>
      <c r="L258" s="63"/>
    </row>
    <row r="259" spans="10:12" x14ac:dyDescent="0.3">
      <c r="J259" s="63"/>
      <c r="L259" s="63"/>
    </row>
    <row r="260" spans="10:12" x14ac:dyDescent="0.3">
      <c r="J260" s="63"/>
      <c r="L260" s="63"/>
    </row>
    <row r="261" spans="10:12" x14ac:dyDescent="0.3">
      <c r="J261" s="63"/>
      <c r="L261" s="63"/>
    </row>
  </sheetData>
  <sheetProtection sheet="1" objects="1" formatCells="0" formatColumns="0" formatRows="0" sort="0" autoFilter="0"/>
  <conditionalFormatting sqref="A4:I4 Z4:XFD4">
    <cfRule type="expression" dxfId="89" priority="10">
      <formula>LEFT($A$4,1) &lt;&gt; "0"</formula>
    </cfRule>
  </conditionalFormatting>
  <conditionalFormatting sqref="N4:P4">
    <cfRule type="expression" dxfId="88" priority="9">
      <formula>LEFT($A$4,1) &lt;&gt; "0"</formula>
    </cfRule>
  </conditionalFormatting>
  <conditionalFormatting sqref="L4:M4">
    <cfRule type="expression" dxfId="87" priority="8">
      <formula>LEFT($A$4,1) &lt;&gt; "0"</formula>
    </cfRule>
  </conditionalFormatting>
  <conditionalFormatting sqref="J4:K4">
    <cfRule type="expression" dxfId="86" priority="7">
      <formula>LEFT($A$4,1) &lt;&gt; "0"</formula>
    </cfRule>
  </conditionalFormatting>
  <conditionalFormatting sqref="Q4">
    <cfRule type="expression" dxfId="85" priority="6">
      <formula>LEFT($A$4,1) &lt;&gt; "0"</formula>
    </cfRule>
  </conditionalFormatting>
  <conditionalFormatting sqref="R4:S4">
    <cfRule type="expression" dxfId="84" priority="5">
      <formula>LEFT($A$4,1) &lt;&gt; "0"</formula>
    </cfRule>
  </conditionalFormatting>
  <conditionalFormatting sqref="T4:U4">
    <cfRule type="expression" dxfId="83" priority="4">
      <formula>LEFT($A$4,1) &lt;&gt; "0"</formula>
    </cfRule>
  </conditionalFormatting>
  <conditionalFormatting sqref="V4:W4">
    <cfRule type="expression" dxfId="82" priority="3">
      <formula>LEFT($A$4,1) &lt;&gt; "0"</formula>
    </cfRule>
  </conditionalFormatting>
  <conditionalFormatting sqref="X4:Y4">
    <cfRule type="expression" dxfId="81" priority="2">
      <formula>LEFT($A$4,1) &lt;&gt; "0"</formula>
    </cfRule>
  </conditionalFormatting>
  <conditionalFormatting sqref="H223">
    <cfRule type="cellIs" dxfId="8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Capacity charges</v>
      </c>
    </row>
    <row r="2" spans="1:27" s="1" customFormat="1" x14ac:dyDescent="0.3">
      <c r="A2" s="1" t="str">
        <f>Cover!D21&amp;" - "&amp;Cover!D23</f>
        <v>WPD Mid West - April 22 Pricing</v>
      </c>
    </row>
    <row r="3" spans="1:27" s="5" customFormat="1" x14ac:dyDescent="0.3">
      <c r="A3" s="5" t="str">
        <f>Cover!D2&amp;" - "&amp;Cover!D8&amp;" v"&amp;Cover!D10&amp;" - "&amp;Cover!D19</f>
        <v>CDCM charging model - Release for charge setting v7 - 2022/23</v>
      </c>
    </row>
    <row r="4" spans="1:27" x14ac:dyDescent="0.3">
      <c r="A4" s="12" t="str">
        <f>H295 &amp; IF(H295 = 1, " issue", " issues") &amp;" identified in checks on this sheet"</f>
        <v>0 issues identified in checks on this sheet</v>
      </c>
      <c r="B4" s="13"/>
      <c r="C4" s="13"/>
      <c r="D4" s="13"/>
      <c r="E4" s="13"/>
      <c r="F4" s="13"/>
      <c r="G4" s="13"/>
      <c r="H4" s="14"/>
      <c r="I4" s="14"/>
      <c r="AA4" s="15"/>
    </row>
    <row r="5" spans="1:27" ht="43.2" x14ac:dyDescent="0.3">
      <c r="B5" s="59" t="s">
        <v>142</v>
      </c>
      <c r="C5" s="60"/>
      <c r="D5" s="60"/>
      <c r="E5" s="60"/>
      <c r="F5" s="60"/>
      <c r="G5" s="61" t="s">
        <v>143</v>
      </c>
      <c r="H5" s="62" t="s">
        <v>144</v>
      </c>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D9" s="29" t="s">
        <v>685</v>
      </c>
      <c r="E9"/>
    </row>
    <row r="10" spans="1:27" x14ac:dyDescent="0.3">
      <c r="D10" s="29" t="s">
        <v>686</v>
      </c>
      <c r="E10"/>
    </row>
    <row r="11" spans="1:27" x14ac:dyDescent="0.3">
      <c r="D11" s="29" t="s">
        <v>687</v>
      </c>
      <c r="E11"/>
    </row>
    <row r="12" spans="1:27" x14ac:dyDescent="0.3">
      <c r="D12" s="29" t="s">
        <v>688</v>
      </c>
      <c r="E12"/>
    </row>
    <row r="13" spans="1:27" x14ac:dyDescent="0.3">
      <c r="D13" s="29" t="s">
        <v>689</v>
      </c>
      <c r="E13"/>
    </row>
    <row r="14" spans="1:27" x14ac:dyDescent="0.3">
      <c r="D14" s="29" t="s">
        <v>690</v>
      </c>
      <c r="E14"/>
    </row>
    <row r="15" spans="1:27" x14ac:dyDescent="0.3">
      <c r="D15" s="29" t="s">
        <v>691</v>
      </c>
    </row>
    <row r="17" spans="2:27" x14ac:dyDescent="0.3">
      <c r="B17" s="30" t="s">
        <v>692</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row>
    <row r="18" spans="2:27" x14ac:dyDescent="0.3">
      <c r="D18"/>
      <c r="E18"/>
    </row>
    <row r="19" spans="2:27" x14ac:dyDescent="0.3">
      <c r="C19" s="31" t="str">
        <f ca="1">INDEX('Version control'!$H$34:$H$57,MATCH($A$1,'Version control'!$F$34:$F$57,0),1)&amp;"-A: Inputs to capacity charge calculations"</f>
        <v>Section 112-A: Inputs to capacity charge calculations</v>
      </c>
      <c r="D19" s="31"/>
      <c r="E19" s="31"/>
      <c r="F19" s="31"/>
      <c r="G19" s="31"/>
      <c r="H19" s="31"/>
      <c r="I19" s="31"/>
      <c r="J19" s="31"/>
      <c r="K19" s="31"/>
      <c r="L19" s="31"/>
      <c r="M19" s="31"/>
      <c r="N19" s="31"/>
      <c r="O19" s="31"/>
      <c r="P19" s="31"/>
      <c r="Q19" s="31"/>
      <c r="R19" s="31"/>
      <c r="S19" s="31"/>
      <c r="T19" s="31"/>
      <c r="U19" s="31"/>
      <c r="V19" s="31"/>
      <c r="W19" s="31"/>
      <c r="X19" s="31"/>
      <c r="Y19" s="31"/>
      <c r="Z19" s="31"/>
      <c r="AA19" s="31"/>
    </row>
    <row r="21" spans="2:27" x14ac:dyDescent="0.3">
      <c r="E21" s="32" t="s">
        <v>693</v>
      </c>
      <c r="F21" s="2"/>
    </row>
    <row r="22" spans="2:27" x14ac:dyDescent="0.3">
      <c r="D22"/>
      <c r="E22" s="29" t="s">
        <v>694</v>
      </c>
      <c r="F22" s="2"/>
    </row>
    <row r="23" spans="2:27" x14ac:dyDescent="0.3">
      <c r="C23" s="88"/>
      <c r="F23" s="108" t="s">
        <v>189</v>
      </c>
      <c r="G23" s="108" t="s">
        <v>167</v>
      </c>
      <c r="H23" s="207">
        <f>'System peak demand'!H226</f>
        <v>5.649040831841079E-2</v>
      </c>
    </row>
    <row r="24" spans="2:27" x14ac:dyDescent="0.3">
      <c r="C24" s="88"/>
      <c r="F24" t="s">
        <v>191</v>
      </c>
      <c r="G24" t="s">
        <v>167</v>
      </c>
      <c r="H24" s="25">
        <f>'System peak demand'!H226</f>
        <v>5.649040831841079E-2</v>
      </c>
    </row>
    <row r="25" spans="2:27" x14ac:dyDescent="0.3">
      <c r="C25" s="88"/>
      <c r="F25" t="s">
        <v>192</v>
      </c>
      <c r="G25" t="s">
        <v>167</v>
      </c>
      <c r="H25" s="25">
        <f>'System peak demand'!H227</f>
        <v>8.3503476129090037E-2</v>
      </c>
    </row>
    <row r="26" spans="2:27" x14ac:dyDescent="0.3">
      <c r="C26" s="88"/>
      <c r="F26" t="s">
        <v>193</v>
      </c>
      <c r="G26" t="s">
        <v>167</v>
      </c>
      <c r="H26" s="25">
        <f>'System peak demand'!H228</f>
        <v>8.3503476129090037E-2</v>
      </c>
    </row>
    <row r="27" spans="2:27" x14ac:dyDescent="0.3">
      <c r="C27" s="88"/>
      <c r="F27" t="s">
        <v>194</v>
      </c>
      <c r="G27" t="s">
        <v>167</v>
      </c>
      <c r="H27" s="25">
        <f>'System peak demand'!H229</f>
        <v>0.11235890369236912</v>
      </c>
    </row>
    <row r="28" spans="2:27" x14ac:dyDescent="0.3">
      <c r="C28" s="88"/>
      <c r="F28" t="s">
        <v>195</v>
      </c>
      <c r="G28" t="s">
        <v>167</v>
      </c>
      <c r="H28" s="25">
        <f>'System peak demand'!H230</f>
        <v>0.11235890369236912</v>
      </c>
    </row>
    <row r="29" spans="2:27" x14ac:dyDescent="0.3">
      <c r="C29" s="88"/>
      <c r="F29" t="s">
        <v>196</v>
      </c>
      <c r="G29" t="s">
        <v>167</v>
      </c>
      <c r="H29" s="25">
        <f>'System peak demand'!H231</f>
        <v>8.3503476129090037E-2</v>
      </c>
    </row>
    <row r="30" spans="2:27" x14ac:dyDescent="0.3">
      <c r="C30" s="88"/>
      <c r="F30" t="s">
        <v>197</v>
      </c>
      <c r="G30" t="s">
        <v>167</v>
      </c>
      <c r="H30" s="25">
        <f>'System peak demand'!H232</f>
        <v>0.49056093094777475</v>
      </c>
    </row>
    <row r="31" spans="2:27" x14ac:dyDescent="0.3">
      <c r="C31" s="88"/>
      <c r="F31" t="s">
        <v>198</v>
      </c>
      <c r="G31" t="s">
        <v>167</v>
      </c>
      <c r="H31" s="25">
        <f>'System peak demand'!H233</f>
        <v>0.49056093094777475</v>
      </c>
    </row>
    <row r="32" spans="2:27" x14ac:dyDescent="0.3">
      <c r="C32" s="88"/>
      <c r="F32" t="s">
        <v>199</v>
      </c>
      <c r="G32" t="s">
        <v>167</v>
      </c>
      <c r="H32" s="25">
        <f>'System peak demand'!H234</f>
        <v>0.66224997313134248</v>
      </c>
    </row>
    <row r="33" spans="3:8" x14ac:dyDescent="0.3">
      <c r="C33" s="88"/>
      <c r="F33" t="s">
        <v>376</v>
      </c>
      <c r="G33" t="s">
        <v>167</v>
      </c>
      <c r="H33" s="66"/>
    </row>
    <row r="34" spans="3:8" x14ac:dyDescent="0.3">
      <c r="C34" s="88"/>
      <c r="F34" s="37" t="s">
        <v>377</v>
      </c>
      <c r="G34" s="37" t="s">
        <v>167</v>
      </c>
      <c r="H34" s="68"/>
    </row>
    <row r="35" spans="3:8" x14ac:dyDescent="0.3">
      <c r="C35" s="88"/>
      <c r="F35" s="2"/>
    </row>
    <row r="36" spans="3:8" x14ac:dyDescent="0.3">
      <c r="E36" s="88" t="s">
        <v>394</v>
      </c>
      <c r="F36" s="2"/>
    </row>
    <row r="37" spans="3:8" x14ac:dyDescent="0.3">
      <c r="C37" s="88"/>
      <c r="F37" s="23" t="s">
        <v>189</v>
      </c>
      <c r="G37" s="64" t="s">
        <v>283</v>
      </c>
      <c r="H37" s="124">
        <f t="array" ref="H37:H46">TRANSPOSE('Load &amp; loss characteristics'!J29:S29)</f>
        <v>1</v>
      </c>
    </row>
    <row r="38" spans="3:8" x14ac:dyDescent="0.3">
      <c r="C38" s="88"/>
      <c r="F38" t="s">
        <v>191</v>
      </c>
      <c r="G38" s="28" t="s">
        <v>283</v>
      </c>
      <c r="H38" s="120">
        <v>1</v>
      </c>
    </row>
    <row r="39" spans="3:8" x14ac:dyDescent="0.3">
      <c r="C39" s="88"/>
      <c r="F39" t="s">
        <v>192</v>
      </c>
      <c r="G39" s="28" t="s">
        <v>283</v>
      </c>
      <c r="H39" s="120">
        <v>1.0049999999999999</v>
      </c>
    </row>
    <row r="40" spans="3:8" x14ac:dyDescent="0.3">
      <c r="C40" s="88"/>
      <c r="F40" t="s">
        <v>193</v>
      </c>
      <c r="G40" s="28" t="s">
        <v>283</v>
      </c>
      <c r="H40" s="120">
        <v>1.0089999999999999</v>
      </c>
    </row>
    <row r="41" spans="3:8" x14ac:dyDescent="0.3">
      <c r="C41" s="88"/>
      <c r="F41" t="s">
        <v>194</v>
      </c>
      <c r="G41" s="28" t="s">
        <v>283</v>
      </c>
      <c r="H41" s="120">
        <v>1.0269999999999999</v>
      </c>
    </row>
    <row r="42" spans="3:8" x14ac:dyDescent="0.3">
      <c r="C42" s="88"/>
      <c r="F42" t="s">
        <v>195</v>
      </c>
      <c r="G42" s="28" t="s">
        <v>283</v>
      </c>
      <c r="H42" s="120">
        <v>1.0329999999999999</v>
      </c>
    </row>
    <row r="43" spans="3:8" x14ac:dyDescent="0.3">
      <c r="C43" s="88"/>
      <c r="F43" t="s">
        <v>196</v>
      </c>
      <c r="G43" s="28" t="s">
        <v>283</v>
      </c>
      <c r="H43" s="120">
        <v>1.0329999999999999</v>
      </c>
    </row>
    <row r="44" spans="3:8" x14ac:dyDescent="0.3">
      <c r="C44" s="88"/>
      <c r="F44" t="s">
        <v>197</v>
      </c>
      <c r="G44" s="28" t="s">
        <v>283</v>
      </c>
      <c r="H44" s="120">
        <v>1.0509999999999999</v>
      </c>
    </row>
    <row r="45" spans="3:8" x14ac:dyDescent="0.3">
      <c r="C45" s="88"/>
      <c r="F45" t="s">
        <v>198</v>
      </c>
      <c r="G45" s="28" t="s">
        <v>283</v>
      </c>
      <c r="H45" s="120">
        <v>1.0669999999999999</v>
      </c>
    </row>
    <row r="46" spans="3:8" x14ac:dyDescent="0.3">
      <c r="C46" s="88"/>
      <c r="F46" t="s">
        <v>199</v>
      </c>
      <c r="G46" s="28" t="s">
        <v>283</v>
      </c>
      <c r="H46" s="120">
        <v>1.0900000000000001</v>
      </c>
    </row>
    <row r="47" spans="3:8" x14ac:dyDescent="0.3">
      <c r="C47" s="88"/>
      <c r="F47" t="s">
        <v>376</v>
      </c>
      <c r="G47" s="28" t="s">
        <v>283</v>
      </c>
      <c r="H47" s="79"/>
    </row>
    <row r="48" spans="3:8" x14ac:dyDescent="0.3">
      <c r="C48" s="88"/>
      <c r="F48" s="37" t="s">
        <v>377</v>
      </c>
      <c r="G48" s="67" t="s">
        <v>283</v>
      </c>
      <c r="H48" s="81"/>
    </row>
    <row r="49" spans="3:8" x14ac:dyDescent="0.3">
      <c r="C49" s="88"/>
      <c r="F49" s="2"/>
      <c r="H49" s="89"/>
    </row>
    <row r="50" spans="3:8" x14ac:dyDescent="0.3">
      <c r="C50" s="88"/>
      <c r="E50" s="88" t="s">
        <v>584</v>
      </c>
      <c r="H50" s="89"/>
    </row>
    <row r="51" spans="3:8" x14ac:dyDescent="0.3">
      <c r="C51" s="88"/>
      <c r="E51" s="29"/>
      <c r="F51" s="23" t="s">
        <v>189</v>
      </c>
      <c r="G51" s="23" t="s">
        <v>585</v>
      </c>
      <c r="H51" s="83"/>
    </row>
    <row r="52" spans="3:8" x14ac:dyDescent="0.3">
      <c r="C52" s="88"/>
      <c r="E52" s="29"/>
      <c r="F52" t="s">
        <v>191</v>
      </c>
      <c r="G52" t="s">
        <v>585</v>
      </c>
      <c r="H52" s="79"/>
    </row>
    <row r="53" spans="3:8" x14ac:dyDescent="0.3">
      <c r="C53" s="88"/>
      <c r="E53" s="29"/>
      <c r="F53" t="s">
        <v>192</v>
      </c>
      <c r="G53" t="s">
        <v>585</v>
      </c>
      <c r="H53" s="120">
        <f t="array" ref="H53:H60">TRANSPOSE('Unit costs'!L114:S114)</f>
        <v>4.87081530577567</v>
      </c>
    </row>
    <row r="54" spans="3:8" x14ac:dyDescent="0.3">
      <c r="C54" s="88"/>
      <c r="E54" s="29"/>
      <c r="F54" t="s">
        <v>193</v>
      </c>
      <c r="G54" t="s">
        <v>585</v>
      </c>
      <c r="H54" s="120">
        <v>3.7658169687576213</v>
      </c>
    </row>
    <row r="55" spans="3:8" x14ac:dyDescent="0.3">
      <c r="C55" s="88"/>
      <c r="E55" s="29"/>
      <c r="F55" t="s">
        <v>194</v>
      </c>
      <c r="G55" t="s">
        <v>585</v>
      </c>
      <c r="H55" s="120">
        <v>3.8959867684645539</v>
      </c>
    </row>
    <row r="56" spans="3:8" x14ac:dyDescent="0.3">
      <c r="C56" s="88"/>
      <c r="E56" s="29"/>
      <c r="F56" t="s">
        <v>195</v>
      </c>
      <c r="G56" t="s">
        <v>585</v>
      </c>
      <c r="H56" s="120">
        <v>7.5541243032287451</v>
      </c>
    </row>
    <row r="57" spans="3:8" x14ac:dyDescent="0.3">
      <c r="C57" s="88"/>
      <c r="E57" s="29"/>
      <c r="F57" t="s">
        <v>196</v>
      </c>
      <c r="G57" t="s">
        <v>585</v>
      </c>
      <c r="H57" s="120">
        <v>3.5800756300365526</v>
      </c>
    </row>
    <row r="58" spans="3:8" x14ac:dyDescent="0.3">
      <c r="C58" s="88"/>
      <c r="E58" s="29"/>
      <c r="F58" t="s">
        <v>197</v>
      </c>
      <c r="G58" t="s">
        <v>585</v>
      </c>
      <c r="H58" s="120">
        <v>15.07805950472482</v>
      </c>
    </row>
    <row r="59" spans="3:8" x14ac:dyDescent="0.3">
      <c r="C59" s="88"/>
      <c r="E59" s="29"/>
      <c r="F59" t="s">
        <v>198</v>
      </c>
      <c r="G59" t="s">
        <v>585</v>
      </c>
      <c r="H59" s="120">
        <v>7.4579818332653716</v>
      </c>
    </row>
    <row r="60" spans="3:8" x14ac:dyDescent="0.3">
      <c r="C60" s="88"/>
      <c r="E60" s="29"/>
      <c r="F60" t="s">
        <v>199</v>
      </c>
      <c r="G60" t="s">
        <v>585</v>
      </c>
      <c r="H60" s="120">
        <v>17.488608062201688</v>
      </c>
    </row>
    <row r="61" spans="3:8" x14ac:dyDescent="0.3">
      <c r="C61" s="88"/>
      <c r="E61" s="29"/>
      <c r="F61" t="s">
        <v>376</v>
      </c>
      <c r="G61" t="s">
        <v>585</v>
      </c>
      <c r="H61" s="79"/>
    </row>
    <row r="62" spans="3:8" x14ac:dyDescent="0.3">
      <c r="C62" s="88"/>
      <c r="E62" s="29"/>
      <c r="F62" s="37" t="s">
        <v>377</v>
      </c>
      <c r="G62" s="37" t="s">
        <v>585</v>
      </c>
      <c r="H62" s="81"/>
    </row>
    <row r="63" spans="3:8" x14ac:dyDescent="0.3">
      <c r="C63" s="88"/>
      <c r="D63"/>
      <c r="E63" s="29"/>
      <c r="H63" s="89"/>
    </row>
    <row r="64" spans="3:8" x14ac:dyDescent="0.3">
      <c r="C64" s="88"/>
      <c r="E64" s="88" t="s">
        <v>603</v>
      </c>
      <c r="H64" s="89"/>
    </row>
    <row r="65" spans="3:25" x14ac:dyDescent="0.3">
      <c r="C65" s="88"/>
      <c r="F65" s="23" t="s">
        <v>189</v>
      </c>
      <c r="G65" s="23" t="s">
        <v>585</v>
      </c>
      <c r="H65" s="124">
        <f t="array" ref="H65:H74">TRANSPOSE('Unit costs'!J115:S115)</f>
        <v>3.5047803468573027</v>
      </c>
    </row>
    <row r="66" spans="3:25" x14ac:dyDescent="0.3">
      <c r="C66" s="88"/>
      <c r="F66" t="s">
        <v>191</v>
      </c>
      <c r="G66" t="s">
        <v>585</v>
      </c>
      <c r="H66" s="120">
        <v>0</v>
      </c>
    </row>
    <row r="67" spans="3:25" x14ac:dyDescent="0.3">
      <c r="C67" s="88"/>
      <c r="F67" t="s">
        <v>192</v>
      </c>
      <c r="G67" t="s">
        <v>585</v>
      </c>
      <c r="H67" s="120">
        <v>3.4198582410686194</v>
      </c>
    </row>
    <row r="68" spans="3:25" x14ac:dyDescent="0.3">
      <c r="C68" s="88"/>
      <c r="F68" t="s">
        <v>193</v>
      </c>
      <c r="G68" t="s">
        <v>585</v>
      </c>
      <c r="H68" s="120">
        <v>2.6440255658412628</v>
      </c>
    </row>
    <row r="69" spans="3:25" x14ac:dyDescent="0.3">
      <c r="C69" s="88"/>
      <c r="F69" t="s">
        <v>194</v>
      </c>
      <c r="G69" t="s">
        <v>585</v>
      </c>
      <c r="H69" s="120">
        <v>2.7354193540101845</v>
      </c>
    </row>
    <row r="70" spans="3:25" x14ac:dyDescent="0.3">
      <c r="C70" s="88"/>
      <c r="F70" t="s">
        <v>195</v>
      </c>
      <c r="G70" t="s">
        <v>585</v>
      </c>
      <c r="H70" s="120">
        <v>5.3038418890201653</v>
      </c>
    </row>
    <row r="71" spans="3:25" x14ac:dyDescent="0.3">
      <c r="C71" s="88"/>
      <c r="F71" t="s">
        <v>196</v>
      </c>
      <c r="G71" t="s">
        <v>585</v>
      </c>
      <c r="H71" s="120">
        <v>2.5136143291065927</v>
      </c>
    </row>
    <row r="72" spans="3:25" x14ac:dyDescent="0.3">
      <c r="C72" s="88"/>
      <c r="F72" t="s">
        <v>197</v>
      </c>
      <c r="G72" t="s">
        <v>585</v>
      </c>
      <c r="H72" s="120">
        <v>10.58648764518173</v>
      </c>
    </row>
    <row r="73" spans="3:25" x14ac:dyDescent="0.3">
      <c r="C73" s="88"/>
      <c r="F73" t="s">
        <v>198</v>
      </c>
      <c r="G73" t="s">
        <v>585</v>
      </c>
      <c r="H73" s="120">
        <v>5.2363390999427279</v>
      </c>
    </row>
    <row r="74" spans="3:25" x14ac:dyDescent="0.3">
      <c r="C74" s="88"/>
      <c r="F74" t="s">
        <v>199</v>
      </c>
      <c r="G74" t="s">
        <v>585</v>
      </c>
      <c r="H74" s="120">
        <v>12.2789628946555</v>
      </c>
    </row>
    <row r="75" spans="3:25" x14ac:dyDescent="0.3">
      <c r="C75" s="88"/>
      <c r="F75" t="s">
        <v>376</v>
      </c>
      <c r="G75" t="s">
        <v>585</v>
      </c>
      <c r="H75" s="79"/>
    </row>
    <row r="76" spans="3:25" x14ac:dyDescent="0.3">
      <c r="C76" s="88"/>
      <c r="F76" s="37" t="s">
        <v>377</v>
      </c>
      <c r="G76" s="37" t="s">
        <v>585</v>
      </c>
      <c r="H76" s="81"/>
    </row>
    <row r="77" spans="3:25" x14ac:dyDescent="0.3">
      <c r="C77" s="88"/>
      <c r="F77" s="2"/>
    </row>
    <row r="78" spans="3:25" x14ac:dyDescent="0.3">
      <c r="E78" s="32" t="s">
        <v>408</v>
      </c>
      <c r="F78" s="2"/>
    </row>
    <row r="79" spans="3:25" x14ac:dyDescent="0.3">
      <c r="E79" s="29" t="s">
        <v>401</v>
      </c>
    </row>
    <row r="80" spans="3:25" x14ac:dyDescent="0.3">
      <c r="C80" s="88"/>
      <c r="F80" s="23" t="s">
        <v>189</v>
      </c>
      <c r="G80" s="64" t="s">
        <v>283</v>
      </c>
      <c r="H80" s="208"/>
      <c r="I80" s="208"/>
      <c r="J80" s="124">
        <f t="array" ref="J80:Y89">TRANSPOSE('Load &amp; loss characteristics'!J145:S160)</f>
        <v>1.0900000000000001</v>
      </c>
      <c r="K80" s="124">
        <v>1.0900000000000001</v>
      </c>
      <c r="L80" s="124">
        <v>1.0900000000000001</v>
      </c>
      <c r="M80" s="124">
        <v>1.0900000000000001</v>
      </c>
      <c r="N80" s="124">
        <v>1.0900000000000001</v>
      </c>
      <c r="O80" s="124">
        <v>1.0669999999999999</v>
      </c>
      <c r="P80" s="124">
        <v>1.0509999999999999</v>
      </c>
      <c r="Q80" s="124">
        <v>1.0900000000000001</v>
      </c>
      <c r="R80" s="124">
        <v>-1.0900000000000001</v>
      </c>
      <c r="S80" s="124">
        <v>-1.0669999999999999</v>
      </c>
      <c r="T80" s="124">
        <v>-1.0900000000000001</v>
      </c>
      <c r="U80" s="124">
        <v>-1.0900000000000001</v>
      </c>
      <c r="V80" s="124">
        <v>-1.0669999999999999</v>
      </c>
      <c r="W80" s="124">
        <v>-1.0669999999999999</v>
      </c>
      <c r="X80" s="124">
        <v>-1.0509999999999999</v>
      </c>
      <c r="Y80" s="124">
        <v>-1.0509999999999999</v>
      </c>
    </row>
    <row r="81" spans="3:42" x14ac:dyDescent="0.3">
      <c r="C81" s="88"/>
      <c r="F81" t="s">
        <v>191</v>
      </c>
      <c r="G81" s="28" t="s">
        <v>283</v>
      </c>
      <c r="H81" s="209"/>
      <c r="I81" s="209"/>
      <c r="J81" s="120">
        <v>1.0900000000000001</v>
      </c>
      <c r="K81" s="120">
        <v>1.0900000000000001</v>
      </c>
      <c r="L81" s="120">
        <v>1.0900000000000001</v>
      </c>
      <c r="M81" s="120">
        <v>1.0900000000000001</v>
      </c>
      <c r="N81" s="120">
        <v>1.0900000000000001</v>
      </c>
      <c r="O81" s="120">
        <v>1.0669999999999999</v>
      </c>
      <c r="P81" s="120">
        <v>1.0509999999999999</v>
      </c>
      <c r="Q81" s="120">
        <v>1.0900000000000001</v>
      </c>
      <c r="R81" s="120">
        <v>-1.0900000000000001</v>
      </c>
      <c r="S81" s="120">
        <v>-1.0669999999999999</v>
      </c>
      <c r="T81" s="120">
        <v>-1.0900000000000001</v>
      </c>
      <c r="U81" s="120">
        <v>-1.0900000000000001</v>
      </c>
      <c r="V81" s="120">
        <v>-1.0669999999999999</v>
      </c>
      <c r="W81" s="120">
        <v>-1.0669999999999999</v>
      </c>
      <c r="X81" s="120">
        <v>-1.0509999999999999</v>
      </c>
      <c r="Y81" s="120">
        <v>-1.0509999999999999</v>
      </c>
    </row>
    <row r="82" spans="3:42" x14ac:dyDescent="0.3">
      <c r="C82" s="88"/>
      <c r="F82" t="s">
        <v>192</v>
      </c>
      <c r="G82" s="28" t="s">
        <v>283</v>
      </c>
      <c r="H82" s="209"/>
      <c r="I82" s="209"/>
      <c r="J82" s="120">
        <v>1.0900000000000001</v>
      </c>
      <c r="K82" s="120">
        <v>1.0900000000000001</v>
      </c>
      <c r="L82" s="120">
        <v>1.0900000000000001</v>
      </c>
      <c r="M82" s="120">
        <v>1.0900000000000001</v>
      </c>
      <c r="N82" s="120">
        <v>1.0900000000000001</v>
      </c>
      <c r="O82" s="120">
        <v>1.0669999999999999</v>
      </c>
      <c r="P82" s="120">
        <v>1.0509999999999999</v>
      </c>
      <c r="Q82" s="120">
        <v>1.0900000000000001</v>
      </c>
      <c r="R82" s="120">
        <v>-1.0900000000000001</v>
      </c>
      <c r="S82" s="120">
        <v>-1.0669999999999999</v>
      </c>
      <c r="T82" s="120">
        <v>-1.0900000000000001</v>
      </c>
      <c r="U82" s="120">
        <v>-1.0900000000000001</v>
      </c>
      <c r="V82" s="120">
        <v>-1.0669999999999999</v>
      </c>
      <c r="W82" s="120">
        <v>-1.0669999999999999</v>
      </c>
      <c r="X82" s="120">
        <v>-1.0509999999999999</v>
      </c>
      <c r="Y82" s="120">
        <v>-1.0509999999999999</v>
      </c>
    </row>
    <row r="83" spans="3:42" x14ac:dyDescent="0.3">
      <c r="C83" s="88"/>
      <c r="F83" t="s">
        <v>193</v>
      </c>
      <c r="G83" s="28" t="s">
        <v>283</v>
      </c>
      <c r="H83" s="209"/>
      <c r="I83" s="209"/>
      <c r="J83" s="120">
        <v>0.33510346420667525</v>
      </c>
      <c r="K83" s="120">
        <v>0.33510346420667525</v>
      </c>
      <c r="L83" s="120">
        <v>0.33510346420667525</v>
      </c>
      <c r="M83" s="120">
        <v>0.33510346420667525</v>
      </c>
      <c r="N83" s="120">
        <v>0.33510346420667525</v>
      </c>
      <c r="O83" s="120">
        <v>0.32803247367754351</v>
      </c>
      <c r="P83" s="120">
        <v>0.32311352374423452</v>
      </c>
      <c r="Q83" s="120">
        <v>0.33510346420667525</v>
      </c>
      <c r="R83" s="120">
        <v>-0.33510346420667525</v>
      </c>
      <c r="S83" s="120">
        <v>-0.32803247367754351</v>
      </c>
      <c r="T83" s="120">
        <v>-0.33510346420667525</v>
      </c>
      <c r="U83" s="120">
        <v>-0.33510346420667525</v>
      </c>
      <c r="V83" s="120">
        <v>-0.32803247367754351</v>
      </c>
      <c r="W83" s="120">
        <v>-0.32803247367754351</v>
      </c>
      <c r="X83" s="120">
        <v>-0.32311352374423452</v>
      </c>
      <c r="Y83" s="120">
        <v>-0.32311352374423452</v>
      </c>
    </row>
    <row r="84" spans="3:42" x14ac:dyDescent="0.3">
      <c r="C84" s="88"/>
      <c r="F84" t="s">
        <v>194</v>
      </c>
      <c r="G84" s="28" t="s">
        <v>283</v>
      </c>
      <c r="H84" s="209"/>
      <c r="I84" s="209"/>
      <c r="J84" s="120">
        <v>0.33510346420667525</v>
      </c>
      <c r="K84" s="120">
        <v>0.33510346420667525</v>
      </c>
      <c r="L84" s="120">
        <v>0.33510346420667525</v>
      </c>
      <c r="M84" s="120">
        <v>0.33510346420667525</v>
      </c>
      <c r="N84" s="120">
        <v>0.33510346420667525</v>
      </c>
      <c r="O84" s="120">
        <v>0.32803247367754351</v>
      </c>
      <c r="P84" s="120">
        <v>0.32311352374423452</v>
      </c>
      <c r="Q84" s="120">
        <v>0.33510346420667525</v>
      </c>
      <c r="R84" s="120">
        <v>-0.33510346420667525</v>
      </c>
      <c r="S84" s="120">
        <v>-0.32803247367754351</v>
      </c>
      <c r="T84" s="120">
        <v>-0.33510346420667525</v>
      </c>
      <c r="U84" s="120">
        <v>-0.33510346420667525</v>
      </c>
      <c r="V84" s="120">
        <v>-0.32803247367754351</v>
      </c>
      <c r="W84" s="120">
        <v>-0.32803247367754351</v>
      </c>
      <c r="X84" s="120">
        <v>-0.32311352374423452</v>
      </c>
      <c r="Y84" s="120">
        <v>-0.32311352374423452</v>
      </c>
    </row>
    <row r="85" spans="3:42" x14ac:dyDescent="0.3">
      <c r="C85" s="88"/>
      <c r="F85" t="s">
        <v>195</v>
      </c>
      <c r="G85" s="28" t="s">
        <v>283</v>
      </c>
      <c r="H85" s="209"/>
      <c r="I85" s="209"/>
      <c r="J85" s="120">
        <v>0.33510346420667525</v>
      </c>
      <c r="K85" s="120">
        <v>0.33510346420667525</v>
      </c>
      <c r="L85" s="120">
        <v>0.33510346420667525</v>
      </c>
      <c r="M85" s="120">
        <v>0.33510346420667525</v>
      </c>
      <c r="N85" s="120">
        <v>0.33510346420667525</v>
      </c>
      <c r="O85" s="120">
        <v>0.32803247367754351</v>
      </c>
      <c r="P85" s="120">
        <v>0.32311352374423452</v>
      </c>
      <c r="Q85" s="120">
        <v>0.33510346420667525</v>
      </c>
      <c r="R85" s="120">
        <v>-0.33510346420667525</v>
      </c>
      <c r="S85" s="120">
        <v>-0.32803247367754351</v>
      </c>
      <c r="T85" s="120">
        <v>-0.33510346420667525</v>
      </c>
      <c r="U85" s="120">
        <v>-0.33510346420667525</v>
      </c>
      <c r="V85" s="120">
        <v>-0.32803247367754351</v>
      </c>
      <c r="W85" s="120">
        <v>-0.32803247367754351</v>
      </c>
      <c r="X85" s="120">
        <v>-0.32311352374423452</v>
      </c>
      <c r="Y85" s="120">
        <v>-0.32311352374423452</v>
      </c>
    </row>
    <row r="86" spans="3:42" x14ac:dyDescent="0.3">
      <c r="C86" s="88"/>
      <c r="F86" t="s">
        <v>196</v>
      </c>
      <c r="G86" s="28" t="s">
        <v>283</v>
      </c>
      <c r="H86" s="209"/>
      <c r="I86" s="209"/>
      <c r="J86" s="120">
        <v>0.75489653579332483</v>
      </c>
      <c r="K86" s="120">
        <v>0.75489653579332483</v>
      </c>
      <c r="L86" s="120">
        <v>0.75489653579332483</v>
      </c>
      <c r="M86" s="120">
        <v>0.75489653579332483</v>
      </c>
      <c r="N86" s="120">
        <v>0.75489653579332483</v>
      </c>
      <c r="O86" s="120">
        <v>0.73896752632245644</v>
      </c>
      <c r="P86" s="120">
        <v>0.72788647625576541</v>
      </c>
      <c r="Q86" s="120">
        <v>0.75489653579332483</v>
      </c>
      <c r="R86" s="120">
        <v>-0.75489653579332483</v>
      </c>
      <c r="S86" s="120">
        <v>-0.73896752632245644</v>
      </c>
      <c r="T86" s="120">
        <v>-0.75489653579332483</v>
      </c>
      <c r="U86" s="120">
        <v>-0.75489653579332483</v>
      </c>
      <c r="V86" s="120">
        <v>-0.73896752632245644</v>
      </c>
      <c r="W86" s="120">
        <v>-0.73896752632245644</v>
      </c>
      <c r="X86" s="120">
        <v>-0.72788647625576541</v>
      </c>
      <c r="Y86" s="120">
        <v>-0.72788647625576541</v>
      </c>
    </row>
    <row r="87" spans="3:42" x14ac:dyDescent="0.3">
      <c r="C87" s="88"/>
      <c r="F87" t="s">
        <v>197</v>
      </c>
      <c r="G87" s="28" t="s">
        <v>283</v>
      </c>
      <c r="H87" s="209"/>
      <c r="I87" s="209"/>
      <c r="J87" s="120">
        <v>1.0900000000000001</v>
      </c>
      <c r="K87" s="120">
        <v>1.0900000000000001</v>
      </c>
      <c r="L87" s="120">
        <v>1.0900000000000001</v>
      </c>
      <c r="M87" s="120">
        <v>1.0900000000000001</v>
      </c>
      <c r="N87" s="120">
        <v>1.0900000000000001</v>
      </c>
      <c r="O87" s="120">
        <v>1.0669999999999999</v>
      </c>
      <c r="P87" s="120">
        <v>1.0509999999999999</v>
      </c>
      <c r="Q87" s="120">
        <v>1.0900000000000001</v>
      </c>
      <c r="R87" s="120">
        <v>-1.0900000000000001</v>
      </c>
      <c r="S87" s="120">
        <v>-1.0669999999999999</v>
      </c>
      <c r="T87" s="120">
        <v>-1.0900000000000001</v>
      </c>
      <c r="U87" s="120">
        <v>-1.0900000000000001</v>
      </c>
      <c r="V87" s="120">
        <v>-1.0669999999999999</v>
      </c>
      <c r="W87" s="120">
        <v>-1.0669999999999999</v>
      </c>
      <c r="X87" s="120">
        <v>0</v>
      </c>
      <c r="Y87" s="120">
        <v>0</v>
      </c>
    </row>
    <row r="88" spans="3:42" x14ac:dyDescent="0.3">
      <c r="C88" s="88"/>
      <c r="F88" t="s">
        <v>198</v>
      </c>
      <c r="G88" s="28" t="s">
        <v>283</v>
      </c>
      <c r="H88" s="209"/>
      <c r="I88" s="209"/>
      <c r="J88" s="120">
        <v>1.0900000000000001</v>
      </c>
      <c r="K88" s="120">
        <v>1.0900000000000001</v>
      </c>
      <c r="L88" s="120">
        <v>1.0900000000000001</v>
      </c>
      <c r="M88" s="120">
        <v>1.0900000000000001</v>
      </c>
      <c r="N88" s="120">
        <v>1.0900000000000001</v>
      </c>
      <c r="O88" s="120">
        <v>1.0669999999999999</v>
      </c>
      <c r="P88" s="120">
        <v>0</v>
      </c>
      <c r="Q88" s="120">
        <v>1.0900000000000001</v>
      </c>
      <c r="R88" s="120">
        <v>-1.0900000000000001</v>
      </c>
      <c r="S88" s="120">
        <v>0</v>
      </c>
      <c r="T88" s="120">
        <v>-1.0900000000000001</v>
      </c>
      <c r="U88" s="120">
        <v>-1.0900000000000001</v>
      </c>
      <c r="V88" s="120">
        <v>0</v>
      </c>
      <c r="W88" s="120">
        <v>0</v>
      </c>
      <c r="X88" s="120">
        <v>0</v>
      </c>
      <c r="Y88" s="120">
        <v>0</v>
      </c>
    </row>
    <row r="89" spans="3:42" x14ac:dyDescent="0.3">
      <c r="C89" s="88"/>
      <c r="F89" t="s">
        <v>199</v>
      </c>
      <c r="G89" s="28" t="s">
        <v>283</v>
      </c>
      <c r="H89" s="209"/>
      <c r="I89" s="209"/>
      <c r="J89" s="120">
        <v>1.0900000000000001</v>
      </c>
      <c r="K89" s="120">
        <v>1.0900000000000001</v>
      </c>
      <c r="L89" s="120">
        <v>1.0900000000000001</v>
      </c>
      <c r="M89" s="120">
        <v>1.0900000000000001</v>
      </c>
      <c r="N89" s="120">
        <v>1.0900000000000001</v>
      </c>
      <c r="O89" s="120">
        <v>0</v>
      </c>
      <c r="P89" s="120">
        <v>0</v>
      </c>
      <c r="Q89" s="120">
        <v>1.0900000000000001</v>
      </c>
      <c r="R89" s="120">
        <v>0</v>
      </c>
      <c r="S89" s="120">
        <v>0</v>
      </c>
      <c r="T89" s="120">
        <v>0</v>
      </c>
      <c r="U89" s="120">
        <v>0</v>
      </c>
      <c r="V89" s="120">
        <v>0</v>
      </c>
      <c r="W89" s="120">
        <v>0</v>
      </c>
      <c r="X89" s="120">
        <v>0</v>
      </c>
      <c r="Y89" s="120">
        <v>0</v>
      </c>
    </row>
    <row r="90" spans="3:42" x14ac:dyDescent="0.3">
      <c r="C90" s="88"/>
      <c r="F90" t="s">
        <v>376</v>
      </c>
      <c r="G90" s="28" t="s">
        <v>283</v>
      </c>
      <c r="J90" s="79"/>
      <c r="K90" s="79"/>
      <c r="L90" s="79"/>
      <c r="M90" s="79"/>
      <c r="N90" s="79"/>
      <c r="O90" s="79"/>
      <c r="P90" s="79"/>
      <c r="Q90" s="79"/>
      <c r="R90" s="79"/>
      <c r="S90" s="79"/>
      <c r="T90" s="79"/>
      <c r="U90" s="79"/>
      <c r="V90" s="79"/>
      <c r="W90" s="79"/>
      <c r="X90" s="79"/>
      <c r="Y90" s="79"/>
    </row>
    <row r="91" spans="3:42" x14ac:dyDescent="0.3">
      <c r="C91" s="88"/>
      <c r="F91" s="37" t="s">
        <v>377</v>
      </c>
      <c r="G91" s="67" t="s">
        <v>283</v>
      </c>
      <c r="H91" s="37"/>
      <c r="I91" s="37"/>
      <c r="J91" s="81"/>
      <c r="K91" s="81"/>
      <c r="L91" s="81"/>
      <c r="M91" s="81"/>
      <c r="N91" s="81"/>
      <c r="O91" s="81"/>
      <c r="P91" s="81"/>
      <c r="Q91" s="81"/>
      <c r="R91" s="81"/>
      <c r="S91" s="81"/>
      <c r="T91" s="81"/>
      <c r="U91" s="81"/>
      <c r="V91" s="81"/>
      <c r="W91" s="81"/>
      <c r="X91" s="81"/>
      <c r="Y91" s="81"/>
    </row>
    <row r="92" spans="3:42" x14ac:dyDescent="0.3">
      <c r="C92" s="88"/>
      <c r="F92" s="2"/>
    </row>
    <row r="93" spans="3:42" x14ac:dyDescent="0.3">
      <c r="D93"/>
      <c r="E93" s="32" t="s">
        <v>120</v>
      </c>
      <c r="H93" s="14"/>
      <c r="J93" s="63"/>
      <c r="L93" s="63"/>
      <c r="AP93" s="3"/>
    </row>
    <row r="94" spans="3:42" x14ac:dyDescent="0.3">
      <c r="C94" s="32"/>
      <c r="D94"/>
      <c r="E94"/>
      <c r="F94" s="23" t="s">
        <v>191</v>
      </c>
      <c r="G94" s="23" t="s">
        <v>167</v>
      </c>
      <c r="H94" s="129"/>
      <c r="I94" s="23"/>
      <c r="J94" s="107">
        <f>'Standing charge factors'!J44</f>
        <v>0</v>
      </c>
      <c r="K94" s="107">
        <f>'Standing charge factors'!K44</f>
        <v>0</v>
      </c>
      <c r="L94" s="107">
        <f>'Standing charge factors'!L44</f>
        <v>0</v>
      </c>
      <c r="M94" s="107">
        <f>'Standing charge factors'!M44</f>
        <v>0</v>
      </c>
      <c r="N94" s="107">
        <f>'Standing charge factors'!N44</f>
        <v>0</v>
      </c>
      <c r="O94" s="107">
        <f>'Standing charge factors'!O44</f>
        <v>0</v>
      </c>
      <c r="P94" s="107">
        <f>'Standing charge factors'!P44</f>
        <v>0</v>
      </c>
      <c r="Q94" s="107">
        <f>'Standing charge factors'!Q44</f>
        <v>0</v>
      </c>
      <c r="R94" s="107">
        <f>'Standing charge factors'!R44</f>
        <v>0</v>
      </c>
      <c r="S94" s="107">
        <f>'Standing charge factors'!S44</f>
        <v>0</v>
      </c>
      <c r="T94" s="107">
        <f>'Standing charge factors'!T44</f>
        <v>0</v>
      </c>
      <c r="U94" s="107">
        <f>'Standing charge factors'!U44</f>
        <v>0</v>
      </c>
      <c r="V94" s="107">
        <f>'Standing charge factors'!V44</f>
        <v>0</v>
      </c>
      <c r="W94" s="107">
        <f>'Standing charge factors'!W44</f>
        <v>0</v>
      </c>
      <c r="X94" s="107">
        <f>'Standing charge factors'!X44</f>
        <v>0</v>
      </c>
      <c r="Y94" s="107">
        <f>'Standing charge factors'!Y44</f>
        <v>0</v>
      </c>
      <c r="AP94" s="3"/>
    </row>
    <row r="95" spans="3:42" x14ac:dyDescent="0.3">
      <c r="C95" s="32"/>
      <c r="D95"/>
      <c r="E95"/>
      <c r="F95" t="s">
        <v>192</v>
      </c>
      <c r="G95" t="s">
        <v>167</v>
      </c>
      <c r="H95" s="63"/>
      <c r="J95" s="25">
        <f>'Standing charge factors'!J45</f>
        <v>0</v>
      </c>
      <c r="K95" s="25">
        <f>'Standing charge factors'!K45</f>
        <v>0</v>
      </c>
      <c r="L95" s="25">
        <f>'Standing charge factors'!L45</f>
        <v>0</v>
      </c>
      <c r="M95" s="25">
        <f>'Standing charge factors'!M45</f>
        <v>0</v>
      </c>
      <c r="N95" s="25">
        <f>'Standing charge factors'!N45</f>
        <v>0</v>
      </c>
      <c r="O95" s="25">
        <f>'Standing charge factors'!O45</f>
        <v>0</v>
      </c>
      <c r="P95" s="25">
        <f>'Standing charge factors'!P45</f>
        <v>0.13851312583363759</v>
      </c>
      <c r="Q95" s="25">
        <f>'Standing charge factors'!Q45</f>
        <v>0</v>
      </c>
      <c r="R95" s="25">
        <f>'Standing charge factors'!R45</f>
        <v>0</v>
      </c>
      <c r="S95" s="25">
        <f>'Standing charge factors'!S45</f>
        <v>0</v>
      </c>
      <c r="T95" s="25">
        <f>'Standing charge factors'!T45</f>
        <v>0</v>
      </c>
      <c r="U95" s="25">
        <f>'Standing charge factors'!U45</f>
        <v>0</v>
      </c>
      <c r="V95" s="25">
        <f>'Standing charge factors'!V45</f>
        <v>0</v>
      </c>
      <c r="W95" s="25">
        <f>'Standing charge factors'!W45</f>
        <v>0</v>
      </c>
      <c r="X95" s="25">
        <f>'Standing charge factors'!X45</f>
        <v>0</v>
      </c>
      <c r="Y95" s="25">
        <f>'Standing charge factors'!Y45</f>
        <v>0</v>
      </c>
      <c r="AP95" s="3"/>
    </row>
    <row r="96" spans="3:42" x14ac:dyDescent="0.3">
      <c r="C96" s="32"/>
      <c r="D96"/>
      <c r="E96"/>
      <c r="F96" t="s">
        <v>193</v>
      </c>
      <c r="G96" t="s">
        <v>167</v>
      </c>
      <c r="H96" s="63"/>
      <c r="J96" s="25">
        <f>'Standing charge factors'!J46</f>
        <v>0</v>
      </c>
      <c r="K96" s="25">
        <f>'Standing charge factors'!K46</f>
        <v>0</v>
      </c>
      <c r="L96" s="25">
        <f>'Standing charge factors'!L46</f>
        <v>0</v>
      </c>
      <c r="M96" s="25">
        <f>'Standing charge factors'!M46</f>
        <v>0</v>
      </c>
      <c r="N96" s="25">
        <f>'Standing charge factors'!N46</f>
        <v>0</v>
      </c>
      <c r="O96" s="25">
        <f>'Standing charge factors'!O46</f>
        <v>0</v>
      </c>
      <c r="P96" s="25">
        <f>'Standing charge factors'!P46</f>
        <v>0</v>
      </c>
      <c r="Q96" s="25">
        <f>'Standing charge factors'!Q46</f>
        <v>0</v>
      </c>
      <c r="R96" s="25">
        <f>'Standing charge factors'!R46</f>
        <v>0</v>
      </c>
      <c r="S96" s="25">
        <f>'Standing charge factors'!S46</f>
        <v>0</v>
      </c>
      <c r="T96" s="25">
        <f>'Standing charge factors'!T46</f>
        <v>0</v>
      </c>
      <c r="U96" s="25">
        <f>'Standing charge factors'!U46</f>
        <v>0</v>
      </c>
      <c r="V96" s="25">
        <f>'Standing charge factors'!V46</f>
        <v>0</v>
      </c>
      <c r="W96" s="25">
        <f>'Standing charge factors'!W46</f>
        <v>0</v>
      </c>
      <c r="X96" s="25">
        <f>'Standing charge factors'!X46</f>
        <v>0</v>
      </c>
      <c r="Y96" s="25">
        <f>'Standing charge factors'!Y46</f>
        <v>0</v>
      </c>
      <c r="AP96" s="3"/>
    </row>
    <row r="97" spans="3:42" x14ac:dyDescent="0.3">
      <c r="C97" s="32"/>
      <c r="D97"/>
      <c r="E97"/>
      <c r="F97" t="s">
        <v>194</v>
      </c>
      <c r="G97" t="s">
        <v>167</v>
      </c>
      <c r="H97" s="63"/>
      <c r="J97" s="25">
        <f>'Standing charge factors'!J47</f>
        <v>0</v>
      </c>
      <c r="K97" s="25">
        <f>'Standing charge factors'!K47</f>
        <v>0</v>
      </c>
      <c r="L97" s="25">
        <f>'Standing charge factors'!L47</f>
        <v>0</v>
      </c>
      <c r="M97" s="25">
        <f>'Standing charge factors'!M47</f>
        <v>0</v>
      </c>
      <c r="N97" s="25">
        <f>'Standing charge factors'!N47</f>
        <v>0</v>
      </c>
      <c r="O97" s="25">
        <f>'Standing charge factors'!O47</f>
        <v>0</v>
      </c>
      <c r="P97" s="25">
        <f>'Standing charge factors'!P47</f>
        <v>0.2</v>
      </c>
      <c r="Q97" s="25">
        <f>'Standing charge factors'!Q47</f>
        <v>0</v>
      </c>
      <c r="R97" s="25">
        <f>'Standing charge factors'!R47</f>
        <v>0</v>
      </c>
      <c r="S97" s="25">
        <f>'Standing charge factors'!S47</f>
        <v>0</v>
      </c>
      <c r="T97" s="25">
        <f>'Standing charge factors'!T47</f>
        <v>0</v>
      </c>
      <c r="U97" s="25">
        <f>'Standing charge factors'!U47</f>
        <v>0</v>
      </c>
      <c r="V97" s="25">
        <f>'Standing charge factors'!V47</f>
        <v>0</v>
      </c>
      <c r="W97" s="25">
        <f>'Standing charge factors'!W47</f>
        <v>0</v>
      </c>
      <c r="X97" s="25">
        <f>'Standing charge factors'!X47</f>
        <v>0</v>
      </c>
      <c r="Y97" s="25">
        <f>'Standing charge factors'!Y47</f>
        <v>0</v>
      </c>
      <c r="AP97" s="3"/>
    </row>
    <row r="98" spans="3:42" x14ac:dyDescent="0.3">
      <c r="C98" s="32"/>
      <c r="D98"/>
      <c r="E98"/>
      <c r="F98" t="s">
        <v>195</v>
      </c>
      <c r="G98" t="s">
        <v>167</v>
      </c>
      <c r="H98" s="63"/>
      <c r="J98" s="25">
        <f>'Standing charge factors'!J48</f>
        <v>0</v>
      </c>
      <c r="K98" s="25">
        <f>'Standing charge factors'!K48</f>
        <v>0</v>
      </c>
      <c r="L98" s="25">
        <f>'Standing charge factors'!L48</f>
        <v>0</v>
      </c>
      <c r="M98" s="25">
        <f>'Standing charge factors'!M48</f>
        <v>0</v>
      </c>
      <c r="N98" s="25">
        <f>'Standing charge factors'!N48</f>
        <v>0</v>
      </c>
      <c r="O98" s="25">
        <f>'Standing charge factors'!O48</f>
        <v>0</v>
      </c>
      <c r="P98" s="25">
        <f>'Standing charge factors'!P48</f>
        <v>1</v>
      </c>
      <c r="Q98" s="25">
        <f>'Standing charge factors'!Q48</f>
        <v>0</v>
      </c>
      <c r="R98" s="25">
        <f>'Standing charge factors'!R48</f>
        <v>0</v>
      </c>
      <c r="S98" s="25">
        <f>'Standing charge factors'!S48</f>
        <v>0</v>
      </c>
      <c r="T98" s="25">
        <f>'Standing charge factors'!T48</f>
        <v>0</v>
      </c>
      <c r="U98" s="25">
        <f>'Standing charge factors'!U48</f>
        <v>0</v>
      </c>
      <c r="V98" s="25">
        <f>'Standing charge factors'!V48</f>
        <v>0</v>
      </c>
      <c r="W98" s="25">
        <f>'Standing charge factors'!W48</f>
        <v>0</v>
      </c>
      <c r="X98" s="25">
        <f>'Standing charge factors'!X48</f>
        <v>0</v>
      </c>
      <c r="Y98" s="25">
        <f>'Standing charge factors'!Y48</f>
        <v>0</v>
      </c>
      <c r="AP98" s="3"/>
    </row>
    <row r="99" spans="3:42" x14ac:dyDescent="0.3">
      <c r="C99" s="32"/>
      <c r="D99"/>
      <c r="E99"/>
      <c r="F99" t="s">
        <v>196</v>
      </c>
      <c r="G99" t="s">
        <v>167</v>
      </c>
      <c r="H99" s="63"/>
      <c r="J99" s="25">
        <f>'Standing charge factors'!J49</f>
        <v>0</v>
      </c>
      <c r="K99" s="25">
        <f>'Standing charge factors'!K49</f>
        <v>0</v>
      </c>
      <c r="L99" s="25">
        <f>'Standing charge factors'!L49</f>
        <v>0</v>
      </c>
      <c r="M99" s="25">
        <f>'Standing charge factors'!M49</f>
        <v>0</v>
      </c>
      <c r="N99" s="25">
        <f>'Standing charge factors'!N49</f>
        <v>0</v>
      </c>
      <c r="O99" s="25">
        <f>'Standing charge factors'!O49</f>
        <v>0</v>
      </c>
      <c r="P99" s="25">
        <f>'Standing charge factors'!P49</f>
        <v>1</v>
      </c>
      <c r="Q99" s="25">
        <f>'Standing charge factors'!Q49</f>
        <v>0</v>
      </c>
      <c r="R99" s="25">
        <f>'Standing charge factors'!R49</f>
        <v>0</v>
      </c>
      <c r="S99" s="25">
        <f>'Standing charge factors'!S49</f>
        <v>0</v>
      </c>
      <c r="T99" s="25">
        <f>'Standing charge factors'!T49</f>
        <v>0</v>
      </c>
      <c r="U99" s="25">
        <f>'Standing charge factors'!U49</f>
        <v>0</v>
      </c>
      <c r="V99" s="25">
        <f>'Standing charge factors'!V49</f>
        <v>0</v>
      </c>
      <c r="W99" s="25">
        <f>'Standing charge factors'!W49</f>
        <v>0</v>
      </c>
      <c r="X99" s="25">
        <f>'Standing charge factors'!X49</f>
        <v>0</v>
      </c>
      <c r="Y99" s="25">
        <f>'Standing charge factors'!Y49</f>
        <v>0</v>
      </c>
      <c r="AP99" s="3"/>
    </row>
    <row r="100" spans="3:42" x14ac:dyDescent="0.3">
      <c r="C100" s="32"/>
      <c r="D100"/>
      <c r="E100"/>
      <c r="F100" t="s">
        <v>197</v>
      </c>
      <c r="G100" t="s">
        <v>167</v>
      </c>
      <c r="H100" s="63"/>
      <c r="J100" s="25">
        <f>'Standing charge factors'!J50</f>
        <v>0</v>
      </c>
      <c r="K100" s="25">
        <f>'Standing charge factors'!K50</f>
        <v>0</v>
      </c>
      <c r="L100" s="25">
        <f>'Standing charge factors'!L50</f>
        <v>0</v>
      </c>
      <c r="M100" s="25">
        <f>'Standing charge factors'!M50</f>
        <v>0</v>
      </c>
      <c r="N100" s="25">
        <f>'Standing charge factors'!N50</f>
        <v>0.2</v>
      </c>
      <c r="O100" s="25">
        <f>'Standing charge factors'!O50</f>
        <v>1</v>
      </c>
      <c r="P100" s="25">
        <f>'Standing charge factors'!P50</f>
        <v>1</v>
      </c>
      <c r="Q100" s="25">
        <f>'Standing charge factors'!Q50</f>
        <v>0</v>
      </c>
      <c r="R100" s="25">
        <f>'Standing charge factors'!R50</f>
        <v>0</v>
      </c>
      <c r="S100" s="25">
        <f>'Standing charge factors'!S50</f>
        <v>0</v>
      </c>
      <c r="T100" s="25">
        <f>'Standing charge factors'!T50</f>
        <v>0</v>
      </c>
      <c r="U100" s="25">
        <f>'Standing charge factors'!U50</f>
        <v>0</v>
      </c>
      <c r="V100" s="25">
        <f>'Standing charge factors'!V50</f>
        <v>0</v>
      </c>
      <c r="W100" s="25">
        <f>'Standing charge factors'!W50</f>
        <v>0</v>
      </c>
      <c r="X100" s="25">
        <f>'Standing charge factors'!X50</f>
        <v>0</v>
      </c>
      <c r="Y100" s="25">
        <f>'Standing charge factors'!Y50</f>
        <v>0</v>
      </c>
      <c r="AP100" s="3"/>
    </row>
    <row r="101" spans="3:42" x14ac:dyDescent="0.3">
      <c r="C101" s="32"/>
      <c r="D101"/>
      <c r="E101"/>
      <c r="F101" t="s">
        <v>198</v>
      </c>
      <c r="G101" t="s">
        <v>167</v>
      </c>
      <c r="H101" s="63"/>
      <c r="J101" s="25">
        <f>'Standing charge factors'!J51</f>
        <v>0</v>
      </c>
      <c r="K101" s="25">
        <f>'Standing charge factors'!K51</f>
        <v>0</v>
      </c>
      <c r="L101" s="25">
        <f>'Standing charge factors'!L51</f>
        <v>0</v>
      </c>
      <c r="M101" s="25">
        <f>'Standing charge factors'!M51</f>
        <v>0</v>
      </c>
      <c r="N101" s="25">
        <f>'Standing charge factors'!N51</f>
        <v>1</v>
      </c>
      <c r="O101" s="25">
        <f>'Standing charge factors'!O51</f>
        <v>1</v>
      </c>
      <c r="P101" s="25">
        <f>'Standing charge factors'!P51</f>
        <v>0</v>
      </c>
      <c r="Q101" s="25">
        <f>'Standing charge factors'!Q51</f>
        <v>0</v>
      </c>
      <c r="R101" s="25">
        <f>'Standing charge factors'!R51</f>
        <v>0</v>
      </c>
      <c r="S101" s="25">
        <f>'Standing charge factors'!S51</f>
        <v>0</v>
      </c>
      <c r="T101" s="25">
        <f>'Standing charge factors'!T51</f>
        <v>0</v>
      </c>
      <c r="U101" s="25">
        <f>'Standing charge factors'!U51</f>
        <v>0</v>
      </c>
      <c r="V101" s="25">
        <f>'Standing charge factors'!V51</f>
        <v>0</v>
      </c>
      <c r="W101" s="25">
        <f>'Standing charge factors'!W51</f>
        <v>0</v>
      </c>
      <c r="X101" s="25">
        <f>'Standing charge factors'!X51</f>
        <v>0</v>
      </c>
      <c r="Y101" s="25">
        <f>'Standing charge factors'!Y51</f>
        <v>0</v>
      </c>
      <c r="AP101" s="3"/>
    </row>
    <row r="102" spans="3:42" x14ac:dyDescent="0.3">
      <c r="C102" s="32"/>
      <c r="D102"/>
      <c r="E102"/>
      <c r="F102" s="37" t="s">
        <v>199</v>
      </c>
      <c r="G102" s="37" t="s">
        <v>167</v>
      </c>
      <c r="H102" s="130"/>
      <c r="I102" s="37"/>
      <c r="J102" s="141">
        <f>'Standing charge factors'!J52</f>
        <v>1</v>
      </c>
      <c r="K102" s="141">
        <f>'Standing charge factors'!K52</f>
        <v>1</v>
      </c>
      <c r="L102" s="141">
        <f>'Standing charge factors'!L52</f>
        <v>1</v>
      </c>
      <c r="M102" s="141">
        <f>'Standing charge factors'!M52</f>
        <v>1</v>
      </c>
      <c r="N102" s="141">
        <f>'Standing charge factors'!N52</f>
        <v>1</v>
      </c>
      <c r="O102" s="141">
        <f>'Standing charge factors'!O52</f>
        <v>0</v>
      </c>
      <c r="P102" s="141">
        <f>'Standing charge factors'!P52</f>
        <v>0</v>
      </c>
      <c r="Q102" s="141">
        <f>'Standing charge factors'!Q52</f>
        <v>0</v>
      </c>
      <c r="R102" s="141">
        <f>'Standing charge factors'!R52</f>
        <v>0</v>
      </c>
      <c r="S102" s="141">
        <f>'Standing charge factors'!S52</f>
        <v>0</v>
      </c>
      <c r="T102" s="141">
        <f>'Standing charge factors'!T52</f>
        <v>0</v>
      </c>
      <c r="U102" s="141">
        <f>'Standing charge factors'!U52</f>
        <v>0</v>
      </c>
      <c r="V102" s="141">
        <f>'Standing charge factors'!V52</f>
        <v>0</v>
      </c>
      <c r="W102" s="141">
        <f>'Standing charge factors'!W52</f>
        <v>0</v>
      </c>
      <c r="X102" s="141">
        <f>'Standing charge factors'!X52</f>
        <v>0</v>
      </c>
      <c r="Y102" s="141">
        <f>'Standing charge factors'!Y52</f>
        <v>0</v>
      </c>
      <c r="AP102" s="3"/>
    </row>
    <row r="103" spans="3:42" x14ac:dyDescent="0.3">
      <c r="C103" s="88"/>
      <c r="D103"/>
      <c r="F103" s="2"/>
    </row>
    <row r="104" spans="3:42" x14ac:dyDescent="0.3">
      <c r="E104" s="32" t="s">
        <v>695</v>
      </c>
    </row>
    <row r="105" spans="3:42" x14ac:dyDescent="0.3">
      <c r="C105" s="88"/>
      <c r="F105" s="23" t="s">
        <v>189</v>
      </c>
      <c r="G105" s="23" t="s">
        <v>167</v>
      </c>
      <c r="H105" s="208"/>
      <c r="I105" s="208"/>
      <c r="J105" s="65"/>
      <c r="K105" s="65"/>
      <c r="L105" s="65"/>
      <c r="M105" s="65"/>
      <c r="N105" s="65"/>
      <c r="O105" s="65"/>
      <c r="P105" s="65"/>
      <c r="Q105" s="65"/>
      <c r="R105" s="65"/>
      <c r="S105" s="65"/>
      <c r="T105" s="65"/>
      <c r="U105" s="65"/>
      <c r="V105" s="65"/>
      <c r="W105" s="65"/>
      <c r="X105" s="65"/>
      <c r="Y105" s="65"/>
    </row>
    <row r="106" spans="3:42" x14ac:dyDescent="0.3">
      <c r="C106" s="88"/>
      <c r="F106" t="s">
        <v>191</v>
      </c>
      <c r="G106" t="s">
        <v>167</v>
      </c>
      <c r="H106" s="209"/>
      <c r="I106" s="209"/>
      <c r="J106" s="66"/>
      <c r="K106" s="66"/>
      <c r="L106" s="66"/>
      <c r="M106" s="66"/>
      <c r="N106" s="66"/>
      <c r="O106" s="66"/>
      <c r="P106" s="66"/>
      <c r="Q106" s="66"/>
      <c r="R106" s="66"/>
      <c r="S106" s="66"/>
      <c r="T106" s="66"/>
      <c r="U106" s="66"/>
      <c r="V106" s="66"/>
      <c r="W106" s="66"/>
      <c r="X106" s="66"/>
      <c r="Y106" s="66"/>
    </row>
    <row r="107" spans="3:42" x14ac:dyDescent="0.3">
      <c r="C107" s="88"/>
      <c r="F107" t="s">
        <v>192</v>
      </c>
      <c r="G107" t="s">
        <v>167</v>
      </c>
      <c r="H107" s="209"/>
      <c r="I107" s="209"/>
      <c r="J107" s="25">
        <f t="array" ref="J107:Y114">TRANSPOSE('Customer contributions'!L51:S66)</f>
        <v>0</v>
      </c>
      <c r="K107" s="25">
        <v>0</v>
      </c>
      <c r="L107" s="25">
        <v>0</v>
      </c>
      <c r="M107" s="25">
        <v>0</v>
      </c>
      <c r="N107" s="25">
        <v>0</v>
      </c>
      <c r="O107" s="25">
        <v>0</v>
      </c>
      <c r="P107" s="25">
        <v>0</v>
      </c>
      <c r="Q107" s="25">
        <v>0</v>
      </c>
      <c r="R107" s="25">
        <v>0</v>
      </c>
      <c r="S107" s="25">
        <v>0</v>
      </c>
      <c r="T107" s="25">
        <v>0</v>
      </c>
      <c r="U107" s="25">
        <v>0</v>
      </c>
      <c r="V107" s="25">
        <v>0</v>
      </c>
      <c r="W107" s="25">
        <v>0</v>
      </c>
      <c r="X107" s="25">
        <v>0</v>
      </c>
      <c r="Y107" s="25">
        <v>0</v>
      </c>
    </row>
    <row r="108" spans="3:42" x14ac:dyDescent="0.3">
      <c r="C108" s="88"/>
      <c r="F108" t="s">
        <v>193</v>
      </c>
      <c r="G108" t="s">
        <v>167</v>
      </c>
      <c r="H108" s="209"/>
      <c r="I108" s="209"/>
      <c r="J108" s="25">
        <v>0</v>
      </c>
      <c r="K108" s="25">
        <v>0</v>
      </c>
      <c r="L108" s="25">
        <v>0</v>
      </c>
      <c r="M108" s="25">
        <v>0</v>
      </c>
      <c r="N108" s="25">
        <v>0</v>
      </c>
      <c r="O108" s="25">
        <v>0</v>
      </c>
      <c r="P108" s="25">
        <v>0</v>
      </c>
      <c r="Q108" s="25">
        <v>0</v>
      </c>
      <c r="R108" s="25">
        <v>0</v>
      </c>
      <c r="S108" s="25">
        <v>0</v>
      </c>
      <c r="T108" s="25">
        <v>0</v>
      </c>
      <c r="U108" s="25">
        <v>0</v>
      </c>
      <c r="V108" s="25">
        <v>0</v>
      </c>
      <c r="W108" s="25">
        <v>0</v>
      </c>
      <c r="X108" s="25">
        <v>0</v>
      </c>
      <c r="Y108" s="25">
        <v>0</v>
      </c>
    </row>
    <row r="109" spans="3:42" x14ac:dyDescent="0.3">
      <c r="C109" s="88"/>
      <c r="F109" t="s">
        <v>194</v>
      </c>
      <c r="G109" t="s">
        <v>167</v>
      </c>
      <c r="H109" s="209"/>
      <c r="I109" s="209"/>
      <c r="J109" s="25">
        <v>0</v>
      </c>
      <c r="K109" s="25">
        <v>0</v>
      </c>
      <c r="L109" s="25">
        <v>0</v>
      </c>
      <c r="M109" s="25">
        <v>0</v>
      </c>
      <c r="N109" s="25">
        <v>0</v>
      </c>
      <c r="O109" s="25">
        <v>0</v>
      </c>
      <c r="P109" s="25">
        <v>0</v>
      </c>
      <c r="Q109" s="25">
        <v>0</v>
      </c>
      <c r="R109" s="25">
        <v>0</v>
      </c>
      <c r="S109" s="25">
        <v>0</v>
      </c>
      <c r="T109" s="25">
        <v>0</v>
      </c>
      <c r="U109" s="25">
        <v>0</v>
      </c>
      <c r="V109" s="25">
        <v>0</v>
      </c>
      <c r="W109" s="25">
        <v>0</v>
      </c>
      <c r="X109" s="25">
        <v>0</v>
      </c>
      <c r="Y109" s="25">
        <v>0</v>
      </c>
    </row>
    <row r="110" spans="3:42" x14ac:dyDescent="0.3">
      <c r="C110" s="88"/>
      <c r="F110" t="s">
        <v>195</v>
      </c>
      <c r="G110" t="s">
        <v>167</v>
      </c>
      <c r="H110" s="209"/>
      <c r="I110" s="209"/>
      <c r="J110" s="25">
        <v>0</v>
      </c>
      <c r="K110" s="25">
        <v>0</v>
      </c>
      <c r="L110" s="25">
        <v>0</v>
      </c>
      <c r="M110" s="25">
        <v>0</v>
      </c>
      <c r="N110" s="25">
        <v>0</v>
      </c>
      <c r="O110" s="25">
        <v>0</v>
      </c>
      <c r="P110" s="25">
        <v>0.25764106948138837</v>
      </c>
      <c r="Q110" s="25">
        <v>0</v>
      </c>
      <c r="R110" s="25">
        <v>0</v>
      </c>
      <c r="S110" s="25">
        <v>0</v>
      </c>
      <c r="T110" s="25">
        <v>0</v>
      </c>
      <c r="U110" s="25">
        <v>0</v>
      </c>
      <c r="V110" s="25">
        <v>0</v>
      </c>
      <c r="W110" s="25">
        <v>0</v>
      </c>
      <c r="X110" s="25">
        <v>0.25764106948138837</v>
      </c>
      <c r="Y110" s="25">
        <v>0.25764106948138837</v>
      </c>
    </row>
    <row r="111" spans="3:42" x14ac:dyDescent="0.3">
      <c r="C111" s="88"/>
      <c r="F111" t="s">
        <v>196</v>
      </c>
      <c r="G111" t="s">
        <v>167</v>
      </c>
      <c r="H111" s="209"/>
      <c r="I111" s="209"/>
      <c r="J111" s="25">
        <v>0</v>
      </c>
      <c r="K111" s="25">
        <v>0</v>
      </c>
      <c r="L111" s="25">
        <v>0</v>
      </c>
      <c r="M111" s="25">
        <v>0</v>
      </c>
      <c r="N111" s="25">
        <v>0</v>
      </c>
      <c r="O111" s="25">
        <v>0</v>
      </c>
      <c r="P111" s="25">
        <v>0.25764106948138837</v>
      </c>
      <c r="Q111" s="25">
        <v>0</v>
      </c>
      <c r="R111" s="25">
        <v>0</v>
      </c>
      <c r="S111" s="25">
        <v>0</v>
      </c>
      <c r="T111" s="25">
        <v>0</v>
      </c>
      <c r="U111" s="25">
        <v>0</v>
      </c>
      <c r="V111" s="25">
        <v>0</v>
      </c>
      <c r="W111" s="25">
        <v>0</v>
      </c>
      <c r="X111" s="25">
        <v>0.25764106948138837</v>
      </c>
      <c r="Y111" s="25">
        <v>0.25764106948138837</v>
      </c>
    </row>
    <row r="112" spans="3:42" x14ac:dyDescent="0.3">
      <c r="C112" s="88"/>
      <c r="F112" t="s">
        <v>197</v>
      </c>
      <c r="G112" t="s">
        <v>167</v>
      </c>
      <c r="H112" s="209"/>
      <c r="I112" s="209"/>
      <c r="J112" s="25">
        <v>0.38684969697494365</v>
      </c>
      <c r="K112" s="25">
        <v>0.38684969697494365</v>
      </c>
      <c r="L112" s="25">
        <v>0.38684969697494365</v>
      </c>
      <c r="M112" s="25">
        <v>0.38684969697494365</v>
      </c>
      <c r="N112" s="25">
        <v>0.38684969697494365</v>
      </c>
      <c r="O112" s="25">
        <v>0.38684969697494365</v>
      </c>
      <c r="P112" s="25">
        <v>0.51528213896277675</v>
      </c>
      <c r="Q112" s="25">
        <v>0.38684969697494365</v>
      </c>
      <c r="R112" s="25">
        <v>0.38684969697494365</v>
      </c>
      <c r="S112" s="25">
        <v>0.38684969697494365</v>
      </c>
      <c r="T112" s="25">
        <v>0.38684969697494365</v>
      </c>
      <c r="U112" s="25">
        <v>0.38684969697494365</v>
      </c>
      <c r="V112" s="25">
        <v>0.38684969697494365</v>
      </c>
      <c r="W112" s="25">
        <v>0.38684969697494365</v>
      </c>
      <c r="X112" s="25">
        <v>0.51528213896277675</v>
      </c>
      <c r="Y112" s="25">
        <v>0.51528213896277675</v>
      </c>
    </row>
    <row r="113" spans="2:27" x14ac:dyDescent="0.3">
      <c r="C113" s="88"/>
      <c r="F113" t="s">
        <v>198</v>
      </c>
      <c r="G113" t="s">
        <v>167</v>
      </c>
      <c r="H113" s="209"/>
      <c r="I113" s="209"/>
      <c r="J113" s="25">
        <v>0.64124825573068889</v>
      </c>
      <c r="K113" s="25">
        <v>0.64124825573068889</v>
      </c>
      <c r="L113" s="25">
        <v>0.64124825573068889</v>
      </c>
      <c r="M113" s="25">
        <v>0.64124825573068889</v>
      </c>
      <c r="N113" s="25">
        <v>0.64124825573068889</v>
      </c>
      <c r="O113" s="25">
        <v>0.64124825573068889</v>
      </c>
      <c r="P113" s="25">
        <v>0</v>
      </c>
      <c r="Q113" s="25">
        <v>0.64124825573068889</v>
      </c>
      <c r="R113" s="25">
        <v>0.64124825573068889</v>
      </c>
      <c r="S113" s="25">
        <v>0.64124825573068889</v>
      </c>
      <c r="T113" s="25">
        <v>0.64124825573068889</v>
      </c>
      <c r="U113" s="25">
        <v>0.64124825573068889</v>
      </c>
      <c r="V113" s="25">
        <v>0.64124825573068889</v>
      </c>
      <c r="W113" s="25">
        <v>0.64124825573068889</v>
      </c>
      <c r="X113" s="25">
        <v>0</v>
      </c>
      <c r="Y113" s="25">
        <v>0</v>
      </c>
    </row>
    <row r="114" spans="2:27" x14ac:dyDescent="0.3">
      <c r="C114" s="88"/>
      <c r="F114" t="s">
        <v>199</v>
      </c>
      <c r="G114" t="s">
        <v>167</v>
      </c>
      <c r="H114" s="209"/>
      <c r="I114" s="209"/>
      <c r="J114" s="25">
        <v>0.89564681448643413</v>
      </c>
      <c r="K114" s="25">
        <v>0.89564681448643413</v>
      </c>
      <c r="L114" s="25">
        <v>0.89564681448643413</v>
      </c>
      <c r="M114" s="25">
        <v>0.89564681448643413</v>
      </c>
      <c r="N114" s="25">
        <v>0.89564681448643413</v>
      </c>
      <c r="O114" s="25">
        <v>0</v>
      </c>
      <c r="P114" s="25">
        <v>0</v>
      </c>
      <c r="Q114" s="25">
        <v>0.89564681448643413</v>
      </c>
      <c r="R114" s="25">
        <v>0.89564681448643413</v>
      </c>
      <c r="S114" s="25">
        <v>0</v>
      </c>
      <c r="T114" s="25">
        <v>0.89564681448643413</v>
      </c>
      <c r="U114" s="25">
        <v>0.89564681448643413</v>
      </c>
      <c r="V114" s="25">
        <v>0</v>
      </c>
      <c r="W114" s="25">
        <v>0</v>
      </c>
      <c r="X114" s="25">
        <v>0</v>
      </c>
      <c r="Y114" s="25">
        <v>0</v>
      </c>
    </row>
    <row r="115" spans="2:27" x14ac:dyDescent="0.3">
      <c r="C115" s="88"/>
      <c r="F115" t="s">
        <v>376</v>
      </c>
      <c r="G115" t="s">
        <v>167</v>
      </c>
      <c r="J115" s="66"/>
      <c r="K115" s="66"/>
      <c r="L115" s="66"/>
      <c r="M115" s="66"/>
      <c r="N115" s="66"/>
      <c r="O115" s="66"/>
      <c r="P115" s="66"/>
      <c r="Q115" s="66"/>
      <c r="R115" s="66"/>
      <c r="S115" s="66"/>
      <c r="T115" s="66"/>
      <c r="U115" s="66"/>
      <c r="V115" s="66"/>
      <c r="W115" s="66"/>
      <c r="X115" s="66"/>
      <c r="Y115" s="66"/>
    </row>
    <row r="116" spans="2:27" x14ac:dyDescent="0.3">
      <c r="C116" s="88"/>
      <c r="F116" s="37" t="s">
        <v>377</v>
      </c>
      <c r="G116" s="37" t="s">
        <v>167</v>
      </c>
      <c r="H116" s="37"/>
      <c r="I116" s="37"/>
      <c r="J116" s="68"/>
      <c r="K116" s="68"/>
      <c r="L116" s="68"/>
      <c r="M116" s="68"/>
      <c r="N116" s="68"/>
      <c r="O116" s="68"/>
      <c r="P116" s="68"/>
      <c r="Q116" s="68"/>
      <c r="R116" s="68"/>
      <c r="S116" s="68"/>
      <c r="T116" s="68"/>
      <c r="U116" s="68"/>
      <c r="V116" s="68"/>
      <c r="W116" s="68"/>
      <c r="X116" s="68"/>
      <c r="Y116" s="68"/>
    </row>
    <row r="117" spans="2:27" x14ac:dyDescent="0.3">
      <c r="C117" s="88"/>
      <c r="D117"/>
      <c r="F117" s="2"/>
    </row>
    <row r="118" spans="2:27" x14ac:dyDescent="0.3">
      <c r="D118"/>
      <c r="E118" s="32" t="s">
        <v>696</v>
      </c>
      <c r="F118" s="2"/>
      <c r="I118" t="s">
        <v>154</v>
      </c>
      <c r="AA118" t="s">
        <v>697</v>
      </c>
    </row>
    <row r="119" spans="2:27" x14ac:dyDescent="0.3">
      <c r="D119"/>
      <c r="E119" s="29" t="s">
        <v>698</v>
      </c>
      <c r="F119" s="2"/>
    </row>
    <row r="120" spans="2:27" x14ac:dyDescent="0.3">
      <c r="D120"/>
      <c r="E120" s="29" t="s">
        <v>699</v>
      </c>
      <c r="F120" s="2"/>
    </row>
    <row r="121" spans="2:27" x14ac:dyDescent="0.3">
      <c r="D121"/>
      <c r="F121" s="23" t="s">
        <v>700</v>
      </c>
      <c r="G121" s="23" t="s">
        <v>673</v>
      </c>
      <c r="H121" s="23"/>
      <c r="I121" s="23"/>
      <c r="J121" s="147">
        <f>'Fixed inputs'!J136</f>
        <v>0</v>
      </c>
      <c r="K121" s="147">
        <f>'Fixed inputs'!K136</f>
        <v>0</v>
      </c>
      <c r="L121" s="147">
        <f>'Fixed inputs'!L136</f>
        <v>0</v>
      </c>
      <c r="M121" s="147">
        <f>'Fixed inputs'!M136</f>
        <v>0</v>
      </c>
      <c r="N121" s="147">
        <f>'Fixed inputs'!N136</f>
        <v>1</v>
      </c>
      <c r="O121" s="147">
        <f>'Fixed inputs'!O136</f>
        <v>1</v>
      </c>
      <c r="P121" s="147">
        <f>'Fixed inputs'!P136</f>
        <v>1</v>
      </c>
      <c r="Q121" s="147">
        <f>'Fixed inputs'!Q136</f>
        <v>0</v>
      </c>
      <c r="R121" s="147">
        <f>'Fixed inputs'!R136</f>
        <v>0</v>
      </c>
      <c r="S121" s="147">
        <f>'Fixed inputs'!S136</f>
        <v>0</v>
      </c>
      <c r="T121" s="147">
        <f>'Fixed inputs'!T136</f>
        <v>0</v>
      </c>
      <c r="U121" s="147">
        <f>'Fixed inputs'!U136</f>
        <v>0</v>
      </c>
      <c r="V121" s="147">
        <f>'Fixed inputs'!V136</f>
        <v>0</v>
      </c>
      <c r="W121" s="147">
        <f>'Fixed inputs'!W136</f>
        <v>0</v>
      </c>
      <c r="X121" s="147">
        <f>'Fixed inputs'!X136</f>
        <v>0</v>
      </c>
      <c r="Y121" s="147">
        <f>'Fixed inputs'!Y136</f>
        <v>0</v>
      </c>
    </row>
    <row r="122" spans="2:27" x14ac:dyDescent="0.3">
      <c r="D122"/>
      <c r="F122" t="s">
        <v>701</v>
      </c>
      <c r="G122" t="s">
        <v>673</v>
      </c>
      <c r="J122" s="148">
        <f>'Fixed inputs'!J137</f>
        <v>0</v>
      </c>
      <c r="K122" s="148">
        <f>'Fixed inputs'!K137</f>
        <v>0</v>
      </c>
      <c r="L122" s="148">
        <f>'Fixed inputs'!L137</f>
        <v>0</v>
      </c>
      <c r="M122" s="148">
        <f>'Fixed inputs'!M137</f>
        <v>0</v>
      </c>
      <c r="N122" s="148">
        <f>'Fixed inputs'!N137</f>
        <v>1</v>
      </c>
      <c r="O122" s="148">
        <f>'Fixed inputs'!O137</f>
        <v>1</v>
      </c>
      <c r="P122" s="148">
        <f>'Fixed inputs'!P137</f>
        <v>1</v>
      </c>
      <c r="Q122" s="148">
        <f>'Fixed inputs'!Q137</f>
        <v>0</v>
      </c>
      <c r="R122" s="148">
        <f>'Fixed inputs'!R137</f>
        <v>0</v>
      </c>
      <c r="S122" s="148">
        <f>'Fixed inputs'!S137</f>
        <v>0</v>
      </c>
      <c r="T122" s="148">
        <f>'Fixed inputs'!T137</f>
        <v>0</v>
      </c>
      <c r="U122" s="148">
        <f>'Fixed inputs'!U137</f>
        <v>0</v>
      </c>
      <c r="V122" s="148">
        <f>'Fixed inputs'!V137</f>
        <v>0</v>
      </c>
      <c r="W122" s="148">
        <f>'Fixed inputs'!W137</f>
        <v>0</v>
      </c>
      <c r="X122" s="148">
        <f>'Fixed inputs'!X137</f>
        <v>0</v>
      </c>
      <c r="Y122" s="148">
        <f>'Fixed inputs'!Y137</f>
        <v>0</v>
      </c>
    </row>
    <row r="123" spans="2:27" x14ac:dyDescent="0.3">
      <c r="D123"/>
      <c r="F123" s="37" t="s">
        <v>227</v>
      </c>
      <c r="G123" s="37" t="s">
        <v>673</v>
      </c>
      <c r="H123" s="37"/>
      <c r="I123" s="37"/>
      <c r="J123" s="148">
        <f>'Fixed inputs'!J139</f>
        <v>1</v>
      </c>
      <c r="K123" s="148">
        <f>'Fixed inputs'!K139</f>
        <v>0</v>
      </c>
      <c r="L123" s="148">
        <f>'Fixed inputs'!L139</f>
        <v>1</v>
      </c>
      <c r="M123" s="148">
        <f>'Fixed inputs'!M139</f>
        <v>0</v>
      </c>
      <c r="N123" s="148">
        <f>'Fixed inputs'!N139</f>
        <v>0</v>
      </c>
      <c r="O123" s="148">
        <f>'Fixed inputs'!O139</f>
        <v>0</v>
      </c>
      <c r="P123" s="148">
        <f>'Fixed inputs'!P139</f>
        <v>0</v>
      </c>
      <c r="Q123" s="148">
        <f>'Fixed inputs'!Q139</f>
        <v>0</v>
      </c>
      <c r="R123" s="148">
        <f>'Fixed inputs'!R139</f>
        <v>0</v>
      </c>
      <c r="S123" s="148">
        <f>'Fixed inputs'!S139</f>
        <v>0</v>
      </c>
      <c r="T123" s="148">
        <f>'Fixed inputs'!T139</f>
        <v>0</v>
      </c>
      <c r="U123" s="148">
        <f>'Fixed inputs'!U139</f>
        <v>0</v>
      </c>
      <c r="V123" s="148">
        <f>'Fixed inputs'!V139</f>
        <v>0</v>
      </c>
      <c r="W123" s="148">
        <f>'Fixed inputs'!W139</f>
        <v>0</v>
      </c>
      <c r="X123" s="148">
        <f>'Fixed inputs'!X139</f>
        <v>0</v>
      </c>
      <c r="Y123" s="148">
        <f>'Fixed inputs'!Y139</f>
        <v>0</v>
      </c>
    </row>
    <row r="124" spans="2:27" x14ac:dyDescent="0.3">
      <c r="C124" s="88"/>
    </row>
    <row r="125" spans="2:27" x14ac:dyDescent="0.3">
      <c r="B125" s="30" t="s">
        <v>702</v>
      </c>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row>
    <row r="126" spans="2:27" x14ac:dyDescent="0.3">
      <c r="C126" s="88"/>
    </row>
    <row r="127" spans="2:27" x14ac:dyDescent="0.3">
      <c r="B127" s="203"/>
      <c r="C127" s="29" t="s">
        <v>703</v>
      </c>
      <c r="D127"/>
      <c r="E127"/>
    </row>
    <row r="128" spans="2:27" x14ac:dyDescent="0.3">
      <c r="C128" s="88"/>
    </row>
    <row r="129" spans="3:27" x14ac:dyDescent="0.3">
      <c r="C129" s="31" t="str">
        <f ca="1">INDEX('Version control'!$H$34:$H$57,MATCH($A$1,'Version control'!$F$34:$F$57,0),1)&amp;"-B: Capacity-based charge elements (to be split between capacity &amp; fixed charges)"</f>
        <v>Section 112-B: Capacity-based charge elements (to be split between capacity &amp; fixed charges)</v>
      </c>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row>
    <row r="131" spans="3:27" x14ac:dyDescent="0.3">
      <c r="C131" s="88"/>
      <c r="E131" s="32" t="s">
        <v>621</v>
      </c>
      <c r="I131" t="s">
        <v>154</v>
      </c>
      <c r="AA131" t="s">
        <v>704</v>
      </c>
    </row>
    <row r="132" spans="3:27" x14ac:dyDescent="0.3">
      <c r="C132" s="88"/>
      <c r="F132" s="23" t="s">
        <v>189</v>
      </c>
      <c r="G132" s="23" t="s">
        <v>271</v>
      </c>
      <c r="H132" s="23"/>
      <c r="I132" s="23"/>
      <c r="J132" s="83"/>
      <c r="K132" s="83"/>
      <c r="L132" s="83"/>
      <c r="M132" s="83"/>
      <c r="N132" s="83"/>
      <c r="O132" s="83"/>
      <c r="P132" s="83"/>
      <c r="Q132" s="83"/>
      <c r="R132" s="83"/>
      <c r="S132" s="83"/>
      <c r="T132" s="83"/>
      <c r="U132" s="83"/>
      <c r="V132" s="83"/>
      <c r="W132" s="83"/>
      <c r="X132" s="83"/>
      <c r="Y132" s="83"/>
    </row>
    <row r="133" spans="3:27" x14ac:dyDescent="0.3">
      <c r="C133" s="88"/>
      <c r="F133" t="s">
        <v>191</v>
      </c>
      <c r="G133" t="s">
        <v>271</v>
      </c>
      <c r="J133" s="79"/>
      <c r="K133" s="79"/>
      <c r="L133" s="79"/>
      <c r="M133" s="79"/>
      <c r="N133" s="79"/>
      <c r="O133" s="79"/>
      <c r="P133" s="79"/>
      <c r="Q133" s="79"/>
      <c r="R133" s="79"/>
      <c r="S133" s="79"/>
      <c r="T133" s="79"/>
      <c r="U133" s="79"/>
      <c r="V133" s="79"/>
      <c r="W133" s="79"/>
      <c r="X133" s="79"/>
      <c r="Y133" s="79"/>
    </row>
    <row r="134" spans="3:27" x14ac:dyDescent="0.3">
      <c r="C134" s="88"/>
      <c r="F134" t="s">
        <v>192</v>
      </c>
      <c r="G134" t="s">
        <v>271</v>
      </c>
      <c r="J134" s="98">
        <f t="shared" ref="J134:K134" si="0">hundred*J95*$H53*J82/$H39*(1-J107)/days_in_year/(1+$H25)*PowerFactor</f>
        <v>0</v>
      </c>
      <c r="K134" s="98">
        <f t="shared" si="0"/>
        <v>0</v>
      </c>
      <c r="L134" s="98">
        <f t="shared" ref="L134:M134" si="1">hundred*L95*$H53*L82/$H39*(1-L107)/days_in_year/(1+$H25)*PowerFactor</f>
        <v>0</v>
      </c>
      <c r="M134" s="98">
        <f t="shared" si="1"/>
        <v>0</v>
      </c>
      <c r="N134" s="98">
        <f t="shared" ref="N134:P134" si="2">hundred*N95*$H53*N82/$H39*(1-N107)/days_in_year/(1+$H25)*PowerFactor</f>
        <v>0</v>
      </c>
      <c r="O134" s="98">
        <f t="shared" si="2"/>
        <v>0</v>
      </c>
      <c r="P134" s="98">
        <f t="shared" si="2"/>
        <v>0.1694843797437631</v>
      </c>
      <c r="Q134" s="98">
        <f t="shared" ref="Q134" si="3">hundred*Q95*$H53*Q82/$H39*(1-Q107)/days_in_year/(1+$H25)*PowerFactor</f>
        <v>0</v>
      </c>
      <c r="R134" s="79"/>
      <c r="S134" s="79"/>
      <c r="T134" s="79"/>
      <c r="U134" s="79"/>
      <c r="V134" s="79"/>
      <c r="W134" s="79"/>
      <c r="X134" s="79"/>
      <c r="Y134" s="79"/>
    </row>
    <row r="135" spans="3:27" x14ac:dyDescent="0.3">
      <c r="C135" s="88"/>
      <c r="F135" t="s">
        <v>193</v>
      </c>
      <c r="G135" t="s">
        <v>271</v>
      </c>
      <c r="J135" s="98">
        <f t="shared" ref="J135:K135" si="4">hundred*J96*$H54*J83/$H40*(1-J108)/days_in_year/(1+$H26)*PowerFactor</f>
        <v>0</v>
      </c>
      <c r="K135" s="98">
        <f t="shared" si="4"/>
        <v>0</v>
      </c>
      <c r="L135" s="98">
        <f t="shared" ref="L135:M135" si="5">hundred*L96*$H54*L83/$H40*(1-L108)/days_in_year/(1+$H26)*PowerFactor</f>
        <v>0</v>
      </c>
      <c r="M135" s="98">
        <f t="shared" si="5"/>
        <v>0</v>
      </c>
      <c r="N135" s="98">
        <f t="shared" ref="N135:P135" si="6">hundred*N96*$H54*N83/$H40*(1-N108)/days_in_year/(1+$H26)*PowerFactor</f>
        <v>0</v>
      </c>
      <c r="O135" s="98">
        <f t="shared" si="6"/>
        <v>0</v>
      </c>
      <c r="P135" s="98">
        <f t="shared" si="6"/>
        <v>0</v>
      </c>
      <c r="Q135" s="98">
        <f t="shared" ref="Q135" si="7">hundred*Q96*$H54*Q83/$H40*(1-Q108)/days_in_year/(1+$H26)*PowerFactor</f>
        <v>0</v>
      </c>
      <c r="R135" s="79"/>
      <c r="S135" s="79"/>
      <c r="T135" s="79"/>
      <c r="U135" s="79"/>
      <c r="V135" s="79"/>
      <c r="W135" s="79"/>
      <c r="X135" s="79"/>
      <c r="Y135" s="79"/>
    </row>
    <row r="136" spans="3:27" x14ac:dyDescent="0.3">
      <c r="C136" s="88"/>
      <c r="F136" t="s">
        <v>194</v>
      </c>
      <c r="G136" t="s">
        <v>271</v>
      </c>
      <c r="J136" s="98">
        <f t="shared" ref="J136:K136" si="8">hundred*J97*$H55*J84/$H41*(1-J109)/days_in_year/(1+$H27)*PowerFactor</f>
        <v>0</v>
      </c>
      <c r="K136" s="98">
        <f t="shared" si="8"/>
        <v>0</v>
      </c>
      <c r="L136" s="98">
        <f t="shared" ref="L136:M136" si="9">hundred*L97*$H55*L84/$H41*(1-L109)/days_in_year/(1+$H27)*PowerFactor</f>
        <v>0</v>
      </c>
      <c r="M136" s="98">
        <f t="shared" si="9"/>
        <v>0</v>
      </c>
      <c r="N136" s="98">
        <f t="shared" ref="N136:P136" si="10">hundred*N97*$H55*N84/$H41*(1-N109)/days_in_year/(1+$H27)*PowerFactor</f>
        <v>0</v>
      </c>
      <c r="O136" s="98">
        <f t="shared" si="10"/>
        <v>0</v>
      </c>
      <c r="P136" s="98">
        <f t="shared" si="10"/>
        <v>5.7361165408492627E-2</v>
      </c>
      <c r="Q136" s="98">
        <f t="shared" ref="Q136" si="11">hundred*Q97*$H55*Q84/$H41*(1-Q109)/days_in_year/(1+$H27)*PowerFactor</f>
        <v>0</v>
      </c>
      <c r="R136" s="79"/>
      <c r="S136" s="79"/>
      <c r="T136" s="79"/>
      <c r="U136" s="79"/>
      <c r="V136" s="79"/>
      <c r="W136" s="79"/>
      <c r="X136" s="79"/>
      <c r="Y136" s="79"/>
    </row>
    <row r="137" spans="3:27" x14ac:dyDescent="0.3">
      <c r="C137" s="88"/>
      <c r="F137" t="s">
        <v>195</v>
      </c>
      <c r="G137" t="s">
        <v>271</v>
      </c>
      <c r="J137" s="98">
        <f t="shared" ref="J137:K137" si="12">hundred*J98*$H56*J85/$H42*(1-J110)/days_in_year/(1+$H28)*PowerFactor</f>
        <v>0</v>
      </c>
      <c r="K137" s="98">
        <f t="shared" si="12"/>
        <v>0</v>
      </c>
      <c r="L137" s="98">
        <f t="shared" ref="L137:M137" si="13">hundred*L98*$H56*L85/$H42*(1-L110)/days_in_year/(1+$H28)*PowerFactor</f>
        <v>0</v>
      </c>
      <c r="M137" s="98">
        <f t="shared" si="13"/>
        <v>0</v>
      </c>
      <c r="N137" s="98">
        <f t="shared" ref="N137:P137" si="14">hundred*N98*$H56*N85/$H42*(1-N110)/days_in_year/(1+$H28)*PowerFactor</f>
        <v>0</v>
      </c>
      <c r="O137" s="98">
        <f t="shared" si="14"/>
        <v>0</v>
      </c>
      <c r="P137" s="98">
        <f t="shared" si="14"/>
        <v>0.41042960890033425</v>
      </c>
      <c r="Q137" s="98">
        <f t="shared" ref="Q137" si="15">hundred*Q98*$H56*Q85/$H42*(1-Q110)/days_in_year/(1+$H28)*PowerFactor</f>
        <v>0</v>
      </c>
      <c r="R137" s="79"/>
      <c r="S137" s="79"/>
      <c r="T137" s="79"/>
      <c r="U137" s="79"/>
      <c r="V137" s="79"/>
      <c r="W137" s="79"/>
      <c r="X137" s="79"/>
      <c r="Y137" s="79"/>
    </row>
    <row r="138" spans="3:27" x14ac:dyDescent="0.3">
      <c r="C138" s="88"/>
      <c r="F138" t="s">
        <v>196</v>
      </c>
      <c r="G138" t="s">
        <v>271</v>
      </c>
      <c r="J138" s="98">
        <f t="shared" ref="J138:K138" si="16">hundred*J99*$H57*J86/$H43*(1-J111)/days_in_year/(1+$H29)*PowerFactor</f>
        <v>0</v>
      </c>
      <c r="K138" s="98">
        <f t="shared" si="16"/>
        <v>0</v>
      </c>
      <c r="L138" s="98">
        <f t="shared" ref="L138:M138" si="17">hundred*L99*$H57*L86/$H43*(1-L111)/days_in_year/(1+$H29)*PowerFactor</f>
        <v>0</v>
      </c>
      <c r="M138" s="98">
        <f t="shared" si="17"/>
        <v>0</v>
      </c>
      <c r="N138" s="98">
        <f t="shared" ref="N138:P138" si="18">hundred*N99*$H57*N86/$H43*(1-N111)/days_in_year/(1+$H29)*PowerFactor</f>
        <v>0</v>
      </c>
      <c r="O138" s="98">
        <f t="shared" si="18"/>
        <v>0</v>
      </c>
      <c r="P138" s="98">
        <f t="shared" si="18"/>
        <v>0.44985225266974338</v>
      </c>
      <c r="Q138" s="98">
        <f t="shared" ref="Q138" si="19">hundred*Q99*$H57*Q86/$H43*(1-Q111)/days_in_year/(1+$H29)*PowerFactor</f>
        <v>0</v>
      </c>
      <c r="R138" s="79"/>
      <c r="S138" s="79"/>
      <c r="T138" s="79"/>
      <c r="U138" s="79"/>
      <c r="V138" s="79"/>
      <c r="W138" s="79"/>
      <c r="X138" s="79"/>
      <c r="Y138" s="79"/>
    </row>
    <row r="139" spans="3:27" x14ac:dyDescent="0.3">
      <c r="C139" s="88"/>
      <c r="F139" t="s">
        <v>197</v>
      </c>
      <c r="G139" t="s">
        <v>271</v>
      </c>
      <c r="J139" s="98">
        <f t="shared" ref="J139:K139" si="20">hundred*J100*$H58*J87/$H44*(1-J112)/days_in_year/(1+$H30)*PowerFactor</f>
        <v>0</v>
      </c>
      <c r="K139" s="98">
        <f t="shared" si="20"/>
        <v>0</v>
      </c>
      <c r="L139" s="98">
        <f t="shared" ref="L139:M139" si="21">hundred*L100*$H58*L87/$H44*(1-L112)/days_in_year/(1+$H30)*PowerFactor</f>
        <v>0</v>
      </c>
      <c r="M139" s="98">
        <f t="shared" si="21"/>
        <v>0</v>
      </c>
      <c r="N139" s="98">
        <f t="shared" ref="N139:P139" si="22">hundred*N100*$H58*N87/$H44*(1-N112)/days_in_year/(1+$H30)*PowerFactor</f>
        <v>0.33484759558409483</v>
      </c>
      <c r="O139" s="98">
        <f t="shared" si="22"/>
        <v>1.6389100205882068</v>
      </c>
      <c r="P139" s="98">
        <f t="shared" si="22"/>
        <v>1.2761904283271754</v>
      </c>
      <c r="Q139" s="98">
        <f t="shared" ref="Q139" si="23">hundred*Q100*$H58*Q87/$H44*(1-Q112)/days_in_year/(1+$H30)*PowerFactor</f>
        <v>0</v>
      </c>
      <c r="R139" s="79"/>
      <c r="S139" s="79"/>
      <c r="T139" s="79"/>
      <c r="U139" s="79"/>
      <c r="V139" s="79"/>
      <c r="W139" s="79"/>
      <c r="X139" s="79"/>
      <c r="Y139" s="79"/>
    </row>
    <row r="140" spans="3:27" x14ac:dyDescent="0.3">
      <c r="C140" s="88"/>
      <c r="F140" t="s">
        <v>198</v>
      </c>
      <c r="G140" t="s">
        <v>271</v>
      </c>
      <c r="J140" s="98">
        <f t="shared" ref="J140:K140" si="24">hundred*J101*$H59*J88/$H45*(1-J113)/days_in_year/(1+$H31)*PowerFactor</f>
        <v>0</v>
      </c>
      <c r="K140" s="98">
        <f t="shared" si="24"/>
        <v>0</v>
      </c>
      <c r="L140" s="98">
        <f t="shared" ref="L140:M140" si="25">hundred*L101*$H59*L88/$H45*(1-L113)/days_in_year/(1+$H31)*PowerFactor</f>
        <v>0</v>
      </c>
      <c r="M140" s="98">
        <f t="shared" si="25"/>
        <v>0</v>
      </c>
      <c r="N140" s="98">
        <f t="shared" ref="N140:P140" si="26">hundred*N101*$H59*N88/$H45*(1-N113)/days_in_year/(1+$H31)*PowerFactor</f>
        <v>0.47726372663083777</v>
      </c>
      <c r="O140" s="98">
        <f t="shared" si="26"/>
        <v>0.46719302414229702</v>
      </c>
      <c r="P140" s="98">
        <f t="shared" si="26"/>
        <v>0</v>
      </c>
      <c r="Q140" s="98">
        <f t="shared" ref="Q140" si="27">hundred*Q101*$H59*Q88/$H45*(1-Q113)/days_in_year/(1+$H31)*PowerFactor</f>
        <v>0</v>
      </c>
      <c r="R140" s="79"/>
      <c r="S140" s="79"/>
      <c r="T140" s="79"/>
      <c r="U140" s="79"/>
      <c r="V140" s="79"/>
      <c r="W140" s="79"/>
      <c r="X140" s="79"/>
      <c r="Y140" s="79"/>
    </row>
    <row r="141" spans="3:27" x14ac:dyDescent="0.3">
      <c r="C141" s="88"/>
      <c r="F141" t="s">
        <v>199</v>
      </c>
      <c r="G141" t="s">
        <v>271</v>
      </c>
      <c r="J141" s="98">
        <f t="shared" ref="J141:K141" si="28">hundred*J102*$H60*J89/$H46*(1-J114)/days_in_year/(1+$H32)*PowerFactor</f>
        <v>0.28575600268472384</v>
      </c>
      <c r="K141" s="98">
        <f t="shared" si="28"/>
        <v>0.28575600268472384</v>
      </c>
      <c r="L141" s="98">
        <f t="shared" ref="L141:M141" si="29">hundred*L102*$H60*L89/$H46*(1-L114)/days_in_year/(1+$H32)*PowerFactor</f>
        <v>0.28575600268472384</v>
      </c>
      <c r="M141" s="98">
        <f t="shared" si="29"/>
        <v>0.28575600268472384</v>
      </c>
      <c r="N141" s="98">
        <f t="shared" ref="N141:P141" si="30">hundred*N102*$H60*N89/$H46*(1-N114)/days_in_year/(1+$H32)*PowerFactor</f>
        <v>0.28575600268472384</v>
      </c>
      <c r="O141" s="98">
        <f t="shared" si="30"/>
        <v>0</v>
      </c>
      <c r="P141" s="98">
        <f t="shared" si="30"/>
        <v>0</v>
      </c>
      <c r="Q141" s="98">
        <f t="shared" ref="Q141" si="31">hundred*Q102*$H60*Q89/$H46*(1-Q114)/days_in_year/(1+$H32)*PowerFactor</f>
        <v>0</v>
      </c>
      <c r="R141" s="79"/>
      <c r="S141" s="79"/>
      <c r="T141" s="79"/>
      <c r="U141" s="79"/>
      <c r="V141" s="79"/>
      <c r="W141" s="79"/>
      <c r="X141" s="79"/>
      <c r="Y141" s="79"/>
    </row>
    <row r="142" spans="3:27" x14ac:dyDescent="0.3">
      <c r="C142" s="88"/>
      <c r="D142"/>
      <c r="F142" t="s">
        <v>376</v>
      </c>
      <c r="G142" t="s">
        <v>271</v>
      </c>
      <c r="J142" s="79"/>
      <c r="K142" s="79"/>
      <c r="L142" s="79"/>
      <c r="M142" s="79"/>
      <c r="N142" s="79"/>
      <c r="O142" s="79"/>
      <c r="P142" s="79"/>
      <c r="Q142" s="79"/>
      <c r="R142" s="79"/>
      <c r="S142" s="79"/>
      <c r="T142" s="79"/>
      <c r="U142" s="79"/>
      <c r="V142" s="79"/>
      <c r="W142" s="79"/>
      <c r="X142" s="79"/>
      <c r="Y142" s="79"/>
    </row>
    <row r="143" spans="3:27" x14ac:dyDescent="0.3">
      <c r="C143" s="88"/>
      <c r="D143"/>
      <c r="F143" s="37" t="s">
        <v>377</v>
      </c>
      <c r="G143" s="37" t="s">
        <v>271</v>
      </c>
      <c r="H143" s="37"/>
      <c r="I143" s="37"/>
      <c r="J143" s="81"/>
      <c r="K143" s="81"/>
      <c r="L143" s="81"/>
      <c r="M143" s="81"/>
      <c r="N143" s="81"/>
      <c r="O143" s="81"/>
      <c r="P143" s="81"/>
      <c r="Q143" s="81"/>
      <c r="R143" s="81"/>
      <c r="S143" s="81"/>
      <c r="T143" s="81"/>
      <c r="U143" s="81"/>
      <c r="V143" s="81"/>
      <c r="W143" s="81"/>
      <c r="X143" s="81"/>
      <c r="Y143" s="81"/>
    </row>
    <row r="144" spans="3:27" x14ac:dyDescent="0.3">
      <c r="C144" s="88"/>
      <c r="D144"/>
      <c r="J144" s="98"/>
      <c r="K144" s="98"/>
      <c r="L144" s="98"/>
      <c r="M144" s="98"/>
      <c r="N144" s="98"/>
      <c r="O144" s="98"/>
      <c r="P144" s="98"/>
      <c r="Q144" s="98"/>
      <c r="R144" s="98"/>
      <c r="S144" s="98"/>
      <c r="T144" s="98"/>
      <c r="U144" s="98"/>
      <c r="V144" s="98"/>
      <c r="W144" s="98"/>
      <c r="X144" s="98"/>
      <c r="Y144" s="98"/>
    </row>
    <row r="145" spans="3:27" x14ac:dyDescent="0.3">
      <c r="C145" s="88"/>
      <c r="E145" s="32" t="s">
        <v>622</v>
      </c>
      <c r="J145" s="98"/>
      <c r="K145" s="98"/>
      <c r="L145" s="98"/>
      <c r="M145" s="98"/>
      <c r="N145" s="98"/>
      <c r="O145" s="98"/>
      <c r="P145" s="98"/>
      <c r="Q145" s="98"/>
      <c r="R145" s="98"/>
      <c r="S145" s="98"/>
      <c r="T145" s="98"/>
      <c r="U145" s="98"/>
      <c r="V145" s="98"/>
      <c r="W145" s="98"/>
      <c r="X145" s="98"/>
      <c r="Y145" s="98"/>
    </row>
    <row r="146" spans="3:27" x14ac:dyDescent="0.3">
      <c r="C146" s="88"/>
      <c r="F146" s="23" t="s">
        <v>189</v>
      </c>
      <c r="G146" s="23" t="s">
        <v>271</v>
      </c>
      <c r="H146" s="23"/>
      <c r="I146" s="23"/>
      <c r="J146" s="153">
        <f t="shared" ref="J146:K146" si="32">hundred*J94*$H65*J80/$H37/days_in_year/(1+$H23)*PowerFactor</f>
        <v>0</v>
      </c>
      <c r="K146" s="153">
        <f t="shared" si="32"/>
        <v>0</v>
      </c>
      <c r="L146" s="153">
        <f t="shared" ref="L146:M146" si="33">hundred*L94*$H65*L80/$H37/days_in_year/(1+$H23)*PowerFactor</f>
        <v>0</v>
      </c>
      <c r="M146" s="153">
        <f t="shared" si="33"/>
        <v>0</v>
      </c>
      <c r="N146" s="153">
        <f t="shared" ref="N146:P146" si="34">hundred*N94*$H65*N80/$H37/days_in_year/(1+$H23)*PowerFactor</f>
        <v>0</v>
      </c>
      <c r="O146" s="153">
        <f t="shared" si="34"/>
        <v>0</v>
      </c>
      <c r="P146" s="153">
        <f t="shared" si="34"/>
        <v>0</v>
      </c>
      <c r="Q146" s="153">
        <f t="shared" ref="Q146" si="35">hundred*Q94*$H65*Q80/$H37/days_in_year/(1+$H23)*PowerFactor</f>
        <v>0</v>
      </c>
      <c r="R146" s="83"/>
      <c r="S146" s="83"/>
      <c r="T146" s="83"/>
      <c r="U146" s="83"/>
      <c r="V146" s="83"/>
      <c r="W146" s="83"/>
      <c r="X146" s="83"/>
      <c r="Y146" s="83"/>
    </row>
    <row r="147" spans="3:27" x14ac:dyDescent="0.3">
      <c r="C147" s="88"/>
      <c r="F147" t="s">
        <v>191</v>
      </c>
      <c r="G147" t="s">
        <v>271</v>
      </c>
      <c r="J147" s="98">
        <f t="shared" ref="J147:K147" si="36">hundred*J94*$H66*J81/$H38/days_in_year/(1+$H24)*PowerFactor</f>
        <v>0</v>
      </c>
      <c r="K147" s="98">
        <f t="shared" si="36"/>
        <v>0</v>
      </c>
      <c r="L147" s="98">
        <f t="shared" ref="L147:M147" si="37">hundred*L94*$H66*L81/$H38/days_in_year/(1+$H24)*PowerFactor</f>
        <v>0</v>
      </c>
      <c r="M147" s="98">
        <f t="shared" si="37"/>
        <v>0</v>
      </c>
      <c r="N147" s="98">
        <f t="shared" ref="N147:P147" si="38">hundred*N94*$H66*N81/$H38/days_in_year/(1+$H24)*PowerFactor</f>
        <v>0</v>
      </c>
      <c r="O147" s="98">
        <f t="shared" si="38"/>
        <v>0</v>
      </c>
      <c r="P147" s="98">
        <f t="shared" si="38"/>
        <v>0</v>
      </c>
      <c r="Q147" s="98">
        <f t="shared" ref="Q147" si="39">hundred*Q94*$H66*Q81/$H38/days_in_year/(1+$H24)*PowerFactor</f>
        <v>0</v>
      </c>
      <c r="R147" s="79"/>
      <c r="S147" s="79"/>
      <c r="T147" s="79"/>
      <c r="U147" s="79"/>
      <c r="V147" s="79"/>
      <c r="W147" s="79"/>
      <c r="X147" s="79"/>
      <c r="Y147" s="79"/>
    </row>
    <row r="148" spans="3:27" x14ac:dyDescent="0.3">
      <c r="C148" s="88"/>
      <c r="F148" t="s">
        <v>192</v>
      </c>
      <c r="G148" t="s">
        <v>271</v>
      </c>
      <c r="J148" s="98">
        <f t="shared" ref="J148:K148" si="40">hundred*J95*$H67*J82/$H39/days_in_year/(1+$H25)*PowerFactor</f>
        <v>0</v>
      </c>
      <c r="K148" s="98">
        <f t="shared" si="40"/>
        <v>0</v>
      </c>
      <c r="L148" s="98">
        <f t="shared" ref="L148:M148" si="41">hundred*L95*$H67*L82/$H39/days_in_year/(1+$H25)*PowerFactor</f>
        <v>0</v>
      </c>
      <c r="M148" s="98">
        <f t="shared" si="41"/>
        <v>0</v>
      </c>
      <c r="N148" s="98">
        <f t="shared" ref="N148:P148" si="42">hundred*N95*$H67*N82/$H39/days_in_year/(1+$H25)*PowerFactor</f>
        <v>0</v>
      </c>
      <c r="O148" s="98">
        <f t="shared" si="42"/>
        <v>0</v>
      </c>
      <c r="P148" s="98">
        <f t="shared" si="42"/>
        <v>0.11899702953462928</v>
      </c>
      <c r="Q148" s="98">
        <f t="shared" ref="Q148" si="43">hundred*Q95*$H67*Q82/$H39/days_in_year/(1+$H25)*PowerFactor</f>
        <v>0</v>
      </c>
      <c r="R148" s="79"/>
      <c r="S148" s="79"/>
      <c r="T148" s="79"/>
      <c r="U148" s="79"/>
      <c r="V148" s="79"/>
      <c r="W148" s="79"/>
      <c r="X148" s="79"/>
      <c r="Y148" s="79"/>
    </row>
    <row r="149" spans="3:27" x14ac:dyDescent="0.3">
      <c r="C149" s="88"/>
      <c r="F149" t="s">
        <v>193</v>
      </c>
      <c r="G149" t="s">
        <v>271</v>
      </c>
      <c r="J149" s="98">
        <f t="shared" ref="J149:K149" si="44">hundred*J96*$H68*J83/$H40/days_in_year/(1+$H26)*PowerFactor</f>
        <v>0</v>
      </c>
      <c r="K149" s="98">
        <f t="shared" si="44"/>
        <v>0</v>
      </c>
      <c r="L149" s="98">
        <f t="shared" ref="L149:M149" si="45">hundred*L96*$H68*L83/$H40/days_in_year/(1+$H26)*PowerFactor</f>
        <v>0</v>
      </c>
      <c r="M149" s="98">
        <f t="shared" si="45"/>
        <v>0</v>
      </c>
      <c r="N149" s="98">
        <f t="shared" ref="N149:P149" si="46">hundred*N96*$H68*N83/$H40/days_in_year/(1+$H26)*PowerFactor</f>
        <v>0</v>
      </c>
      <c r="O149" s="98">
        <f t="shared" si="46"/>
        <v>0</v>
      </c>
      <c r="P149" s="98">
        <f t="shared" si="46"/>
        <v>0</v>
      </c>
      <c r="Q149" s="98">
        <f t="shared" ref="Q149" si="47">hundred*Q96*$H68*Q83/$H40/days_in_year/(1+$H26)*PowerFactor</f>
        <v>0</v>
      </c>
      <c r="R149" s="79"/>
      <c r="S149" s="79"/>
      <c r="T149" s="79"/>
      <c r="U149" s="79"/>
      <c r="V149" s="79"/>
      <c r="W149" s="79"/>
      <c r="X149" s="79"/>
      <c r="Y149" s="79"/>
    </row>
    <row r="150" spans="3:27" x14ac:dyDescent="0.3">
      <c r="C150" s="88"/>
      <c r="F150" t="s">
        <v>194</v>
      </c>
      <c r="G150" t="s">
        <v>271</v>
      </c>
      <c r="J150" s="98">
        <f t="shared" ref="J150:K150" si="48">hundred*J97*$H69*J84/$H41/days_in_year/(1+$H27)*PowerFactor</f>
        <v>0</v>
      </c>
      <c r="K150" s="98">
        <f t="shared" si="48"/>
        <v>0</v>
      </c>
      <c r="L150" s="98">
        <f t="shared" ref="L150:M150" si="49">hundred*L97*$H69*L84/$H41/days_in_year/(1+$H27)*PowerFactor</f>
        <v>0</v>
      </c>
      <c r="M150" s="98">
        <f t="shared" si="49"/>
        <v>0</v>
      </c>
      <c r="N150" s="98">
        <f t="shared" ref="N150:P150" si="50">hundred*N97*$H69*N84/$H41/days_in_year/(1+$H27)*PowerFactor</f>
        <v>0</v>
      </c>
      <c r="O150" s="98">
        <f t="shared" si="50"/>
        <v>0</v>
      </c>
      <c r="P150" s="98">
        <f t="shared" si="50"/>
        <v>4.0273966866886647E-2</v>
      </c>
      <c r="Q150" s="98">
        <f t="shared" ref="Q150" si="51">hundred*Q97*$H69*Q84/$H41/days_in_year/(1+$H27)*PowerFactor</f>
        <v>0</v>
      </c>
      <c r="R150" s="79"/>
      <c r="S150" s="79"/>
      <c r="T150" s="79"/>
      <c r="U150" s="79"/>
      <c r="V150" s="79"/>
      <c r="W150" s="79"/>
      <c r="X150" s="79"/>
      <c r="Y150" s="79"/>
    </row>
    <row r="151" spans="3:27" x14ac:dyDescent="0.3">
      <c r="C151" s="88"/>
      <c r="F151" t="s">
        <v>195</v>
      </c>
      <c r="G151" t="s">
        <v>271</v>
      </c>
      <c r="J151" s="98">
        <f t="shared" ref="J151:K151" si="52">hundred*J98*$H70*J85/$H42/days_in_year/(1+$H28)*PowerFactor</f>
        <v>0</v>
      </c>
      <c r="K151" s="98">
        <f t="shared" si="52"/>
        <v>0</v>
      </c>
      <c r="L151" s="98">
        <f t="shared" ref="L151:M151" si="53">hundred*L98*$H70*L85/$H42/days_in_year/(1+$H28)*PowerFactor</f>
        <v>0</v>
      </c>
      <c r="M151" s="98">
        <f t="shared" si="53"/>
        <v>0</v>
      </c>
      <c r="N151" s="98">
        <f t="shared" ref="N151:P151" si="54">hundred*N98*$H70*N85/$H42/days_in_year/(1+$H28)*PowerFactor</f>
        <v>0</v>
      </c>
      <c r="O151" s="98">
        <f t="shared" si="54"/>
        <v>0</v>
      </c>
      <c r="P151" s="98">
        <f t="shared" si="54"/>
        <v>0.38817824165910414</v>
      </c>
      <c r="Q151" s="98">
        <f t="shared" ref="Q151" si="55">hundred*Q98*$H70*Q85/$H42/days_in_year/(1+$H28)*PowerFactor</f>
        <v>0</v>
      </c>
      <c r="R151" s="79"/>
      <c r="S151" s="79"/>
      <c r="T151" s="79"/>
      <c r="U151" s="79"/>
      <c r="V151" s="79"/>
      <c r="W151" s="79"/>
      <c r="X151" s="79"/>
      <c r="Y151" s="79"/>
    </row>
    <row r="152" spans="3:27" x14ac:dyDescent="0.3">
      <c r="C152" s="88"/>
      <c r="F152" t="s">
        <v>196</v>
      </c>
      <c r="G152" t="s">
        <v>271</v>
      </c>
      <c r="J152" s="98">
        <f t="shared" ref="J152:K152" si="56">hundred*J99*$H71*J86/$H43/days_in_year/(1+$H29)*PowerFactor</f>
        <v>0</v>
      </c>
      <c r="K152" s="98">
        <f t="shared" si="56"/>
        <v>0</v>
      </c>
      <c r="L152" s="98">
        <f t="shared" ref="L152:M152" si="57">hundred*L99*$H71*L86/$H43/days_in_year/(1+$H29)*PowerFactor</f>
        <v>0</v>
      </c>
      <c r="M152" s="98">
        <f t="shared" si="57"/>
        <v>0</v>
      </c>
      <c r="N152" s="98">
        <f t="shared" ref="N152:P152" si="58">hundred*N99*$H71*N86/$H43/days_in_year/(1+$H29)*PowerFactor</f>
        <v>0</v>
      </c>
      <c r="O152" s="98">
        <f t="shared" si="58"/>
        <v>0</v>
      </c>
      <c r="P152" s="98">
        <f t="shared" si="58"/>
        <v>0.42546359390492272</v>
      </c>
      <c r="Q152" s="98">
        <f t="shared" ref="Q152" si="59">hundred*Q99*$H71*Q86/$H43/days_in_year/(1+$H29)*PowerFactor</f>
        <v>0</v>
      </c>
      <c r="R152" s="79"/>
      <c r="S152" s="79"/>
      <c r="T152" s="79"/>
      <c r="U152" s="79"/>
      <c r="V152" s="79"/>
      <c r="W152" s="79"/>
      <c r="X152" s="79"/>
      <c r="Y152" s="79"/>
    </row>
    <row r="153" spans="3:27" x14ac:dyDescent="0.3">
      <c r="C153" s="88"/>
      <c r="F153" t="s">
        <v>197</v>
      </c>
      <c r="G153" t="s">
        <v>271</v>
      </c>
      <c r="J153" s="98">
        <f t="shared" ref="J153:K153" si="60">hundred*J100*$H72*J87/$H44/days_in_year/(1+$H30)*PowerFactor</f>
        <v>0</v>
      </c>
      <c r="K153" s="98">
        <f t="shared" si="60"/>
        <v>0</v>
      </c>
      <c r="L153" s="98">
        <f t="shared" ref="L153:M153" si="61">hundred*L100*$H72*L87/$H44/days_in_year/(1+$H30)*PowerFactor</f>
        <v>0</v>
      </c>
      <c r="M153" s="98">
        <f t="shared" si="61"/>
        <v>0</v>
      </c>
      <c r="N153" s="98">
        <f t="shared" ref="N153:P153" si="62">hundred*N100*$H72*N87/$H44/days_in_year/(1+$H30)*PowerFactor</f>
        <v>0.38343052098300379</v>
      </c>
      <c r="O153" s="98">
        <f t="shared" si="62"/>
        <v>1.8766989260957108</v>
      </c>
      <c r="P153" s="98">
        <f t="shared" si="62"/>
        <v>1.8485572364822793</v>
      </c>
      <c r="Q153" s="98">
        <f t="shared" ref="Q153" si="63">hundred*Q100*$H72*Q87/$H44/days_in_year/(1+$H30)*PowerFactor</f>
        <v>0</v>
      </c>
      <c r="R153" s="79"/>
      <c r="S153" s="79"/>
      <c r="T153" s="79"/>
      <c r="U153" s="79"/>
      <c r="V153" s="79"/>
      <c r="W153" s="79"/>
      <c r="X153" s="79"/>
      <c r="Y153" s="79"/>
    </row>
    <row r="154" spans="3:27" x14ac:dyDescent="0.3">
      <c r="C154" s="88"/>
      <c r="F154" t="s">
        <v>198</v>
      </c>
      <c r="G154" t="s">
        <v>271</v>
      </c>
      <c r="J154" s="98">
        <f t="shared" ref="J154:K154" si="64">hundred*J101*$H73*J88/$H45/days_in_year/(1+$H31)*PowerFactor</f>
        <v>0</v>
      </c>
      <c r="K154" s="98">
        <f t="shared" si="64"/>
        <v>0</v>
      </c>
      <c r="L154" s="98">
        <f t="shared" ref="L154:M154" si="65">hundred*L101*$H73*L88/$H45/days_in_year/(1+$H31)*PowerFactor</f>
        <v>0</v>
      </c>
      <c r="M154" s="98">
        <f t="shared" si="65"/>
        <v>0</v>
      </c>
      <c r="N154" s="98">
        <f t="shared" ref="N154:P154" si="66">hundred*N101*$H73*N88/$H45/days_in_year/(1+$H31)*PowerFactor</f>
        <v>0.93405155726506017</v>
      </c>
      <c r="O154" s="98">
        <f t="shared" si="66"/>
        <v>0.91434221247873304</v>
      </c>
      <c r="P154" s="98">
        <f t="shared" si="66"/>
        <v>0</v>
      </c>
      <c r="Q154" s="98">
        <f t="shared" ref="Q154" si="67">hundred*Q101*$H73*Q88/$H45/days_in_year/(1+$H31)*PowerFactor</f>
        <v>0</v>
      </c>
      <c r="R154" s="79"/>
      <c r="S154" s="79"/>
      <c r="T154" s="79"/>
      <c r="U154" s="79"/>
      <c r="V154" s="79"/>
      <c r="W154" s="79"/>
      <c r="X154" s="79"/>
      <c r="Y154" s="79"/>
    </row>
    <row r="155" spans="3:27" x14ac:dyDescent="0.3">
      <c r="C155" s="88"/>
      <c r="F155" t="s">
        <v>199</v>
      </c>
      <c r="G155" t="s">
        <v>271</v>
      </c>
      <c r="J155" s="98">
        <f t="shared" ref="J155:K155" si="68">hundred*J102*$H74*J89/$H46/days_in_year/(1+$H32)*PowerFactor</f>
        <v>1.9226316761571092</v>
      </c>
      <c r="K155" s="98">
        <f t="shared" si="68"/>
        <v>1.9226316761571092</v>
      </c>
      <c r="L155" s="98">
        <f t="shared" ref="L155:M155" si="69">hundred*L102*$H74*L89/$H46/days_in_year/(1+$H32)*PowerFactor</f>
        <v>1.9226316761571092</v>
      </c>
      <c r="M155" s="98">
        <f t="shared" si="69"/>
        <v>1.9226316761571092</v>
      </c>
      <c r="N155" s="98">
        <f t="shared" ref="N155:P155" si="70">hundred*N102*$H74*N89/$H46/days_in_year/(1+$H32)*PowerFactor</f>
        <v>1.9226316761571092</v>
      </c>
      <c r="O155" s="98">
        <f t="shared" si="70"/>
        <v>0</v>
      </c>
      <c r="P155" s="98">
        <f t="shared" si="70"/>
        <v>0</v>
      </c>
      <c r="Q155" s="98">
        <f t="shared" ref="Q155" si="71">hundred*Q102*$H74*Q89/$H46/days_in_year/(1+$H32)*PowerFactor</f>
        <v>0</v>
      </c>
      <c r="R155" s="79"/>
      <c r="S155" s="79"/>
      <c r="T155" s="79"/>
      <c r="U155" s="79"/>
      <c r="V155" s="79"/>
      <c r="W155" s="79"/>
      <c r="X155" s="79"/>
      <c r="Y155" s="79"/>
    </row>
    <row r="156" spans="3:27" x14ac:dyDescent="0.3">
      <c r="C156" s="88"/>
      <c r="D156"/>
      <c r="F156" t="s">
        <v>376</v>
      </c>
      <c r="G156" t="s">
        <v>271</v>
      </c>
      <c r="J156" s="79"/>
      <c r="K156" s="79"/>
      <c r="L156" s="79"/>
      <c r="M156" s="79"/>
      <c r="N156" s="79"/>
      <c r="O156" s="79"/>
      <c r="P156" s="79"/>
      <c r="Q156" s="79"/>
      <c r="R156" s="79"/>
      <c r="S156" s="79"/>
      <c r="T156" s="79"/>
      <c r="U156" s="79"/>
      <c r="V156" s="79"/>
      <c r="W156" s="79"/>
      <c r="X156" s="79"/>
      <c r="Y156" s="79"/>
    </row>
    <row r="157" spans="3:27" x14ac:dyDescent="0.3">
      <c r="C157" s="88"/>
      <c r="D157"/>
      <c r="F157" s="37" t="s">
        <v>377</v>
      </c>
      <c r="G157" s="37" t="s">
        <v>271</v>
      </c>
      <c r="H157" s="37"/>
      <c r="I157" s="37"/>
      <c r="J157" s="81"/>
      <c r="K157" s="81"/>
      <c r="L157" s="81"/>
      <c r="M157" s="81"/>
      <c r="N157" s="81"/>
      <c r="O157" s="81"/>
      <c r="P157" s="81"/>
      <c r="Q157" s="81"/>
      <c r="R157" s="81"/>
      <c r="S157" s="81"/>
      <c r="T157" s="81"/>
      <c r="U157" s="81"/>
      <c r="V157" s="81"/>
      <c r="W157" s="81"/>
      <c r="X157" s="81"/>
      <c r="Y157" s="81"/>
    </row>
    <row r="158" spans="3:27" x14ac:dyDescent="0.3">
      <c r="C158" s="88"/>
      <c r="J158" s="98"/>
      <c r="K158" s="98"/>
      <c r="L158" s="98"/>
      <c r="M158" s="98"/>
      <c r="N158" s="98"/>
      <c r="O158" s="98"/>
      <c r="P158" s="98"/>
      <c r="Q158" s="98"/>
      <c r="R158" s="98"/>
      <c r="S158" s="98"/>
      <c r="T158" s="98"/>
      <c r="U158" s="98"/>
      <c r="V158" s="98"/>
      <c r="W158" s="98"/>
      <c r="X158" s="98"/>
      <c r="Y158" s="98"/>
    </row>
    <row r="159" spans="3:27" x14ac:dyDescent="0.3">
      <c r="C159" s="31" t="str">
        <f ca="1">INDEX('Version control'!$H$34:$H$57,MATCH($A$1,'Version control'!$F$34:$F$57,0),1)&amp;"-C: Exceeded capacity-based charge elements"</f>
        <v>Section 112-C: Exceeded capacity-based charge elements</v>
      </c>
      <c r="D159" s="31"/>
      <c r="E159" s="31"/>
      <c r="F159" s="31"/>
      <c r="G159" s="31"/>
      <c r="H159" s="31"/>
      <c r="I159" s="31"/>
      <c r="J159" s="90"/>
      <c r="K159" s="90"/>
      <c r="L159" s="90"/>
      <c r="M159" s="90"/>
      <c r="N159" s="90"/>
      <c r="O159" s="90"/>
      <c r="P159" s="90"/>
      <c r="Q159" s="90"/>
      <c r="R159" s="90"/>
      <c r="S159" s="90"/>
      <c r="T159" s="90"/>
      <c r="U159" s="90"/>
      <c r="V159" s="90"/>
      <c r="W159" s="90"/>
      <c r="X159" s="90"/>
      <c r="Y159" s="90"/>
      <c r="Z159" s="31"/>
      <c r="AA159" s="31"/>
    </row>
    <row r="160" spans="3:27" x14ac:dyDescent="0.3">
      <c r="J160" s="89"/>
      <c r="K160" s="89"/>
      <c r="L160" s="89"/>
      <c r="M160" s="89"/>
      <c r="N160" s="89"/>
      <c r="O160" s="89"/>
      <c r="P160" s="89"/>
      <c r="Q160" s="89"/>
      <c r="R160" s="89"/>
      <c r="S160" s="89"/>
      <c r="T160" s="89"/>
      <c r="U160" s="89"/>
      <c r="V160" s="89"/>
      <c r="W160" s="89"/>
      <c r="X160" s="89"/>
      <c r="Y160" s="89"/>
    </row>
    <row r="161" spans="3:25" x14ac:dyDescent="0.3">
      <c r="C161" s="88"/>
      <c r="E161" s="32" t="s">
        <v>621</v>
      </c>
      <c r="J161" s="89"/>
      <c r="K161" s="89"/>
      <c r="L161" s="89"/>
      <c r="M161" s="89"/>
      <c r="N161" s="89"/>
      <c r="O161" s="89"/>
      <c r="P161" s="89"/>
      <c r="Q161" s="89"/>
      <c r="R161" s="89"/>
      <c r="S161" s="89"/>
      <c r="T161" s="89"/>
      <c r="U161" s="89"/>
      <c r="V161" s="89"/>
      <c r="W161" s="89"/>
      <c r="X161" s="89"/>
      <c r="Y161" s="89"/>
    </row>
    <row r="162" spans="3:25" x14ac:dyDescent="0.3">
      <c r="C162" s="88"/>
      <c r="F162" s="23" t="s">
        <v>189</v>
      </c>
      <c r="G162" s="23" t="s">
        <v>271</v>
      </c>
      <c r="H162" s="23"/>
      <c r="I162" s="23"/>
      <c r="J162" s="83"/>
      <c r="K162" s="83"/>
      <c r="L162" s="83"/>
      <c r="M162" s="83"/>
      <c r="N162" s="83"/>
      <c r="O162" s="83"/>
      <c r="P162" s="83"/>
      <c r="Q162" s="83"/>
      <c r="R162" s="83"/>
      <c r="S162" s="83"/>
      <c r="T162" s="83"/>
      <c r="U162" s="83"/>
      <c r="V162" s="83"/>
      <c r="W162" s="83"/>
      <c r="X162" s="83"/>
      <c r="Y162" s="83"/>
    </row>
    <row r="163" spans="3:25" x14ac:dyDescent="0.3">
      <c r="C163" s="88"/>
      <c r="F163" t="s">
        <v>191</v>
      </c>
      <c r="G163" t="s">
        <v>271</v>
      </c>
      <c r="J163" s="79"/>
      <c r="K163" s="79"/>
      <c r="L163" s="79"/>
      <c r="M163" s="79"/>
      <c r="N163" s="79"/>
      <c r="O163" s="79"/>
      <c r="P163" s="79"/>
      <c r="Q163" s="79"/>
      <c r="R163" s="79"/>
      <c r="S163" s="79"/>
      <c r="T163" s="79"/>
      <c r="U163" s="79"/>
      <c r="V163" s="79"/>
      <c r="W163" s="79"/>
      <c r="X163" s="79"/>
      <c r="Y163" s="79"/>
    </row>
    <row r="164" spans="3:25" x14ac:dyDescent="0.3">
      <c r="C164" s="88"/>
      <c r="F164" t="s">
        <v>192</v>
      </c>
      <c r="G164" t="s">
        <v>271</v>
      </c>
      <c r="J164" s="98">
        <f t="shared" ref="J164:K164" si="72">hundred*J95*$H53*J82/$H39/days_in_year/(1+$H25)*PowerFactor</f>
        <v>0</v>
      </c>
      <c r="K164" s="98">
        <f t="shared" si="72"/>
        <v>0</v>
      </c>
      <c r="L164" s="98">
        <f t="shared" ref="L164:M164" si="73">hundred*L95*$H53*L82/$H39/days_in_year/(1+$H25)*PowerFactor</f>
        <v>0</v>
      </c>
      <c r="M164" s="98">
        <f t="shared" si="73"/>
        <v>0</v>
      </c>
      <c r="N164" s="98">
        <f t="shared" ref="N164:P164" si="74">hundred*N95*$H53*N82/$H39/days_in_year/(1+$H25)*PowerFactor</f>
        <v>0</v>
      </c>
      <c r="O164" s="98">
        <f t="shared" si="74"/>
        <v>0</v>
      </c>
      <c r="P164" s="98">
        <f t="shared" si="74"/>
        <v>0.1694843797437631</v>
      </c>
      <c r="Q164" s="98">
        <f t="shared" ref="Q164" si="75">hundred*Q95*$H53*Q82/$H39/days_in_year/(1+$H25)*PowerFactor</f>
        <v>0</v>
      </c>
      <c r="R164" s="79"/>
      <c r="S164" s="79"/>
      <c r="T164" s="79"/>
      <c r="U164" s="79"/>
      <c r="V164" s="79"/>
      <c r="W164" s="79"/>
      <c r="X164" s="79"/>
      <c r="Y164" s="79"/>
    </row>
    <row r="165" spans="3:25" x14ac:dyDescent="0.3">
      <c r="C165" s="88"/>
      <c r="F165" t="s">
        <v>193</v>
      </c>
      <c r="G165" t="s">
        <v>271</v>
      </c>
      <c r="J165" s="98">
        <f t="shared" ref="J165:K165" si="76">hundred*J96*$H54*J83/$H40/days_in_year/(1+$H26)*PowerFactor</f>
        <v>0</v>
      </c>
      <c r="K165" s="98">
        <f t="shared" si="76"/>
        <v>0</v>
      </c>
      <c r="L165" s="98">
        <f t="shared" ref="L165:M165" si="77">hundred*L96*$H54*L83/$H40/days_in_year/(1+$H26)*PowerFactor</f>
        <v>0</v>
      </c>
      <c r="M165" s="98">
        <f t="shared" si="77"/>
        <v>0</v>
      </c>
      <c r="N165" s="98">
        <f t="shared" ref="N165:P165" si="78">hundred*N96*$H54*N83/$H40/days_in_year/(1+$H26)*PowerFactor</f>
        <v>0</v>
      </c>
      <c r="O165" s="98">
        <f t="shared" si="78"/>
        <v>0</v>
      </c>
      <c r="P165" s="98">
        <f t="shared" si="78"/>
        <v>0</v>
      </c>
      <c r="Q165" s="98">
        <f t="shared" ref="Q165" si="79">hundred*Q96*$H54*Q83/$H40/days_in_year/(1+$H26)*PowerFactor</f>
        <v>0</v>
      </c>
      <c r="R165" s="79"/>
      <c r="S165" s="79"/>
      <c r="T165" s="79"/>
      <c r="U165" s="79"/>
      <c r="V165" s="79"/>
      <c r="W165" s="79"/>
      <c r="X165" s="79"/>
      <c r="Y165" s="79"/>
    </row>
    <row r="166" spans="3:25" x14ac:dyDescent="0.3">
      <c r="C166" s="88"/>
      <c r="F166" t="s">
        <v>194</v>
      </c>
      <c r="G166" t="s">
        <v>271</v>
      </c>
      <c r="J166" s="98">
        <f t="shared" ref="J166:K166" si="80">hundred*J97*$H55*J84/$H41/days_in_year/(1+$H27)*PowerFactor</f>
        <v>0</v>
      </c>
      <c r="K166" s="98">
        <f t="shared" si="80"/>
        <v>0</v>
      </c>
      <c r="L166" s="98">
        <f t="shared" ref="L166:M166" si="81">hundred*L97*$H55*L84/$H41/days_in_year/(1+$H27)*PowerFactor</f>
        <v>0</v>
      </c>
      <c r="M166" s="98">
        <f t="shared" si="81"/>
        <v>0</v>
      </c>
      <c r="N166" s="98">
        <f t="shared" ref="N166:P166" si="82">hundred*N97*$H55*N84/$H41/days_in_year/(1+$H27)*PowerFactor</f>
        <v>0</v>
      </c>
      <c r="O166" s="98">
        <f t="shared" si="82"/>
        <v>0</v>
      </c>
      <c r="P166" s="98">
        <f t="shared" si="82"/>
        <v>5.7361165408492627E-2</v>
      </c>
      <c r="Q166" s="98">
        <f t="shared" ref="Q166" si="83">hundred*Q97*$H55*Q84/$H41/days_in_year/(1+$H27)*PowerFactor</f>
        <v>0</v>
      </c>
      <c r="R166" s="79"/>
      <c r="S166" s="79"/>
      <c r="T166" s="79"/>
      <c r="U166" s="79"/>
      <c r="V166" s="79"/>
      <c r="W166" s="79"/>
      <c r="X166" s="79"/>
      <c r="Y166" s="79"/>
    </row>
    <row r="167" spans="3:25" x14ac:dyDescent="0.3">
      <c r="C167" s="88"/>
      <c r="F167" t="s">
        <v>195</v>
      </c>
      <c r="G167" t="s">
        <v>271</v>
      </c>
      <c r="J167" s="98">
        <f t="shared" ref="J167:K167" si="84">hundred*J98*$H56*J85/$H42/days_in_year/(1+$H28)*PowerFactor</f>
        <v>0</v>
      </c>
      <c r="K167" s="98">
        <f t="shared" si="84"/>
        <v>0</v>
      </c>
      <c r="L167" s="98">
        <f t="shared" ref="L167:M167" si="85">hundred*L98*$H56*L85/$H42/days_in_year/(1+$H28)*PowerFactor</f>
        <v>0</v>
      </c>
      <c r="M167" s="98">
        <f t="shared" si="85"/>
        <v>0</v>
      </c>
      <c r="N167" s="98">
        <f t="shared" ref="N167:P167" si="86">hundred*N98*$H56*N85/$H42/days_in_year/(1+$H28)*PowerFactor</f>
        <v>0</v>
      </c>
      <c r="O167" s="98">
        <f t="shared" si="86"/>
        <v>0</v>
      </c>
      <c r="P167" s="98">
        <f t="shared" si="86"/>
        <v>0.55287219164132417</v>
      </c>
      <c r="Q167" s="98">
        <f t="shared" ref="Q167" si="87">hundred*Q98*$H56*Q85/$H42/days_in_year/(1+$H28)*PowerFactor</f>
        <v>0</v>
      </c>
      <c r="R167" s="79"/>
      <c r="S167" s="79"/>
      <c r="T167" s="79"/>
      <c r="U167" s="79"/>
      <c r="V167" s="79"/>
      <c r="W167" s="79"/>
      <c r="X167" s="79"/>
      <c r="Y167" s="79"/>
    </row>
    <row r="168" spans="3:25" x14ac:dyDescent="0.3">
      <c r="C168" s="88"/>
      <c r="F168" t="s">
        <v>196</v>
      </c>
      <c r="G168" t="s">
        <v>271</v>
      </c>
      <c r="J168" s="98">
        <f t="shared" ref="J168:K168" si="88">hundred*J99*$H57*J86/$H43/days_in_year/(1+$H29)*PowerFactor</f>
        <v>0</v>
      </c>
      <c r="K168" s="98">
        <f t="shared" si="88"/>
        <v>0</v>
      </c>
      <c r="L168" s="98">
        <f t="shared" ref="L168:M168" si="89">hundred*L99*$H57*L86/$H43/days_in_year/(1+$H29)*PowerFactor</f>
        <v>0</v>
      </c>
      <c r="M168" s="98">
        <f t="shared" si="89"/>
        <v>0</v>
      </c>
      <c r="N168" s="98">
        <f t="shared" ref="N168:P168" si="90">hundred*N99*$H57*N86/$H43/days_in_year/(1+$H29)*PowerFactor</f>
        <v>0</v>
      </c>
      <c r="O168" s="98">
        <f t="shared" si="90"/>
        <v>0</v>
      </c>
      <c r="P168" s="98">
        <f t="shared" si="90"/>
        <v>0.60597675083598301</v>
      </c>
      <c r="Q168" s="98">
        <f t="shared" ref="Q168" si="91">hundred*Q99*$H57*Q86/$H43/days_in_year/(1+$H29)*PowerFactor</f>
        <v>0</v>
      </c>
      <c r="R168" s="79"/>
      <c r="S168" s="79"/>
      <c r="T168" s="79"/>
      <c r="U168" s="79"/>
      <c r="V168" s="79"/>
      <c r="W168" s="79"/>
      <c r="X168" s="79"/>
      <c r="Y168" s="79"/>
    </row>
    <row r="169" spans="3:25" x14ac:dyDescent="0.3">
      <c r="C169" s="88"/>
      <c r="F169" t="s">
        <v>197</v>
      </c>
      <c r="G169" t="s">
        <v>271</v>
      </c>
      <c r="J169" s="98">
        <f t="shared" ref="J169:K169" si="92">hundred*J100*$H58*J87/$H44/days_in_year/(1+$H30)*PowerFactor</f>
        <v>0</v>
      </c>
      <c r="K169" s="98">
        <f t="shared" si="92"/>
        <v>0</v>
      </c>
      <c r="L169" s="98">
        <f t="shared" ref="L169:M169" si="93">hundred*L100*$H58*L87/$H44/days_in_year/(1+$H30)*PowerFactor</f>
        <v>0</v>
      </c>
      <c r="M169" s="98">
        <f t="shared" si="93"/>
        <v>0</v>
      </c>
      <c r="N169" s="98">
        <f t="shared" ref="N169:P169" si="94">hundred*N100*$H58*N87/$H44/days_in_year/(1+$H30)*PowerFactor</f>
        <v>0.54611013634353756</v>
      </c>
      <c r="O169" s="98">
        <f t="shared" si="94"/>
        <v>2.6729335572410755</v>
      </c>
      <c r="P169" s="98">
        <f t="shared" si="94"/>
        <v>2.632852079344302</v>
      </c>
      <c r="Q169" s="98">
        <f t="shared" ref="Q169" si="95">hundred*Q100*$H58*Q87/$H44/days_in_year/(1+$H30)*PowerFactor</f>
        <v>0</v>
      </c>
      <c r="R169" s="79"/>
      <c r="S169" s="79"/>
      <c r="T169" s="79"/>
      <c r="U169" s="79"/>
      <c r="V169" s="79"/>
      <c r="W169" s="79"/>
      <c r="X169" s="79"/>
      <c r="Y169" s="79"/>
    </row>
    <row r="170" spans="3:25" x14ac:dyDescent="0.3">
      <c r="C170" s="88"/>
      <c r="F170" t="s">
        <v>198</v>
      </c>
      <c r="G170" t="s">
        <v>271</v>
      </c>
      <c r="J170" s="98">
        <f t="shared" ref="J170:K170" si="96">hundred*J101*$H59*J88/$H45/days_in_year/(1+$H31)*PowerFactor</f>
        <v>0</v>
      </c>
      <c r="K170" s="98">
        <f t="shared" si="96"/>
        <v>0</v>
      </c>
      <c r="L170" s="98">
        <f t="shared" ref="L170:M170" si="97">hundred*L101*$H59*L88/$H45/days_in_year/(1+$H31)*PowerFactor</f>
        <v>0</v>
      </c>
      <c r="M170" s="98">
        <f t="shared" si="97"/>
        <v>0</v>
      </c>
      <c r="N170" s="98">
        <f t="shared" ref="N170:P170" si="98">hundred*N101*$H59*N88/$H45/days_in_year/(1+$H31)*PowerFactor</f>
        <v>1.3303453829971095</v>
      </c>
      <c r="O170" s="98">
        <f t="shared" si="98"/>
        <v>1.3022738749155187</v>
      </c>
      <c r="P170" s="98">
        <f t="shared" si="98"/>
        <v>0</v>
      </c>
      <c r="Q170" s="98">
        <f t="shared" ref="Q170" si="99">hundred*Q101*$H59*Q88/$H45/days_in_year/(1+$H31)*PowerFactor</f>
        <v>0</v>
      </c>
      <c r="R170" s="79"/>
      <c r="S170" s="79"/>
      <c r="T170" s="79"/>
      <c r="U170" s="79"/>
      <c r="V170" s="79"/>
      <c r="W170" s="79"/>
      <c r="X170" s="79"/>
      <c r="Y170" s="79"/>
    </row>
    <row r="171" spans="3:25" x14ac:dyDescent="0.3">
      <c r="C171" s="88"/>
      <c r="F171" t="s">
        <v>199</v>
      </c>
      <c r="G171" t="s">
        <v>271</v>
      </c>
      <c r="J171" s="98">
        <f t="shared" ref="J171:K171" si="100">hundred*J102*$H60*J89/$H46/days_in_year/(1+$H32)*PowerFactor</f>
        <v>2.7383543806391586</v>
      </c>
      <c r="K171" s="98">
        <f t="shared" si="100"/>
        <v>2.7383543806391586</v>
      </c>
      <c r="L171" s="98">
        <f t="shared" ref="L171:M171" si="101">hundred*L102*$H60*L89/$H46/days_in_year/(1+$H32)*PowerFactor</f>
        <v>2.7383543806391586</v>
      </c>
      <c r="M171" s="98">
        <f t="shared" si="101"/>
        <v>2.7383543806391586</v>
      </c>
      <c r="N171" s="98">
        <f t="shared" ref="N171:P171" si="102">hundred*N102*$H60*N89/$H46/days_in_year/(1+$H32)*PowerFactor</f>
        <v>2.7383543806391586</v>
      </c>
      <c r="O171" s="98">
        <f t="shared" si="102"/>
        <v>0</v>
      </c>
      <c r="P171" s="98">
        <f t="shared" si="102"/>
        <v>0</v>
      </c>
      <c r="Q171" s="98">
        <f t="shared" ref="Q171" si="103">hundred*Q102*$H60*Q89/$H46/days_in_year/(1+$H32)*PowerFactor</f>
        <v>0</v>
      </c>
      <c r="R171" s="79"/>
      <c r="S171" s="79"/>
      <c r="T171" s="79"/>
      <c r="U171" s="79"/>
      <c r="V171" s="79"/>
      <c r="W171" s="79"/>
      <c r="X171" s="79"/>
      <c r="Y171" s="79"/>
    </row>
    <row r="172" spans="3:25" x14ac:dyDescent="0.3">
      <c r="C172" s="88"/>
      <c r="F172" t="s">
        <v>376</v>
      </c>
      <c r="G172" t="s">
        <v>271</v>
      </c>
      <c r="J172" s="79"/>
      <c r="K172" s="79"/>
      <c r="L172" s="79"/>
      <c r="M172" s="79"/>
      <c r="N172" s="79"/>
      <c r="O172" s="79"/>
      <c r="P172" s="79"/>
      <c r="Q172" s="79"/>
      <c r="R172" s="79"/>
      <c r="S172" s="79"/>
      <c r="T172" s="79"/>
      <c r="U172" s="79"/>
      <c r="V172" s="79"/>
      <c r="W172" s="79"/>
      <c r="X172" s="79"/>
      <c r="Y172" s="79"/>
    </row>
    <row r="173" spans="3:25" x14ac:dyDescent="0.3">
      <c r="C173" s="88"/>
      <c r="F173" s="37" t="s">
        <v>377</v>
      </c>
      <c r="G173" s="37" t="s">
        <v>271</v>
      </c>
      <c r="H173" s="37"/>
      <c r="I173" s="37"/>
      <c r="J173" s="81"/>
      <c r="K173" s="81"/>
      <c r="L173" s="81"/>
      <c r="M173" s="81"/>
      <c r="N173" s="81"/>
      <c r="O173" s="81"/>
      <c r="P173" s="81"/>
      <c r="Q173" s="81"/>
      <c r="R173" s="81"/>
      <c r="S173" s="81"/>
      <c r="T173" s="81"/>
      <c r="U173" s="81"/>
      <c r="V173" s="81"/>
      <c r="W173" s="81"/>
      <c r="X173" s="81"/>
      <c r="Y173" s="81"/>
    </row>
    <row r="174" spans="3:25" x14ac:dyDescent="0.3">
      <c r="C174" s="88"/>
      <c r="D174"/>
      <c r="J174" s="89"/>
      <c r="K174" s="89"/>
      <c r="L174" s="89"/>
      <c r="M174" s="89"/>
      <c r="N174" s="89"/>
      <c r="O174" s="89"/>
      <c r="P174" s="89"/>
      <c r="Q174" s="89"/>
      <c r="R174" s="89"/>
      <c r="S174" s="89"/>
      <c r="T174" s="89"/>
      <c r="U174" s="89"/>
      <c r="V174" s="89"/>
      <c r="W174" s="89"/>
      <c r="X174" s="89"/>
      <c r="Y174" s="89"/>
    </row>
    <row r="175" spans="3:25" x14ac:dyDescent="0.3">
      <c r="C175" s="88"/>
      <c r="E175" s="32" t="s">
        <v>622</v>
      </c>
      <c r="J175" s="89"/>
      <c r="K175" s="89"/>
      <c r="L175" s="89"/>
      <c r="M175" s="89"/>
      <c r="N175" s="89"/>
      <c r="O175" s="89"/>
      <c r="P175" s="89"/>
      <c r="Q175" s="89"/>
      <c r="R175" s="89"/>
      <c r="S175" s="89"/>
      <c r="T175" s="89"/>
      <c r="U175" s="89"/>
      <c r="V175" s="89"/>
      <c r="W175" s="89"/>
      <c r="X175" s="89"/>
      <c r="Y175" s="89"/>
    </row>
    <row r="176" spans="3:25" x14ac:dyDescent="0.3">
      <c r="C176" s="88"/>
      <c r="F176" s="23" t="s">
        <v>189</v>
      </c>
      <c r="G176" s="23" t="s">
        <v>271</v>
      </c>
      <c r="H176" s="23"/>
      <c r="I176" s="23"/>
      <c r="J176" s="153">
        <f t="shared" ref="J176:K176" si="104">hundred*J94*$H65*J80/$H37/days_in_year/(1+$H23)*PowerFactor</f>
        <v>0</v>
      </c>
      <c r="K176" s="153">
        <f t="shared" si="104"/>
        <v>0</v>
      </c>
      <c r="L176" s="153">
        <f t="shared" ref="L176:M176" si="105">hundred*L94*$H65*L80/$H37/days_in_year/(1+$H23)*PowerFactor</f>
        <v>0</v>
      </c>
      <c r="M176" s="153">
        <f t="shared" si="105"/>
        <v>0</v>
      </c>
      <c r="N176" s="153">
        <f t="shared" ref="N176:P176" si="106">hundred*N94*$H65*N80/$H37/days_in_year/(1+$H23)*PowerFactor</f>
        <v>0</v>
      </c>
      <c r="O176" s="153">
        <f t="shared" si="106"/>
        <v>0</v>
      </c>
      <c r="P176" s="153">
        <f t="shared" si="106"/>
        <v>0</v>
      </c>
      <c r="Q176" s="153">
        <f t="shared" ref="Q176" si="107">hundred*Q94*$H65*Q80/$H37/days_in_year/(1+$H23)*PowerFactor</f>
        <v>0</v>
      </c>
      <c r="R176" s="83"/>
      <c r="S176" s="83"/>
      <c r="T176" s="83"/>
      <c r="U176" s="83"/>
      <c r="V176" s="83"/>
      <c r="W176" s="83"/>
      <c r="X176" s="83"/>
      <c r="Y176" s="83"/>
    </row>
    <row r="177" spans="3:27" x14ac:dyDescent="0.3">
      <c r="C177" s="88"/>
      <c r="F177" t="s">
        <v>191</v>
      </c>
      <c r="G177" t="s">
        <v>271</v>
      </c>
      <c r="J177" s="98">
        <f t="shared" ref="J177:K177" si="108">hundred*J94*$H66*J81/$H38/days_in_year/(1+$H24)*PowerFactor</f>
        <v>0</v>
      </c>
      <c r="K177" s="98">
        <f t="shared" si="108"/>
        <v>0</v>
      </c>
      <c r="L177" s="98">
        <f t="shared" ref="L177:M177" si="109">hundred*L94*$H66*L81/$H38/days_in_year/(1+$H24)*PowerFactor</f>
        <v>0</v>
      </c>
      <c r="M177" s="98">
        <f t="shared" si="109"/>
        <v>0</v>
      </c>
      <c r="N177" s="98">
        <f t="shared" ref="N177:P177" si="110">hundred*N94*$H66*N81/$H38/days_in_year/(1+$H24)*PowerFactor</f>
        <v>0</v>
      </c>
      <c r="O177" s="98">
        <f t="shared" si="110"/>
        <v>0</v>
      </c>
      <c r="P177" s="98">
        <f t="shared" si="110"/>
        <v>0</v>
      </c>
      <c r="Q177" s="98">
        <f t="shared" ref="Q177" si="111">hundred*Q94*$H66*Q81/$H38/days_in_year/(1+$H24)*PowerFactor</f>
        <v>0</v>
      </c>
      <c r="R177" s="79"/>
      <c r="S177" s="79"/>
      <c r="T177" s="79"/>
      <c r="U177" s="79"/>
      <c r="V177" s="79"/>
      <c r="W177" s="79"/>
      <c r="X177" s="79"/>
      <c r="Y177" s="79"/>
    </row>
    <row r="178" spans="3:27" x14ac:dyDescent="0.3">
      <c r="C178" s="88"/>
      <c r="F178" t="s">
        <v>192</v>
      </c>
      <c r="G178" t="s">
        <v>271</v>
      </c>
      <c r="J178" s="98">
        <f t="shared" ref="J178:K178" si="112">hundred*J95*$H67*J82/$H39/days_in_year/(1+$H25)*PowerFactor</f>
        <v>0</v>
      </c>
      <c r="K178" s="98">
        <f t="shared" si="112"/>
        <v>0</v>
      </c>
      <c r="L178" s="98">
        <f t="shared" ref="L178:M178" si="113">hundred*L95*$H67*L82/$H39/days_in_year/(1+$H25)*PowerFactor</f>
        <v>0</v>
      </c>
      <c r="M178" s="98">
        <f t="shared" si="113"/>
        <v>0</v>
      </c>
      <c r="N178" s="98">
        <f t="shared" ref="N178:P178" si="114">hundred*N95*$H67*N82/$H39/days_in_year/(1+$H25)*PowerFactor</f>
        <v>0</v>
      </c>
      <c r="O178" s="98">
        <f t="shared" si="114"/>
        <v>0</v>
      </c>
      <c r="P178" s="98">
        <f t="shared" si="114"/>
        <v>0.11899702953462928</v>
      </c>
      <c r="Q178" s="98">
        <f t="shared" ref="Q178" si="115">hundred*Q95*$H67*Q82/$H39/days_in_year/(1+$H25)*PowerFactor</f>
        <v>0</v>
      </c>
      <c r="R178" s="79"/>
      <c r="S178" s="79"/>
      <c r="T178" s="79"/>
      <c r="U178" s="79"/>
      <c r="V178" s="79"/>
      <c r="W178" s="79"/>
      <c r="X178" s="79"/>
      <c r="Y178" s="79"/>
    </row>
    <row r="179" spans="3:27" x14ac:dyDescent="0.3">
      <c r="C179" s="88"/>
      <c r="F179" t="s">
        <v>193</v>
      </c>
      <c r="G179" t="s">
        <v>271</v>
      </c>
      <c r="J179" s="98">
        <f t="shared" ref="J179:K179" si="116">hundred*J96*$H68*J83/$H40/days_in_year/(1+$H26)*PowerFactor</f>
        <v>0</v>
      </c>
      <c r="K179" s="98">
        <f t="shared" si="116"/>
        <v>0</v>
      </c>
      <c r="L179" s="98">
        <f t="shared" ref="L179:M179" si="117">hundred*L96*$H68*L83/$H40/days_in_year/(1+$H26)*PowerFactor</f>
        <v>0</v>
      </c>
      <c r="M179" s="98">
        <f t="shared" si="117"/>
        <v>0</v>
      </c>
      <c r="N179" s="98">
        <f t="shared" ref="N179:P179" si="118">hundred*N96*$H68*N83/$H40/days_in_year/(1+$H26)*PowerFactor</f>
        <v>0</v>
      </c>
      <c r="O179" s="98">
        <f t="shared" si="118"/>
        <v>0</v>
      </c>
      <c r="P179" s="98">
        <f t="shared" si="118"/>
        <v>0</v>
      </c>
      <c r="Q179" s="98">
        <f t="shared" ref="Q179" si="119">hundred*Q96*$H68*Q83/$H40/days_in_year/(1+$H26)*PowerFactor</f>
        <v>0</v>
      </c>
      <c r="R179" s="79"/>
      <c r="S179" s="79"/>
      <c r="T179" s="79"/>
      <c r="U179" s="79"/>
      <c r="V179" s="79"/>
      <c r="W179" s="79"/>
      <c r="X179" s="79"/>
      <c r="Y179" s="79"/>
    </row>
    <row r="180" spans="3:27" x14ac:dyDescent="0.3">
      <c r="C180" s="88"/>
      <c r="F180" t="s">
        <v>194</v>
      </c>
      <c r="G180" t="s">
        <v>271</v>
      </c>
      <c r="J180" s="98">
        <f t="shared" ref="J180:K180" si="120">hundred*J97*$H69*J84/$H41/days_in_year/(1+$H27)*PowerFactor</f>
        <v>0</v>
      </c>
      <c r="K180" s="98">
        <f t="shared" si="120"/>
        <v>0</v>
      </c>
      <c r="L180" s="98">
        <f t="shared" ref="L180:M180" si="121">hundred*L97*$H69*L84/$H41/days_in_year/(1+$H27)*PowerFactor</f>
        <v>0</v>
      </c>
      <c r="M180" s="98">
        <f t="shared" si="121"/>
        <v>0</v>
      </c>
      <c r="N180" s="98">
        <f t="shared" ref="N180:P180" si="122">hundred*N97*$H69*N84/$H41/days_in_year/(1+$H27)*PowerFactor</f>
        <v>0</v>
      </c>
      <c r="O180" s="98">
        <f t="shared" si="122"/>
        <v>0</v>
      </c>
      <c r="P180" s="98">
        <f t="shared" si="122"/>
        <v>4.0273966866886647E-2</v>
      </c>
      <c r="Q180" s="98">
        <f t="shared" ref="Q180" si="123">hundred*Q97*$H69*Q84/$H41/days_in_year/(1+$H27)*PowerFactor</f>
        <v>0</v>
      </c>
      <c r="R180" s="79"/>
      <c r="S180" s="79"/>
      <c r="T180" s="79"/>
      <c r="U180" s="79"/>
      <c r="V180" s="79"/>
      <c r="W180" s="79"/>
      <c r="X180" s="79"/>
      <c r="Y180" s="79"/>
    </row>
    <row r="181" spans="3:27" x14ac:dyDescent="0.3">
      <c r="C181" s="88"/>
      <c r="F181" t="s">
        <v>195</v>
      </c>
      <c r="G181" t="s">
        <v>271</v>
      </c>
      <c r="J181" s="98">
        <f t="shared" ref="J181:K181" si="124">hundred*J98*$H70*J85/$H42/days_in_year/(1+$H28)*PowerFactor</f>
        <v>0</v>
      </c>
      <c r="K181" s="98">
        <f t="shared" si="124"/>
        <v>0</v>
      </c>
      <c r="L181" s="98">
        <f t="shared" ref="L181:M181" si="125">hundred*L98*$H70*L85/$H42/days_in_year/(1+$H28)*PowerFactor</f>
        <v>0</v>
      </c>
      <c r="M181" s="98">
        <f t="shared" si="125"/>
        <v>0</v>
      </c>
      <c r="N181" s="98">
        <f t="shared" ref="N181:P181" si="126">hundred*N98*$H70*N85/$H42/days_in_year/(1+$H28)*PowerFactor</f>
        <v>0</v>
      </c>
      <c r="O181" s="98">
        <f t="shared" si="126"/>
        <v>0</v>
      </c>
      <c r="P181" s="98">
        <f t="shared" si="126"/>
        <v>0.38817824165910414</v>
      </c>
      <c r="Q181" s="98">
        <f t="shared" ref="Q181" si="127">hundred*Q98*$H70*Q85/$H42/days_in_year/(1+$H28)*PowerFactor</f>
        <v>0</v>
      </c>
      <c r="R181" s="79"/>
      <c r="S181" s="79"/>
      <c r="T181" s="79"/>
      <c r="U181" s="79"/>
      <c r="V181" s="79"/>
      <c r="W181" s="79"/>
      <c r="X181" s="79"/>
      <c r="Y181" s="79"/>
    </row>
    <row r="182" spans="3:27" x14ac:dyDescent="0.3">
      <c r="C182" s="88"/>
      <c r="F182" t="s">
        <v>196</v>
      </c>
      <c r="G182" t="s">
        <v>271</v>
      </c>
      <c r="J182" s="98">
        <f t="shared" ref="J182:K182" si="128">hundred*J99*$H71*J86/$H43/days_in_year/(1+$H29)*PowerFactor</f>
        <v>0</v>
      </c>
      <c r="K182" s="98">
        <f t="shared" si="128"/>
        <v>0</v>
      </c>
      <c r="L182" s="98">
        <f t="shared" ref="L182:M182" si="129">hundred*L99*$H71*L86/$H43/days_in_year/(1+$H29)*PowerFactor</f>
        <v>0</v>
      </c>
      <c r="M182" s="98">
        <f t="shared" si="129"/>
        <v>0</v>
      </c>
      <c r="N182" s="98">
        <f t="shared" ref="N182:P182" si="130">hundred*N99*$H71*N86/$H43/days_in_year/(1+$H29)*PowerFactor</f>
        <v>0</v>
      </c>
      <c r="O182" s="98">
        <f t="shared" si="130"/>
        <v>0</v>
      </c>
      <c r="P182" s="98">
        <f t="shared" si="130"/>
        <v>0.42546359390492272</v>
      </c>
      <c r="Q182" s="98">
        <f t="shared" ref="Q182" si="131">hundred*Q99*$H71*Q86/$H43/days_in_year/(1+$H29)*PowerFactor</f>
        <v>0</v>
      </c>
      <c r="R182" s="79"/>
      <c r="S182" s="79"/>
      <c r="T182" s="79"/>
      <c r="U182" s="79"/>
      <c r="V182" s="79"/>
      <c r="W182" s="79"/>
      <c r="X182" s="79"/>
      <c r="Y182" s="79"/>
    </row>
    <row r="183" spans="3:27" x14ac:dyDescent="0.3">
      <c r="C183" s="88"/>
      <c r="F183" t="s">
        <v>197</v>
      </c>
      <c r="G183" t="s">
        <v>271</v>
      </c>
      <c r="J183" s="98">
        <f t="shared" ref="J183:K183" si="132">hundred*J100*$H72*J87/$H44/days_in_year/(1+$H30)*PowerFactor</f>
        <v>0</v>
      </c>
      <c r="K183" s="98">
        <f t="shared" si="132"/>
        <v>0</v>
      </c>
      <c r="L183" s="98">
        <f t="shared" ref="L183:M183" si="133">hundred*L100*$H72*L87/$H44/days_in_year/(1+$H30)*PowerFactor</f>
        <v>0</v>
      </c>
      <c r="M183" s="98">
        <f t="shared" si="133"/>
        <v>0</v>
      </c>
      <c r="N183" s="98">
        <f t="shared" ref="N183:P183" si="134">hundred*N100*$H72*N87/$H44/days_in_year/(1+$H30)*PowerFactor</f>
        <v>0.38343052098300379</v>
      </c>
      <c r="O183" s="98">
        <f t="shared" si="134"/>
        <v>1.8766989260957108</v>
      </c>
      <c r="P183" s="98">
        <f t="shared" si="134"/>
        <v>1.8485572364822793</v>
      </c>
      <c r="Q183" s="98">
        <f t="shared" ref="Q183" si="135">hundred*Q100*$H72*Q87/$H44/days_in_year/(1+$H30)*PowerFactor</f>
        <v>0</v>
      </c>
      <c r="R183" s="79"/>
      <c r="S183" s="79"/>
      <c r="T183" s="79"/>
      <c r="U183" s="79"/>
      <c r="V183" s="79"/>
      <c r="W183" s="79"/>
      <c r="X183" s="79"/>
      <c r="Y183" s="79"/>
    </row>
    <row r="184" spans="3:27" x14ac:dyDescent="0.3">
      <c r="C184" s="88"/>
      <c r="F184" t="s">
        <v>198</v>
      </c>
      <c r="G184" t="s">
        <v>271</v>
      </c>
      <c r="J184" s="98">
        <f t="shared" ref="J184:K184" si="136">hundred*J101*$H73*J88/$H45/days_in_year/(1+$H31)*PowerFactor</f>
        <v>0</v>
      </c>
      <c r="K184" s="98">
        <f t="shared" si="136"/>
        <v>0</v>
      </c>
      <c r="L184" s="98">
        <f t="shared" ref="L184:M184" si="137">hundred*L101*$H73*L88/$H45/days_in_year/(1+$H31)*PowerFactor</f>
        <v>0</v>
      </c>
      <c r="M184" s="98">
        <f t="shared" si="137"/>
        <v>0</v>
      </c>
      <c r="N184" s="98">
        <f t="shared" ref="N184:P184" si="138">hundred*N101*$H73*N88/$H45/days_in_year/(1+$H31)*PowerFactor</f>
        <v>0.93405155726506017</v>
      </c>
      <c r="O184" s="98">
        <f t="shared" si="138"/>
        <v>0.91434221247873304</v>
      </c>
      <c r="P184" s="98">
        <f t="shared" si="138"/>
        <v>0</v>
      </c>
      <c r="Q184" s="98">
        <f t="shared" ref="Q184" si="139">hundred*Q101*$H73*Q88/$H45/days_in_year/(1+$H31)*PowerFactor</f>
        <v>0</v>
      </c>
      <c r="R184" s="79"/>
      <c r="S184" s="79"/>
      <c r="T184" s="79"/>
      <c r="U184" s="79"/>
      <c r="V184" s="79"/>
      <c r="W184" s="79"/>
      <c r="X184" s="79"/>
      <c r="Y184" s="79"/>
    </row>
    <row r="185" spans="3:27" x14ac:dyDescent="0.3">
      <c r="C185" s="88"/>
      <c r="F185" t="s">
        <v>199</v>
      </c>
      <c r="G185" t="s">
        <v>271</v>
      </c>
      <c r="J185" s="98">
        <f t="shared" ref="J185:K185" si="140">hundred*J102*$H74*J89/$H46/days_in_year/(1+$H32)*PowerFactor</f>
        <v>1.9226316761571092</v>
      </c>
      <c r="K185" s="98">
        <f t="shared" si="140"/>
        <v>1.9226316761571092</v>
      </c>
      <c r="L185" s="98">
        <f t="shared" ref="L185:M185" si="141">hundred*L102*$H74*L89/$H46/days_in_year/(1+$H32)*PowerFactor</f>
        <v>1.9226316761571092</v>
      </c>
      <c r="M185" s="98">
        <f t="shared" si="141"/>
        <v>1.9226316761571092</v>
      </c>
      <c r="N185" s="98">
        <f t="shared" ref="N185:P185" si="142">hundred*N102*$H74*N89/$H46/days_in_year/(1+$H32)*PowerFactor</f>
        <v>1.9226316761571092</v>
      </c>
      <c r="O185" s="98">
        <f t="shared" si="142"/>
        <v>0</v>
      </c>
      <c r="P185" s="98">
        <f t="shared" si="142"/>
        <v>0</v>
      </c>
      <c r="Q185" s="98">
        <f t="shared" ref="Q185" si="143">hundred*Q102*$H74*Q89/$H46/days_in_year/(1+$H32)*PowerFactor</f>
        <v>0</v>
      </c>
      <c r="R185" s="79"/>
      <c r="S185" s="79"/>
      <c r="T185" s="79"/>
      <c r="U185" s="79"/>
      <c r="V185" s="79"/>
      <c r="W185" s="79"/>
      <c r="X185" s="79"/>
      <c r="Y185" s="79"/>
    </row>
    <row r="186" spans="3:27" x14ac:dyDescent="0.3">
      <c r="C186" s="88"/>
      <c r="F186" t="s">
        <v>376</v>
      </c>
      <c r="G186" t="s">
        <v>271</v>
      </c>
      <c r="J186" s="79"/>
      <c r="K186" s="79"/>
      <c r="L186" s="79"/>
      <c r="M186" s="79"/>
      <c r="N186" s="79"/>
      <c r="O186" s="79"/>
      <c r="P186" s="79"/>
      <c r="Q186" s="79"/>
      <c r="R186" s="79"/>
      <c r="S186" s="79"/>
      <c r="T186" s="79"/>
      <c r="U186" s="79"/>
      <c r="V186" s="79"/>
      <c r="W186" s="79"/>
      <c r="X186" s="79"/>
      <c r="Y186" s="79"/>
    </row>
    <row r="187" spans="3:27" x14ac:dyDescent="0.3">
      <c r="C187" s="88"/>
      <c r="F187" s="37" t="s">
        <v>377</v>
      </c>
      <c r="G187" s="37" t="s">
        <v>271</v>
      </c>
      <c r="H187" s="37"/>
      <c r="I187" s="37"/>
      <c r="J187" s="81"/>
      <c r="K187" s="81"/>
      <c r="L187" s="81"/>
      <c r="M187" s="81"/>
      <c r="N187" s="81"/>
      <c r="O187" s="81"/>
      <c r="P187" s="81"/>
      <c r="Q187" s="81"/>
      <c r="R187" s="81"/>
      <c r="S187" s="81"/>
      <c r="T187" s="81"/>
      <c r="U187" s="81"/>
      <c r="V187" s="81"/>
      <c r="W187" s="81"/>
      <c r="X187" s="81"/>
      <c r="Y187" s="81"/>
    </row>
    <row r="188" spans="3:27" x14ac:dyDescent="0.3">
      <c r="C188" s="88"/>
      <c r="J188" s="89"/>
      <c r="K188" s="89"/>
      <c r="L188" s="89"/>
      <c r="M188" s="89"/>
      <c r="N188" s="89"/>
      <c r="O188" s="89"/>
      <c r="P188" s="89"/>
      <c r="Q188" s="89"/>
      <c r="R188" s="89"/>
      <c r="S188" s="89"/>
      <c r="T188" s="89"/>
      <c r="U188" s="89"/>
      <c r="V188" s="89"/>
      <c r="W188" s="89"/>
      <c r="X188" s="89"/>
      <c r="Y188" s="89"/>
    </row>
    <row r="189" spans="3:27" x14ac:dyDescent="0.3">
      <c r="C189" s="31" t="str">
        <f ca="1">INDEX('Version control'!$H$34:$H$57,MATCH($A$1,'Version control'!$F$34:$F$57,0),1)&amp;"-D: Capacity charges for eligible customers, by network level"</f>
        <v>Section 112-D: Capacity charges for eligible customers, by network level</v>
      </c>
      <c r="D189" s="31"/>
      <c r="E189" s="31"/>
      <c r="F189" s="31"/>
      <c r="G189" s="31"/>
      <c r="H189" s="31"/>
      <c r="I189" s="31"/>
      <c r="J189" s="90"/>
      <c r="K189" s="90"/>
      <c r="L189" s="90"/>
      <c r="M189" s="90"/>
      <c r="N189" s="90"/>
      <c r="O189" s="90"/>
      <c r="P189" s="90"/>
      <c r="Q189" s="90"/>
      <c r="R189" s="90"/>
      <c r="S189" s="90"/>
      <c r="T189" s="90"/>
      <c r="U189" s="90"/>
      <c r="V189" s="90"/>
      <c r="W189" s="90"/>
      <c r="X189" s="90"/>
      <c r="Y189" s="90"/>
      <c r="Z189" s="31"/>
      <c r="AA189" s="31"/>
    </row>
    <row r="190" spans="3:27" x14ac:dyDescent="0.3">
      <c r="D190" s="32"/>
      <c r="E190" s="32"/>
      <c r="I190" t="s">
        <v>154</v>
      </c>
      <c r="J190" s="89"/>
      <c r="K190" s="89"/>
      <c r="L190" s="89"/>
      <c r="M190" s="89"/>
      <c r="N190" s="89"/>
      <c r="O190" s="89"/>
      <c r="P190" s="89"/>
      <c r="Q190" s="89"/>
      <c r="R190" s="89"/>
      <c r="S190" s="89"/>
      <c r="T190" s="89"/>
      <c r="U190" s="89"/>
      <c r="V190" s="89"/>
      <c r="W190" s="89"/>
      <c r="X190" s="89"/>
      <c r="Y190" s="89"/>
      <c r="AA190" t="s">
        <v>705</v>
      </c>
    </row>
    <row r="191" spans="3:27" x14ac:dyDescent="0.3">
      <c r="C191" s="88"/>
      <c r="D191"/>
      <c r="E191" s="32" t="s">
        <v>621</v>
      </c>
      <c r="J191" s="89"/>
      <c r="K191" s="89"/>
      <c r="L191" s="89"/>
      <c r="M191" s="89"/>
      <c r="N191" s="89"/>
      <c r="O191" s="89"/>
      <c r="P191" s="89"/>
      <c r="Q191" s="89"/>
      <c r="R191" s="89"/>
      <c r="S191" s="89"/>
      <c r="T191" s="89"/>
      <c r="U191" s="89"/>
      <c r="V191" s="89"/>
      <c r="W191" s="89"/>
      <c r="X191" s="89"/>
      <c r="Y191" s="89"/>
    </row>
    <row r="192" spans="3:27" x14ac:dyDescent="0.3">
      <c r="C192" s="88"/>
      <c r="D192"/>
      <c r="F192" s="23" t="s">
        <v>189</v>
      </c>
      <c r="G192" s="23" t="s">
        <v>271</v>
      </c>
      <c r="H192" s="23"/>
      <c r="I192" s="23"/>
      <c r="J192" s="83"/>
      <c r="K192" s="83"/>
      <c r="L192" s="83"/>
      <c r="M192" s="83"/>
      <c r="N192" s="83"/>
      <c r="O192" s="83"/>
      <c r="P192" s="83"/>
      <c r="Q192" s="83"/>
      <c r="R192" s="83"/>
      <c r="S192" s="83"/>
      <c r="T192" s="83"/>
      <c r="U192" s="83"/>
      <c r="V192" s="83"/>
      <c r="W192" s="83"/>
      <c r="X192" s="83"/>
      <c r="Y192" s="83"/>
    </row>
    <row r="193" spans="3:25" x14ac:dyDescent="0.3">
      <c r="C193" s="88"/>
      <c r="D193"/>
      <c r="F193" t="s">
        <v>191</v>
      </c>
      <c r="G193" t="s">
        <v>271</v>
      </c>
      <c r="J193" s="79"/>
      <c r="K193" s="79"/>
      <c r="L193" s="79"/>
      <c r="M193" s="79"/>
      <c r="N193" s="79"/>
      <c r="O193" s="79"/>
      <c r="P193" s="79"/>
      <c r="Q193" s="79"/>
      <c r="R193" s="79"/>
      <c r="S193" s="79"/>
      <c r="T193" s="79"/>
      <c r="U193" s="79"/>
      <c r="V193" s="79"/>
      <c r="W193" s="79"/>
      <c r="X193" s="79"/>
      <c r="Y193" s="79"/>
    </row>
    <row r="194" spans="3:25" x14ac:dyDescent="0.3">
      <c r="C194" s="88"/>
      <c r="D194"/>
      <c r="F194" t="s">
        <v>192</v>
      </c>
      <c r="G194" t="s">
        <v>271</v>
      </c>
      <c r="J194" s="98">
        <f t="shared" ref="J194:K194" si="144">J$121 * J134</f>
        <v>0</v>
      </c>
      <c r="K194" s="98">
        <f t="shared" si="144"/>
        <v>0</v>
      </c>
      <c r="L194" s="98">
        <f t="shared" ref="L194:M194" si="145">L$121 * L134</f>
        <v>0</v>
      </c>
      <c r="M194" s="98">
        <f t="shared" si="145"/>
        <v>0</v>
      </c>
      <c r="N194" s="98">
        <f t="shared" ref="N194:P194" si="146">N$121 * N134</f>
        <v>0</v>
      </c>
      <c r="O194" s="98">
        <f t="shared" si="146"/>
        <v>0</v>
      </c>
      <c r="P194" s="98">
        <f t="shared" si="146"/>
        <v>0.1694843797437631</v>
      </c>
      <c r="Q194" s="98">
        <f t="shared" ref="Q194" si="147">Q$121 * Q134</f>
        <v>0</v>
      </c>
      <c r="R194" s="79"/>
      <c r="S194" s="79"/>
      <c r="T194" s="79"/>
      <c r="U194" s="79"/>
      <c r="V194" s="79"/>
      <c r="W194" s="79"/>
      <c r="X194" s="79"/>
      <c r="Y194" s="79"/>
    </row>
    <row r="195" spans="3:25" x14ac:dyDescent="0.3">
      <c r="C195" s="88"/>
      <c r="D195"/>
      <c r="F195" t="s">
        <v>193</v>
      </c>
      <c r="G195" t="s">
        <v>271</v>
      </c>
      <c r="J195" s="98">
        <f t="shared" ref="J195:K195" si="148">J$121 * J135</f>
        <v>0</v>
      </c>
      <c r="K195" s="98">
        <f t="shared" si="148"/>
        <v>0</v>
      </c>
      <c r="L195" s="98">
        <f t="shared" ref="L195:M195" si="149">L$121 * L135</f>
        <v>0</v>
      </c>
      <c r="M195" s="98">
        <f t="shared" si="149"/>
        <v>0</v>
      </c>
      <c r="N195" s="98">
        <f t="shared" ref="N195:P195" si="150">N$121 * N135</f>
        <v>0</v>
      </c>
      <c r="O195" s="98">
        <f t="shared" si="150"/>
        <v>0</v>
      </c>
      <c r="P195" s="98">
        <f t="shared" si="150"/>
        <v>0</v>
      </c>
      <c r="Q195" s="98">
        <f t="shared" ref="Q195" si="151">Q$121 * Q135</f>
        <v>0</v>
      </c>
      <c r="R195" s="79"/>
      <c r="S195" s="79"/>
      <c r="T195" s="79"/>
      <c r="U195" s="79"/>
      <c r="V195" s="79"/>
      <c r="W195" s="79"/>
      <c r="X195" s="79"/>
      <c r="Y195" s="79"/>
    </row>
    <row r="196" spans="3:25" x14ac:dyDescent="0.3">
      <c r="C196" s="88"/>
      <c r="D196"/>
      <c r="F196" t="s">
        <v>194</v>
      </c>
      <c r="G196" t="s">
        <v>271</v>
      </c>
      <c r="J196" s="98">
        <f t="shared" ref="J196:K196" si="152">J$121 * J136</f>
        <v>0</v>
      </c>
      <c r="K196" s="98">
        <f t="shared" si="152"/>
        <v>0</v>
      </c>
      <c r="L196" s="98">
        <f t="shared" ref="L196:M196" si="153">L$121 * L136</f>
        <v>0</v>
      </c>
      <c r="M196" s="98">
        <f t="shared" si="153"/>
        <v>0</v>
      </c>
      <c r="N196" s="98">
        <f t="shared" ref="N196:P196" si="154">N$121 * N136</f>
        <v>0</v>
      </c>
      <c r="O196" s="98">
        <f t="shared" si="154"/>
        <v>0</v>
      </c>
      <c r="P196" s="98">
        <f t="shared" si="154"/>
        <v>5.7361165408492627E-2</v>
      </c>
      <c r="Q196" s="98">
        <f t="shared" ref="Q196" si="155">Q$121 * Q136</f>
        <v>0</v>
      </c>
      <c r="R196" s="79"/>
      <c r="S196" s="79"/>
      <c r="T196" s="79"/>
      <c r="U196" s="79"/>
      <c r="V196" s="79"/>
      <c r="W196" s="79"/>
      <c r="X196" s="79"/>
      <c r="Y196" s="79"/>
    </row>
    <row r="197" spans="3:25" x14ac:dyDescent="0.3">
      <c r="C197" s="88"/>
      <c r="D197"/>
      <c r="F197" t="s">
        <v>195</v>
      </c>
      <c r="G197" t="s">
        <v>271</v>
      </c>
      <c r="J197" s="98">
        <f t="shared" ref="J197:K197" si="156">J$121 * J137</f>
        <v>0</v>
      </c>
      <c r="K197" s="98">
        <f t="shared" si="156"/>
        <v>0</v>
      </c>
      <c r="L197" s="98">
        <f t="shared" ref="L197:M197" si="157">L$121 * L137</f>
        <v>0</v>
      </c>
      <c r="M197" s="98">
        <f t="shared" si="157"/>
        <v>0</v>
      </c>
      <c r="N197" s="98">
        <f t="shared" ref="N197:P197" si="158">N$121 * N137</f>
        <v>0</v>
      </c>
      <c r="O197" s="98">
        <f t="shared" si="158"/>
        <v>0</v>
      </c>
      <c r="P197" s="98">
        <f t="shared" si="158"/>
        <v>0.41042960890033425</v>
      </c>
      <c r="Q197" s="98">
        <f t="shared" ref="Q197" si="159">Q$121 * Q137</f>
        <v>0</v>
      </c>
      <c r="R197" s="79"/>
      <c r="S197" s="79"/>
      <c r="T197" s="79"/>
      <c r="U197" s="79"/>
      <c r="V197" s="79"/>
      <c r="W197" s="79"/>
      <c r="X197" s="79"/>
      <c r="Y197" s="79"/>
    </row>
    <row r="198" spans="3:25" x14ac:dyDescent="0.3">
      <c r="C198" s="88"/>
      <c r="D198"/>
      <c r="F198" t="s">
        <v>196</v>
      </c>
      <c r="G198" t="s">
        <v>271</v>
      </c>
      <c r="J198" s="98">
        <f t="shared" ref="J198:K198" si="160">J$121 * J138</f>
        <v>0</v>
      </c>
      <c r="K198" s="98">
        <f t="shared" si="160"/>
        <v>0</v>
      </c>
      <c r="L198" s="98">
        <f t="shared" ref="L198:M198" si="161">L$121 * L138</f>
        <v>0</v>
      </c>
      <c r="M198" s="98">
        <f t="shared" si="161"/>
        <v>0</v>
      </c>
      <c r="N198" s="98">
        <f t="shared" ref="N198:P198" si="162">N$121 * N138</f>
        <v>0</v>
      </c>
      <c r="O198" s="98">
        <f t="shared" si="162"/>
        <v>0</v>
      </c>
      <c r="P198" s="98">
        <f t="shared" si="162"/>
        <v>0.44985225266974338</v>
      </c>
      <c r="Q198" s="98">
        <f t="shared" ref="Q198" si="163">Q$121 * Q138</f>
        <v>0</v>
      </c>
      <c r="R198" s="79"/>
      <c r="S198" s="79"/>
      <c r="T198" s="79"/>
      <c r="U198" s="79"/>
      <c r="V198" s="79"/>
      <c r="W198" s="79"/>
      <c r="X198" s="79"/>
      <c r="Y198" s="79"/>
    </row>
    <row r="199" spans="3:25" x14ac:dyDescent="0.3">
      <c r="C199" s="88"/>
      <c r="D199"/>
      <c r="F199" t="s">
        <v>197</v>
      </c>
      <c r="G199" t="s">
        <v>271</v>
      </c>
      <c r="J199" s="98">
        <f t="shared" ref="J199:K199" si="164">J$121 * J139</f>
        <v>0</v>
      </c>
      <c r="K199" s="98">
        <f t="shared" si="164"/>
        <v>0</v>
      </c>
      <c r="L199" s="98">
        <f t="shared" ref="L199:M199" si="165">L$121 * L139</f>
        <v>0</v>
      </c>
      <c r="M199" s="98">
        <f t="shared" si="165"/>
        <v>0</v>
      </c>
      <c r="N199" s="98">
        <f t="shared" ref="N199:P199" si="166">N$121 * N139</f>
        <v>0.33484759558409483</v>
      </c>
      <c r="O199" s="98">
        <f t="shared" si="166"/>
        <v>1.6389100205882068</v>
      </c>
      <c r="P199" s="98">
        <f t="shared" si="166"/>
        <v>1.2761904283271754</v>
      </c>
      <c r="Q199" s="98">
        <f t="shared" ref="Q199" si="167">Q$121 * Q139</f>
        <v>0</v>
      </c>
      <c r="R199" s="79"/>
      <c r="S199" s="79"/>
      <c r="T199" s="79"/>
      <c r="U199" s="79"/>
      <c r="V199" s="79"/>
      <c r="W199" s="79"/>
      <c r="X199" s="79"/>
      <c r="Y199" s="79"/>
    </row>
    <row r="200" spans="3:25" x14ac:dyDescent="0.3">
      <c r="C200" s="88"/>
      <c r="D200"/>
      <c r="F200" t="s">
        <v>198</v>
      </c>
      <c r="G200" t="s">
        <v>271</v>
      </c>
      <c r="J200" s="98">
        <f t="shared" ref="J200:K200" si="168">J$121 * J140</f>
        <v>0</v>
      </c>
      <c r="K200" s="98">
        <f t="shared" si="168"/>
        <v>0</v>
      </c>
      <c r="L200" s="98">
        <f t="shared" ref="L200:M200" si="169">L$121 * L140</f>
        <v>0</v>
      </c>
      <c r="M200" s="98">
        <f t="shared" si="169"/>
        <v>0</v>
      </c>
      <c r="N200" s="98">
        <f t="shared" ref="N200:P200" si="170">N$121 * N140</f>
        <v>0.47726372663083777</v>
      </c>
      <c r="O200" s="98">
        <f t="shared" si="170"/>
        <v>0.46719302414229702</v>
      </c>
      <c r="P200" s="98">
        <f t="shared" si="170"/>
        <v>0</v>
      </c>
      <c r="Q200" s="98">
        <f t="shared" ref="Q200" si="171">Q$121 * Q140</f>
        <v>0</v>
      </c>
      <c r="R200" s="79"/>
      <c r="S200" s="79"/>
      <c r="T200" s="79"/>
      <c r="U200" s="79"/>
      <c r="V200" s="79"/>
      <c r="W200" s="79"/>
      <c r="X200" s="79"/>
      <c r="Y200" s="79"/>
    </row>
    <row r="201" spans="3:25" x14ac:dyDescent="0.3">
      <c r="C201" s="88"/>
      <c r="D201"/>
      <c r="F201" t="s">
        <v>199</v>
      </c>
      <c r="G201" t="s">
        <v>271</v>
      </c>
      <c r="J201" s="98">
        <f t="shared" ref="J201:K201" si="172">J$121 * J141</f>
        <v>0</v>
      </c>
      <c r="K201" s="98">
        <f t="shared" si="172"/>
        <v>0</v>
      </c>
      <c r="L201" s="98">
        <f t="shared" ref="L201:M201" si="173">L$121 * L141</f>
        <v>0</v>
      </c>
      <c r="M201" s="98">
        <f t="shared" si="173"/>
        <v>0</v>
      </c>
      <c r="N201" s="98">
        <f t="shared" ref="N201:P201" si="174">N$121 * N141</f>
        <v>0.28575600268472384</v>
      </c>
      <c r="O201" s="98">
        <f t="shared" si="174"/>
        <v>0</v>
      </c>
      <c r="P201" s="98">
        <f t="shared" si="174"/>
        <v>0</v>
      </c>
      <c r="Q201" s="98">
        <f t="shared" ref="Q201" si="175">Q$121 * Q141</f>
        <v>0</v>
      </c>
      <c r="R201" s="79"/>
      <c r="S201" s="79"/>
      <c r="T201" s="79"/>
      <c r="U201" s="79"/>
      <c r="V201" s="79"/>
      <c r="W201" s="79"/>
      <c r="X201" s="79"/>
      <c r="Y201" s="79"/>
    </row>
    <row r="202" spans="3:25" x14ac:dyDescent="0.3">
      <c r="C202" s="88"/>
      <c r="D202"/>
      <c r="F202" t="s">
        <v>376</v>
      </c>
      <c r="G202" t="s">
        <v>271</v>
      </c>
      <c r="J202" s="79"/>
      <c r="K202" s="79"/>
      <c r="L202" s="79"/>
      <c r="M202" s="79"/>
      <c r="N202" s="79"/>
      <c r="O202" s="79"/>
      <c r="P202" s="79"/>
      <c r="Q202" s="79"/>
      <c r="R202" s="79"/>
      <c r="S202" s="79"/>
      <c r="T202" s="79"/>
      <c r="U202" s="79"/>
      <c r="V202" s="79"/>
      <c r="W202" s="79"/>
      <c r="X202" s="79"/>
      <c r="Y202" s="79"/>
    </row>
    <row r="203" spans="3:25" x14ac:dyDescent="0.3">
      <c r="C203" s="88"/>
      <c r="D203"/>
      <c r="F203" s="37" t="s">
        <v>377</v>
      </c>
      <c r="G203" s="37" t="s">
        <v>271</v>
      </c>
      <c r="H203" s="37"/>
      <c r="I203" s="37"/>
      <c r="J203" s="81"/>
      <c r="K203" s="81"/>
      <c r="L203" s="81"/>
      <c r="M203" s="81"/>
      <c r="N203" s="81"/>
      <c r="O203" s="81"/>
      <c r="P203" s="81"/>
      <c r="Q203" s="81"/>
      <c r="R203" s="81"/>
      <c r="S203" s="81"/>
      <c r="T203" s="81"/>
      <c r="U203" s="81"/>
      <c r="V203" s="81"/>
      <c r="W203" s="81"/>
      <c r="X203" s="81"/>
      <c r="Y203" s="81"/>
    </row>
    <row r="204" spans="3:25" x14ac:dyDescent="0.3">
      <c r="C204" s="88"/>
      <c r="D204"/>
      <c r="J204" s="89"/>
      <c r="K204" s="89"/>
      <c r="L204" s="89"/>
      <c r="M204" s="89"/>
      <c r="N204" s="89"/>
      <c r="O204" s="89"/>
      <c r="P204" s="89"/>
      <c r="Q204" s="89"/>
      <c r="R204" s="89"/>
      <c r="S204" s="89"/>
      <c r="T204" s="89"/>
      <c r="U204" s="89"/>
      <c r="V204" s="89"/>
      <c r="W204" s="89"/>
      <c r="X204" s="89"/>
      <c r="Y204" s="89"/>
    </row>
    <row r="205" spans="3:25" x14ac:dyDescent="0.3">
      <c r="C205" s="88"/>
      <c r="D205"/>
      <c r="E205" s="32" t="s">
        <v>622</v>
      </c>
      <c r="J205" s="89"/>
      <c r="K205" s="89"/>
      <c r="L205" s="89"/>
      <c r="M205" s="89"/>
      <c r="N205" s="89"/>
      <c r="O205" s="89"/>
      <c r="P205" s="89"/>
      <c r="Q205" s="89"/>
      <c r="R205" s="89"/>
      <c r="S205" s="89"/>
      <c r="T205" s="89"/>
      <c r="U205" s="89"/>
      <c r="V205" s="89"/>
      <c r="W205" s="89"/>
      <c r="X205" s="89"/>
      <c r="Y205" s="89"/>
    </row>
    <row r="206" spans="3:25" x14ac:dyDescent="0.3">
      <c r="C206" s="88"/>
      <c r="D206"/>
      <c r="F206" s="23" t="s">
        <v>189</v>
      </c>
      <c r="G206" s="23" t="s">
        <v>271</v>
      </c>
      <c r="H206" s="23"/>
      <c r="I206" s="23"/>
      <c r="J206" s="153">
        <f t="shared" ref="J206:K206" si="176">J$121 * J146</f>
        <v>0</v>
      </c>
      <c r="K206" s="153">
        <f t="shared" si="176"/>
        <v>0</v>
      </c>
      <c r="L206" s="153">
        <f t="shared" ref="L206:M206" si="177">L$121 * L146</f>
        <v>0</v>
      </c>
      <c r="M206" s="153">
        <f t="shared" si="177"/>
        <v>0</v>
      </c>
      <c r="N206" s="153">
        <f t="shared" ref="N206:P206" si="178">N$121 * N146</f>
        <v>0</v>
      </c>
      <c r="O206" s="153">
        <f t="shared" si="178"/>
        <v>0</v>
      </c>
      <c r="P206" s="153">
        <f t="shared" si="178"/>
        <v>0</v>
      </c>
      <c r="Q206" s="153">
        <f t="shared" ref="Q206" si="179">Q$121 * Q146</f>
        <v>0</v>
      </c>
      <c r="R206" s="83"/>
      <c r="S206" s="83"/>
      <c r="T206" s="83"/>
      <c r="U206" s="83"/>
      <c r="V206" s="83"/>
      <c r="W206" s="83"/>
      <c r="X206" s="83"/>
      <c r="Y206" s="83"/>
    </row>
    <row r="207" spans="3:25" x14ac:dyDescent="0.3">
      <c r="C207" s="88"/>
      <c r="D207"/>
      <c r="F207" t="s">
        <v>191</v>
      </c>
      <c r="G207" t="s">
        <v>271</v>
      </c>
      <c r="J207" s="98">
        <f t="shared" ref="J207:K207" si="180">J$121 * J147</f>
        <v>0</v>
      </c>
      <c r="K207" s="98">
        <f t="shared" si="180"/>
        <v>0</v>
      </c>
      <c r="L207" s="98">
        <f t="shared" ref="L207:M207" si="181">L$121 * L147</f>
        <v>0</v>
      </c>
      <c r="M207" s="98">
        <f t="shared" si="181"/>
        <v>0</v>
      </c>
      <c r="N207" s="98">
        <f t="shared" ref="N207:P207" si="182">N$121 * N147</f>
        <v>0</v>
      </c>
      <c r="O207" s="98">
        <f t="shared" si="182"/>
        <v>0</v>
      </c>
      <c r="P207" s="98">
        <f t="shared" si="182"/>
        <v>0</v>
      </c>
      <c r="Q207" s="98">
        <f t="shared" ref="Q207" si="183">Q$121 * Q147</f>
        <v>0</v>
      </c>
      <c r="R207" s="79"/>
      <c r="S207" s="79"/>
      <c r="T207" s="79"/>
      <c r="U207" s="79"/>
      <c r="V207" s="79"/>
      <c r="W207" s="79"/>
      <c r="X207" s="79"/>
      <c r="Y207" s="79"/>
    </row>
    <row r="208" spans="3:25" x14ac:dyDescent="0.3">
      <c r="C208" s="88"/>
      <c r="D208"/>
      <c r="F208" t="s">
        <v>192</v>
      </c>
      <c r="G208" t="s">
        <v>271</v>
      </c>
      <c r="J208" s="98">
        <f t="shared" ref="J208:K208" si="184">J$121 * J148</f>
        <v>0</v>
      </c>
      <c r="K208" s="98">
        <f t="shared" si="184"/>
        <v>0</v>
      </c>
      <c r="L208" s="98">
        <f t="shared" ref="L208:M208" si="185">L$121 * L148</f>
        <v>0</v>
      </c>
      <c r="M208" s="98">
        <f t="shared" si="185"/>
        <v>0</v>
      </c>
      <c r="N208" s="98">
        <f t="shared" ref="N208:P208" si="186">N$121 * N148</f>
        <v>0</v>
      </c>
      <c r="O208" s="98">
        <f t="shared" si="186"/>
        <v>0</v>
      </c>
      <c r="P208" s="98">
        <f t="shared" si="186"/>
        <v>0.11899702953462928</v>
      </c>
      <c r="Q208" s="98">
        <f t="shared" ref="Q208" si="187">Q$121 * Q148</f>
        <v>0</v>
      </c>
      <c r="R208" s="79"/>
      <c r="S208" s="79"/>
      <c r="T208" s="79"/>
      <c r="U208" s="79"/>
      <c r="V208" s="79"/>
      <c r="W208" s="79"/>
      <c r="X208" s="79"/>
      <c r="Y208" s="79"/>
    </row>
    <row r="209" spans="3:27" x14ac:dyDescent="0.3">
      <c r="C209" s="88"/>
      <c r="D209"/>
      <c r="F209" t="s">
        <v>193</v>
      </c>
      <c r="G209" t="s">
        <v>271</v>
      </c>
      <c r="J209" s="98">
        <f t="shared" ref="J209:K209" si="188">J$121 * J149</f>
        <v>0</v>
      </c>
      <c r="K209" s="98">
        <f t="shared" si="188"/>
        <v>0</v>
      </c>
      <c r="L209" s="98">
        <f t="shared" ref="L209:M209" si="189">L$121 * L149</f>
        <v>0</v>
      </c>
      <c r="M209" s="98">
        <f t="shared" si="189"/>
        <v>0</v>
      </c>
      <c r="N209" s="98">
        <f t="shared" ref="N209:P209" si="190">N$121 * N149</f>
        <v>0</v>
      </c>
      <c r="O209" s="98">
        <f t="shared" si="190"/>
        <v>0</v>
      </c>
      <c r="P209" s="98">
        <f t="shared" si="190"/>
        <v>0</v>
      </c>
      <c r="Q209" s="98">
        <f t="shared" ref="Q209" si="191">Q$121 * Q149</f>
        <v>0</v>
      </c>
      <c r="R209" s="79"/>
      <c r="S209" s="79"/>
      <c r="T209" s="79"/>
      <c r="U209" s="79"/>
      <c r="V209" s="79"/>
      <c r="W209" s="79"/>
      <c r="X209" s="79"/>
      <c r="Y209" s="79"/>
    </row>
    <row r="210" spans="3:27" x14ac:dyDescent="0.3">
      <c r="C210" s="88"/>
      <c r="D210"/>
      <c r="F210" t="s">
        <v>194</v>
      </c>
      <c r="G210" t="s">
        <v>271</v>
      </c>
      <c r="J210" s="98">
        <f t="shared" ref="J210:K210" si="192">J$121 * J150</f>
        <v>0</v>
      </c>
      <c r="K210" s="98">
        <f t="shared" si="192"/>
        <v>0</v>
      </c>
      <c r="L210" s="98">
        <f t="shared" ref="L210:M210" si="193">L$121 * L150</f>
        <v>0</v>
      </c>
      <c r="M210" s="98">
        <f t="shared" si="193"/>
        <v>0</v>
      </c>
      <c r="N210" s="98">
        <f t="shared" ref="N210:P210" si="194">N$121 * N150</f>
        <v>0</v>
      </c>
      <c r="O210" s="98">
        <f t="shared" si="194"/>
        <v>0</v>
      </c>
      <c r="P210" s="98">
        <f t="shared" si="194"/>
        <v>4.0273966866886647E-2</v>
      </c>
      <c r="Q210" s="98">
        <f t="shared" ref="Q210" si="195">Q$121 * Q150</f>
        <v>0</v>
      </c>
      <c r="R210" s="79"/>
      <c r="S210" s="79"/>
      <c r="T210" s="79"/>
      <c r="U210" s="79"/>
      <c r="V210" s="79"/>
      <c r="W210" s="79"/>
      <c r="X210" s="79"/>
      <c r="Y210" s="79"/>
    </row>
    <row r="211" spans="3:27" x14ac:dyDescent="0.3">
      <c r="C211" s="88"/>
      <c r="D211"/>
      <c r="F211" t="s">
        <v>195</v>
      </c>
      <c r="G211" t="s">
        <v>271</v>
      </c>
      <c r="J211" s="98">
        <f t="shared" ref="J211:K211" si="196">J$121 * J151</f>
        <v>0</v>
      </c>
      <c r="K211" s="98">
        <f t="shared" si="196"/>
        <v>0</v>
      </c>
      <c r="L211" s="98">
        <f t="shared" ref="L211:M211" si="197">L$121 * L151</f>
        <v>0</v>
      </c>
      <c r="M211" s="98">
        <f t="shared" si="197"/>
        <v>0</v>
      </c>
      <c r="N211" s="98">
        <f t="shared" ref="N211:P211" si="198">N$121 * N151</f>
        <v>0</v>
      </c>
      <c r="O211" s="98">
        <f t="shared" si="198"/>
        <v>0</v>
      </c>
      <c r="P211" s="98">
        <f t="shared" si="198"/>
        <v>0.38817824165910414</v>
      </c>
      <c r="Q211" s="98">
        <f t="shared" ref="Q211" si="199">Q$121 * Q151</f>
        <v>0</v>
      </c>
      <c r="R211" s="79"/>
      <c r="S211" s="79"/>
      <c r="T211" s="79"/>
      <c r="U211" s="79"/>
      <c r="V211" s="79"/>
      <c r="W211" s="79"/>
      <c r="X211" s="79"/>
      <c r="Y211" s="79"/>
    </row>
    <row r="212" spans="3:27" x14ac:dyDescent="0.3">
      <c r="C212" s="88"/>
      <c r="D212"/>
      <c r="F212" t="s">
        <v>196</v>
      </c>
      <c r="G212" t="s">
        <v>271</v>
      </c>
      <c r="J212" s="98">
        <f t="shared" ref="J212:K212" si="200">J$121 * J152</f>
        <v>0</v>
      </c>
      <c r="K212" s="98">
        <f t="shared" si="200"/>
        <v>0</v>
      </c>
      <c r="L212" s="98">
        <f t="shared" ref="L212:M212" si="201">L$121 * L152</f>
        <v>0</v>
      </c>
      <c r="M212" s="98">
        <f t="shared" si="201"/>
        <v>0</v>
      </c>
      <c r="N212" s="98">
        <f t="shared" ref="N212:P212" si="202">N$121 * N152</f>
        <v>0</v>
      </c>
      <c r="O212" s="98">
        <f t="shared" si="202"/>
        <v>0</v>
      </c>
      <c r="P212" s="98">
        <f t="shared" si="202"/>
        <v>0.42546359390492272</v>
      </c>
      <c r="Q212" s="98">
        <f t="shared" ref="Q212" si="203">Q$121 * Q152</f>
        <v>0</v>
      </c>
      <c r="R212" s="79"/>
      <c r="S212" s="79"/>
      <c r="T212" s="79"/>
      <c r="U212" s="79"/>
      <c r="V212" s="79"/>
      <c r="W212" s="79"/>
      <c r="X212" s="79"/>
      <c r="Y212" s="79"/>
    </row>
    <row r="213" spans="3:27" x14ac:dyDescent="0.3">
      <c r="C213" s="88"/>
      <c r="D213"/>
      <c r="F213" t="s">
        <v>197</v>
      </c>
      <c r="G213" t="s">
        <v>271</v>
      </c>
      <c r="J213" s="98">
        <f t="shared" ref="J213:K213" si="204">J$121 * J153</f>
        <v>0</v>
      </c>
      <c r="K213" s="98">
        <f t="shared" si="204"/>
        <v>0</v>
      </c>
      <c r="L213" s="98">
        <f t="shared" ref="L213:M213" si="205">L$121 * L153</f>
        <v>0</v>
      </c>
      <c r="M213" s="98">
        <f t="shared" si="205"/>
        <v>0</v>
      </c>
      <c r="N213" s="98">
        <f t="shared" ref="N213:P213" si="206">N$121 * N153</f>
        <v>0.38343052098300379</v>
      </c>
      <c r="O213" s="98">
        <f t="shared" si="206"/>
        <v>1.8766989260957108</v>
      </c>
      <c r="P213" s="98">
        <f t="shared" si="206"/>
        <v>1.8485572364822793</v>
      </c>
      <c r="Q213" s="98">
        <f t="shared" ref="Q213" si="207">Q$121 * Q153</f>
        <v>0</v>
      </c>
      <c r="R213" s="79"/>
      <c r="S213" s="79"/>
      <c r="T213" s="79"/>
      <c r="U213" s="79"/>
      <c r="V213" s="79"/>
      <c r="W213" s="79"/>
      <c r="X213" s="79"/>
      <c r="Y213" s="79"/>
    </row>
    <row r="214" spans="3:27" x14ac:dyDescent="0.3">
      <c r="C214" s="88"/>
      <c r="D214"/>
      <c r="F214" t="s">
        <v>198</v>
      </c>
      <c r="G214" t="s">
        <v>271</v>
      </c>
      <c r="J214" s="98">
        <f t="shared" ref="J214:K214" si="208">J$121 * J154</f>
        <v>0</v>
      </c>
      <c r="K214" s="98">
        <f t="shared" si="208"/>
        <v>0</v>
      </c>
      <c r="L214" s="98">
        <f t="shared" ref="L214:M214" si="209">L$121 * L154</f>
        <v>0</v>
      </c>
      <c r="M214" s="98">
        <f t="shared" si="209"/>
        <v>0</v>
      </c>
      <c r="N214" s="98">
        <f t="shared" ref="N214:P214" si="210">N$121 * N154</f>
        <v>0.93405155726506017</v>
      </c>
      <c r="O214" s="98">
        <f t="shared" si="210"/>
        <v>0.91434221247873304</v>
      </c>
      <c r="P214" s="98">
        <f t="shared" si="210"/>
        <v>0</v>
      </c>
      <c r="Q214" s="98">
        <f t="shared" ref="Q214" si="211">Q$121 * Q154</f>
        <v>0</v>
      </c>
      <c r="R214" s="79"/>
      <c r="S214" s="79"/>
      <c r="T214" s="79"/>
      <c r="U214" s="79"/>
      <c r="V214" s="79"/>
      <c r="W214" s="79"/>
      <c r="X214" s="79"/>
      <c r="Y214" s="79"/>
    </row>
    <row r="215" spans="3:27" x14ac:dyDescent="0.3">
      <c r="C215" s="88"/>
      <c r="D215"/>
      <c r="F215" t="s">
        <v>199</v>
      </c>
      <c r="G215" t="s">
        <v>271</v>
      </c>
      <c r="J215" s="98">
        <f t="shared" ref="J215:K215" si="212">J$121 * J155</f>
        <v>0</v>
      </c>
      <c r="K215" s="98">
        <f t="shared" si="212"/>
        <v>0</v>
      </c>
      <c r="L215" s="98">
        <f t="shared" ref="L215:M215" si="213">L$121 * L155</f>
        <v>0</v>
      </c>
      <c r="M215" s="98">
        <f t="shared" si="213"/>
        <v>0</v>
      </c>
      <c r="N215" s="98">
        <f t="shared" ref="N215:P215" si="214">N$121 * N155</f>
        <v>1.9226316761571092</v>
      </c>
      <c r="O215" s="98">
        <f t="shared" si="214"/>
        <v>0</v>
      </c>
      <c r="P215" s="98">
        <f t="shared" si="214"/>
        <v>0</v>
      </c>
      <c r="Q215" s="98">
        <f t="shared" ref="Q215" si="215">Q$121 * Q155</f>
        <v>0</v>
      </c>
      <c r="R215" s="79"/>
      <c r="S215" s="79"/>
      <c r="T215" s="79"/>
      <c r="U215" s="79"/>
      <c r="V215" s="79"/>
      <c r="W215" s="79"/>
      <c r="X215" s="79"/>
      <c r="Y215" s="79"/>
    </row>
    <row r="216" spans="3:27" x14ac:dyDescent="0.3">
      <c r="C216" s="88"/>
      <c r="D216"/>
      <c r="F216" t="s">
        <v>376</v>
      </c>
      <c r="G216" t="s">
        <v>271</v>
      </c>
      <c r="J216" s="79"/>
      <c r="K216" s="79"/>
      <c r="L216" s="79"/>
      <c r="M216" s="79"/>
      <c r="N216" s="79"/>
      <c r="O216" s="79"/>
      <c r="P216" s="79"/>
      <c r="Q216" s="79"/>
      <c r="R216" s="79"/>
      <c r="S216" s="79"/>
      <c r="T216" s="79"/>
      <c r="U216" s="79"/>
      <c r="V216" s="79"/>
      <c r="W216" s="79"/>
      <c r="X216" s="79"/>
      <c r="Y216" s="79"/>
    </row>
    <row r="217" spans="3:27" x14ac:dyDescent="0.3">
      <c r="C217" s="88"/>
      <c r="D217"/>
      <c r="F217" s="37" t="s">
        <v>377</v>
      </c>
      <c r="G217" s="37" t="s">
        <v>271</v>
      </c>
      <c r="H217" s="37"/>
      <c r="I217" s="37"/>
      <c r="J217" s="81"/>
      <c r="K217" s="81"/>
      <c r="L217" s="81"/>
      <c r="M217" s="81"/>
      <c r="N217" s="81"/>
      <c r="O217" s="81"/>
      <c r="P217" s="81"/>
      <c r="Q217" s="81"/>
      <c r="R217" s="81"/>
      <c r="S217" s="81"/>
      <c r="T217" s="81"/>
      <c r="U217" s="81"/>
      <c r="V217" s="81"/>
      <c r="W217" s="81"/>
      <c r="X217" s="81"/>
      <c r="Y217" s="81"/>
    </row>
    <row r="218" spans="3:27" x14ac:dyDescent="0.3">
      <c r="C218" s="88"/>
      <c r="J218" s="89"/>
      <c r="K218" s="89"/>
      <c r="L218" s="89"/>
      <c r="M218" s="89"/>
      <c r="N218" s="89"/>
      <c r="O218" s="89"/>
      <c r="P218" s="89"/>
      <c r="Q218" s="89"/>
      <c r="R218" s="89"/>
      <c r="S218" s="89"/>
      <c r="T218" s="89"/>
      <c r="U218" s="89"/>
      <c r="V218" s="89"/>
      <c r="W218" s="89"/>
      <c r="X218" s="89"/>
      <c r="Y218" s="89"/>
    </row>
    <row r="219" spans="3:27" x14ac:dyDescent="0.3">
      <c r="C219" s="31" t="str">
        <f ca="1">INDEX('Version control'!$H$34:$H$57,MATCH($A$1,'Version control'!$F$34:$F$57,0),1)&amp;"-E: Exceeded capacity charges for eligible customers, by network level"</f>
        <v>Section 112-E: Exceeded capacity charges for eligible customers, by network level</v>
      </c>
      <c r="D219" s="31"/>
      <c r="E219" s="31"/>
      <c r="F219" s="31"/>
      <c r="G219" s="31"/>
      <c r="H219" s="31"/>
      <c r="I219" s="31"/>
      <c r="J219" s="90"/>
      <c r="K219" s="90"/>
      <c r="L219" s="90"/>
      <c r="M219" s="90"/>
      <c r="N219" s="90"/>
      <c r="O219" s="90"/>
      <c r="P219" s="90"/>
      <c r="Q219" s="90"/>
      <c r="R219" s="90"/>
      <c r="S219" s="90"/>
      <c r="T219" s="90"/>
      <c r="U219" s="90"/>
      <c r="V219" s="90"/>
      <c r="W219" s="90"/>
      <c r="X219" s="90"/>
      <c r="Y219" s="90"/>
      <c r="Z219" s="31"/>
      <c r="AA219" s="31"/>
    </row>
    <row r="220" spans="3:27" x14ac:dyDescent="0.3">
      <c r="D220" s="32"/>
      <c r="E220" s="32"/>
      <c r="I220" t="s">
        <v>154</v>
      </c>
      <c r="J220" s="89"/>
      <c r="K220" s="89"/>
      <c r="L220" s="89"/>
      <c r="M220" s="89"/>
      <c r="N220" s="89"/>
      <c r="O220" s="89"/>
      <c r="P220" s="89"/>
      <c r="Q220" s="89"/>
      <c r="R220" s="89"/>
      <c r="S220" s="89"/>
      <c r="T220" s="89"/>
      <c r="U220" s="89"/>
      <c r="V220" s="89"/>
      <c r="W220" s="89"/>
      <c r="X220" s="89"/>
      <c r="Y220" s="89"/>
      <c r="AA220" t="s">
        <v>706</v>
      </c>
    </row>
    <row r="221" spans="3:27" x14ac:dyDescent="0.3">
      <c r="C221" s="88"/>
      <c r="D221"/>
      <c r="E221" s="32" t="s">
        <v>621</v>
      </c>
      <c r="J221" s="89"/>
      <c r="K221" s="89"/>
      <c r="L221" s="89"/>
      <c r="M221" s="89"/>
      <c r="N221" s="89"/>
      <c r="O221" s="89"/>
      <c r="P221" s="89"/>
      <c r="Q221" s="89"/>
      <c r="R221" s="89"/>
      <c r="S221" s="89"/>
      <c r="T221" s="89"/>
      <c r="U221" s="89"/>
      <c r="V221" s="89"/>
      <c r="W221" s="89"/>
      <c r="X221" s="89"/>
      <c r="Y221" s="89"/>
    </row>
    <row r="222" spans="3:27" x14ac:dyDescent="0.3">
      <c r="C222" s="88"/>
      <c r="D222"/>
      <c r="F222" s="23" t="s">
        <v>189</v>
      </c>
      <c r="G222" s="23" t="s">
        <v>271</v>
      </c>
      <c r="H222" s="23"/>
      <c r="I222" s="23"/>
      <c r="J222" s="83"/>
      <c r="K222" s="83"/>
      <c r="L222" s="83"/>
      <c r="M222" s="83"/>
      <c r="N222" s="83"/>
      <c r="O222" s="83"/>
      <c r="P222" s="83"/>
      <c r="Q222" s="83"/>
      <c r="R222" s="83"/>
      <c r="S222" s="83"/>
      <c r="T222" s="83"/>
      <c r="U222" s="83"/>
      <c r="V222" s="83"/>
      <c r="W222" s="83"/>
      <c r="X222" s="83"/>
      <c r="Y222" s="83"/>
    </row>
    <row r="223" spans="3:27" x14ac:dyDescent="0.3">
      <c r="C223" s="88"/>
      <c r="D223"/>
      <c r="F223" t="s">
        <v>191</v>
      </c>
      <c r="G223" t="s">
        <v>271</v>
      </c>
      <c r="J223" s="79"/>
      <c r="K223" s="79"/>
      <c r="L223" s="79"/>
      <c r="M223" s="79"/>
      <c r="N223" s="79"/>
      <c r="O223" s="79"/>
      <c r="P223" s="79"/>
      <c r="Q223" s="79"/>
      <c r="R223" s="79"/>
      <c r="S223" s="79"/>
      <c r="T223" s="79"/>
      <c r="U223" s="79"/>
      <c r="V223" s="79"/>
      <c r="W223" s="79"/>
      <c r="X223" s="79"/>
      <c r="Y223" s="79"/>
    </row>
    <row r="224" spans="3:27" x14ac:dyDescent="0.3">
      <c r="C224" s="88"/>
      <c r="D224"/>
      <c r="F224" t="s">
        <v>192</v>
      </c>
      <c r="G224" t="s">
        <v>271</v>
      </c>
      <c r="J224" s="98">
        <f t="shared" ref="J224:K224" si="216">J$122 * J164</f>
        <v>0</v>
      </c>
      <c r="K224" s="98">
        <f t="shared" si="216"/>
        <v>0</v>
      </c>
      <c r="L224" s="98">
        <f t="shared" ref="L224:M224" si="217">L$122 * L164</f>
        <v>0</v>
      </c>
      <c r="M224" s="98">
        <f t="shared" si="217"/>
        <v>0</v>
      </c>
      <c r="N224" s="98">
        <f t="shared" ref="N224:P224" si="218">N$122 * N164</f>
        <v>0</v>
      </c>
      <c r="O224" s="98">
        <f t="shared" si="218"/>
        <v>0</v>
      </c>
      <c r="P224" s="98">
        <f t="shared" si="218"/>
        <v>0.1694843797437631</v>
      </c>
      <c r="Q224" s="98">
        <f t="shared" ref="Q224" si="219">Q$122 * Q164</f>
        <v>0</v>
      </c>
      <c r="R224" s="79"/>
      <c r="S224" s="79"/>
      <c r="T224" s="79"/>
      <c r="U224" s="79"/>
      <c r="V224" s="79"/>
      <c r="W224" s="79"/>
      <c r="X224" s="79"/>
      <c r="Y224" s="79"/>
    </row>
    <row r="225" spans="3:25" x14ac:dyDescent="0.3">
      <c r="C225" s="88"/>
      <c r="D225"/>
      <c r="F225" t="s">
        <v>193</v>
      </c>
      <c r="G225" t="s">
        <v>271</v>
      </c>
      <c r="J225" s="98">
        <f t="shared" ref="J225:K225" si="220">J$122 * J165</f>
        <v>0</v>
      </c>
      <c r="K225" s="98">
        <f t="shared" si="220"/>
        <v>0</v>
      </c>
      <c r="L225" s="98">
        <f t="shared" ref="L225:M225" si="221">L$122 * L165</f>
        <v>0</v>
      </c>
      <c r="M225" s="98">
        <f t="shared" si="221"/>
        <v>0</v>
      </c>
      <c r="N225" s="98">
        <f t="shared" ref="N225:P225" si="222">N$122 * N165</f>
        <v>0</v>
      </c>
      <c r="O225" s="98">
        <f t="shared" si="222"/>
        <v>0</v>
      </c>
      <c r="P225" s="98">
        <f t="shared" si="222"/>
        <v>0</v>
      </c>
      <c r="Q225" s="98">
        <f t="shared" ref="Q225" si="223">Q$122 * Q165</f>
        <v>0</v>
      </c>
      <c r="R225" s="79"/>
      <c r="S225" s="79"/>
      <c r="T225" s="79"/>
      <c r="U225" s="79"/>
      <c r="V225" s="79"/>
      <c r="W225" s="79"/>
      <c r="X225" s="79"/>
      <c r="Y225" s="79"/>
    </row>
    <row r="226" spans="3:25" x14ac:dyDescent="0.3">
      <c r="C226" s="88"/>
      <c r="D226"/>
      <c r="F226" t="s">
        <v>194</v>
      </c>
      <c r="G226" t="s">
        <v>271</v>
      </c>
      <c r="J226" s="98">
        <f t="shared" ref="J226:K226" si="224">J$122 * J166</f>
        <v>0</v>
      </c>
      <c r="K226" s="98">
        <f t="shared" si="224"/>
        <v>0</v>
      </c>
      <c r="L226" s="98">
        <f t="shared" ref="L226:M226" si="225">L$122 * L166</f>
        <v>0</v>
      </c>
      <c r="M226" s="98">
        <f t="shared" si="225"/>
        <v>0</v>
      </c>
      <c r="N226" s="98">
        <f t="shared" ref="N226:P226" si="226">N$122 * N166</f>
        <v>0</v>
      </c>
      <c r="O226" s="98">
        <f t="shared" si="226"/>
        <v>0</v>
      </c>
      <c r="P226" s="98">
        <f t="shared" si="226"/>
        <v>5.7361165408492627E-2</v>
      </c>
      <c r="Q226" s="98">
        <f t="shared" ref="Q226" si="227">Q$122 * Q166</f>
        <v>0</v>
      </c>
      <c r="R226" s="79"/>
      <c r="S226" s="79"/>
      <c r="T226" s="79"/>
      <c r="U226" s="79"/>
      <c r="V226" s="79"/>
      <c r="W226" s="79"/>
      <c r="X226" s="79"/>
      <c r="Y226" s="79"/>
    </row>
    <row r="227" spans="3:25" x14ac:dyDescent="0.3">
      <c r="C227" s="88"/>
      <c r="D227"/>
      <c r="F227" t="s">
        <v>195</v>
      </c>
      <c r="G227" t="s">
        <v>271</v>
      </c>
      <c r="J227" s="98">
        <f t="shared" ref="J227:K227" si="228">J$122 * J167</f>
        <v>0</v>
      </c>
      <c r="K227" s="98">
        <f t="shared" si="228"/>
        <v>0</v>
      </c>
      <c r="L227" s="98">
        <f t="shared" ref="L227:M227" si="229">L$122 * L167</f>
        <v>0</v>
      </c>
      <c r="M227" s="98">
        <f t="shared" si="229"/>
        <v>0</v>
      </c>
      <c r="N227" s="98">
        <f t="shared" ref="N227:P227" si="230">N$122 * N167</f>
        <v>0</v>
      </c>
      <c r="O227" s="98">
        <f t="shared" si="230"/>
        <v>0</v>
      </c>
      <c r="P227" s="98">
        <f t="shared" si="230"/>
        <v>0.55287219164132417</v>
      </c>
      <c r="Q227" s="98">
        <f t="shared" ref="Q227" si="231">Q$122 * Q167</f>
        <v>0</v>
      </c>
      <c r="R227" s="79"/>
      <c r="S227" s="79"/>
      <c r="T227" s="79"/>
      <c r="U227" s="79"/>
      <c r="V227" s="79"/>
      <c r="W227" s="79"/>
      <c r="X227" s="79"/>
      <c r="Y227" s="79"/>
    </row>
    <row r="228" spans="3:25" x14ac:dyDescent="0.3">
      <c r="C228" s="88"/>
      <c r="D228"/>
      <c r="F228" t="s">
        <v>196</v>
      </c>
      <c r="G228" t="s">
        <v>271</v>
      </c>
      <c r="J228" s="98">
        <f t="shared" ref="J228:K228" si="232">J$122 * J168</f>
        <v>0</v>
      </c>
      <c r="K228" s="98">
        <f t="shared" si="232"/>
        <v>0</v>
      </c>
      <c r="L228" s="98">
        <f t="shared" ref="L228:M228" si="233">L$122 * L168</f>
        <v>0</v>
      </c>
      <c r="M228" s="98">
        <f t="shared" si="233"/>
        <v>0</v>
      </c>
      <c r="N228" s="98">
        <f t="shared" ref="N228:P228" si="234">N$122 * N168</f>
        <v>0</v>
      </c>
      <c r="O228" s="98">
        <f t="shared" si="234"/>
        <v>0</v>
      </c>
      <c r="P228" s="98">
        <f t="shared" si="234"/>
        <v>0.60597675083598301</v>
      </c>
      <c r="Q228" s="98">
        <f t="shared" ref="Q228" si="235">Q$122 * Q168</f>
        <v>0</v>
      </c>
      <c r="R228" s="79"/>
      <c r="S228" s="79"/>
      <c r="T228" s="79"/>
      <c r="U228" s="79"/>
      <c r="V228" s="79"/>
      <c r="W228" s="79"/>
      <c r="X228" s="79"/>
      <c r="Y228" s="79"/>
    </row>
    <row r="229" spans="3:25" x14ac:dyDescent="0.3">
      <c r="C229" s="88"/>
      <c r="D229"/>
      <c r="F229" t="s">
        <v>197</v>
      </c>
      <c r="G229" t="s">
        <v>271</v>
      </c>
      <c r="J229" s="98">
        <f t="shared" ref="J229:K229" si="236">J$122 * J169</f>
        <v>0</v>
      </c>
      <c r="K229" s="98">
        <f t="shared" si="236"/>
        <v>0</v>
      </c>
      <c r="L229" s="98">
        <f t="shared" ref="L229:M229" si="237">L$122 * L169</f>
        <v>0</v>
      </c>
      <c r="M229" s="98">
        <f t="shared" si="237"/>
        <v>0</v>
      </c>
      <c r="N229" s="98">
        <f t="shared" ref="N229:P229" si="238">N$122 * N169</f>
        <v>0.54611013634353756</v>
      </c>
      <c r="O229" s="98">
        <f t="shared" si="238"/>
        <v>2.6729335572410755</v>
      </c>
      <c r="P229" s="98">
        <f t="shared" si="238"/>
        <v>2.632852079344302</v>
      </c>
      <c r="Q229" s="98">
        <f t="shared" ref="Q229" si="239">Q$122 * Q169</f>
        <v>0</v>
      </c>
      <c r="R229" s="79"/>
      <c r="S229" s="79"/>
      <c r="T229" s="79"/>
      <c r="U229" s="79"/>
      <c r="V229" s="79"/>
      <c r="W229" s="79"/>
      <c r="X229" s="79"/>
      <c r="Y229" s="79"/>
    </row>
    <row r="230" spans="3:25" x14ac:dyDescent="0.3">
      <c r="C230" s="88"/>
      <c r="D230"/>
      <c r="F230" t="s">
        <v>198</v>
      </c>
      <c r="G230" t="s">
        <v>271</v>
      </c>
      <c r="J230" s="98">
        <f t="shared" ref="J230:K230" si="240">J$122 * J170</f>
        <v>0</v>
      </c>
      <c r="K230" s="98">
        <f t="shared" si="240"/>
        <v>0</v>
      </c>
      <c r="L230" s="98">
        <f t="shared" ref="L230:M230" si="241">L$122 * L170</f>
        <v>0</v>
      </c>
      <c r="M230" s="98">
        <f t="shared" si="241"/>
        <v>0</v>
      </c>
      <c r="N230" s="98">
        <f t="shared" ref="N230:P230" si="242">N$122 * N170</f>
        <v>1.3303453829971095</v>
      </c>
      <c r="O230" s="98">
        <f t="shared" si="242"/>
        <v>1.3022738749155187</v>
      </c>
      <c r="P230" s="98">
        <f t="shared" si="242"/>
        <v>0</v>
      </c>
      <c r="Q230" s="98">
        <f t="shared" ref="Q230" si="243">Q$122 * Q170</f>
        <v>0</v>
      </c>
      <c r="R230" s="79"/>
      <c r="S230" s="79"/>
      <c r="T230" s="79"/>
      <c r="U230" s="79"/>
      <c r="V230" s="79"/>
      <c r="W230" s="79"/>
      <c r="X230" s="79"/>
      <c r="Y230" s="79"/>
    </row>
    <row r="231" spans="3:25" x14ac:dyDescent="0.3">
      <c r="C231" s="88"/>
      <c r="D231"/>
      <c r="F231" t="s">
        <v>199</v>
      </c>
      <c r="G231" t="s">
        <v>271</v>
      </c>
      <c r="J231" s="98">
        <f t="shared" ref="J231:K231" si="244">J$122 * J171</f>
        <v>0</v>
      </c>
      <c r="K231" s="98">
        <f t="shared" si="244"/>
        <v>0</v>
      </c>
      <c r="L231" s="98">
        <f t="shared" ref="L231:M231" si="245">L$122 * L171</f>
        <v>0</v>
      </c>
      <c r="M231" s="98">
        <f t="shared" si="245"/>
        <v>0</v>
      </c>
      <c r="N231" s="98">
        <f t="shared" ref="N231:P231" si="246">N$122 * N171</f>
        <v>2.7383543806391586</v>
      </c>
      <c r="O231" s="98">
        <f t="shared" si="246"/>
        <v>0</v>
      </c>
      <c r="P231" s="98">
        <f t="shared" si="246"/>
        <v>0</v>
      </c>
      <c r="Q231" s="98">
        <f t="shared" ref="Q231" si="247">Q$122 * Q171</f>
        <v>0</v>
      </c>
      <c r="R231" s="79"/>
      <c r="S231" s="79"/>
      <c r="T231" s="79"/>
      <c r="U231" s="79"/>
      <c r="V231" s="79"/>
      <c r="W231" s="79"/>
      <c r="X231" s="79"/>
      <c r="Y231" s="79"/>
    </row>
    <row r="232" spans="3:25" x14ac:dyDescent="0.3">
      <c r="C232" s="88"/>
      <c r="D232"/>
      <c r="F232" t="s">
        <v>376</v>
      </c>
      <c r="G232" t="s">
        <v>271</v>
      </c>
      <c r="J232" s="79"/>
      <c r="K232" s="79"/>
      <c r="L232" s="79"/>
      <c r="M232" s="79"/>
      <c r="N232" s="79"/>
      <c r="O232" s="79"/>
      <c r="P232" s="79"/>
      <c r="Q232" s="79"/>
      <c r="R232" s="79"/>
      <c r="S232" s="79"/>
      <c r="T232" s="79"/>
      <c r="U232" s="79"/>
      <c r="V232" s="79"/>
      <c r="W232" s="79"/>
      <c r="X232" s="79"/>
      <c r="Y232" s="79"/>
    </row>
    <row r="233" spans="3:25" x14ac:dyDescent="0.3">
      <c r="C233" s="88"/>
      <c r="D233"/>
      <c r="F233" s="37" t="s">
        <v>377</v>
      </c>
      <c r="G233" s="37" t="s">
        <v>271</v>
      </c>
      <c r="H233" s="37"/>
      <c r="I233" s="37"/>
      <c r="J233" s="81"/>
      <c r="K233" s="81"/>
      <c r="L233" s="81"/>
      <c r="M233" s="81"/>
      <c r="N233" s="81"/>
      <c r="O233" s="81"/>
      <c r="P233" s="81"/>
      <c r="Q233" s="81"/>
      <c r="R233" s="81"/>
      <c r="S233" s="81"/>
      <c r="T233" s="81"/>
      <c r="U233" s="81"/>
      <c r="V233" s="81"/>
      <c r="W233" s="81"/>
      <c r="X233" s="81"/>
      <c r="Y233" s="81"/>
    </row>
    <row r="234" spans="3:25" x14ac:dyDescent="0.3">
      <c r="C234" s="88"/>
      <c r="D234"/>
      <c r="J234" s="89"/>
      <c r="K234" s="89"/>
      <c r="L234" s="89"/>
      <c r="M234" s="89"/>
      <c r="N234" s="89"/>
      <c r="O234" s="89"/>
      <c r="P234" s="89"/>
      <c r="Q234" s="89"/>
      <c r="R234" s="89"/>
      <c r="S234" s="89"/>
      <c r="T234" s="89"/>
      <c r="U234" s="89"/>
      <c r="V234" s="89"/>
      <c r="W234" s="89"/>
      <c r="X234" s="89"/>
      <c r="Y234" s="89"/>
    </row>
    <row r="235" spans="3:25" x14ac:dyDescent="0.3">
      <c r="C235" s="88"/>
      <c r="D235"/>
      <c r="E235" s="32" t="s">
        <v>622</v>
      </c>
      <c r="J235" s="89"/>
      <c r="K235" s="89"/>
      <c r="L235" s="89"/>
      <c r="M235" s="89"/>
      <c r="N235" s="89"/>
      <c r="O235" s="89"/>
      <c r="P235" s="89"/>
      <c r="Q235" s="89"/>
      <c r="R235" s="89"/>
      <c r="S235" s="89"/>
      <c r="T235" s="89"/>
      <c r="U235" s="89"/>
      <c r="V235" s="89"/>
      <c r="W235" s="89"/>
      <c r="X235" s="89"/>
      <c r="Y235" s="89"/>
    </row>
    <row r="236" spans="3:25" x14ac:dyDescent="0.3">
      <c r="C236" s="88"/>
      <c r="D236"/>
      <c r="F236" s="23" t="s">
        <v>189</v>
      </c>
      <c r="G236" s="23" t="s">
        <v>271</v>
      </c>
      <c r="H236" s="23"/>
      <c r="I236" s="23"/>
      <c r="J236" s="126">
        <f t="shared" ref="J236:K236" si="248">J$122 * J176</f>
        <v>0</v>
      </c>
      <c r="K236" s="126">
        <f t="shared" si="248"/>
        <v>0</v>
      </c>
      <c r="L236" s="126">
        <f t="shared" ref="L236:M236" si="249">L$122 * L176</f>
        <v>0</v>
      </c>
      <c r="M236" s="126">
        <f t="shared" si="249"/>
        <v>0</v>
      </c>
      <c r="N236" s="126">
        <f t="shared" ref="N236:P236" si="250">N$122 * N176</f>
        <v>0</v>
      </c>
      <c r="O236" s="126">
        <f t="shared" si="250"/>
        <v>0</v>
      </c>
      <c r="P236" s="126">
        <f t="shared" si="250"/>
        <v>0</v>
      </c>
      <c r="Q236" s="126">
        <f t="shared" ref="Q236" si="251">Q$122 * Q176</f>
        <v>0</v>
      </c>
      <c r="R236" s="83"/>
      <c r="S236" s="83"/>
      <c r="T236" s="83"/>
      <c r="U236" s="83"/>
      <c r="V236" s="83"/>
      <c r="W236" s="83"/>
      <c r="X236" s="83"/>
      <c r="Y236" s="83"/>
    </row>
    <row r="237" spans="3:25" x14ac:dyDescent="0.3">
      <c r="C237" s="88"/>
      <c r="D237"/>
      <c r="F237" t="s">
        <v>191</v>
      </c>
      <c r="G237" t="s">
        <v>271</v>
      </c>
      <c r="J237" s="98">
        <f t="shared" ref="J237:K237" si="252">J$122 * J177</f>
        <v>0</v>
      </c>
      <c r="K237" s="98">
        <f t="shared" si="252"/>
        <v>0</v>
      </c>
      <c r="L237" s="98">
        <f t="shared" ref="L237:M237" si="253">L$122 * L177</f>
        <v>0</v>
      </c>
      <c r="M237" s="98">
        <f t="shared" si="253"/>
        <v>0</v>
      </c>
      <c r="N237" s="98">
        <f t="shared" ref="N237:P237" si="254">N$122 * N177</f>
        <v>0</v>
      </c>
      <c r="O237" s="98">
        <f t="shared" si="254"/>
        <v>0</v>
      </c>
      <c r="P237" s="98">
        <f t="shared" si="254"/>
        <v>0</v>
      </c>
      <c r="Q237" s="98">
        <f t="shared" ref="Q237" si="255">Q$122 * Q177</f>
        <v>0</v>
      </c>
      <c r="R237" s="79"/>
      <c r="S237" s="79"/>
      <c r="T237" s="79"/>
      <c r="U237" s="79"/>
      <c r="V237" s="79"/>
      <c r="W237" s="79"/>
      <c r="X237" s="79"/>
      <c r="Y237" s="79"/>
    </row>
    <row r="238" spans="3:25" x14ac:dyDescent="0.3">
      <c r="C238" s="88"/>
      <c r="D238"/>
      <c r="F238" t="s">
        <v>192</v>
      </c>
      <c r="G238" t="s">
        <v>271</v>
      </c>
      <c r="J238" s="98">
        <f t="shared" ref="J238:K238" si="256">J$122 * J178</f>
        <v>0</v>
      </c>
      <c r="K238" s="98">
        <f t="shared" si="256"/>
        <v>0</v>
      </c>
      <c r="L238" s="98">
        <f t="shared" ref="L238:M238" si="257">L$122 * L178</f>
        <v>0</v>
      </c>
      <c r="M238" s="98">
        <f t="shared" si="257"/>
        <v>0</v>
      </c>
      <c r="N238" s="98">
        <f t="shared" ref="N238:P238" si="258">N$122 * N178</f>
        <v>0</v>
      </c>
      <c r="O238" s="98">
        <f t="shared" si="258"/>
        <v>0</v>
      </c>
      <c r="P238" s="98">
        <f t="shared" si="258"/>
        <v>0.11899702953462928</v>
      </c>
      <c r="Q238" s="98">
        <f t="shared" ref="Q238" si="259">Q$122 * Q178</f>
        <v>0</v>
      </c>
      <c r="R238" s="79"/>
      <c r="S238" s="79"/>
      <c r="T238" s="79"/>
      <c r="U238" s="79"/>
      <c r="V238" s="79"/>
      <c r="W238" s="79"/>
      <c r="X238" s="79"/>
      <c r="Y238" s="79"/>
    </row>
    <row r="239" spans="3:25" x14ac:dyDescent="0.3">
      <c r="C239" s="88"/>
      <c r="D239"/>
      <c r="F239" t="s">
        <v>193</v>
      </c>
      <c r="G239" t="s">
        <v>271</v>
      </c>
      <c r="J239" s="98">
        <f t="shared" ref="J239:K239" si="260">J$122 * J179</f>
        <v>0</v>
      </c>
      <c r="K239" s="98">
        <f t="shared" si="260"/>
        <v>0</v>
      </c>
      <c r="L239" s="98">
        <f t="shared" ref="L239:M239" si="261">L$122 * L179</f>
        <v>0</v>
      </c>
      <c r="M239" s="98">
        <f t="shared" si="261"/>
        <v>0</v>
      </c>
      <c r="N239" s="98">
        <f t="shared" ref="N239:P239" si="262">N$122 * N179</f>
        <v>0</v>
      </c>
      <c r="O239" s="98">
        <f t="shared" si="262"/>
        <v>0</v>
      </c>
      <c r="P239" s="98">
        <f t="shared" si="262"/>
        <v>0</v>
      </c>
      <c r="Q239" s="98">
        <f t="shared" ref="Q239" si="263">Q$122 * Q179</f>
        <v>0</v>
      </c>
      <c r="R239" s="79"/>
      <c r="S239" s="79"/>
      <c r="T239" s="79"/>
      <c r="U239" s="79"/>
      <c r="V239" s="79"/>
      <c r="W239" s="79"/>
      <c r="X239" s="79"/>
      <c r="Y239" s="79"/>
    </row>
    <row r="240" spans="3:25" x14ac:dyDescent="0.3">
      <c r="C240" s="88"/>
      <c r="D240"/>
      <c r="F240" t="s">
        <v>194</v>
      </c>
      <c r="G240" t="s">
        <v>271</v>
      </c>
      <c r="J240" s="98">
        <f t="shared" ref="J240:K240" si="264">J$122 * J180</f>
        <v>0</v>
      </c>
      <c r="K240" s="98">
        <f t="shared" si="264"/>
        <v>0</v>
      </c>
      <c r="L240" s="98">
        <f t="shared" ref="L240:M240" si="265">L$122 * L180</f>
        <v>0</v>
      </c>
      <c r="M240" s="98">
        <f t="shared" si="265"/>
        <v>0</v>
      </c>
      <c r="N240" s="98">
        <f t="shared" ref="N240:P240" si="266">N$122 * N180</f>
        <v>0</v>
      </c>
      <c r="O240" s="98">
        <f t="shared" si="266"/>
        <v>0</v>
      </c>
      <c r="P240" s="98">
        <f t="shared" si="266"/>
        <v>4.0273966866886647E-2</v>
      </c>
      <c r="Q240" s="98">
        <f t="shared" ref="Q240" si="267">Q$122 * Q180</f>
        <v>0</v>
      </c>
      <c r="R240" s="79"/>
      <c r="S240" s="79"/>
      <c r="T240" s="79"/>
      <c r="U240" s="79"/>
      <c r="V240" s="79"/>
      <c r="W240" s="79"/>
      <c r="X240" s="79"/>
      <c r="Y240" s="79"/>
    </row>
    <row r="241" spans="2:27" x14ac:dyDescent="0.3">
      <c r="C241" s="88"/>
      <c r="D241"/>
      <c r="F241" t="s">
        <v>195</v>
      </c>
      <c r="G241" t="s">
        <v>271</v>
      </c>
      <c r="J241" s="98">
        <f t="shared" ref="J241:K241" si="268">J$122 * J181</f>
        <v>0</v>
      </c>
      <c r="K241" s="98">
        <f t="shared" si="268"/>
        <v>0</v>
      </c>
      <c r="L241" s="98">
        <f t="shared" ref="L241:M241" si="269">L$122 * L181</f>
        <v>0</v>
      </c>
      <c r="M241" s="98">
        <f t="shared" si="269"/>
        <v>0</v>
      </c>
      <c r="N241" s="98">
        <f t="shared" ref="N241:P241" si="270">N$122 * N181</f>
        <v>0</v>
      </c>
      <c r="O241" s="98">
        <f t="shared" si="270"/>
        <v>0</v>
      </c>
      <c r="P241" s="98">
        <f t="shared" si="270"/>
        <v>0.38817824165910414</v>
      </c>
      <c r="Q241" s="98">
        <f t="shared" ref="Q241" si="271">Q$122 * Q181</f>
        <v>0</v>
      </c>
      <c r="R241" s="79"/>
      <c r="S241" s="79"/>
      <c r="T241" s="79"/>
      <c r="U241" s="79"/>
      <c r="V241" s="79"/>
      <c r="W241" s="79"/>
      <c r="X241" s="79"/>
      <c r="Y241" s="79"/>
    </row>
    <row r="242" spans="2:27" x14ac:dyDescent="0.3">
      <c r="C242" s="88"/>
      <c r="D242"/>
      <c r="F242" t="s">
        <v>196</v>
      </c>
      <c r="G242" t="s">
        <v>271</v>
      </c>
      <c r="J242" s="98">
        <f t="shared" ref="J242:K242" si="272">J$122 * J182</f>
        <v>0</v>
      </c>
      <c r="K242" s="98">
        <f t="shared" si="272"/>
        <v>0</v>
      </c>
      <c r="L242" s="98">
        <f t="shared" ref="L242:M242" si="273">L$122 * L182</f>
        <v>0</v>
      </c>
      <c r="M242" s="98">
        <f t="shared" si="273"/>
        <v>0</v>
      </c>
      <c r="N242" s="98">
        <f t="shared" ref="N242:P242" si="274">N$122 * N182</f>
        <v>0</v>
      </c>
      <c r="O242" s="98">
        <f t="shared" si="274"/>
        <v>0</v>
      </c>
      <c r="P242" s="98">
        <f t="shared" si="274"/>
        <v>0.42546359390492272</v>
      </c>
      <c r="Q242" s="98">
        <f t="shared" ref="Q242" si="275">Q$122 * Q182</f>
        <v>0</v>
      </c>
      <c r="R242" s="79"/>
      <c r="S242" s="79"/>
      <c r="T242" s="79"/>
      <c r="U242" s="79"/>
      <c r="V242" s="79"/>
      <c r="W242" s="79"/>
      <c r="X242" s="79"/>
      <c r="Y242" s="79"/>
    </row>
    <row r="243" spans="2:27" x14ac:dyDescent="0.3">
      <c r="C243" s="88"/>
      <c r="D243"/>
      <c r="F243" t="s">
        <v>197</v>
      </c>
      <c r="G243" t="s">
        <v>271</v>
      </c>
      <c r="J243" s="98">
        <f t="shared" ref="J243:K243" si="276">J$122 * J183</f>
        <v>0</v>
      </c>
      <c r="K243" s="98">
        <f t="shared" si="276"/>
        <v>0</v>
      </c>
      <c r="L243" s="98">
        <f t="shared" ref="L243:M243" si="277">L$122 * L183</f>
        <v>0</v>
      </c>
      <c r="M243" s="98">
        <f t="shared" si="277"/>
        <v>0</v>
      </c>
      <c r="N243" s="98">
        <f t="shared" ref="N243:P243" si="278">N$122 * N183</f>
        <v>0.38343052098300379</v>
      </c>
      <c r="O243" s="98">
        <f t="shared" si="278"/>
        <v>1.8766989260957108</v>
      </c>
      <c r="P243" s="98">
        <f t="shared" si="278"/>
        <v>1.8485572364822793</v>
      </c>
      <c r="Q243" s="98">
        <f t="shared" ref="Q243" si="279">Q$122 * Q183</f>
        <v>0</v>
      </c>
      <c r="R243" s="79"/>
      <c r="S243" s="79"/>
      <c r="T243" s="79"/>
      <c r="U243" s="79"/>
      <c r="V243" s="79"/>
      <c r="W243" s="79"/>
      <c r="X243" s="79"/>
      <c r="Y243" s="79"/>
    </row>
    <row r="244" spans="2:27" x14ac:dyDescent="0.3">
      <c r="C244" s="88"/>
      <c r="D244"/>
      <c r="F244" t="s">
        <v>198</v>
      </c>
      <c r="G244" t="s">
        <v>271</v>
      </c>
      <c r="J244" s="98">
        <f t="shared" ref="J244:K244" si="280">J$122 * J184</f>
        <v>0</v>
      </c>
      <c r="K244" s="98">
        <f t="shared" si="280"/>
        <v>0</v>
      </c>
      <c r="L244" s="98">
        <f t="shared" ref="L244:M244" si="281">L$122 * L184</f>
        <v>0</v>
      </c>
      <c r="M244" s="98">
        <f t="shared" si="281"/>
        <v>0</v>
      </c>
      <c r="N244" s="98">
        <f t="shared" ref="N244:P244" si="282">N$122 * N184</f>
        <v>0.93405155726506017</v>
      </c>
      <c r="O244" s="98">
        <f t="shared" si="282"/>
        <v>0.91434221247873304</v>
      </c>
      <c r="P244" s="98">
        <f t="shared" si="282"/>
        <v>0</v>
      </c>
      <c r="Q244" s="98">
        <f t="shared" ref="Q244" si="283">Q$122 * Q184</f>
        <v>0</v>
      </c>
      <c r="R244" s="79"/>
      <c r="S244" s="79"/>
      <c r="T244" s="79"/>
      <c r="U244" s="79"/>
      <c r="V244" s="79"/>
      <c r="W244" s="79"/>
      <c r="X244" s="79"/>
      <c r="Y244" s="79"/>
    </row>
    <row r="245" spans="2:27" x14ac:dyDescent="0.3">
      <c r="C245" s="88"/>
      <c r="D245"/>
      <c r="F245" t="s">
        <v>199</v>
      </c>
      <c r="G245" t="s">
        <v>271</v>
      </c>
      <c r="J245" s="98">
        <f t="shared" ref="J245:K245" si="284">J$122 * J185</f>
        <v>0</v>
      </c>
      <c r="K245" s="98">
        <f t="shared" si="284"/>
        <v>0</v>
      </c>
      <c r="L245" s="98">
        <f t="shared" ref="L245:M245" si="285">L$122 * L185</f>
        <v>0</v>
      </c>
      <c r="M245" s="98">
        <f t="shared" si="285"/>
        <v>0</v>
      </c>
      <c r="N245" s="98">
        <f t="shared" ref="N245:P245" si="286">N$122 * N185</f>
        <v>1.9226316761571092</v>
      </c>
      <c r="O245" s="98">
        <f t="shared" si="286"/>
        <v>0</v>
      </c>
      <c r="P245" s="98">
        <f t="shared" si="286"/>
        <v>0</v>
      </c>
      <c r="Q245" s="98">
        <f t="shared" ref="Q245" si="287">Q$122 * Q185</f>
        <v>0</v>
      </c>
      <c r="R245" s="79"/>
      <c r="S245" s="79"/>
      <c r="T245" s="79"/>
      <c r="U245" s="79"/>
      <c r="V245" s="79"/>
      <c r="W245" s="79"/>
      <c r="X245" s="79"/>
      <c r="Y245" s="79"/>
    </row>
    <row r="246" spans="2:27" x14ac:dyDescent="0.3">
      <c r="C246" s="88"/>
      <c r="D246"/>
      <c r="F246" t="s">
        <v>376</v>
      </c>
      <c r="G246" t="s">
        <v>271</v>
      </c>
      <c r="J246" s="79"/>
      <c r="K246" s="79"/>
      <c r="L246" s="79"/>
      <c r="M246" s="79"/>
      <c r="N246" s="79"/>
      <c r="O246" s="79"/>
      <c r="P246" s="79"/>
      <c r="Q246" s="79"/>
      <c r="R246" s="79"/>
      <c r="S246" s="79"/>
      <c r="T246" s="79"/>
      <c r="U246" s="79"/>
      <c r="V246" s="79"/>
      <c r="W246" s="79"/>
      <c r="X246" s="79"/>
      <c r="Y246" s="79"/>
    </row>
    <row r="247" spans="2:27" x14ac:dyDescent="0.3">
      <c r="C247" s="88"/>
      <c r="D247"/>
      <c r="F247" s="37" t="s">
        <v>377</v>
      </c>
      <c r="G247" s="37" t="s">
        <v>271</v>
      </c>
      <c r="H247" s="37"/>
      <c r="I247" s="37"/>
      <c r="J247" s="81"/>
      <c r="K247" s="81"/>
      <c r="L247" s="81"/>
      <c r="M247" s="81"/>
      <c r="N247" s="81"/>
      <c r="O247" s="81"/>
      <c r="P247" s="81"/>
      <c r="Q247" s="81"/>
      <c r="R247" s="81"/>
      <c r="S247" s="81"/>
      <c r="T247" s="81"/>
      <c r="U247" s="81"/>
      <c r="V247" s="81"/>
      <c r="W247" s="81"/>
      <c r="X247" s="81"/>
      <c r="Y247" s="81"/>
    </row>
    <row r="248" spans="2:27" x14ac:dyDescent="0.3">
      <c r="C248" s="88"/>
      <c r="J248" s="89"/>
      <c r="K248" s="89"/>
      <c r="L248" s="89"/>
      <c r="M248" s="89"/>
      <c r="N248" s="89"/>
      <c r="O248" s="89"/>
      <c r="P248" s="89"/>
      <c r="Q248" s="89"/>
      <c r="R248" s="89"/>
      <c r="S248" s="89"/>
      <c r="T248" s="89"/>
      <c r="U248" s="89"/>
      <c r="V248" s="89"/>
      <c r="W248" s="89"/>
      <c r="X248" s="89"/>
      <c r="Y248" s="89"/>
    </row>
    <row r="249" spans="2:27" x14ac:dyDescent="0.3">
      <c r="B249" s="30" t="s">
        <v>707</v>
      </c>
      <c r="C249" s="30"/>
      <c r="D249" s="30"/>
      <c r="E249" s="30"/>
      <c r="F249" s="30"/>
      <c r="G249" s="30"/>
      <c r="H249" s="30"/>
      <c r="I249" s="30"/>
      <c r="J249" s="184"/>
      <c r="K249" s="184"/>
      <c r="L249" s="184"/>
      <c r="M249" s="184"/>
      <c r="N249" s="184"/>
      <c r="O249" s="184"/>
      <c r="P249" s="184"/>
      <c r="Q249" s="184"/>
      <c r="R249" s="184"/>
      <c r="S249" s="184"/>
      <c r="T249" s="184"/>
      <c r="U249" s="184"/>
      <c r="V249" s="184"/>
      <c r="W249" s="184"/>
      <c r="X249" s="184"/>
      <c r="Y249" s="184"/>
      <c r="Z249" s="30"/>
      <c r="AA249" s="30"/>
    </row>
    <row r="250" spans="2:27" x14ac:dyDescent="0.3">
      <c r="J250" s="89"/>
      <c r="K250" s="89"/>
      <c r="L250" s="89"/>
      <c r="M250" s="89"/>
      <c r="N250" s="89"/>
      <c r="O250" s="89"/>
      <c r="P250" s="89"/>
      <c r="Q250" s="89"/>
      <c r="R250" s="89"/>
      <c r="S250" s="89"/>
      <c r="T250" s="89"/>
      <c r="U250" s="89"/>
      <c r="V250" s="89"/>
      <c r="W250" s="89"/>
      <c r="X250" s="89"/>
      <c r="Y250" s="89"/>
    </row>
    <row r="251" spans="2:27" x14ac:dyDescent="0.3">
      <c r="B251" s="203"/>
      <c r="C251" s="29" t="s">
        <v>708</v>
      </c>
      <c r="D251"/>
      <c r="E251"/>
      <c r="J251" s="89"/>
      <c r="K251" s="89"/>
      <c r="L251" s="89"/>
      <c r="M251" s="89"/>
      <c r="N251" s="89"/>
      <c r="O251" s="89"/>
      <c r="P251" s="89"/>
      <c r="Q251" s="89"/>
      <c r="R251" s="89"/>
      <c r="S251" s="89"/>
      <c r="T251" s="89"/>
      <c r="U251" s="89"/>
      <c r="V251" s="89"/>
      <c r="W251" s="89"/>
      <c r="X251" s="89"/>
      <c r="Y251" s="89"/>
    </row>
    <row r="252" spans="2:27" x14ac:dyDescent="0.3">
      <c r="B252" s="203"/>
      <c r="C252" s="29" t="s">
        <v>709</v>
      </c>
      <c r="D252"/>
      <c r="E252"/>
      <c r="J252" s="89"/>
      <c r="K252" s="89"/>
      <c r="L252" s="89"/>
      <c r="M252" s="89"/>
      <c r="N252" s="89"/>
      <c r="O252" s="89"/>
      <c r="P252" s="89"/>
      <c r="Q252" s="89"/>
      <c r="R252" s="89"/>
      <c r="S252" s="89"/>
      <c r="T252" s="89"/>
      <c r="U252" s="89"/>
      <c r="V252" s="89"/>
      <c r="W252" s="89"/>
      <c r="X252" s="89"/>
      <c r="Y252" s="89"/>
    </row>
    <row r="253" spans="2:27" x14ac:dyDescent="0.3">
      <c r="J253" s="89"/>
      <c r="K253" s="89"/>
      <c r="L253" s="89"/>
      <c r="M253" s="89"/>
      <c r="N253" s="89"/>
      <c r="O253" s="89"/>
      <c r="P253" s="89"/>
      <c r="Q253" s="89"/>
      <c r="R253" s="89"/>
      <c r="S253" s="89"/>
      <c r="T253" s="89"/>
      <c r="U253" s="89"/>
      <c r="V253" s="89"/>
      <c r="W253" s="89"/>
      <c r="X253" s="89"/>
      <c r="Y253" s="89"/>
    </row>
    <row r="254" spans="2:27" x14ac:dyDescent="0.3">
      <c r="C254" s="31" t="str">
        <f ca="1">INDEX('Version control'!$H$34:$H$57,MATCH($A$1,'Version control'!$F$34:$F$57,0),1)&amp;"-F: Capacity and exceeded capacity charges"</f>
        <v>Section 112-F: Capacity and exceeded capacity charges</v>
      </c>
      <c r="D254" s="31"/>
      <c r="E254" s="31"/>
      <c r="F254" s="31"/>
      <c r="G254" s="31"/>
      <c r="H254" s="31"/>
      <c r="I254" s="31"/>
      <c r="J254" s="90"/>
      <c r="K254" s="90"/>
      <c r="L254" s="90"/>
      <c r="M254" s="90"/>
      <c r="N254" s="90"/>
      <c r="O254" s="90"/>
      <c r="P254" s="90"/>
      <c r="Q254" s="90"/>
      <c r="R254" s="90"/>
      <c r="S254" s="90"/>
      <c r="T254" s="90"/>
      <c r="U254" s="90"/>
      <c r="V254" s="90"/>
      <c r="W254" s="90"/>
      <c r="X254" s="90"/>
      <c r="Y254" s="90"/>
      <c r="Z254" s="31"/>
      <c r="AA254" s="31"/>
    </row>
    <row r="255" spans="2:27" x14ac:dyDescent="0.3">
      <c r="J255" s="89"/>
      <c r="K255" s="89"/>
      <c r="L255" s="89"/>
      <c r="M255" s="89"/>
      <c r="N255" s="89"/>
      <c r="O255" s="89"/>
      <c r="P255" s="89"/>
      <c r="Q255" s="89"/>
      <c r="R255" s="89"/>
      <c r="S255" s="89"/>
      <c r="T255" s="89"/>
      <c r="U255" s="89"/>
      <c r="V255" s="89"/>
      <c r="W255" s="89"/>
      <c r="X255" s="89"/>
      <c r="Y255" s="89"/>
    </row>
    <row r="256" spans="2:27" x14ac:dyDescent="0.3">
      <c r="E256" t="s">
        <v>710</v>
      </c>
      <c r="G256" t="s">
        <v>271</v>
      </c>
      <c r="I256" t="s">
        <v>154</v>
      </c>
      <c r="J256" s="131">
        <f t="shared" ref="J256:K256" si="288">SUM(J192:J203,J206:J217)</f>
        <v>0</v>
      </c>
      <c r="K256" s="131">
        <f t="shared" si="288"/>
        <v>0</v>
      </c>
      <c r="L256" s="131">
        <f t="shared" ref="L256:M256" si="289">SUM(L192:L203,L206:L217)</f>
        <v>0</v>
      </c>
      <c r="M256" s="131">
        <f t="shared" si="289"/>
        <v>0</v>
      </c>
      <c r="N256" s="131">
        <f t="shared" ref="N256:P256" si="290">SUM(N192:N203,N206:N217)</f>
        <v>4.3379810793048295</v>
      </c>
      <c r="O256" s="131">
        <f t="shared" si="290"/>
        <v>4.8971441833049472</v>
      </c>
      <c r="P256" s="131">
        <f t="shared" si="290"/>
        <v>5.1847879034973312</v>
      </c>
      <c r="Q256" s="131">
        <f t="shared" ref="Q256" si="291">SUM(Q192:Q203,Q206:Q217)</f>
        <v>0</v>
      </c>
      <c r="R256" s="79"/>
      <c r="S256" s="79"/>
      <c r="T256" s="79"/>
      <c r="U256" s="79"/>
      <c r="V256" s="79"/>
      <c r="W256" s="79"/>
      <c r="X256" s="79"/>
      <c r="Y256" s="79"/>
      <c r="AA256" t="s">
        <v>711</v>
      </c>
    </row>
    <row r="257" spans="3:27" x14ac:dyDescent="0.3">
      <c r="E257" t="s">
        <v>712</v>
      </c>
      <c r="G257" t="s">
        <v>271</v>
      </c>
      <c r="I257" t="s">
        <v>154</v>
      </c>
      <c r="J257" s="121">
        <f t="shared" ref="J257:K257" si="292">SUM(J222:J233,J236:J247)</f>
        <v>0</v>
      </c>
      <c r="K257" s="121">
        <f t="shared" si="292"/>
        <v>0</v>
      </c>
      <c r="L257" s="121">
        <f t="shared" ref="L257:M257" si="293">SUM(L222:L233,L236:L247)</f>
        <v>0</v>
      </c>
      <c r="M257" s="121">
        <f t="shared" si="293"/>
        <v>0</v>
      </c>
      <c r="N257" s="121">
        <f t="shared" ref="N257:P257" si="294">SUM(N222:N233,N236:N247)</f>
        <v>7.8549236543849785</v>
      </c>
      <c r="O257" s="121">
        <f t="shared" si="294"/>
        <v>6.7662485707310376</v>
      </c>
      <c r="P257" s="121">
        <f t="shared" si="294"/>
        <v>6.840016635421688</v>
      </c>
      <c r="Q257" s="121">
        <f t="shared" ref="Q257" si="295">SUM(Q222:Q233,Q236:Q247)</f>
        <v>0</v>
      </c>
      <c r="R257" s="79"/>
      <c r="S257" s="79"/>
      <c r="T257" s="79"/>
      <c r="U257" s="79"/>
      <c r="V257" s="79"/>
      <c r="W257" s="79"/>
      <c r="X257" s="79"/>
      <c r="Y257" s="79"/>
      <c r="AA257" t="s">
        <v>711</v>
      </c>
    </row>
    <row r="258" spans="3:27" x14ac:dyDescent="0.3">
      <c r="C258" s="88"/>
      <c r="J258" s="89"/>
      <c r="K258" s="89"/>
      <c r="L258" s="89"/>
      <c r="M258" s="89"/>
      <c r="N258" s="89"/>
      <c r="O258" s="89"/>
      <c r="P258" s="89"/>
      <c r="Q258" s="89"/>
      <c r="R258" s="89"/>
      <c r="S258" s="89"/>
      <c r="T258" s="89"/>
      <c r="U258" s="89"/>
      <c r="V258" s="89"/>
      <c r="W258" s="89"/>
      <c r="X258" s="89"/>
      <c r="Y258" s="89"/>
    </row>
    <row r="259" spans="3:27" x14ac:dyDescent="0.3">
      <c r="C259" s="31" t="str">
        <f ca="1">INDEX('Version control'!$H$34:$H$57,MATCH($A$1,'Version control'!$F$34:$F$57,0),1)&amp;"-G: Capacity elements allocated to fixed charges"</f>
        <v>Section 112-G: Capacity elements allocated to fixed charges</v>
      </c>
      <c r="D259" s="31"/>
      <c r="E259" s="31"/>
      <c r="F259" s="31"/>
      <c r="G259" s="31"/>
      <c r="H259" s="31"/>
      <c r="I259" s="31"/>
      <c r="J259" s="90"/>
      <c r="K259" s="90"/>
      <c r="L259" s="90"/>
      <c r="M259" s="90"/>
      <c r="N259" s="90"/>
      <c r="O259" s="90"/>
      <c r="P259" s="90"/>
      <c r="Q259" s="90"/>
      <c r="R259" s="90"/>
      <c r="S259" s="90"/>
      <c r="T259" s="90"/>
      <c r="U259" s="90"/>
      <c r="V259" s="90"/>
      <c r="W259" s="90"/>
      <c r="X259" s="90"/>
      <c r="Y259" s="90"/>
      <c r="Z259" s="31"/>
      <c r="AA259" s="31"/>
    </row>
    <row r="260" spans="3:27" x14ac:dyDescent="0.3">
      <c r="D260" s="32"/>
      <c r="E260" s="32"/>
      <c r="I260" t="s">
        <v>154</v>
      </c>
      <c r="J260" s="89"/>
      <c r="K260" s="89"/>
      <c r="L260" s="89"/>
      <c r="M260" s="89"/>
      <c r="N260" s="89"/>
      <c r="O260" s="89"/>
      <c r="P260" s="89"/>
      <c r="Q260" s="89"/>
      <c r="R260" s="89"/>
      <c r="S260" s="89"/>
      <c r="T260" s="89"/>
      <c r="U260" s="89"/>
      <c r="V260" s="89"/>
      <c r="W260" s="89"/>
      <c r="X260" s="89"/>
      <c r="Y260" s="89"/>
      <c r="AA260" t="s">
        <v>713</v>
      </c>
    </row>
    <row r="261" spans="3:27" x14ac:dyDescent="0.3">
      <c r="C261" s="88"/>
      <c r="D261"/>
      <c r="E261" s="32" t="s">
        <v>621</v>
      </c>
      <c r="J261" s="89"/>
      <c r="K261" s="89"/>
      <c r="L261" s="89"/>
      <c r="M261" s="89"/>
      <c r="N261" s="89"/>
      <c r="O261" s="89"/>
      <c r="P261" s="89"/>
      <c r="Q261" s="89"/>
      <c r="R261" s="89"/>
      <c r="S261" s="89"/>
      <c r="T261" s="89"/>
      <c r="U261" s="89"/>
      <c r="V261" s="89"/>
      <c r="W261" s="89"/>
      <c r="X261" s="89"/>
      <c r="Y261" s="89"/>
    </row>
    <row r="262" spans="3:27" x14ac:dyDescent="0.3">
      <c r="C262" s="88"/>
      <c r="D262"/>
      <c r="F262" s="23" t="s">
        <v>189</v>
      </c>
      <c r="G262" s="23" t="s">
        <v>271</v>
      </c>
      <c r="H262" s="23"/>
      <c r="I262" s="23"/>
      <c r="J262" s="83"/>
      <c r="K262" s="83"/>
      <c r="L262" s="83"/>
      <c r="M262" s="83"/>
      <c r="N262" s="83"/>
      <c r="O262" s="83"/>
      <c r="P262" s="83"/>
      <c r="Q262" s="83"/>
      <c r="R262" s="83"/>
      <c r="S262" s="83"/>
      <c r="T262" s="83"/>
      <c r="U262" s="83"/>
      <c r="V262" s="83"/>
      <c r="W262" s="83"/>
      <c r="X262" s="83"/>
      <c r="Y262" s="83"/>
    </row>
    <row r="263" spans="3:27" x14ac:dyDescent="0.3">
      <c r="C263" s="88"/>
      <c r="D263"/>
      <c r="F263" t="s">
        <v>191</v>
      </c>
      <c r="G263" t="s">
        <v>271</v>
      </c>
      <c r="J263" s="79"/>
      <c r="K263" s="79"/>
      <c r="L263" s="79"/>
      <c r="M263" s="79"/>
      <c r="N263" s="79"/>
      <c r="O263" s="79"/>
      <c r="P263" s="79"/>
      <c r="Q263" s="79"/>
      <c r="R263" s="79"/>
      <c r="S263" s="79"/>
      <c r="T263" s="79"/>
      <c r="U263" s="79"/>
      <c r="V263" s="79"/>
      <c r="W263" s="79"/>
      <c r="X263" s="79"/>
      <c r="Y263" s="79"/>
    </row>
    <row r="264" spans="3:27" x14ac:dyDescent="0.3">
      <c r="C264" s="88"/>
      <c r="D264"/>
      <c r="F264" t="s">
        <v>192</v>
      </c>
      <c r="G264" t="s">
        <v>271</v>
      </c>
      <c r="J264" s="121">
        <f t="shared" ref="J264:K264" si="296">J$123 * J134</f>
        <v>0</v>
      </c>
      <c r="K264" s="121">
        <f t="shared" si="296"/>
        <v>0</v>
      </c>
      <c r="L264" s="121">
        <f t="shared" ref="L264:M264" si="297">L$123 * L134</f>
        <v>0</v>
      </c>
      <c r="M264" s="121">
        <f t="shared" si="297"/>
        <v>0</v>
      </c>
      <c r="N264" s="121">
        <f t="shared" ref="N264:P264" si="298">N$123 * N134</f>
        <v>0</v>
      </c>
      <c r="O264" s="121">
        <f t="shared" si="298"/>
        <v>0</v>
      </c>
      <c r="P264" s="121">
        <f t="shared" si="298"/>
        <v>0</v>
      </c>
      <c r="Q264" s="121">
        <f t="shared" ref="Q264" si="299">Q$123 * Q134</f>
        <v>0</v>
      </c>
      <c r="R264" s="79"/>
      <c r="S264" s="79"/>
      <c r="T264" s="79"/>
      <c r="U264" s="79"/>
      <c r="V264" s="79"/>
      <c r="W264" s="79"/>
      <c r="X264" s="79"/>
      <c r="Y264" s="79"/>
    </row>
    <row r="265" spans="3:27" x14ac:dyDescent="0.3">
      <c r="C265" s="88"/>
      <c r="D265"/>
      <c r="F265" t="s">
        <v>193</v>
      </c>
      <c r="G265" t="s">
        <v>271</v>
      </c>
      <c r="J265" s="121">
        <f t="shared" ref="J265:K265" si="300">J$123 * J135</f>
        <v>0</v>
      </c>
      <c r="K265" s="121">
        <f t="shared" si="300"/>
        <v>0</v>
      </c>
      <c r="L265" s="121">
        <f t="shared" ref="L265:M265" si="301">L$123 * L135</f>
        <v>0</v>
      </c>
      <c r="M265" s="121">
        <f t="shared" si="301"/>
        <v>0</v>
      </c>
      <c r="N265" s="121">
        <f t="shared" ref="N265:P265" si="302">N$123 * N135</f>
        <v>0</v>
      </c>
      <c r="O265" s="121">
        <f t="shared" si="302"/>
        <v>0</v>
      </c>
      <c r="P265" s="121">
        <f t="shared" si="302"/>
        <v>0</v>
      </c>
      <c r="Q265" s="121">
        <f t="shared" ref="Q265" si="303">Q$123 * Q135</f>
        <v>0</v>
      </c>
      <c r="R265" s="79"/>
      <c r="S265" s="79"/>
      <c r="T265" s="79"/>
      <c r="U265" s="79"/>
      <c r="V265" s="79"/>
      <c r="W265" s="79"/>
      <c r="X265" s="79"/>
      <c r="Y265" s="79"/>
    </row>
    <row r="266" spans="3:27" x14ac:dyDescent="0.3">
      <c r="C266" s="88"/>
      <c r="D266"/>
      <c r="F266" t="s">
        <v>194</v>
      </c>
      <c r="G266" t="s">
        <v>271</v>
      </c>
      <c r="J266" s="121">
        <f t="shared" ref="J266:K266" si="304">J$123 * J136</f>
        <v>0</v>
      </c>
      <c r="K266" s="121">
        <f t="shared" si="304"/>
        <v>0</v>
      </c>
      <c r="L266" s="121">
        <f t="shared" ref="L266:M266" si="305">L$123 * L136</f>
        <v>0</v>
      </c>
      <c r="M266" s="121">
        <f t="shared" si="305"/>
        <v>0</v>
      </c>
      <c r="N266" s="121">
        <f t="shared" ref="N266:P266" si="306">N$123 * N136</f>
        <v>0</v>
      </c>
      <c r="O266" s="121">
        <f t="shared" si="306"/>
        <v>0</v>
      </c>
      <c r="P266" s="121">
        <f t="shared" si="306"/>
        <v>0</v>
      </c>
      <c r="Q266" s="121">
        <f t="shared" ref="Q266" si="307">Q$123 * Q136</f>
        <v>0</v>
      </c>
      <c r="R266" s="79"/>
      <c r="S266" s="79"/>
      <c r="T266" s="79"/>
      <c r="U266" s="79"/>
      <c r="V266" s="79"/>
      <c r="W266" s="79"/>
      <c r="X266" s="79"/>
      <c r="Y266" s="79"/>
    </row>
    <row r="267" spans="3:27" x14ac:dyDescent="0.3">
      <c r="C267" s="88"/>
      <c r="D267"/>
      <c r="F267" t="s">
        <v>195</v>
      </c>
      <c r="G267" t="s">
        <v>271</v>
      </c>
      <c r="J267" s="121">
        <f t="shared" ref="J267:K267" si="308">J$123 * J137</f>
        <v>0</v>
      </c>
      <c r="K267" s="121">
        <f t="shared" si="308"/>
        <v>0</v>
      </c>
      <c r="L267" s="121">
        <f t="shared" ref="L267:M267" si="309">L$123 * L137</f>
        <v>0</v>
      </c>
      <c r="M267" s="121">
        <f t="shared" si="309"/>
        <v>0</v>
      </c>
      <c r="N267" s="121">
        <f t="shared" ref="N267:P267" si="310">N$123 * N137</f>
        <v>0</v>
      </c>
      <c r="O267" s="121">
        <f t="shared" si="310"/>
        <v>0</v>
      </c>
      <c r="P267" s="121">
        <f t="shared" si="310"/>
        <v>0</v>
      </c>
      <c r="Q267" s="121">
        <f t="shared" ref="Q267" si="311">Q$123 * Q137</f>
        <v>0</v>
      </c>
      <c r="R267" s="79"/>
      <c r="S267" s="79"/>
      <c r="T267" s="79"/>
      <c r="U267" s="79"/>
      <c r="V267" s="79"/>
      <c r="W267" s="79"/>
      <c r="X267" s="79"/>
      <c r="Y267" s="79"/>
    </row>
    <row r="268" spans="3:27" x14ac:dyDescent="0.3">
      <c r="C268" s="88"/>
      <c r="D268"/>
      <c r="F268" t="s">
        <v>196</v>
      </c>
      <c r="G268" t="s">
        <v>271</v>
      </c>
      <c r="J268" s="121">
        <f t="shared" ref="J268:K268" si="312">J$123 * J138</f>
        <v>0</v>
      </c>
      <c r="K268" s="121">
        <f t="shared" si="312"/>
        <v>0</v>
      </c>
      <c r="L268" s="121">
        <f t="shared" ref="L268:M268" si="313">L$123 * L138</f>
        <v>0</v>
      </c>
      <c r="M268" s="121">
        <f t="shared" si="313"/>
        <v>0</v>
      </c>
      <c r="N268" s="121">
        <f t="shared" ref="N268:P268" si="314">N$123 * N138</f>
        <v>0</v>
      </c>
      <c r="O268" s="121">
        <f t="shared" si="314"/>
        <v>0</v>
      </c>
      <c r="P268" s="121">
        <f t="shared" si="314"/>
        <v>0</v>
      </c>
      <c r="Q268" s="121">
        <f t="shared" ref="Q268" si="315">Q$123 * Q138</f>
        <v>0</v>
      </c>
      <c r="R268" s="79"/>
      <c r="S268" s="79"/>
      <c r="T268" s="79"/>
      <c r="U268" s="79"/>
      <c r="V268" s="79"/>
      <c r="W268" s="79"/>
      <c r="X268" s="79"/>
      <c r="Y268" s="79"/>
    </row>
    <row r="269" spans="3:27" x14ac:dyDescent="0.3">
      <c r="C269" s="88"/>
      <c r="D269"/>
      <c r="F269" t="s">
        <v>197</v>
      </c>
      <c r="G269" t="s">
        <v>271</v>
      </c>
      <c r="J269" s="121">
        <f t="shared" ref="J269:K269" si="316">J$123 * J139</f>
        <v>0</v>
      </c>
      <c r="K269" s="121">
        <f t="shared" si="316"/>
        <v>0</v>
      </c>
      <c r="L269" s="121">
        <f t="shared" ref="L269:M269" si="317">L$123 * L139</f>
        <v>0</v>
      </c>
      <c r="M269" s="121">
        <f t="shared" si="317"/>
        <v>0</v>
      </c>
      <c r="N269" s="121">
        <f t="shared" ref="N269:P269" si="318">N$123 * N139</f>
        <v>0</v>
      </c>
      <c r="O269" s="121">
        <f t="shared" si="318"/>
        <v>0</v>
      </c>
      <c r="P269" s="121">
        <f t="shared" si="318"/>
        <v>0</v>
      </c>
      <c r="Q269" s="121">
        <f t="shared" ref="Q269" si="319">Q$123 * Q139</f>
        <v>0</v>
      </c>
      <c r="R269" s="79"/>
      <c r="S269" s="79"/>
      <c r="T269" s="79"/>
      <c r="U269" s="79"/>
      <c r="V269" s="79"/>
      <c r="W269" s="79"/>
      <c r="X269" s="79"/>
      <c r="Y269" s="79"/>
    </row>
    <row r="270" spans="3:27" x14ac:dyDescent="0.3">
      <c r="C270" s="88"/>
      <c r="D270"/>
      <c r="F270" t="s">
        <v>198</v>
      </c>
      <c r="G270" t="s">
        <v>271</v>
      </c>
      <c r="J270" s="121">
        <f t="shared" ref="J270:K270" si="320">J$123 * J140</f>
        <v>0</v>
      </c>
      <c r="K270" s="121">
        <f t="shared" si="320"/>
        <v>0</v>
      </c>
      <c r="L270" s="121">
        <f t="shared" ref="L270:M270" si="321">L$123 * L140</f>
        <v>0</v>
      </c>
      <c r="M270" s="121">
        <f t="shared" si="321"/>
        <v>0</v>
      </c>
      <c r="N270" s="121">
        <f t="shared" ref="N270:P270" si="322">N$123 * N140</f>
        <v>0</v>
      </c>
      <c r="O270" s="121">
        <f t="shared" si="322"/>
        <v>0</v>
      </c>
      <c r="P270" s="121">
        <f t="shared" si="322"/>
        <v>0</v>
      </c>
      <c r="Q270" s="121">
        <f t="shared" ref="Q270" si="323">Q$123 * Q140</f>
        <v>0</v>
      </c>
      <c r="R270" s="79"/>
      <c r="S270" s="79"/>
      <c r="T270" s="79"/>
      <c r="U270" s="79"/>
      <c r="V270" s="79"/>
      <c r="W270" s="79"/>
      <c r="X270" s="79"/>
      <c r="Y270" s="79"/>
    </row>
    <row r="271" spans="3:27" x14ac:dyDescent="0.3">
      <c r="C271" s="88"/>
      <c r="D271"/>
      <c r="F271" t="s">
        <v>199</v>
      </c>
      <c r="G271" t="s">
        <v>271</v>
      </c>
      <c r="J271" s="121">
        <f t="shared" ref="J271:K271" si="324">J$123 * J141</f>
        <v>0.28575600268472384</v>
      </c>
      <c r="K271" s="121">
        <f t="shared" si="324"/>
        <v>0</v>
      </c>
      <c r="L271" s="121">
        <f t="shared" ref="L271:M271" si="325">L$123 * L141</f>
        <v>0.28575600268472384</v>
      </c>
      <c r="M271" s="121">
        <f t="shared" si="325"/>
        <v>0</v>
      </c>
      <c r="N271" s="121">
        <f t="shared" ref="N271:P271" si="326">N$123 * N141</f>
        <v>0</v>
      </c>
      <c r="O271" s="121">
        <f t="shared" si="326"/>
        <v>0</v>
      </c>
      <c r="P271" s="121">
        <f t="shared" si="326"/>
        <v>0</v>
      </c>
      <c r="Q271" s="121">
        <f t="shared" ref="Q271" si="327">Q$123 * Q141</f>
        <v>0</v>
      </c>
      <c r="R271" s="79"/>
      <c r="S271" s="79"/>
      <c r="T271" s="79"/>
      <c r="U271" s="79"/>
      <c r="V271" s="79"/>
      <c r="W271" s="79"/>
      <c r="X271" s="79"/>
      <c r="Y271" s="79"/>
    </row>
    <row r="272" spans="3:27" x14ac:dyDescent="0.3">
      <c r="C272" s="88"/>
      <c r="D272"/>
      <c r="F272" t="s">
        <v>376</v>
      </c>
      <c r="G272" t="s">
        <v>271</v>
      </c>
      <c r="J272" s="79"/>
      <c r="K272" s="79"/>
      <c r="L272" s="79"/>
      <c r="M272" s="79"/>
      <c r="N272" s="79"/>
      <c r="O272" s="79"/>
      <c r="P272" s="79"/>
      <c r="Q272" s="79"/>
      <c r="R272" s="79"/>
      <c r="S272" s="79"/>
      <c r="T272" s="79"/>
      <c r="U272" s="79"/>
      <c r="V272" s="79"/>
      <c r="W272" s="79"/>
      <c r="X272" s="79"/>
      <c r="Y272" s="79"/>
    </row>
    <row r="273" spans="3:25" x14ac:dyDescent="0.3">
      <c r="C273" s="88"/>
      <c r="D273"/>
      <c r="F273" s="37" t="s">
        <v>377</v>
      </c>
      <c r="G273" s="37" t="s">
        <v>271</v>
      </c>
      <c r="H273" s="37"/>
      <c r="I273" s="37"/>
      <c r="J273" s="81"/>
      <c r="K273" s="81"/>
      <c r="L273" s="81"/>
      <c r="M273" s="81"/>
      <c r="N273" s="81"/>
      <c r="O273" s="81"/>
      <c r="P273" s="81"/>
      <c r="Q273" s="81"/>
      <c r="R273" s="81"/>
      <c r="S273" s="81"/>
      <c r="T273" s="81"/>
      <c r="U273" s="81"/>
      <c r="V273" s="81"/>
      <c r="W273" s="81"/>
      <c r="X273" s="81"/>
      <c r="Y273" s="81"/>
    </row>
    <row r="274" spans="3:25" x14ac:dyDescent="0.3">
      <c r="C274" s="88"/>
      <c r="D274"/>
      <c r="J274" s="89"/>
      <c r="K274" s="89"/>
      <c r="L274" s="89"/>
      <c r="M274" s="89"/>
      <c r="N274" s="89"/>
      <c r="O274" s="89"/>
      <c r="P274" s="89"/>
      <c r="Q274" s="89"/>
      <c r="R274" s="89"/>
      <c r="S274" s="89"/>
      <c r="T274" s="89"/>
      <c r="U274" s="89"/>
      <c r="V274" s="89"/>
      <c r="W274" s="89"/>
      <c r="X274" s="89"/>
      <c r="Y274" s="89"/>
    </row>
    <row r="275" spans="3:25" x14ac:dyDescent="0.3">
      <c r="C275" s="88"/>
      <c r="D275"/>
      <c r="E275" s="32" t="s">
        <v>714</v>
      </c>
      <c r="J275" s="89"/>
      <c r="K275" s="89"/>
      <c r="L275" s="89"/>
      <c r="M275" s="89"/>
      <c r="N275" s="89"/>
      <c r="O275" s="89"/>
      <c r="P275" s="89"/>
      <c r="Q275" s="89"/>
      <c r="R275" s="89"/>
      <c r="S275" s="89"/>
      <c r="T275" s="89"/>
      <c r="U275" s="89"/>
      <c r="V275" s="89"/>
      <c r="W275" s="89"/>
      <c r="X275" s="89"/>
      <c r="Y275" s="89"/>
    </row>
    <row r="276" spans="3:25" x14ac:dyDescent="0.3">
      <c r="C276" s="88"/>
      <c r="D276"/>
      <c r="F276" s="23" t="s">
        <v>189</v>
      </c>
      <c r="G276" s="23" t="s">
        <v>271</v>
      </c>
      <c r="H276" s="23"/>
      <c r="I276" s="23"/>
      <c r="J276" s="101">
        <f t="shared" ref="J276:K276" si="328">J$123 * J146</f>
        <v>0</v>
      </c>
      <c r="K276" s="101">
        <f t="shared" si="328"/>
        <v>0</v>
      </c>
      <c r="L276" s="101">
        <f t="shared" ref="L276:M276" si="329">L$123 * L146</f>
        <v>0</v>
      </c>
      <c r="M276" s="101">
        <f t="shared" si="329"/>
        <v>0</v>
      </c>
      <c r="N276" s="101">
        <f t="shared" ref="N276:P276" si="330">N$123 * N146</f>
        <v>0</v>
      </c>
      <c r="O276" s="101">
        <f t="shared" si="330"/>
        <v>0</v>
      </c>
      <c r="P276" s="101">
        <f t="shared" si="330"/>
        <v>0</v>
      </c>
      <c r="Q276" s="101">
        <f t="shared" ref="Q276" si="331">Q$123 * Q146</f>
        <v>0</v>
      </c>
      <c r="R276" s="83"/>
      <c r="S276" s="83"/>
      <c r="T276" s="83"/>
      <c r="U276" s="83"/>
      <c r="V276" s="83"/>
      <c r="W276" s="83"/>
      <c r="X276" s="83"/>
      <c r="Y276" s="83"/>
    </row>
    <row r="277" spans="3:25" x14ac:dyDescent="0.3">
      <c r="C277" s="88"/>
      <c r="D277"/>
      <c r="F277" t="s">
        <v>191</v>
      </c>
      <c r="G277" t="s">
        <v>271</v>
      </c>
      <c r="J277" s="121">
        <f t="shared" ref="J277:K277" si="332">J$123 * J147</f>
        <v>0</v>
      </c>
      <c r="K277" s="121">
        <f t="shared" si="332"/>
        <v>0</v>
      </c>
      <c r="L277" s="121">
        <f t="shared" ref="L277:M277" si="333">L$123 * L147</f>
        <v>0</v>
      </c>
      <c r="M277" s="121">
        <f t="shared" si="333"/>
        <v>0</v>
      </c>
      <c r="N277" s="121">
        <f t="shared" ref="N277:P277" si="334">N$123 * N147</f>
        <v>0</v>
      </c>
      <c r="O277" s="121">
        <f t="shared" si="334"/>
        <v>0</v>
      </c>
      <c r="P277" s="121">
        <f t="shared" si="334"/>
        <v>0</v>
      </c>
      <c r="Q277" s="121">
        <f t="shared" ref="Q277" si="335">Q$123 * Q147</f>
        <v>0</v>
      </c>
      <c r="R277" s="79"/>
      <c r="S277" s="79"/>
      <c r="T277" s="79"/>
      <c r="U277" s="79"/>
      <c r="V277" s="79"/>
      <c r="W277" s="79"/>
      <c r="X277" s="79"/>
      <c r="Y277" s="79"/>
    </row>
    <row r="278" spans="3:25" x14ac:dyDescent="0.3">
      <c r="C278" s="88"/>
      <c r="D278"/>
      <c r="F278" t="s">
        <v>192</v>
      </c>
      <c r="G278" t="s">
        <v>271</v>
      </c>
      <c r="J278" s="121">
        <f t="shared" ref="J278:K278" si="336">J$123 * J148</f>
        <v>0</v>
      </c>
      <c r="K278" s="121">
        <f t="shared" si="336"/>
        <v>0</v>
      </c>
      <c r="L278" s="121">
        <f t="shared" ref="L278:M278" si="337">L$123 * L148</f>
        <v>0</v>
      </c>
      <c r="M278" s="121">
        <f t="shared" si="337"/>
        <v>0</v>
      </c>
      <c r="N278" s="121">
        <f t="shared" ref="N278:P278" si="338">N$123 * N148</f>
        <v>0</v>
      </c>
      <c r="O278" s="121">
        <f t="shared" si="338"/>
        <v>0</v>
      </c>
      <c r="P278" s="121">
        <f t="shared" si="338"/>
        <v>0</v>
      </c>
      <c r="Q278" s="121">
        <f t="shared" ref="Q278" si="339">Q$123 * Q148</f>
        <v>0</v>
      </c>
      <c r="R278" s="79"/>
      <c r="S278" s="79"/>
      <c r="T278" s="79"/>
      <c r="U278" s="79"/>
      <c r="V278" s="79"/>
      <c r="W278" s="79"/>
      <c r="X278" s="79"/>
      <c r="Y278" s="79"/>
    </row>
    <row r="279" spans="3:25" x14ac:dyDescent="0.3">
      <c r="C279" s="88"/>
      <c r="D279"/>
      <c r="F279" t="s">
        <v>193</v>
      </c>
      <c r="G279" t="s">
        <v>271</v>
      </c>
      <c r="J279" s="121">
        <f t="shared" ref="J279:K279" si="340">J$123 * J149</f>
        <v>0</v>
      </c>
      <c r="K279" s="121">
        <f t="shared" si="340"/>
        <v>0</v>
      </c>
      <c r="L279" s="121">
        <f t="shared" ref="L279:M279" si="341">L$123 * L149</f>
        <v>0</v>
      </c>
      <c r="M279" s="121">
        <f t="shared" si="341"/>
        <v>0</v>
      </c>
      <c r="N279" s="121">
        <f t="shared" ref="N279:P279" si="342">N$123 * N149</f>
        <v>0</v>
      </c>
      <c r="O279" s="121">
        <f t="shared" si="342"/>
        <v>0</v>
      </c>
      <c r="P279" s="121">
        <f t="shared" si="342"/>
        <v>0</v>
      </c>
      <c r="Q279" s="121">
        <f t="shared" ref="Q279" si="343">Q$123 * Q149</f>
        <v>0</v>
      </c>
      <c r="R279" s="79"/>
      <c r="S279" s="79"/>
      <c r="T279" s="79"/>
      <c r="U279" s="79"/>
      <c r="V279" s="79"/>
      <c r="W279" s="79"/>
      <c r="X279" s="79"/>
      <c r="Y279" s="79"/>
    </row>
    <row r="280" spans="3:25" x14ac:dyDescent="0.3">
      <c r="C280" s="88"/>
      <c r="D280"/>
      <c r="F280" t="s">
        <v>194</v>
      </c>
      <c r="G280" t="s">
        <v>271</v>
      </c>
      <c r="J280" s="121">
        <f t="shared" ref="J280:K280" si="344">J$123 * J150</f>
        <v>0</v>
      </c>
      <c r="K280" s="121">
        <f t="shared" si="344"/>
        <v>0</v>
      </c>
      <c r="L280" s="121">
        <f t="shared" ref="L280:M280" si="345">L$123 * L150</f>
        <v>0</v>
      </c>
      <c r="M280" s="121">
        <f t="shared" si="345"/>
        <v>0</v>
      </c>
      <c r="N280" s="121">
        <f t="shared" ref="N280:P280" si="346">N$123 * N150</f>
        <v>0</v>
      </c>
      <c r="O280" s="121">
        <f t="shared" si="346"/>
        <v>0</v>
      </c>
      <c r="P280" s="121">
        <f t="shared" si="346"/>
        <v>0</v>
      </c>
      <c r="Q280" s="121">
        <f t="shared" ref="Q280" si="347">Q$123 * Q150</f>
        <v>0</v>
      </c>
      <c r="R280" s="79"/>
      <c r="S280" s="79"/>
      <c r="T280" s="79"/>
      <c r="U280" s="79"/>
      <c r="V280" s="79"/>
      <c r="W280" s="79"/>
      <c r="X280" s="79"/>
      <c r="Y280" s="79"/>
    </row>
    <row r="281" spans="3:25" x14ac:dyDescent="0.3">
      <c r="C281" s="88"/>
      <c r="D281"/>
      <c r="F281" t="s">
        <v>195</v>
      </c>
      <c r="G281" t="s">
        <v>271</v>
      </c>
      <c r="J281" s="121">
        <f t="shared" ref="J281:K281" si="348">J$123 * J151</f>
        <v>0</v>
      </c>
      <c r="K281" s="121">
        <f t="shared" si="348"/>
        <v>0</v>
      </c>
      <c r="L281" s="121">
        <f t="shared" ref="L281:M281" si="349">L$123 * L151</f>
        <v>0</v>
      </c>
      <c r="M281" s="121">
        <f t="shared" si="349"/>
        <v>0</v>
      </c>
      <c r="N281" s="121">
        <f t="shared" ref="N281:P281" si="350">N$123 * N151</f>
        <v>0</v>
      </c>
      <c r="O281" s="121">
        <f t="shared" si="350"/>
        <v>0</v>
      </c>
      <c r="P281" s="121">
        <f t="shared" si="350"/>
        <v>0</v>
      </c>
      <c r="Q281" s="121">
        <f t="shared" ref="Q281" si="351">Q$123 * Q151</f>
        <v>0</v>
      </c>
      <c r="R281" s="79"/>
      <c r="S281" s="79"/>
      <c r="T281" s="79"/>
      <c r="U281" s="79"/>
      <c r="V281" s="79"/>
      <c r="W281" s="79"/>
      <c r="X281" s="79"/>
      <c r="Y281" s="79"/>
    </row>
    <row r="282" spans="3:25" x14ac:dyDescent="0.3">
      <c r="C282" s="88"/>
      <c r="D282"/>
      <c r="F282" t="s">
        <v>196</v>
      </c>
      <c r="G282" t="s">
        <v>271</v>
      </c>
      <c r="J282" s="121">
        <f t="shared" ref="J282:K282" si="352">J$123 * J152</f>
        <v>0</v>
      </c>
      <c r="K282" s="121">
        <f t="shared" si="352"/>
        <v>0</v>
      </c>
      <c r="L282" s="121">
        <f t="shared" ref="L282:M282" si="353">L$123 * L152</f>
        <v>0</v>
      </c>
      <c r="M282" s="121">
        <f t="shared" si="353"/>
        <v>0</v>
      </c>
      <c r="N282" s="121">
        <f t="shared" ref="N282:P282" si="354">N$123 * N152</f>
        <v>0</v>
      </c>
      <c r="O282" s="121">
        <f t="shared" si="354"/>
        <v>0</v>
      </c>
      <c r="P282" s="121">
        <f t="shared" si="354"/>
        <v>0</v>
      </c>
      <c r="Q282" s="121">
        <f t="shared" ref="Q282" si="355">Q$123 * Q152</f>
        <v>0</v>
      </c>
      <c r="R282" s="79"/>
      <c r="S282" s="79"/>
      <c r="T282" s="79"/>
      <c r="U282" s="79"/>
      <c r="V282" s="79"/>
      <c r="W282" s="79"/>
      <c r="X282" s="79"/>
      <c r="Y282" s="79"/>
    </row>
    <row r="283" spans="3:25" x14ac:dyDescent="0.3">
      <c r="C283" s="88"/>
      <c r="D283"/>
      <c r="F283" t="s">
        <v>197</v>
      </c>
      <c r="G283" t="s">
        <v>271</v>
      </c>
      <c r="J283" s="121">
        <f t="shared" ref="J283:K283" si="356">J$123 * J153</f>
        <v>0</v>
      </c>
      <c r="K283" s="121">
        <f t="shared" si="356"/>
        <v>0</v>
      </c>
      <c r="L283" s="121">
        <f t="shared" ref="L283:M283" si="357">L$123 * L153</f>
        <v>0</v>
      </c>
      <c r="M283" s="121">
        <f t="shared" si="357"/>
        <v>0</v>
      </c>
      <c r="N283" s="121">
        <f t="shared" ref="N283:P283" si="358">N$123 * N153</f>
        <v>0</v>
      </c>
      <c r="O283" s="121">
        <f t="shared" si="358"/>
        <v>0</v>
      </c>
      <c r="P283" s="121">
        <f t="shared" si="358"/>
        <v>0</v>
      </c>
      <c r="Q283" s="121">
        <f t="shared" ref="Q283" si="359">Q$123 * Q153</f>
        <v>0</v>
      </c>
      <c r="R283" s="79"/>
      <c r="S283" s="79"/>
      <c r="T283" s="79"/>
      <c r="U283" s="79"/>
      <c r="V283" s="79"/>
      <c r="W283" s="79"/>
      <c r="X283" s="79"/>
      <c r="Y283" s="79"/>
    </row>
    <row r="284" spans="3:25" x14ac:dyDescent="0.3">
      <c r="C284" s="88"/>
      <c r="D284"/>
      <c r="F284" t="s">
        <v>198</v>
      </c>
      <c r="G284" t="s">
        <v>271</v>
      </c>
      <c r="J284" s="121">
        <f t="shared" ref="J284:K284" si="360">J$123 * J154</f>
        <v>0</v>
      </c>
      <c r="K284" s="121">
        <f t="shared" si="360"/>
        <v>0</v>
      </c>
      <c r="L284" s="121">
        <f t="shared" ref="L284:M284" si="361">L$123 * L154</f>
        <v>0</v>
      </c>
      <c r="M284" s="121">
        <f t="shared" si="361"/>
        <v>0</v>
      </c>
      <c r="N284" s="121">
        <f t="shared" ref="N284:P284" si="362">N$123 * N154</f>
        <v>0</v>
      </c>
      <c r="O284" s="121">
        <f t="shared" si="362"/>
        <v>0</v>
      </c>
      <c r="P284" s="121">
        <f t="shared" si="362"/>
        <v>0</v>
      </c>
      <c r="Q284" s="121">
        <f t="shared" ref="Q284" si="363">Q$123 * Q154</f>
        <v>0</v>
      </c>
      <c r="R284" s="79"/>
      <c r="S284" s="79"/>
      <c r="T284" s="79"/>
      <c r="U284" s="79"/>
      <c r="V284" s="79"/>
      <c r="W284" s="79"/>
      <c r="X284" s="79"/>
      <c r="Y284" s="79"/>
    </row>
    <row r="285" spans="3:25" x14ac:dyDescent="0.3">
      <c r="C285" s="88"/>
      <c r="D285"/>
      <c r="F285" t="s">
        <v>199</v>
      </c>
      <c r="G285" t="s">
        <v>271</v>
      </c>
      <c r="J285" s="121">
        <f t="shared" ref="J285:K285" si="364">J$123 * J155</f>
        <v>1.9226316761571092</v>
      </c>
      <c r="K285" s="121">
        <f t="shared" si="364"/>
        <v>0</v>
      </c>
      <c r="L285" s="121">
        <f t="shared" ref="L285:M285" si="365">L$123 * L155</f>
        <v>1.9226316761571092</v>
      </c>
      <c r="M285" s="121">
        <f t="shared" si="365"/>
        <v>0</v>
      </c>
      <c r="N285" s="121">
        <f t="shared" ref="N285:P285" si="366">N$123 * N155</f>
        <v>0</v>
      </c>
      <c r="O285" s="121">
        <f t="shared" si="366"/>
        <v>0</v>
      </c>
      <c r="P285" s="121">
        <f t="shared" si="366"/>
        <v>0</v>
      </c>
      <c r="Q285" s="121">
        <f t="shared" ref="Q285" si="367">Q$123 * Q155</f>
        <v>0</v>
      </c>
      <c r="R285" s="79"/>
      <c r="S285" s="79"/>
      <c r="T285" s="79"/>
      <c r="U285" s="79"/>
      <c r="V285" s="79"/>
      <c r="W285" s="79"/>
      <c r="X285" s="79"/>
      <c r="Y285" s="79"/>
    </row>
    <row r="286" spans="3:25" x14ac:dyDescent="0.3">
      <c r="C286" s="88"/>
      <c r="D286"/>
      <c r="F286" t="s">
        <v>376</v>
      </c>
      <c r="G286" t="s">
        <v>271</v>
      </c>
      <c r="J286" s="79"/>
      <c r="K286" s="79"/>
      <c r="L286" s="79"/>
      <c r="M286" s="79"/>
      <c r="N286" s="79"/>
      <c r="O286" s="79"/>
      <c r="P286" s="79"/>
      <c r="Q286" s="79"/>
      <c r="R286" s="79"/>
      <c r="S286" s="79"/>
      <c r="T286" s="79"/>
      <c r="U286" s="79"/>
      <c r="V286" s="79"/>
      <c r="W286" s="79"/>
      <c r="X286" s="79"/>
      <c r="Y286" s="79"/>
    </row>
    <row r="287" spans="3:25" x14ac:dyDescent="0.3">
      <c r="C287" s="88"/>
      <c r="D287"/>
      <c r="F287" s="37" t="s">
        <v>377</v>
      </c>
      <c r="G287" s="37" t="s">
        <v>271</v>
      </c>
      <c r="H287" s="37"/>
      <c r="I287" s="37"/>
      <c r="J287" s="81"/>
      <c r="K287" s="81"/>
      <c r="L287" s="81"/>
      <c r="M287" s="81"/>
      <c r="N287" s="81"/>
      <c r="O287" s="81"/>
      <c r="P287" s="81"/>
      <c r="Q287" s="81"/>
      <c r="R287" s="81"/>
      <c r="S287" s="81"/>
      <c r="T287" s="81"/>
      <c r="U287" s="81"/>
      <c r="V287" s="81"/>
      <c r="W287" s="81"/>
      <c r="X287" s="81"/>
      <c r="Y287" s="81"/>
    </row>
    <row r="288" spans="3:25" x14ac:dyDescent="0.3">
      <c r="C288" s="88"/>
    </row>
    <row r="289" spans="2:27" x14ac:dyDescent="0.3">
      <c r="B289" s="30" t="s">
        <v>231</v>
      </c>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row>
    <row r="291" spans="2:27" x14ac:dyDescent="0.3">
      <c r="C291" s="88"/>
      <c r="E291" t="s">
        <v>232</v>
      </c>
      <c r="G291" s="6" t="s">
        <v>55</v>
      </c>
      <c r="H291" s="187">
        <f t="array" ref="H291">SUM(IF(ISERROR(H51:Y287), 1))</f>
        <v>0</v>
      </c>
    </row>
    <row r="293" spans="2:27" x14ac:dyDescent="0.3">
      <c r="E293" t="s">
        <v>715</v>
      </c>
      <c r="G293" s="6" t="s">
        <v>55</v>
      </c>
      <c r="H293" s="187">
        <f>SUM(J293:Y293)</f>
        <v>0</v>
      </c>
      <c r="J293" s="187">
        <f t="shared" ref="J293:K293" si="368">IF(J121 + J123 &lt; 2, 0, 1)</f>
        <v>0</v>
      </c>
      <c r="K293" s="187">
        <f t="shared" si="368"/>
        <v>0</v>
      </c>
      <c r="L293" s="187">
        <f t="shared" ref="L293:M293" si="369">IF(L121 + L123 &lt; 2, 0, 1)</f>
        <v>0</v>
      </c>
      <c r="M293" s="187">
        <f t="shared" si="369"/>
        <v>0</v>
      </c>
      <c r="N293" s="187">
        <f t="shared" ref="N293:P293" si="370">IF(N121 + N123 &lt; 2, 0, 1)</f>
        <v>0</v>
      </c>
      <c r="O293" s="187">
        <f t="shared" si="370"/>
        <v>0</v>
      </c>
      <c r="P293" s="187">
        <f t="shared" si="370"/>
        <v>0</v>
      </c>
      <c r="Q293" s="187">
        <f t="shared" ref="Q293:S293" si="371">IF(Q121 + Q123 &lt; 2, 0, 1)</f>
        <v>0</v>
      </c>
      <c r="R293" s="187">
        <f t="shared" si="371"/>
        <v>0</v>
      </c>
      <c r="S293" s="187">
        <f t="shared" si="371"/>
        <v>0</v>
      </c>
      <c r="T293" s="187">
        <f t="shared" ref="T293:U293" si="372">IF(T121 + T123 &lt; 2, 0, 1)</f>
        <v>0</v>
      </c>
      <c r="U293" s="187">
        <f t="shared" si="372"/>
        <v>0</v>
      </c>
      <c r="V293" s="187">
        <f t="shared" ref="V293:W293" si="373">IF(V121 + V123 &lt; 2, 0, 1)</f>
        <v>0</v>
      </c>
      <c r="W293" s="187">
        <f t="shared" si="373"/>
        <v>0</v>
      </c>
      <c r="X293" s="187">
        <f t="shared" ref="X293:Y293" si="374">IF(X121 + X123 &lt; 2, 0, 1)</f>
        <v>0</v>
      </c>
      <c r="Y293" s="187">
        <f t="shared" si="374"/>
        <v>0</v>
      </c>
    </row>
    <row r="295" spans="2:27" x14ac:dyDescent="0.3">
      <c r="C295" s="88"/>
      <c r="E295" t="s">
        <v>239</v>
      </c>
      <c r="G295" s="6" t="s">
        <v>55</v>
      </c>
      <c r="H295" s="103">
        <f>H291 + H293</f>
        <v>0</v>
      </c>
    </row>
    <row r="297" spans="2:27" x14ac:dyDescent="0.3">
      <c r="B297" s="30" t="s">
        <v>106</v>
      </c>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row>
  </sheetData>
  <sheetProtection sheet="1" objects="1" formatCells="0" formatColumns="0" formatRows="0" sort="0" autoFilter="0"/>
  <conditionalFormatting sqref="H291">
    <cfRule type="cellIs" dxfId="79" priority="22" operator="greaterThan">
      <formula>0</formula>
    </cfRule>
  </conditionalFormatting>
  <conditionalFormatting sqref="H293">
    <cfRule type="cellIs" dxfId="78" priority="21" operator="greaterThan">
      <formula>0</formula>
    </cfRule>
  </conditionalFormatting>
  <conditionalFormatting sqref="A4:I4 Z4:XFD4">
    <cfRule type="expression" dxfId="77" priority="18">
      <formula>LEFT($A$4,1) &lt;&gt; "0"</formula>
    </cfRule>
  </conditionalFormatting>
  <conditionalFormatting sqref="N293:P293">
    <cfRule type="cellIs" dxfId="76" priority="17" operator="greaterThan">
      <formula>0</formula>
    </cfRule>
  </conditionalFormatting>
  <conditionalFormatting sqref="N4:P4">
    <cfRule type="expression" dxfId="75" priority="16">
      <formula>LEFT($A$4,1) &lt;&gt; "0"</formula>
    </cfRule>
  </conditionalFormatting>
  <conditionalFormatting sqref="L293:M293">
    <cfRule type="cellIs" dxfId="74" priority="15" operator="greaterThan">
      <formula>0</formula>
    </cfRule>
  </conditionalFormatting>
  <conditionalFormatting sqref="L4:M4">
    <cfRule type="expression" dxfId="73" priority="14">
      <formula>LEFT($A$4,1) &lt;&gt; "0"</formula>
    </cfRule>
  </conditionalFormatting>
  <conditionalFormatting sqref="J293:K293">
    <cfRule type="cellIs" dxfId="72" priority="13" operator="greaterThan">
      <formula>0</formula>
    </cfRule>
  </conditionalFormatting>
  <conditionalFormatting sqref="J4:K4">
    <cfRule type="expression" dxfId="71" priority="12">
      <formula>LEFT($A$4,1) &lt;&gt; "0"</formula>
    </cfRule>
  </conditionalFormatting>
  <conditionalFormatting sqref="Q293">
    <cfRule type="cellIs" dxfId="70" priority="11" operator="greaterThan">
      <formula>0</formula>
    </cfRule>
  </conditionalFormatting>
  <conditionalFormatting sqref="Q4">
    <cfRule type="expression" dxfId="69" priority="10">
      <formula>LEFT($A$4,1) &lt;&gt; "0"</formula>
    </cfRule>
  </conditionalFormatting>
  <conditionalFormatting sqref="R293:S293">
    <cfRule type="cellIs" dxfId="68" priority="9" operator="greaterThan">
      <formula>0</formula>
    </cfRule>
  </conditionalFormatting>
  <conditionalFormatting sqref="R4:S4">
    <cfRule type="expression" dxfId="67" priority="8">
      <formula>LEFT($A$4,1) &lt;&gt; "0"</formula>
    </cfRule>
  </conditionalFormatting>
  <conditionalFormatting sqref="T293:U293">
    <cfRule type="cellIs" dxfId="66" priority="7" operator="greaterThan">
      <formula>0</formula>
    </cfRule>
  </conditionalFormatting>
  <conditionalFormatting sqref="T4:U4">
    <cfRule type="expression" dxfId="65" priority="6">
      <formula>LEFT($A$4,1) &lt;&gt; "0"</formula>
    </cfRule>
  </conditionalFormatting>
  <conditionalFormatting sqref="V293:W293">
    <cfRule type="cellIs" dxfId="64" priority="5" operator="greaterThan">
      <formula>0</formula>
    </cfRule>
  </conditionalFormatting>
  <conditionalFormatting sqref="V4:W4">
    <cfRule type="expression" dxfId="63" priority="4">
      <formula>LEFT($A$4,1) &lt;&gt; "0"</formula>
    </cfRule>
  </conditionalFormatting>
  <conditionalFormatting sqref="X293:Y293">
    <cfRule type="cellIs" dxfId="62" priority="3" operator="greaterThan">
      <formula>0</formula>
    </cfRule>
  </conditionalFormatting>
  <conditionalFormatting sqref="X4:Y4">
    <cfRule type="expression" dxfId="61" priority="2">
      <formula>LEFT($A$4,1) &lt;&gt; "0"</formula>
    </cfRule>
  </conditionalFormatting>
  <conditionalFormatting sqref="H295">
    <cfRule type="cellIs" dxfId="6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LB29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4" width="24.5546875" hidden="1" customWidth="1"/>
    <col min="315" max="16384" width="8.5546875" hidden="1"/>
  </cols>
  <sheetData>
    <row r="1" spans="1:27" s="1" customFormat="1" x14ac:dyDescent="0.3">
      <c r="A1" s="1" t="str">
        <f ca="1">MID(CELL("filename",A1),FIND("]",CELL("filename",A1))+1,255)</f>
        <v>Reactive power charges</v>
      </c>
    </row>
    <row r="2" spans="1:27" s="1" customFormat="1" x14ac:dyDescent="0.3">
      <c r="A2" s="1" t="str">
        <f>Cover!D21&amp;" - "&amp;Cover!D23</f>
        <v>WPD Mid West - April 22 Pricing</v>
      </c>
    </row>
    <row r="3" spans="1:27" s="5" customFormat="1" x14ac:dyDescent="0.3">
      <c r="A3" s="5" t="str">
        <f>Cover!D2&amp;" - "&amp;Cover!D8&amp;" v"&amp;Cover!D10&amp;" - "&amp;Cover!D19</f>
        <v>CDCM charging model - Release for charge setting v7 - 2022/23</v>
      </c>
    </row>
    <row r="4" spans="1:27" x14ac:dyDescent="0.3">
      <c r="A4" s="12" t="str">
        <f>H254 &amp; IF(H254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661</v>
      </c>
      <c r="D9"/>
    </row>
    <row r="10" spans="1:27" x14ac:dyDescent="0.3">
      <c r="C10" s="29" t="s">
        <v>662</v>
      </c>
      <c r="D10"/>
      <c r="E10"/>
    </row>
    <row r="11" spans="1:27" x14ac:dyDescent="0.3">
      <c r="C11" s="91" t="s">
        <v>663</v>
      </c>
    </row>
    <row r="13" spans="1:27" x14ac:dyDescent="0.3">
      <c r="B13" s="30" t="s">
        <v>664</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row>
    <row r="15" spans="1:27" x14ac:dyDescent="0.3">
      <c r="C15" s="29" t="s">
        <v>665</v>
      </c>
    </row>
    <row r="17" spans="3:27" x14ac:dyDescent="0.3">
      <c r="C17" s="31" t="str">
        <f ca="1">INDEX('Version control'!$H$34:$H$57,MATCH($A$1,'Version control'!$F$34:$F$57,0),1)&amp;"-A: Inputs to reactive power charge calculations"</f>
        <v>Section 113-A: Inputs to reactive power charge calculations</v>
      </c>
      <c r="D17" s="31"/>
      <c r="E17" s="31"/>
      <c r="F17" s="31"/>
      <c r="G17" s="31"/>
      <c r="H17" s="31"/>
      <c r="I17" s="31"/>
      <c r="J17" s="31"/>
      <c r="K17" s="31"/>
      <c r="L17" s="31"/>
      <c r="M17" s="31"/>
      <c r="N17" s="31"/>
      <c r="O17" s="31"/>
      <c r="P17" s="31"/>
      <c r="Q17" s="31"/>
      <c r="R17" s="31"/>
      <c r="S17" s="31"/>
      <c r="T17" s="31"/>
      <c r="U17" s="31"/>
      <c r="V17" s="31"/>
      <c r="W17" s="31"/>
      <c r="X17" s="31"/>
      <c r="Y17" s="31"/>
      <c r="Z17" s="31"/>
      <c r="AA17" s="31"/>
    </row>
    <row r="18" spans="3:27" x14ac:dyDescent="0.3">
      <c r="C18" s="32"/>
      <c r="D18"/>
      <c r="E18" s="32"/>
    </row>
    <row r="19" spans="3:27" x14ac:dyDescent="0.3">
      <c r="D19" s="32" t="s">
        <v>285</v>
      </c>
    </row>
    <row r="20" spans="3:27" x14ac:dyDescent="0.3">
      <c r="D20" s="29" t="s">
        <v>666</v>
      </c>
      <c r="E20"/>
    </row>
    <row r="21" spans="3:27" x14ac:dyDescent="0.3">
      <c r="C21" s="88"/>
      <c r="E21" s="23" t="s">
        <v>189</v>
      </c>
      <c r="F21" s="23"/>
      <c r="G21" s="23" t="s">
        <v>667</v>
      </c>
      <c r="H21" s="83"/>
    </row>
    <row r="22" spans="3:27" x14ac:dyDescent="0.3">
      <c r="C22" s="88"/>
      <c r="E22" t="s">
        <v>191</v>
      </c>
      <c r="G22" t="s">
        <v>667</v>
      </c>
      <c r="H22" s="120">
        <f t="array" ref="H22:H30">TRANSPOSE('Inputs by network level'!K21:S21)</f>
        <v>0.29001352857580265</v>
      </c>
    </row>
    <row r="23" spans="3:27" x14ac:dyDescent="0.3">
      <c r="C23" s="88"/>
      <c r="E23" t="s">
        <v>192</v>
      </c>
      <c r="G23" t="s">
        <v>667</v>
      </c>
      <c r="H23" s="120">
        <v>0.29001352857580265</v>
      </c>
    </row>
    <row r="24" spans="3:27" x14ac:dyDescent="0.3">
      <c r="C24" s="88"/>
      <c r="E24" t="s">
        <v>193</v>
      </c>
      <c r="G24" t="s">
        <v>667</v>
      </c>
      <c r="H24" s="120">
        <v>0.29001352857580265</v>
      </c>
    </row>
    <row r="25" spans="3:27" x14ac:dyDescent="0.3">
      <c r="C25" s="88"/>
      <c r="E25" t="s">
        <v>194</v>
      </c>
      <c r="G25" t="s">
        <v>667</v>
      </c>
      <c r="H25" s="120">
        <v>0.29001352857580265</v>
      </c>
    </row>
    <row r="26" spans="3:27" x14ac:dyDescent="0.3">
      <c r="C26" s="88"/>
      <c r="E26" t="s">
        <v>195</v>
      </c>
      <c r="G26" t="s">
        <v>667</v>
      </c>
      <c r="H26" s="120">
        <v>0.29001352857580265</v>
      </c>
    </row>
    <row r="27" spans="3:27" x14ac:dyDescent="0.3">
      <c r="C27" s="88"/>
      <c r="E27" t="s">
        <v>196</v>
      </c>
      <c r="G27" t="s">
        <v>667</v>
      </c>
      <c r="H27" s="120">
        <v>0.29001352857580265</v>
      </c>
    </row>
    <row r="28" spans="3:27" x14ac:dyDescent="0.3">
      <c r="C28" s="88"/>
      <c r="E28" t="s">
        <v>197</v>
      </c>
      <c r="G28" t="s">
        <v>667</v>
      </c>
      <c r="H28" s="120">
        <v>0.29001352857580265</v>
      </c>
    </row>
    <row r="29" spans="3:27" x14ac:dyDescent="0.3">
      <c r="C29" s="88"/>
      <c r="E29" t="s">
        <v>198</v>
      </c>
      <c r="G29" t="s">
        <v>667</v>
      </c>
      <c r="H29" s="120">
        <v>0.29001352857580265</v>
      </c>
    </row>
    <row r="30" spans="3:27" x14ac:dyDescent="0.3">
      <c r="C30" s="88"/>
      <c r="E30" t="s">
        <v>199</v>
      </c>
      <c r="G30" t="s">
        <v>667</v>
      </c>
      <c r="H30" s="120">
        <v>0.29001352857580265</v>
      </c>
    </row>
    <row r="31" spans="3:27" x14ac:dyDescent="0.3">
      <c r="C31" s="88"/>
      <c r="E31" t="s">
        <v>376</v>
      </c>
      <c r="G31" t="s">
        <v>667</v>
      </c>
      <c r="H31" s="79"/>
    </row>
    <row r="32" spans="3:27" x14ac:dyDescent="0.3">
      <c r="C32" s="88"/>
      <c r="E32" s="37" t="s">
        <v>377</v>
      </c>
      <c r="F32" s="37"/>
      <c r="G32" s="37" t="s">
        <v>667</v>
      </c>
      <c r="H32" s="81"/>
    </row>
    <row r="33" spans="3:8" x14ac:dyDescent="0.3">
      <c r="C33" s="88"/>
      <c r="H33" s="89"/>
    </row>
    <row r="34" spans="3:8" x14ac:dyDescent="0.3">
      <c r="D34" s="88" t="s">
        <v>394</v>
      </c>
      <c r="H34" s="89"/>
    </row>
    <row r="35" spans="3:8" x14ac:dyDescent="0.3">
      <c r="C35" s="88"/>
      <c r="E35" s="23" t="s">
        <v>189</v>
      </c>
      <c r="F35" s="23"/>
      <c r="G35" s="64" t="s">
        <v>283</v>
      </c>
      <c r="H35" s="124">
        <f t="array" ref="H35:H44">TRANSPOSE('Load &amp; loss characteristics'!J29:S29)</f>
        <v>1</v>
      </c>
    </row>
    <row r="36" spans="3:8" x14ac:dyDescent="0.3">
      <c r="C36" s="88"/>
      <c r="E36" t="s">
        <v>191</v>
      </c>
      <c r="G36" s="28" t="s">
        <v>283</v>
      </c>
      <c r="H36" s="120">
        <v>1</v>
      </c>
    </row>
    <row r="37" spans="3:8" x14ac:dyDescent="0.3">
      <c r="C37" s="88"/>
      <c r="E37" t="s">
        <v>192</v>
      </c>
      <c r="G37" s="28" t="s">
        <v>283</v>
      </c>
      <c r="H37" s="120">
        <v>1.0049999999999999</v>
      </c>
    </row>
    <row r="38" spans="3:8" x14ac:dyDescent="0.3">
      <c r="C38" s="88"/>
      <c r="E38" t="s">
        <v>193</v>
      </c>
      <c r="G38" s="28" t="s">
        <v>283</v>
      </c>
      <c r="H38" s="120">
        <v>1.0089999999999999</v>
      </c>
    </row>
    <row r="39" spans="3:8" x14ac:dyDescent="0.3">
      <c r="C39" s="88"/>
      <c r="E39" t="s">
        <v>194</v>
      </c>
      <c r="G39" s="28" t="s">
        <v>283</v>
      </c>
      <c r="H39" s="120">
        <v>1.0269999999999999</v>
      </c>
    </row>
    <row r="40" spans="3:8" x14ac:dyDescent="0.3">
      <c r="C40" s="88"/>
      <c r="E40" t="s">
        <v>195</v>
      </c>
      <c r="G40" s="28" t="s">
        <v>283</v>
      </c>
      <c r="H40" s="120">
        <v>1.0329999999999999</v>
      </c>
    </row>
    <row r="41" spans="3:8" x14ac:dyDescent="0.3">
      <c r="C41" s="88"/>
      <c r="E41" t="s">
        <v>196</v>
      </c>
      <c r="G41" s="28" t="s">
        <v>283</v>
      </c>
      <c r="H41" s="120">
        <v>1.0329999999999999</v>
      </c>
    </row>
    <row r="42" spans="3:8" x14ac:dyDescent="0.3">
      <c r="C42" s="88"/>
      <c r="E42" t="s">
        <v>197</v>
      </c>
      <c r="G42" s="28" t="s">
        <v>283</v>
      </c>
      <c r="H42" s="120">
        <v>1.0509999999999999</v>
      </c>
    </row>
    <row r="43" spans="3:8" x14ac:dyDescent="0.3">
      <c r="C43" s="88"/>
      <c r="E43" t="s">
        <v>198</v>
      </c>
      <c r="G43" s="28" t="s">
        <v>283</v>
      </c>
      <c r="H43" s="120">
        <v>1.0669999999999999</v>
      </c>
    </row>
    <row r="44" spans="3:8" x14ac:dyDescent="0.3">
      <c r="C44" s="88"/>
      <c r="E44" t="s">
        <v>199</v>
      </c>
      <c r="G44" s="28" t="s">
        <v>283</v>
      </c>
      <c r="H44" s="120">
        <v>1.0900000000000001</v>
      </c>
    </row>
    <row r="45" spans="3:8" x14ac:dyDescent="0.3">
      <c r="C45" s="88"/>
      <c r="E45" t="s">
        <v>376</v>
      </c>
      <c r="G45" s="28" t="s">
        <v>283</v>
      </c>
      <c r="H45" s="79"/>
    </row>
    <row r="46" spans="3:8" x14ac:dyDescent="0.3">
      <c r="C46" s="88"/>
      <c r="E46" s="37" t="s">
        <v>377</v>
      </c>
      <c r="F46" s="37"/>
      <c r="G46" s="67" t="s">
        <v>283</v>
      </c>
      <c r="H46" s="81"/>
    </row>
    <row r="47" spans="3:8" x14ac:dyDescent="0.3">
      <c r="C47" s="88"/>
      <c r="H47" s="89"/>
    </row>
    <row r="48" spans="3:8" x14ac:dyDescent="0.3">
      <c r="D48" s="32" t="s">
        <v>668</v>
      </c>
      <c r="H48" s="89"/>
    </row>
    <row r="49" spans="3:8" x14ac:dyDescent="0.3">
      <c r="C49" s="88"/>
      <c r="E49" s="23" t="s">
        <v>189</v>
      </c>
      <c r="F49" s="23"/>
      <c r="G49" s="23" t="s">
        <v>585</v>
      </c>
      <c r="H49" s="83"/>
    </row>
    <row r="50" spans="3:8" x14ac:dyDescent="0.3">
      <c r="C50" s="88"/>
      <c r="E50" t="s">
        <v>191</v>
      </c>
      <c r="G50" t="s">
        <v>585</v>
      </c>
      <c r="H50" s="79"/>
    </row>
    <row r="51" spans="3:8" x14ac:dyDescent="0.3">
      <c r="C51" s="88"/>
      <c r="E51" t="s">
        <v>192</v>
      </c>
      <c r="G51" t="s">
        <v>585</v>
      </c>
      <c r="H51" s="120">
        <f t="array" ref="H51:H58">TRANSPOSE('Unit costs'!L114:S114)</f>
        <v>4.87081530577567</v>
      </c>
    </row>
    <row r="52" spans="3:8" x14ac:dyDescent="0.3">
      <c r="C52" s="88"/>
      <c r="E52" t="s">
        <v>193</v>
      </c>
      <c r="G52" t="s">
        <v>585</v>
      </c>
      <c r="H52" s="120">
        <v>3.7658169687576213</v>
      </c>
    </row>
    <row r="53" spans="3:8" x14ac:dyDescent="0.3">
      <c r="C53" s="88"/>
      <c r="E53" t="s">
        <v>194</v>
      </c>
      <c r="G53" t="s">
        <v>585</v>
      </c>
      <c r="H53" s="120">
        <v>3.8959867684645539</v>
      </c>
    </row>
    <row r="54" spans="3:8" x14ac:dyDescent="0.3">
      <c r="C54" s="88"/>
      <c r="E54" t="s">
        <v>195</v>
      </c>
      <c r="G54" t="s">
        <v>585</v>
      </c>
      <c r="H54" s="120">
        <v>7.5541243032287451</v>
      </c>
    </row>
    <row r="55" spans="3:8" x14ac:dyDescent="0.3">
      <c r="C55" s="88"/>
      <c r="E55" t="s">
        <v>196</v>
      </c>
      <c r="G55" t="s">
        <v>585</v>
      </c>
      <c r="H55" s="120">
        <v>3.5800756300365526</v>
      </c>
    </row>
    <row r="56" spans="3:8" x14ac:dyDescent="0.3">
      <c r="C56" s="88"/>
      <c r="E56" t="s">
        <v>197</v>
      </c>
      <c r="G56" t="s">
        <v>585</v>
      </c>
      <c r="H56" s="120">
        <v>15.07805950472482</v>
      </c>
    </row>
    <row r="57" spans="3:8" x14ac:dyDescent="0.3">
      <c r="C57" s="88"/>
      <c r="E57" t="s">
        <v>198</v>
      </c>
      <c r="G57" t="s">
        <v>585</v>
      </c>
      <c r="H57" s="120">
        <v>7.4579818332653716</v>
      </c>
    </row>
    <row r="58" spans="3:8" x14ac:dyDescent="0.3">
      <c r="C58" s="88"/>
      <c r="E58" t="s">
        <v>199</v>
      </c>
      <c r="G58" t="s">
        <v>585</v>
      </c>
      <c r="H58" s="120">
        <v>17.488608062201688</v>
      </c>
    </row>
    <row r="59" spans="3:8" x14ac:dyDescent="0.3">
      <c r="C59" s="88"/>
      <c r="E59" t="s">
        <v>376</v>
      </c>
      <c r="G59" t="s">
        <v>585</v>
      </c>
      <c r="H59" s="79"/>
    </row>
    <row r="60" spans="3:8" x14ac:dyDescent="0.3">
      <c r="C60" s="88"/>
      <c r="E60" s="37" t="s">
        <v>377</v>
      </c>
      <c r="F60" s="37"/>
      <c r="G60" s="37" t="s">
        <v>585</v>
      </c>
      <c r="H60" s="81"/>
    </row>
    <row r="61" spans="3:8" x14ac:dyDescent="0.3">
      <c r="C61" s="88"/>
      <c r="H61" s="89"/>
    </row>
    <row r="62" spans="3:8" x14ac:dyDescent="0.3">
      <c r="C62" s="88"/>
      <c r="D62" s="32" t="s">
        <v>669</v>
      </c>
      <c r="E62"/>
      <c r="H62" s="89"/>
    </row>
    <row r="63" spans="3:8" x14ac:dyDescent="0.3">
      <c r="C63" s="88"/>
      <c r="E63" s="23" t="s">
        <v>189</v>
      </c>
      <c r="F63" s="23"/>
      <c r="G63" s="23" t="s">
        <v>585</v>
      </c>
      <c r="H63" s="124">
        <f t="array" ref="H63:H72">TRANSPOSE('Unit costs'!J115:S115)</f>
        <v>3.5047803468573027</v>
      </c>
    </row>
    <row r="64" spans="3:8" x14ac:dyDescent="0.3">
      <c r="C64" s="88"/>
      <c r="E64" t="s">
        <v>191</v>
      </c>
      <c r="G64" t="s">
        <v>585</v>
      </c>
      <c r="H64" s="120">
        <v>0</v>
      </c>
    </row>
    <row r="65" spans="3:42" x14ac:dyDescent="0.3">
      <c r="C65" s="88"/>
      <c r="E65" t="s">
        <v>192</v>
      </c>
      <c r="G65" t="s">
        <v>585</v>
      </c>
      <c r="H65" s="120">
        <v>3.4198582410686194</v>
      </c>
    </row>
    <row r="66" spans="3:42" x14ac:dyDescent="0.3">
      <c r="C66" s="88"/>
      <c r="E66" t="s">
        <v>193</v>
      </c>
      <c r="G66" t="s">
        <v>585</v>
      </c>
      <c r="H66" s="120">
        <v>2.6440255658412628</v>
      </c>
    </row>
    <row r="67" spans="3:42" x14ac:dyDescent="0.3">
      <c r="C67" s="88"/>
      <c r="E67" t="s">
        <v>194</v>
      </c>
      <c r="G67" t="s">
        <v>585</v>
      </c>
      <c r="H67" s="120">
        <v>2.7354193540101845</v>
      </c>
    </row>
    <row r="68" spans="3:42" x14ac:dyDescent="0.3">
      <c r="C68" s="88"/>
      <c r="E68" t="s">
        <v>195</v>
      </c>
      <c r="G68" t="s">
        <v>585</v>
      </c>
      <c r="H68" s="120">
        <v>5.3038418890201653</v>
      </c>
    </row>
    <row r="69" spans="3:42" x14ac:dyDescent="0.3">
      <c r="C69" s="88"/>
      <c r="E69" t="s">
        <v>196</v>
      </c>
      <c r="G69" t="s">
        <v>585</v>
      </c>
      <c r="H69" s="120">
        <v>2.5136143291065927</v>
      </c>
    </row>
    <row r="70" spans="3:42" x14ac:dyDescent="0.3">
      <c r="C70" s="88"/>
      <c r="E70" t="s">
        <v>197</v>
      </c>
      <c r="G70" t="s">
        <v>585</v>
      </c>
      <c r="H70" s="120">
        <v>10.58648764518173</v>
      </c>
    </row>
    <row r="71" spans="3:42" x14ac:dyDescent="0.3">
      <c r="C71" s="88"/>
      <c r="E71" t="s">
        <v>198</v>
      </c>
      <c r="G71" t="s">
        <v>585</v>
      </c>
      <c r="H71" s="120">
        <v>5.2363390999427279</v>
      </c>
    </row>
    <row r="72" spans="3:42" x14ac:dyDescent="0.3">
      <c r="C72" s="88"/>
      <c r="E72" t="s">
        <v>199</v>
      </c>
      <c r="G72" t="s">
        <v>585</v>
      </c>
      <c r="H72" s="120">
        <v>12.2789628946555</v>
      </c>
    </row>
    <row r="73" spans="3:42" x14ac:dyDescent="0.3">
      <c r="C73" s="88"/>
      <c r="E73" t="s">
        <v>376</v>
      </c>
      <c r="G73" t="s">
        <v>585</v>
      </c>
      <c r="H73" s="79"/>
    </row>
    <row r="74" spans="3:42" x14ac:dyDescent="0.3">
      <c r="C74" s="88"/>
      <c r="E74" s="37" t="s">
        <v>377</v>
      </c>
      <c r="F74" s="37"/>
      <c r="G74" s="37" t="s">
        <v>585</v>
      </c>
      <c r="H74" s="81"/>
    </row>
    <row r="75" spans="3:42" x14ac:dyDescent="0.3">
      <c r="C75" s="88"/>
      <c r="H75" s="63"/>
    </row>
    <row r="76" spans="3:42" x14ac:dyDescent="0.3">
      <c r="D76" s="88" t="s">
        <v>670</v>
      </c>
    </row>
    <row r="77" spans="3:42" x14ac:dyDescent="0.3">
      <c r="D77" s="29" t="s">
        <v>671</v>
      </c>
      <c r="E77" s="203"/>
    </row>
    <row r="78" spans="3:42" x14ac:dyDescent="0.3">
      <c r="C78" s="88"/>
      <c r="E78" t="s">
        <v>672</v>
      </c>
      <c r="G78" t="s">
        <v>673</v>
      </c>
      <c r="I78" t="s">
        <v>154</v>
      </c>
      <c r="J78" s="169">
        <f>'Fixed inputs'!J138</f>
        <v>0</v>
      </c>
      <c r="K78" s="169">
        <f>'Fixed inputs'!K138</f>
        <v>0</v>
      </c>
      <c r="L78" s="169">
        <f>'Fixed inputs'!L138</f>
        <v>0</v>
      </c>
      <c r="M78" s="169">
        <f>'Fixed inputs'!M138</f>
        <v>0</v>
      </c>
      <c r="N78" s="169">
        <f>'Fixed inputs'!N138</f>
        <v>1</v>
      </c>
      <c r="O78" s="169">
        <f>'Fixed inputs'!O138</f>
        <v>1</v>
      </c>
      <c r="P78" s="169">
        <f>'Fixed inputs'!P138</f>
        <v>1</v>
      </c>
      <c r="Q78" s="169">
        <f>'Fixed inputs'!Q138</f>
        <v>0</v>
      </c>
      <c r="R78" s="169">
        <f>'Fixed inputs'!R138</f>
        <v>0</v>
      </c>
      <c r="S78" s="169">
        <f>'Fixed inputs'!S138</f>
        <v>0</v>
      </c>
      <c r="T78" s="169">
        <f>'Fixed inputs'!T138</f>
        <v>1</v>
      </c>
      <c r="U78" s="169">
        <f>'Fixed inputs'!U138</f>
        <v>0</v>
      </c>
      <c r="V78" s="169">
        <f>'Fixed inputs'!V138</f>
        <v>1</v>
      </c>
      <c r="W78" s="169">
        <f>'Fixed inputs'!W138</f>
        <v>0</v>
      </c>
      <c r="X78" s="169">
        <f>'Fixed inputs'!X138</f>
        <v>1</v>
      </c>
      <c r="Y78" s="169">
        <f>'Fixed inputs'!Y138</f>
        <v>0</v>
      </c>
      <c r="AA78" t="s">
        <v>223</v>
      </c>
    </row>
    <row r="79" spans="3:42" x14ac:dyDescent="0.3">
      <c r="C79" s="88"/>
    </row>
    <row r="80" spans="3:42" x14ac:dyDescent="0.3">
      <c r="D80" s="32" t="s">
        <v>120</v>
      </c>
      <c r="E80"/>
      <c r="H80" s="14"/>
      <c r="J80" s="63"/>
      <c r="K80" s="63"/>
      <c r="L80" s="63"/>
      <c r="M80" s="63"/>
      <c r="N80" s="63"/>
      <c r="O80" s="63"/>
      <c r="P80" s="63"/>
      <c r="Q80" s="63"/>
      <c r="R80" s="63"/>
      <c r="S80" s="63"/>
      <c r="T80" s="63"/>
      <c r="U80" s="63"/>
      <c r="V80" s="63"/>
      <c r="W80" s="63"/>
      <c r="X80" s="63"/>
      <c r="Y80" s="63"/>
      <c r="AP80" s="3"/>
    </row>
    <row r="81" spans="3:42" x14ac:dyDescent="0.3">
      <c r="C81" s="32"/>
      <c r="D81"/>
      <c r="E81" s="23" t="s">
        <v>191</v>
      </c>
      <c r="F81" s="23"/>
      <c r="G81" s="23" t="s">
        <v>167</v>
      </c>
      <c r="H81" s="129"/>
      <c r="I81" s="23"/>
      <c r="J81" s="107">
        <f>'Standing charge factors'!J44</f>
        <v>0</v>
      </c>
      <c r="K81" s="107">
        <f>'Standing charge factors'!K44</f>
        <v>0</v>
      </c>
      <c r="L81" s="107">
        <f>'Standing charge factors'!L44</f>
        <v>0</v>
      </c>
      <c r="M81" s="107">
        <f>'Standing charge factors'!M44</f>
        <v>0</v>
      </c>
      <c r="N81" s="107">
        <f>'Standing charge factors'!N44</f>
        <v>0</v>
      </c>
      <c r="O81" s="107">
        <f>'Standing charge factors'!O44</f>
        <v>0</v>
      </c>
      <c r="P81" s="107">
        <f>'Standing charge factors'!P44</f>
        <v>0</v>
      </c>
      <c r="Q81" s="107">
        <f>'Standing charge factors'!Q44</f>
        <v>0</v>
      </c>
      <c r="R81" s="107">
        <f>'Standing charge factors'!R44</f>
        <v>0</v>
      </c>
      <c r="S81" s="107">
        <f>'Standing charge factors'!S44</f>
        <v>0</v>
      </c>
      <c r="T81" s="107">
        <f>'Standing charge factors'!T44</f>
        <v>0</v>
      </c>
      <c r="U81" s="107">
        <f>'Standing charge factors'!U44</f>
        <v>0</v>
      </c>
      <c r="V81" s="107">
        <f>'Standing charge factors'!V44</f>
        <v>0</v>
      </c>
      <c r="W81" s="107">
        <f>'Standing charge factors'!W44</f>
        <v>0</v>
      </c>
      <c r="X81" s="107">
        <f>'Standing charge factors'!X44</f>
        <v>0</v>
      </c>
      <c r="Y81" s="107">
        <f>'Standing charge factors'!Y44</f>
        <v>0</v>
      </c>
      <c r="AP81" s="3"/>
    </row>
    <row r="82" spans="3:42" x14ac:dyDescent="0.3">
      <c r="C82" s="32"/>
      <c r="D82"/>
      <c r="E82" t="s">
        <v>192</v>
      </c>
      <c r="G82" t="s">
        <v>167</v>
      </c>
      <c r="H82" s="63"/>
      <c r="J82" s="25">
        <f>'Standing charge factors'!J45</f>
        <v>0</v>
      </c>
      <c r="K82" s="25">
        <f>'Standing charge factors'!K45</f>
        <v>0</v>
      </c>
      <c r="L82" s="25">
        <f>'Standing charge factors'!L45</f>
        <v>0</v>
      </c>
      <c r="M82" s="25">
        <f>'Standing charge factors'!M45</f>
        <v>0</v>
      </c>
      <c r="N82" s="25">
        <f>'Standing charge factors'!N45</f>
        <v>0</v>
      </c>
      <c r="O82" s="25">
        <f>'Standing charge factors'!O45</f>
        <v>0</v>
      </c>
      <c r="P82" s="25">
        <f>'Standing charge factors'!P45</f>
        <v>0.13851312583363759</v>
      </c>
      <c r="Q82" s="25">
        <f>'Standing charge factors'!Q45</f>
        <v>0</v>
      </c>
      <c r="R82" s="25">
        <f>'Standing charge factors'!R45</f>
        <v>0</v>
      </c>
      <c r="S82" s="25">
        <f>'Standing charge factors'!S45</f>
        <v>0</v>
      </c>
      <c r="T82" s="25">
        <f>'Standing charge factors'!T45</f>
        <v>0</v>
      </c>
      <c r="U82" s="25">
        <f>'Standing charge factors'!U45</f>
        <v>0</v>
      </c>
      <c r="V82" s="25">
        <f>'Standing charge factors'!V45</f>
        <v>0</v>
      </c>
      <c r="W82" s="25">
        <f>'Standing charge factors'!W45</f>
        <v>0</v>
      </c>
      <c r="X82" s="25">
        <f>'Standing charge factors'!X45</f>
        <v>0</v>
      </c>
      <c r="Y82" s="25">
        <f>'Standing charge factors'!Y45</f>
        <v>0</v>
      </c>
      <c r="AP82" s="3"/>
    </row>
    <row r="83" spans="3:42" x14ac:dyDescent="0.3">
      <c r="C83" s="32"/>
      <c r="D83"/>
      <c r="E83" t="s">
        <v>193</v>
      </c>
      <c r="G83" t="s">
        <v>167</v>
      </c>
      <c r="H83" s="63"/>
      <c r="J83" s="25">
        <f>'Standing charge factors'!J46</f>
        <v>0</v>
      </c>
      <c r="K83" s="25">
        <f>'Standing charge factors'!K46</f>
        <v>0</v>
      </c>
      <c r="L83" s="25">
        <f>'Standing charge factors'!L46</f>
        <v>0</v>
      </c>
      <c r="M83" s="25">
        <f>'Standing charge factors'!M46</f>
        <v>0</v>
      </c>
      <c r="N83" s="25">
        <f>'Standing charge factors'!N46</f>
        <v>0</v>
      </c>
      <c r="O83" s="25">
        <f>'Standing charge factors'!O46</f>
        <v>0</v>
      </c>
      <c r="P83" s="25">
        <f>'Standing charge factors'!P46</f>
        <v>0</v>
      </c>
      <c r="Q83" s="25">
        <f>'Standing charge factors'!Q46</f>
        <v>0</v>
      </c>
      <c r="R83" s="25">
        <f>'Standing charge factors'!R46</f>
        <v>0</v>
      </c>
      <c r="S83" s="25">
        <f>'Standing charge factors'!S46</f>
        <v>0</v>
      </c>
      <c r="T83" s="25">
        <f>'Standing charge factors'!T46</f>
        <v>0</v>
      </c>
      <c r="U83" s="25">
        <f>'Standing charge factors'!U46</f>
        <v>0</v>
      </c>
      <c r="V83" s="25">
        <f>'Standing charge factors'!V46</f>
        <v>0</v>
      </c>
      <c r="W83" s="25">
        <f>'Standing charge factors'!W46</f>
        <v>0</v>
      </c>
      <c r="X83" s="25">
        <f>'Standing charge factors'!X46</f>
        <v>0</v>
      </c>
      <c r="Y83" s="25">
        <f>'Standing charge factors'!Y46</f>
        <v>0</v>
      </c>
      <c r="AP83" s="3"/>
    </row>
    <row r="84" spans="3:42" x14ac:dyDescent="0.3">
      <c r="C84" s="32"/>
      <c r="D84"/>
      <c r="E84" t="s">
        <v>194</v>
      </c>
      <c r="G84" t="s">
        <v>167</v>
      </c>
      <c r="H84" s="63"/>
      <c r="J84" s="25">
        <f>'Standing charge factors'!J47</f>
        <v>0</v>
      </c>
      <c r="K84" s="25">
        <f>'Standing charge factors'!K47</f>
        <v>0</v>
      </c>
      <c r="L84" s="25">
        <f>'Standing charge factors'!L47</f>
        <v>0</v>
      </c>
      <c r="M84" s="25">
        <f>'Standing charge factors'!M47</f>
        <v>0</v>
      </c>
      <c r="N84" s="25">
        <f>'Standing charge factors'!N47</f>
        <v>0</v>
      </c>
      <c r="O84" s="25">
        <f>'Standing charge factors'!O47</f>
        <v>0</v>
      </c>
      <c r="P84" s="25">
        <f>'Standing charge factors'!P47</f>
        <v>0.2</v>
      </c>
      <c r="Q84" s="25">
        <f>'Standing charge factors'!Q47</f>
        <v>0</v>
      </c>
      <c r="R84" s="25">
        <f>'Standing charge factors'!R47</f>
        <v>0</v>
      </c>
      <c r="S84" s="25">
        <f>'Standing charge factors'!S47</f>
        <v>0</v>
      </c>
      <c r="T84" s="25">
        <f>'Standing charge factors'!T47</f>
        <v>0</v>
      </c>
      <c r="U84" s="25">
        <f>'Standing charge factors'!U47</f>
        <v>0</v>
      </c>
      <c r="V84" s="25">
        <f>'Standing charge factors'!V47</f>
        <v>0</v>
      </c>
      <c r="W84" s="25">
        <f>'Standing charge factors'!W47</f>
        <v>0</v>
      </c>
      <c r="X84" s="25">
        <f>'Standing charge factors'!X47</f>
        <v>0</v>
      </c>
      <c r="Y84" s="25">
        <f>'Standing charge factors'!Y47</f>
        <v>0</v>
      </c>
      <c r="AP84" s="3"/>
    </row>
    <row r="85" spans="3:42" x14ac:dyDescent="0.3">
      <c r="C85" s="32"/>
      <c r="D85"/>
      <c r="E85" t="s">
        <v>195</v>
      </c>
      <c r="G85" t="s">
        <v>167</v>
      </c>
      <c r="H85" s="63"/>
      <c r="J85" s="25">
        <f>'Standing charge factors'!J48</f>
        <v>0</v>
      </c>
      <c r="K85" s="25">
        <f>'Standing charge factors'!K48</f>
        <v>0</v>
      </c>
      <c r="L85" s="25">
        <f>'Standing charge factors'!L48</f>
        <v>0</v>
      </c>
      <c r="M85" s="25">
        <f>'Standing charge factors'!M48</f>
        <v>0</v>
      </c>
      <c r="N85" s="25">
        <f>'Standing charge factors'!N48</f>
        <v>0</v>
      </c>
      <c r="O85" s="25">
        <f>'Standing charge factors'!O48</f>
        <v>0</v>
      </c>
      <c r="P85" s="25">
        <f>'Standing charge factors'!P48</f>
        <v>1</v>
      </c>
      <c r="Q85" s="25">
        <f>'Standing charge factors'!Q48</f>
        <v>0</v>
      </c>
      <c r="R85" s="25">
        <f>'Standing charge factors'!R48</f>
        <v>0</v>
      </c>
      <c r="S85" s="25">
        <f>'Standing charge factors'!S48</f>
        <v>0</v>
      </c>
      <c r="T85" s="25">
        <f>'Standing charge factors'!T48</f>
        <v>0</v>
      </c>
      <c r="U85" s="25">
        <f>'Standing charge factors'!U48</f>
        <v>0</v>
      </c>
      <c r="V85" s="25">
        <f>'Standing charge factors'!V48</f>
        <v>0</v>
      </c>
      <c r="W85" s="25">
        <f>'Standing charge factors'!W48</f>
        <v>0</v>
      </c>
      <c r="X85" s="25">
        <f>'Standing charge factors'!X48</f>
        <v>0</v>
      </c>
      <c r="Y85" s="25">
        <f>'Standing charge factors'!Y48</f>
        <v>0</v>
      </c>
      <c r="AP85" s="3"/>
    </row>
    <row r="86" spans="3:42" x14ac:dyDescent="0.3">
      <c r="C86" s="32"/>
      <c r="D86"/>
      <c r="E86" t="s">
        <v>196</v>
      </c>
      <c r="G86" t="s">
        <v>167</v>
      </c>
      <c r="H86" s="63"/>
      <c r="J86" s="25">
        <f>'Standing charge factors'!J49</f>
        <v>0</v>
      </c>
      <c r="K86" s="25">
        <f>'Standing charge factors'!K49</f>
        <v>0</v>
      </c>
      <c r="L86" s="25">
        <f>'Standing charge factors'!L49</f>
        <v>0</v>
      </c>
      <c r="M86" s="25">
        <f>'Standing charge factors'!M49</f>
        <v>0</v>
      </c>
      <c r="N86" s="25">
        <f>'Standing charge factors'!N49</f>
        <v>0</v>
      </c>
      <c r="O86" s="25">
        <f>'Standing charge factors'!O49</f>
        <v>0</v>
      </c>
      <c r="P86" s="25">
        <f>'Standing charge factors'!P49</f>
        <v>1</v>
      </c>
      <c r="Q86" s="25">
        <f>'Standing charge factors'!Q49</f>
        <v>0</v>
      </c>
      <c r="R86" s="25">
        <f>'Standing charge factors'!R49</f>
        <v>0</v>
      </c>
      <c r="S86" s="25">
        <f>'Standing charge factors'!S49</f>
        <v>0</v>
      </c>
      <c r="T86" s="25">
        <f>'Standing charge factors'!T49</f>
        <v>0</v>
      </c>
      <c r="U86" s="25">
        <f>'Standing charge factors'!U49</f>
        <v>0</v>
      </c>
      <c r="V86" s="25">
        <f>'Standing charge factors'!V49</f>
        <v>0</v>
      </c>
      <c r="W86" s="25">
        <f>'Standing charge factors'!W49</f>
        <v>0</v>
      </c>
      <c r="X86" s="25">
        <f>'Standing charge factors'!X49</f>
        <v>0</v>
      </c>
      <c r="Y86" s="25">
        <f>'Standing charge factors'!Y49</f>
        <v>0</v>
      </c>
      <c r="AP86" s="3"/>
    </row>
    <row r="87" spans="3:42" x14ac:dyDescent="0.3">
      <c r="C87" s="32"/>
      <c r="D87"/>
      <c r="E87" t="s">
        <v>197</v>
      </c>
      <c r="G87" t="s">
        <v>167</v>
      </c>
      <c r="H87" s="63"/>
      <c r="J87" s="25">
        <f>'Standing charge factors'!J50</f>
        <v>0</v>
      </c>
      <c r="K87" s="25">
        <f>'Standing charge factors'!K50</f>
        <v>0</v>
      </c>
      <c r="L87" s="25">
        <f>'Standing charge factors'!L50</f>
        <v>0</v>
      </c>
      <c r="M87" s="25">
        <f>'Standing charge factors'!M50</f>
        <v>0</v>
      </c>
      <c r="N87" s="25">
        <f>'Standing charge factors'!N50</f>
        <v>0.2</v>
      </c>
      <c r="O87" s="25">
        <f>'Standing charge factors'!O50</f>
        <v>1</v>
      </c>
      <c r="P87" s="25">
        <f>'Standing charge factors'!P50</f>
        <v>1</v>
      </c>
      <c r="Q87" s="25">
        <f>'Standing charge factors'!Q50</f>
        <v>0</v>
      </c>
      <c r="R87" s="25">
        <f>'Standing charge factors'!R50</f>
        <v>0</v>
      </c>
      <c r="S87" s="25">
        <f>'Standing charge factors'!S50</f>
        <v>0</v>
      </c>
      <c r="T87" s="25">
        <f>'Standing charge factors'!T50</f>
        <v>0</v>
      </c>
      <c r="U87" s="25">
        <f>'Standing charge factors'!U50</f>
        <v>0</v>
      </c>
      <c r="V87" s="25">
        <f>'Standing charge factors'!V50</f>
        <v>0</v>
      </c>
      <c r="W87" s="25">
        <f>'Standing charge factors'!W50</f>
        <v>0</v>
      </c>
      <c r="X87" s="25">
        <f>'Standing charge factors'!X50</f>
        <v>0</v>
      </c>
      <c r="Y87" s="25">
        <f>'Standing charge factors'!Y50</f>
        <v>0</v>
      </c>
      <c r="AP87" s="3"/>
    </row>
    <row r="88" spans="3:42" x14ac:dyDescent="0.3">
      <c r="C88" s="32"/>
      <c r="D88"/>
      <c r="E88" t="s">
        <v>198</v>
      </c>
      <c r="G88" t="s">
        <v>167</v>
      </c>
      <c r="H88" s="63"/>
      <c r="J88" s="25">
        <f>'Standing charge factors'!J51</f>
        <v>0</v>
      </c>
      <c r="K88" s="25">
        <f>'Standing charge factors'!K51</f>
        <v>0</v>
      </c>
      <c r="L88" s="25">
        <f>'Standing charge factors'!L51</f>
        <v>0</v>
      </c>
      <c r="M88" s="25">
        <f>'Standing charge factors'!M51</f>
        <v>0</v>
      </c>
      <c r="N88" s="25">
        <f>'Standing charge factors'!N51</f>
        <v>1</v>
      </c>
      <c r="O88" s="25">
        <f>'Standing charge factors'!O51</f>
        <v>1</v>
      </c>
      <c r="P88" s="25">
        <f>'Standing charge factors'!P51</f>
        <v>0</v>
      </c>
      <c r="Q88" s="25">
        <f>'Standing charge factors'!Q51</f>
        <v>0</v>
      </c>
      <c r="R88" s="25">
        <f>'Standing charge factors'!R51</f>
        <v>0</v>
      </c>
      <c r="S88" s="25">
        <f>'Standing charge factors'!S51</f>
        <v>0</v>
      </c>
      <c r="T88" s="25">
        <f>'Standing charge factors'!T51</f>
        <v>0</v>
      </c>
      <c r="U88" s="25">
        <f>'Standing charge factors'!U51</f>
        <v>0</v>
      </c>
      <c r="V88" s="25">
        <f>'Standing charge factors'!V51</f>
        <v>0</v>
      </c>
      <c r="W88" s="25">
        <f>'Standing charge factors'!W51</f>
        <v>0</v>
      </c>
      <c r="X88" s="25">
        <f>'Standing charge factors'!X51</f>
        <v>0</v>
      </c>
      <c r="Y88" s="25">
        <f>'Standing charge factors'!Y51</f>
        <v>0</v>
      </c>
      <c r="AP88" s="3"/>
    </row>
    <row r="89" spans="3:42" x14ac:dyDescent="0.3">
      <c r="C89" s="32"/>
      <c r="D89"/>
      <c r="E89" s="37" t="s">
        <v>199</v>
      </c>
      <c r="F89" s="37"/>
      <c r="G89" s="37" t="s">
        <v>167</v>
      </c>
      <c r="H89" s="130"/>
      <c r="I89" s="37"/>
      <c r="J89" s="141">
        <f>'Standing charge factors'!J52</f>
        <v>1</v>
      </c>
      <c r="K89" s="141">
        <f>'Standing charge factors'!K52</f>
        <v>1</v>
      </c>
      <c r="L89" s="141">
        <f>'Standing charge factors'!L52</f>
        <v>1</v>
      </c>
      <c r="M89" s="141">
        <f>'Standing charge factors'!M52</f>
        <v>1</v>
      </c>
      <c r="N89" s="141">
        <f>'Standing charge factors'!N52</f>
        <v>1</v>
      </c>
      <c r="O89" s="141">
        <f>'Standing charge factors'!O52</f>
        <v>0</v>
      </c>
      <c r="P89" s="141">
        <f>'Standing charge factors'!P52</f>
        <v>0</v>
      </c>
      <c r="Q89" s="141">
        <f>'Standing charge factors'!Q52</f>
        <v>0</v>
      </c>
      <c r="R89" s="141">
        <f>'Standing charge factors'!R52</f>
        <v>0</v>
      </c>
      <c r="S89" s="141">
        <f>'Standing charge factors'!S52</f>
        <v>0</v>
      </c>
      <c r="T89" s="141">
        <f>'Standing charge factors'!T52</f>
        <v>0</v>
      </c>
      <c r="U89" s="141">
        <f>'Standing charge factors'!U52</f>
        <v>0</v>
      </c>
      <c r="V89" s="141">
        <f>'Standing charge factors'!V52</f>
        <v>0</v>
      </c>
      <c r="W89" s="141">
        <f>'Standing charge factors'!W52</f>
        <v>0</v>
      </c>
      <c r="X89" s="141">
        <f>'Standing charge factors'!X52</f>
        <v>0</v>
      </c>
      <c r="Y89" s="141">
        <f>'Standing charge factors'!Y52</f>
        <v>0</v>
      </c>
      <c r="AP89" s="3"/>
    </row>
    <row r="90" spans="3:42" x14ac:dyDescent="0.3">
      <c r="C90" s="88"/>
    </row>
    <row r="91" spans="3:42" x14ac:dyDescent="0.3">
      <c r="D91" s="32" t="s">
        <v>404</v>
      </c>
      <c r="E91" s="32"/>
      <c r="I91" t="s">
        <v>154</v>
      </c>
      <c r="AA91" t="s">
        <v>674</v>
      </c>
    </row>
    <row r="92" spans="3:42" x14ac:dyDescent="0.3">
      <c r="D92" s="29" t="s">
        <v>401</v>
      </c>
      <c r="E92"/>
      <c r="AA92" s="204"/>
    </row>
    <row r="93" spans="3:42" x14ac:dyDescent="0.3">
      <c r="D93"/>
      <c r="E93" s="23" t="s">
        <v>189</v>
      </c>
      <c r="F93" s="23"/>
      <c r="G93" s="64" t="s">
        <v>283</v>
      </c>
      <c r="H93" s="23"/>
      <c r="I93" s="23"/>
      <c r="J93" s="83"/>
      <c r="K93" s="83"/>
      <c r="L93" s="83"/>
      <c r="M93" s="83"/>
      <c r="N93" s="83"/>
      <c r="O93" s="83"/>
      <c r="P93" s="83"/>
      <c r="Q93" s="83"/>
      <c r="R93" s="124">
        <f t="array" ref="R93:Y102">TRANSPOSE('Load &amp; loss characteristics'!J172:S179)</f>
        <v>-1.0900000000000001</v>
      </c>
      <c r="S93" s="124">
        <v>-1.0669999999999999</v>
      </c>
      <c r="T93" s="124">
        <v>-1.0900000000000001</v>
      </c>
      <c r="U93" s="124">
        <v>-1.0900000000000001</v>
      </c>
      <c r="V93" s="124">
        <v>-1.0669999999999999</v>
      </c>
      <c r="W93" s="124">
        <v>-1.0669999999999999</v>
      </c>
      <c r="X93" s="124">
        <v>-1.0509999999999999</v>
      </c>
      <c r="Y93" s="124">
        <v>-1.0509999999999999</v>
      </c>
    </row>
    <row r="94" spans="3:42" x14ac:dyDescent="0.3">
      <c r="D94"/>
      <c r="E94" t="s">
        <v>191</v>
      </c>
      <c r="G94" s="28" t="s">
        <v>283</v>
      </c>
      <c r="J94" s="79"/>
      <c r="K94" s="79"/>
      <c r="L94" s="79"/>
      <c r="M94" s="79"/>
      <c r="N94" s="79"/>
      <c r="O94" s="79"/>
      <c r="P94" s="79"/>
      <c r="Q94" s="79"/>
      <c r="R94" s="120">
        <v>-1.0900000000000001</v>
      </c>
      <c r="S94" s="120">
        <v>-1.0669999999999999</v>
      </c>
      <c r="T94" s="120">
        <v>-1.0900000000000001</v>
      </c>
      <c r="U94" s="120">
        <v>-1.0900000000000001</v>
      </c>
      <c r="V94" s="120">
        <v>-1.0669999999999999</v>
      </c>
      <c r="W94" s="120">
        <v>-1.0669999999999999</v>
      </c>
      <c r="X94" s="120">
        <v>-1.0509999999999999</v>
      </c>
      <c r="Y94" s="120">
        <v>-1.0509999999999999</v>
      </c>
    </row>
    <row r="95" spans="3:42" x14ac:dyDescent="0.3">
      <c r="D95"/>
      <c r="E95" t="s">
        <v>192</v>
      </c>
      <c r="G95" s="28" t="s">
        <v>283</v>
      </c>
      <c r="J95" s="79"/>
      <c r="K95" s="79"/>
      <c r="L95" s="79"/>
      <c r="M95" s="79"/>
      <c r="N95" s="79"/>
      <c r="O95" s="79"/>
      <c r="P95" s="79"/>
      <c r="Q95" s="79"/>
      <c r="R95" s="120">
        <v>-1.0900000000000001</v>
      </c>
      <c r="S95" s="120">
        <v>-1.0669999999999999</v>
      </c>
      <c r="T95" s="120">
        <v>-1.0900000000000001</v>
      </c>
      <c r="U95" s="120">
        <v>-1.0900000000000001</v>
      </c>
      <c r="V95" s="120">
        <v>-1.0669999999999999</v>
      </c>
      <c r="W95" s="120">
        <v>-1.0669999999999999</v>
      </c>
      <c r="X95" s="120">
        <v>-1.0509999999999999</v>
      </c>
      <c r="Y95" s="120">
        <v>-1.0509999999999999</v>
      </c>
    </row>
    <row r="96" spans="3:42" x14ac:dyDescent="0.3">
      <c r="D96"/>
      <c r="E96" t="s">
        <v>193</v>
      </c>
      <c r="G96" s="28" t="s">
        <v>283</v>
      </c>
      <c r="J96" s="79"/>
      <c r="K96" s="79"/>
      <c r="L96" s="79"/>
      <c r="M96" s="79"/>
      <c r="N96" s="79"/>
      <c r="O96" s="79"/>
      <c r="P96" s="79"/>
      <c r="Q96" s="79"/>
      <c r="R96" s="120">
        <v>-0.33510346420667525</v>
      </c>
      <c r="S96" s="120">
        <v>-0.32803247367754351</v>
      </c>
      <c r="T96" s="120">
        <v>-0.33510346420667525</v>
      </c>
      <c r="U96" s="120">
        <v>-0.33510346420667525</v>
      </c>
      <c r="V96" s="120">
        <v>-0.32803247367754351</v>
      </c>
      <c r="W96" s="120">
        <v>-0.32803247367754351</v>
      </c>
      <c r="X96" s="120">
        <v>-0.32311352374423452</v>
      </c>
      <c r="Y96" s="120">
        <v>-0.32311352374423452</v>
      </c>
    </row>
    <row r="97" spans="3:25" x14ac:dyDescent="0.3">
      <c r="D97"/>
      <c r="E97" t="s">
        <v>194</v>
      </c>
      <c r="G97" s="28" t="s">
        <v>283</v>
      </c>
      <c r="J97" s="79"/>
      <c r="K97" s="79"/>
      <c r="L97" s="79"/>
      <c r="M97" s="79"/>
      <c r="N97" s="79"/>
      <c r="O97" s="79"/>
      <c r="P97" s="79"/>
      <c r="Q97" s="79"/>
      <c r="R97" s="120">
        <v>-0.33510346420667525</v>
      </c>
      <c r="S97" s="120">
        <v>-0.32803247367754351</v>
      </c>
      <c r="T97" s="120">
        <v>-0.33510346420667525</v>
      </c>
      <c r="U97" s="120">
        <v>-0.33510346420667525</v>
      </c>
      <c r="V97" s="120">
        <v>-0.32803247367754351</v>
      </c>
      <c r="W97" s="120">
        <v>-0.32803247367754351</v>
      </c>
      <c r="X97" s="120">
        <v>-0.32311352374423452</v>
      </c>
      <c r="Y97" s="120">
        <v>-0.32311352374423452</v>
      </c>
    </row>
    <row r="98" spans="3:25" x14ac:dyDescent="0.3">
      <c r="D98"/>
      <c r="E98" t="s">
        <v>195</v>
      </c>
      <c r="G98" s="28" t="s">
        <v>283</v>
      </c>
      <c r="J98" s="79"/>
      <c r="K98" s="79"/>
      <c r="L98" s="79"/>
      <c r="M98" s="79"/>
      <c r="N98" s="79"/>
      <c r="O98" s="79"/>
      <c r="P98" s="79"/>
      <c r="Q98" s="79"/>
      <c r="R98" s="120">
        <v>-0.33510346420667525</v>
      </c>
      <c r="S98" s="120">
        <v>-0.32803247367754351</v>
      </c>
      <c r="T98" s="120">
        <v>-0.33510346420667525</v>
      </c>
      <c r="U98" s="120">
        <v>-0.33510346420667525</v>
      </c>
      <c r="V98" s="120">
        <v>-0.32803247367754351</v>
      </c>
      <c r="W98" s="120">
        <v>-0.32803247367754351</v>
      </c>
      <c r="X98" s="120">
        <v>-0.32311352374423452</v>
      </c>
      <c r="Y98" s="120">
        <v>-0.32311352374423452</v>
      </c>
    </row>
    <row r="99" spans="3:25" x14ac:dyDescent="0.3">
      <c r="D99"/>
      <c r="E99" t="s">
        <v>196</v>
      </c>
      <c r="G99" s="28" t="s">
        <v>283</v>
      </c>
      <c r="J99" s="79"/>
      <c r="K99" s="79"/>
      <c r="L99" s="79"/>
      <c r="M99" s="79"/>
      <c r="N99" s="79"/>
      <c r="O99" s="79"/>
      <c r="P99" s="79"/>
      <c r="Q99" s="79"/>
      <c r="R99" s="120">
        <v>-0.75489653579332483</v>
      </c>
      <c r="S99" s="120">
        <v>-0.73896752632245644</v>
      </c>
      <c r="T99" s="120">
        <v>-0.75489653579332483</v>
      </c>
      <c r="U99" s="120">
        <v>-0.75489653579332483</v>
      </c>
      <c r="V99" s="120">
        <v>-0.73896752632245644</v>
      </c>
      <c r="W99" s="120">
        <v>-0.73896752632245644</v>
      </c>
      <c r="X99" s="120">
        <v>-0.72788647625576541</v>
      </c>
      <c r="Y99" s="120">
        <v>-0.72788647625576541</v>
      </c>
    </row>
    <row r="100" spans="3:25" x14ac:dyDescent="0.3">
      <c r="D100"/>
      <c r="E100" t="s">
        <v>197</v>
      </c>
      <c r="G100" s="28" t="s">
        <v>283</v>
      </c>
      <c r="J100" s="79"/>
      <c r="K100" s="79"/>
      <c r="L100" s="79"/>
      <c r="M100" s="79"/>
      <c r="N100" s="79"/>
      <c r="O100" s="79"/>
      <c r="P100" s="79"/>
      <c r="Q100" s="79"/>
      <c r="R100" s="120">
        <v>-1.0900000000000001</v>
      </c>
      <c r="S100" s="120">
        <v>-1.0669999999999999</v>
      </c>
      <c r="T100" s="120">
        <v>-1.0900000000000001</v>
      </c>
      <c r="U100" s="120">
        <v>-1.0900000000000001</v>
      </c>
      <c r="V100" s="120">
        <v>-1.0669999999999999</v>
      </c>
      <c r="W100" s="120">
        <v>-1.0669999999999999</v>
      </c>
      <c r="X100" s="120">
        <v>-1.0509999999999999</v>
      </c>
      <c r="Y100" s="120">
        <v>-1.0509999999999999</v>
      </c>
    </row>
    <row r="101" spans="3:25" x14ac:dyDescent="0.3">
      <c r="D101"/>
      <c r="E101" t="s">
        <v>198</v>
      </c>
      <c r="G101" s="28" t="s">
        <v>283</v>
      </c>
      <c r="J101" s="79"/>
      <c r="K101" s="79"/>
      <c r="L101" s="79"/>
      <c r="M101" s="79"/>
      <c r="N101" s="79"/>
      <c r="O101" s="79"/>
      <c r="P101" s="79"/>
      <c r="Q101" s="79"/>
      <c r="R101" s="120">
        <v>-1.0900000000000001</v>
      </c>
      <c r="S101" s="120">
        <v>-1.0669999999999999</v>
      </c>
      <c r="T101" s="120">
        <v>-1.0900000000000001</v>
      </c>
      <c r="U101" s="120">
        <v>-1.0900000000000001</v>
      </c>
      <c r="V101" s="120">
        <v>-1.0669999999999999</v>
      </c>
      <c r="W101" s="120">
        <v>-1.0669999999999999</v>
      </c>
      <c r="X101" s="120">
        <v>0</v>
      </c>
      <c r="Y101" s="120">
        <v>0</v>
      </c>
    </row>
    <row r="102" spans="3:25" x14ac:dyDescent="0.3">
      <c r="D102"/>
      <c r="E102" t="s">
        <v>199</v>
      </c>
      <c r="G102" s="28" t="s">
        <v>283</v>
      </c>
      <c r="J102" s="79"/>
      <c r="K102" s="79"/>
      <c r="L102" s="79"/>
      <c r="M102" s="79"/>
      <c r="N102" s="79"/>
      <c r="O102" s="79"/>
      <c r="P102" s="79"/>
      <c r="Q102" s="79"/>
      <c r="R102" s="120">
        <v>-1.0900000000000001</v>
      </c>
      <c r="S102" s="120">
        <v>0</v>
      </c>
      <c r="T102" s="120">
        <v>-1.0900000000000001</v>
      </c>
      <c r="U102" s="120">
        <v>-1.0900000000000001</v>
      </c>
      <c r="V102" s="120">
        <v>0</v>
      </c>
      <c r="W102" s="120">
        <v>0</v>
      </c>
      <c r="X102" s="120">
        <v>0</v>
      </c>
      <c r="Y102" s="120">
        <v>0</v>
      </c>
    </row>
    <row r="103" spans="3:25" x14ac:dyDescent="0.3">
      <c r="D103"/>
      <c r="E103" t="s">
        <v>376</v>
      </c>
      <c r="G103" s="28" t="s">
        <v>283</v>
      </c>
      <c r="J103" s="79"/>
      <c r="K103" s="79"/>
      <c r="L103" s="79"/>
      <c r="M103" s="79"/>
      <c r="N103" s="79"/>
      <c r="O103" s="79"/>
      <c r="P103" s="79"/>
      <c r="Q103" s="79"/>
      <c r="R103" s="79"/>
      <c r="S103" s="79"/>
      <c r="T103" s="79"/>
      <c r="U103" s="79"/>
      <c r="V103" s="79"/>
      <c r="W103" s="79"/>
      <c r="X103" s="79"/>
      <c r="Y103" s="79"/>
    </row>
    <row r="104" spans="3:25" x14ac:dyDescent="0.3">
      <c r="D104"/>
      <c r="E104" s="37" t="s">
        <v>377</v>
      </c>
      <c r="F104" s="37"/>
      <c r="G104" s="67" t="s">
        <v>283</v>
      </c>
      <c r="H104" s="37"/>
      <c r="I104" s="37"/>
      <c r="J104" s="81"/>
      <c r="K104" s="81"/>
      <c r="L104" s="81"/>
      <c r="M104" s="81"/>
      <c r="N104" s="81"/>
      <c r="O104" s="81"/>
      <c r="P104" s="81"/>
      <c r="Q104" s="81"/>
      <c r="R104" s="81"/>
      <c r="S104" s="81"/>
      <c r="T104" s="81"/>
      <c r="U104" s="81"/>
      <c r="V104" s="81"/>
      <c r="W104" s="81"/>
      <c r="X104" s="81"/>
      <c r="Y104" s="81"/>
    </row>
    <row r="105" spans="3:25" x14ac:dyDescent="0.3">
      <c r="C105" s="88"/>
    </row>
    <row r="106" spans="3:25" x14ac:dyDescent="0.3">
      <c r="D106" s="32" t="s">
        <v>416</v>
      </c>
      <c r="E106"/>
    </row>
    <row r="107" spans="3:25" x14ac:dyDescent="0.3">
      <c r="C107" s="88"/>
      <c r="E107" s="23" t="s">
        <v>189</v>
      </c>
      <c r="F107" s="23"/>
      <c r="G107" s="23" t="s">
        <v>167</v>
      </c>
      <c r="H107" s="23"/>
      <c r="I107" s="23"/>
      <c r="J107" s="65"/>
      <c r="K107" s="65"/>
      <c r="L107" s="65"/>
      <c r="M107" s="65"/>
      <c r="N107" s="65"/>
      <c r="O107" s="65"/>
      <c r="P107" s="65"/>
      <c r="Q107" s="65"/>
      <c r="R107" s="65"/>
      <c r="S107" s="65"/>
      <c r="T107" s="65"/>
      <c r="U107" s="65"/>
      <c r="V107" s="65"/>
      <c r="W107" s="65"/>
      <c r="X107" s="65"/>
      <c r="Y107" s="65"/>
    </row>
    <row r="108" spans="3:25" x14ac:dyDescent="0.3">
      <c r="C108" s="88"/>
      <c r="E108" t="s">
        <v>191</v>
      </c>
      <c r="G108" t="s">
        <v>167</v>
      </c>
      <c r="J108" s="66"/>
      <c r="K108" s="66"/>
      <c r="L108" s="66"/>
      <c r="M108" s="66"/>
      <c r="N108" s="66"/>
      <c r="O108" s="66"/>
      <c r="P108" s="66"/>
      <c r="Q108" s="66"/>
      <c r="R108" s="66"/>
      <c r="S108" s="66"/>
      <c r="T108" s="66"/>
      <c r="U108" s="66"/>
      <c r="V108" s="66"/>
      <c r="W108" s="66"/>
      <c r="X108" s="66"/>
      <c r="Y108" s="66"/>
    </row>
    <row r="109" spans="3:25" x14ac:dyDescent="0.3">
      <c r="C109" s="88"/>
      <c r="E109" t="s">
        <v>192</v>
      </c>
      <c r="G109" t="s">
        <v>167</v>
      </c>
      <c r="J109" s="25">
        <f t="array" ref="J109:Y116">TRANSPOSE('Customer contributions'!L51:S66)</f>
        <v>0</v>
      </c>
      <c r="K109" s="25">
        <v>0</v>
      </c>
      <c r="L109" s="25">
        <v>0</v>
      </c>
      <c r="M109" s="25">
        <v>0</v>
      </c>
      <c r="N109" s="25">
        <v>0</v>
      </c>
      <c r="O109" s="25">
        <v>0</v>
      </c>
      <c r="P109" s="25">
        <v>0</v>
      </c>
      <c r="Q109" s="25">
        <v>0</v>
      </c>
      <c r="R109" s="25">
        <v>0</v>
      </c>
      <c r="S109" s="25">
        <v>0</v>
      </c>
      <c r="T109" s="25">
        <v>0</v>
      </c>
      <c r="U109" s="25">
        <v>0</v>
      </c>
      <c r="V109" s="25">
        <v>0</v>
      </c>
      <c r="W109" s="25">
        <v>0</v>
      </c>
      <c r="X109" s="25">
        <v>0</v>
      </c>
      <c r="Y109" s="25">
        <v>0</v>
      </c>
    </row>
    <row r="110" spans="3:25" x14ac:dyDescent="0.3">
      <c r="C110" s="88"/>
      <c r="E110" t="s">
        <v>193</v>
      </c>
      <c r="G110" t="s">
        <v>167</v>
      </c>
      <c r="J110" s="25">
        <v>0</v>
      </c>
      <c r="K110" s="25">
        <v>0</v>
      </c>
      <c r="L110" s="25">
        <v>0</v>
      </c>
      <c r="M110" s="25">
        <v>0</v>
      </c>
      <c r="N110" s="25">
        <v>0</v>
      </c>
      <c r="O110" s="25">
        <v>0</v>
      </c>
      <c r="P110" s="25">
        <v>0</v>
      </c>
      <c r="Q110" s="25">
        <v>0</v>
      </c>
      <c r="R110" s="25">
        <v>0</v>
      </c>
      <c r="S110" s="25">
        <v>0</v>
      </c>
      <c r="T110" s="25">
        <v>0</v>
      </c>
      <c r="U110" s="25">
        <v>0</v>
      </c>
      <c r="V110" s="25">
        <v>0</v>
      </c>
      <c r="W110" s="25">
        <v>0</v>
      </c>
      <c r="X110" s="25">
        <v>0</v>
      </c>
      <c r="Y110" s="25">
        <v>0</v>
      </c>
    </row>
    <row r="111" spans="3:25" x14ac:dyDescent="0.3">
      <c r="C111" s="88"/>
      <c r="E111" t="s">
        <v>194</v>
      </c>
      <c r="G111" t="s">
        <v>167</v>
      </c>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row>
    <row r="112" spans="3:25" x14ac:dyDescent="0.3">
      <c r="C112" s="88"/>
      <c r="E112" t="s">
        <v>195</v>
      </c>
      <c r="G112" t="s">
        <v>167</v>
      </c>
      <c r="J112" s="25">
        <v>0</v>
      </c>
      <c r="K112" s="25">
        <v>0</v>
      </c>
      <c r="L112" s="25">
        <v>0</v>
      </c>
      <c r="M112" s="25">
        <v>0</v>
      </c>
      <c r="N112" s="25">
        <v>0</v>
      </c>
      <c r="O112" s="25">
        <v>0</v>
      </c>
      <c r="P112" s="25">
        <v>0.25764106948138837</v>
      </c>
      <c r="Q112" s="25">
        <v>0</v>
      </c>
      <c r="R112" s="25">
        <v>0</v>
      </c>
      <c r="S112" s="25">
        <v>0</v>
      </c>
      <c r="T112" s="25">
        <v>0</v>
      </c>
      <c r="U112" s="25">
        <v>0</v>
      </c>
      <c r="V112" s="25">
        <v>0</v>
      </c>
      <c r="W112" s="25">
        <v>0</v>
      </c>
      <c r="X112" s="25">
        <v>0.25764106948138837</v>
      </c>
      <c r="Y112" s="25">
        <v>0.25764106948138837</v>
      </c>
    </row>
    <row r="113" spans="3:27" x14ac:dyDescent="0.3">
      <c r="C113" s="88"/>
      <c r="E113" t="s">
        <v>196</v>
      </c>
      <c r="G113" t="s">
        <v>167</v>
      </c>
      <c r="J113" s="25">
        <v>0</v>
      </c>
      <c r="K113" s="25">
        <v>0</v>
      </c>
      <c r="L113" s="25">
        <v>0</v>
      </c>
      <c r="M113" s="25">
        <v>0</v>
      </c>
      <c r="N113" s="25">
        <v>0</v>
      </c>
      <c r="O113" s="25">
        <v>0</v>
      </c>
      <c r="P113" s="25">
        <v>0.25764106948138837</v>
      </c>
      <c r="Q113" s="25">
        <v>0</v>
      </c>
      <c r="R113" s="25">
        <v>0</v>
      </c>
      <c r="S113" s="25">
        <v>0</v>
      </c>
      <c r="T113" s="25">
        <v>0</v>
      </c>
      <c r="U113" s="25">
        <v>0</v>
      </c>
      <c r="V113" s="25">
        <v>0</v>
      </c>
      <c r="W113" s="25">
        <v>0</v>
      </c>
      <c r="X113" s="25">
        <v>0.25764106948138837</v>
      </c>
      <c r="Y113" s="25">
        <v>0.25764106948138837</v>
      </c>
    </row>
    <row r="114" spans="3:27" x14ac:dyDescent="0.3">
      <c r="C114" s="88"/>
      <c r="E114" t="s">
        <v>197</v>
      </c>
      <c r="G114" t="s">
        <v>167</v>
      </c>
      <c r="J114" s="25">
        <v>0.38684969697494365</v>
      </c>
      <c r="K114" s="25">
        <v>0.38684969697494365</v>
      </c>
      <c r="L114" s="25">
        <v>0.38684969697494365</v>
      </c>
      <c r="M114" s="25">
        <v>0.38684969697494365</v>
      </c>
      <c r="N114" s="25">
        <v>0.38684969697494365</v>
      </c>
      <c r="O114" s="25">
        <v>0.38684969697494365</v>
      </c>
      <c r="P114" s="25">
        <v>0.51528213896277675</v>
      </c>
      <c r="Q114" s="25">
        <v>0.38684969697494365</v>
      </c>
      <c r="R114" s="25">
        <v>0.38684969697494365</v>
      </c>
      <c r="S114" s="25">
        <v>0.38684969697494365</v>
      </c>
      <c r="T114" s="25">
        <v>0.38684969697494365</v>
      </c>
      <c r="U114" s="25">
        <v>0.38684969697494365</v>
      </c>
      <c r="V114" s="25">
        <v>0.38684969697494365</v>
      </c>
      <c r="W114" s="25">
        <v>0.38684969697494365</v>
      </c>
      <c r="X114" s="25">
        <v>0.51528213896277675</v>
      </c>
      <c r="Y114" s="25">
        <v>0.51528213896277675</v>
      </c>
    </row>
    <row r="115" spans="3:27" x14ac:dyDescent="0.3">
      <c r="C115" s="88"/>
      <c r="E115" t="s">
        <v>198</v>
      </c>
      <c r="G115" t="s">
        <v>167</v>
      </c>
      <c r="J115" s="25">
        <v>0.64124825573068889</v>
      </c>
      <c r="K115" s="25">
        <v>0.64124825573068889</v>
      </c>
      <c r="L115" s="25">
        <v>0.64124825573068889</v>
      </c>
      <c r="M115" s="25">
        <v>0.64124825573068889</v>
      </c>
      <c r="N115" s="25">
        <v>0.64124825573068889</v>
      </c>
      <c r="O115" s="25">
        <v>0.64124825573068889</v>
      </c>
      <c r="P115" s="25">
        <v>0</v>
      </c>
      <c r="Q115" s="25">
        <v>0.64124825573068889</v>
      </c>
      <c r="R115" s="25">
        <v>0.64124825573068889</v>
      </c>
      <c r="S115" s="25">
        <v>0.64124825573068889</v>
      </c>
      <c r="T115" s="25">
        <v>0.64124825573068889</v>
      </c>
      <c r="U115" s="25">
        <v>0.64124825573068889</v>
      </c>
      <c r="V115" s="25">
        <v>0.64124825573068889</v>
      </c>
      <c r="W115" s="25">
        <v>0.64124825573068889</v>
      </c>
      <c r="X115" s="25">
        <v>0</v>
      </c>
      <c r="Y115" s="25">
        <v>0</v>
      </c>
    </row>
    <row r="116" spans="3:27" x14ac:dyDescent="0.3">
      <c r="C116" s="88"/>
      <c r="E116" t="s">
        <v>199</v>
      </c>
      <c r="G116" t="s">
        <v>167</v>
      </c>
      <c r="J116" s="25">
        <v>0.89564681448643413</v>
      </c>
      <c r="K116" s="25">
        <v>0.89564681448643413</v>
      </c>
      <c r="L116" s="25">
        <v>0.89564681448643413</v>
      </c>
      <c r="M116" s="25">
        <v>0.89564681448643413</v>
      </c>
      <c r="N116" s="25">
        <v>0.89564681448643413</v>
      </c>
      <c r="O116" s="25">
        <v>0</v>
      </c>
      <c r="P116" s="25">
        <v>0</v>
      </c>
      <c r="Q116" s="25">
        <v>0.89564681448643413</v>
      </c>
      <c r="R116" s="25">
        <v>0.89564681448643413</v>
      </c>
      <c r="S116" s="25">
        <v>0</v>
      </c>
      <c r="T116" s="25">
        <v>0.89564681448643413</v>
      </c>
      <c r="U116" s="25">
        <v>0.89564681448643413</v>
      </c>
      <c r="V116" s="25">
        <v>0</v>
      </c>
      <c r="W116" s="25">
        <v>0</v>
      </c>
      <c r="X116" s="25">
        <v>0</v>
      </c>
      <c r="Y116" s="25">
        <v>0</v>
      </c>
    </row>
    <row r="117" spans="3:27" x14ac:dyDescent="0.3">
      <c r="C117" s="88"/>
      <c r="E117" t="s">
        <v>376</v>
      </c>
      <c r="G117" t="s">
        <v>167</v>
      </c>
      <c r="J117" s="66"/>
      <c r="K117" s="66"/>
      <c r="L117" s="66"/>
      <c r="M117" s="66"/>
      <c r="N117" s="66"/>
      <c r="O117" s="66"/>
      <c r="P117" s="66"/>
      <c r="Q117" s="66"/>
      <c r="R117" s="66"/>
      <c r="S117" s="66"/>
      <c r="T117" s="66"/>
      <c r="U117" s="66"/>
      <c r="V117" s="66"/>
      <c r="W117" s="66"/>
      <c r="X117" s="66"/>
      <c r="Y117" s="66"/>
    </row>
    <row r="118" spans="3:27" x14ac:dyDescent="0.3">
      <c r="C118" s="88"/>
      <c r="E118" s="37" t="s">
        <v>377</v>
      </c>
      <c r="F118" s="37"/>
      <c r="G118" s="37" t="s">
        <v>167</v>
      </c>
      <c r="H118" s="37"/>
      <c r="I118" s="37"/>
      <c r="J118" s="68"/>
      <c r="K118" s="68"/>
      <c r="L118" s="68"/>
      <c r="M118" s="68"/>
      <c r="N118" s="68"/>
      <c r="O118" s="68"/>
      <c r="P118" s="68"/>
      <c r="Q118" s="68"/>
      <c r="R118" s="68"/>
      <c r="S118" s="68"/>
      <c r="T118" s="68"/>
      <c r="U118" s="68"/>
      <c r="V118" s="68"/>
      <c r="W118" s="68"/>
      <c r="X118" s="68"/>
      <c r="Y118" s="68"/>
    </row>
    <row r="120" spans="3:27" x14ac:dyDescent="0.3">
      <c r="C120" s="31" t="str">
        <f ca="1">INDEX('Version control'!$H$34:$H$57,MATCH($A$1,'Version control'!$F$34:$F$57,0),1)&amp;"-B: Yardstick charge (demand)"</f>
        <v>Section 113-B: Yardstick charge (demand)</v>
      </c>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row>
    <row r="121" spans="3:27" x14ac:dyDescent="0.3">
      <c r="C121" s="32"/>
      <c r="D121"/>
      <c r="E121" s="32"/>
    </row>
    <row r="122" spans="3:27" x14ac:dyDescent="0.3">
      <c r="D122" s="32" t="s">
        <v>621</v>
      </c>
      <c r="E122"/>
    </row>
    <row r="123" spans="3:27" x14ac:dyDescent="0.3">
      <c r="E123" s="23" t="s">
        <v>189</v>
      </c>
      <c r="F123" s="23"/>
      <c r="G123" s="23" t="s">
        <v>269</v>
      </c>
      <c r="H123" s="266"/>
      <c r="I123" s="266"/>
      <c r="J123" s="280"/>
      <c r="K123" s="280"/>
      <c r="L123" s="280"/>
      <c r="M123" s="280"/>
      <c r="N123" s="280"/>
      <c r="O123" s="280"/>
      <c r="P123" s="280"/>
      <c r="Q123" s="280"/>
      <c r="R123" s="280"/>
      <c r="S123" s="280"/>
      <c r="T123" s="280"/>
      <c r="U123" s="280"/>
      <c r="V123" s="280"/>
      <c r="W123" s="280"/>
      <c r="X123" s="280"/>
      <c r="Y123" s="280"/>
      <c r="Z123" s="267"/>
      <c r="AA123" s="267"/>
    </row>
    <row r="124" spans="3:27" x14ac:dyDescent="0.3">
      <c r="E124" t="s">
        <v>191</v>
      </c>
      <c r="G124" t="s">
        <v>269</v>
      </c>
      <c r="H124" s="267"/>
      <c r="I124" s="267"/>
      <c r="J124" s="268"/>
      <c r="K124" s="268"/>
      <c r="L124" s="268"/>
      <c r="M124" s="268"/>
      <c r="N124" s="268"/>
      <c r="O124" s="268"/>
      <c r="P124" s="268"/>
      <c r="Q124" s="268"/>
      <c r="R124" s="268"/>
      <c r="S124" s="268"/>
      <c r="T124" s="268"/>
      <c r="U124" s="268"/>
      <c r="V124" s="268"/>
      <c r="W124" s="268"/>
      <c r="X124" s="268"/>
      <c r="Y124" s="268"/>
      <c r="Z124" s="267"/>
      <c r="AA124" s="267"/>
    </row>
    <row r="125" spans="3:27" x14ac:dyDescent="0.3">
      <c r="E125" t="s">
        <v>192</v>
      </c>
      <c r="G125" t="s">
        <v>269</v>
      </c>
      <c r="H125" s="267"/>
      <c r="I125" s="267"/>
      <c r="J125" s="279">
        <f>'Initial unit rates'!J125</f>
        <v>0.10860461500815134</v>
      </c>
      <c r="K125" s="279">
        <f>'Initial unit rates'!K125</f>
        <v>0.10860461500815134</v>
      </c>
      <c r="L125" s="279">
        <f>'Initial unit rates'!L125</f>
        <v>0.1180960596334041</v>
      </c>
      <c r="M125" s="279">
        <f>'Initial unit rates'!M125</f>
        <v>0.1180960596334041</v>
      </c>
      <c r="N125" s="279">
        <f>'Initial unit rates'!N125</f>
        <v>9.9129493534051233E-2</v>
      </c>
      <c r="O125" s="279">
        <f>'Initial unit rates'!O125</f>
        <v>9.8888111310327459E-2</v>
      </c>
      <c r="P125" s="279">
        <f>'Initial unit rates'!P125</f>
        <v>7.2963718763413635E-2</v>
      </c>
      <c r="Q125" s="279">
        <f>'Initial unit rates'!Q125</f>
        <v>7.8461706273961596E-2</v>
      </c>
      <c r="R125" s="268"/>
      <c r="S125" s="268"/>
      <c r="T125" s="268"/>
      <c r="U125" s="268"/>
      <c r="V125" s="268"/>
      <c r="W125" s="268"/>
      <c r="X125" s="268"/>
      <c r="Y125" s="268"/>
      <c r="Z125" s="267"/>
      <c r="AA125" s="267"/>
    </row>
    <row r="126" spans="3:27" x14ac:dyDescent="0.3">
      <c r="E126" t="s">
        <v>193</v>
      </c>
      <c r="G126" t="s">
        <v>269</v>
      </c>
      <c r="H126" s="267"/>
      <c r="I126" s="267"/>
      <c r="J126" s="279">
        <f>'Initial unit rates'!J126</f>
        <v>2.5711839084417525E-2</v>
      </c>
      <c r="K126" s="279">
        <f>'Initial unit rates'!K126</f>
        <v>2.5711839084417525E-2</v>
      </c>
      <c r="L126" s="279">
        <f>'Initial unit rates'!L126</f>
        <v>2.7958912073579562E-2</v>
      </c>
      <c r="M126" s="279">
        <f>'Initial unit rates'!M126</f>
        <v>2.7958912073579562E-2</v>
      </c>
      <c r="N126" s="279">
        <f>'Initial unit rates'!N126</f>
        <v>2.3468630555672353E-2</v>
      </c>
      <c r="O126" s="279">
        <f>'Initial unit rates'!O126</f>
        <v>2.3411483988799862E-2</v>
      </c>
      <c r="P126" s="279">
        <f>'Initial unit rates'!P126</f>
        <v>1.7273956504562728E-2</v>
      </c>
      <c r="Q126" s="279">
        <f>'Initial unit rates'!Q126</f>
        <v>1.857558968238613E-2</v>
      </c>
      <c r="R126" s="268"/>
      <c r="S126" s="268"/>
      <c r="T126" s="268"/>
      <c r="U126" s="268"/>
      <c r="V126" s="268"/>
      <c r="W126" s="268"/>
      <c r="X126" s="268"/>
      <c r="Y126" s="268"/>
      <c r="Z126" s="267"/>
      <c r="AA126" s="267"/>
    </row>
    <row r="127" spans="3:27" x14ac:dyDescent="0.3">
      <c r="E127" t="s">
        <v>194</v>
      </c>
      <c r="G127" t="s">
        <v>269</v>
      </c>
      <c r="H127" s="267"/>
      <c r="I127" s="267"/>
      <c r="J127" s="279">
        <f>'Initial unit rates'!J127</f>
        <v>2.6134375651569178E-2</v>
      </c>
      <c r="K127" s="279">
        <f>'Initial unit rates'!K127</f>
        <v>2.6134375651569178E-2</v>
      </c>
      <c r="L127" s="279">
        <f>'Initial unit rates'!L127</f>
        <v>2.8418376007298126E-2</v>
      </c>
      <c r="M127" s="279">
        <f>'Initial unit rates'!M127</f>
        <v>2.8418376007298126E-2</v>
      </c>
      <c r="N127" s="279">
        <f>'Initial unit rates'!N127</f>
        <v>2.3854303263026604E-2</v>
      </c>
      <c r="O127" s="279">
        <f>'Initial unit rates'!O127</f>
        <v>2.379621757569246E-2</v>
      </c>
      <c r="P127" s="279">
        <f>'Initial unit rates'!P127</f>
        <v>1.7557828780622061E-2</v>
      </c>
      <c r="Q127" s="279">
        <f>'Initial unit rates'!Q127</f>
        <v>1.8880852400912158E-2</v>
      </c>
      <c r="R127" s="268"/>
      <c r="S127" s="268"/>
      <c r="T127" s="268"/>
      <c r="U127" s="268"/>
      <c r="V127" s="268"/>
      <c r="W127" s="268"/>
      <c r="X127" s="268"/>
      <c r="Y127" s="268"/>
      <c r="Z127" s="267"/>
      <c r="AA127" s="267"/>
    </row>
    <row r="128" spans="3:27" x14ac:dyDescent="0.3">
      <c r="E128" t="s">
        <v>195</v>
      </c>
      <c r="G128" t="s">
        <v>269</v>
      </c>
      <c r="H128" s="267"/>
      <c r="I128" s="267"/>
      <c r="J128" s="279">
        <f>'Initial unit rates'!J128</f>
        <v>5.0378926023429312E-2</v>
      </c>
      <c r="K128" s="279">
        <f>'Initial unit rates'!K128</f>
        <v>5.0378926023429312E-2</v>
      </c>
      <c r="L128" s="279">
        <f>'Initial unit rates'!L128</f>
        <v>5.4781766423859762E-2</v>
      </c>
      <c r="M128" s="279">
        <f>'Initial unit rates'!M128</f>
        <v>5.4781766423859762E-2</v>
      </c>
      <c r="N128" s="279">
        <f>'Initial unit rates'!N128</f>
        <v>4.5983657518763377E-2</v>
      </c>
      <c r="O128" s="279">
        <f>'Initial unit rates'!O128</f>
        <v>4.5871686428110937E-2</v>
      </c>
      <c r="P128" s="279">
        <f>'Initial unit rates'!P128</f>
        <v>2.5125893967638323E-2</v>
      </c>
      <c r="Q128" s="279">
        <f>'Initial unit rates'!Q128</f>
        <v>3.6396395270599423E-2</v>
      </c>
      <c r="R128" s="268"/>
      <c r="S128" s="268"/>
      <c r="T128" s="268"/>
      <c r="U128" s="268"/>
      <c r="V128" s="268"/>
      <c r="W128" s="268"/>
      <c r="X128" s="268"/>
      <c r="Y128" s="268"/>
      <c r="Z128" s="267"/>
      <c r="AA128" s="267"/>
    </row>
    <row r="129" spans="4:27" x14ac:dyDescent="0.3">
      <c r="E129" t="s">
        <v>196</v>
      </c>
      <c r="G129" t="s">
        <v>269</v>
      </c>
      <c r="H129" s="267"/>
      <c r="I129" s="267"/>
      <c r="J129" s="279">
        <f>'Initial unit rates'!J129</f>
        <v>5.3785535185303865E-2</v>
      </c>
      <c r="K129" s="279">
        <f>'Initial unit rates'!K129</f>
        <v>5.3785535185303865E-2</v>
      </c>
      <c r="L129" s="279">
        <f>'Initial unit rates'!L129</f>
        <v>5.8486094446184078E-2</v>
      </c>
      <c r="M129" s="279">
        <f>'Initial unit rates'!M129</f>
        <v>5.8486094446184078E-2</v>
      </c>
      <c r="N129" s="279">
        <f>'Initial unit rates'!N129</f>
        <v>4.909305982970328E-2</v>
      </c>
      <c r="O129" s="279">
        <f>'Initial unit rates'!O129</f>
        <v>4.8973517284607679E-2</v>
      </c>
      <c r="P129" s="279">
        <f>'Initial unit rates'!P129</f>
        <v>2.6824900027248227E-2</v>
      </c>
      <c r="Q129" s="279">
        <f>'Initial unit rates'!Q129</f>
        <v>3.8857509537512727E-2</v>
      </c>
      <c r="R129" s="268"/>
      <c r="S129" s="268"/>
      <c r="T129" s="268"/>
      <c r="U129" s="268"/>
      <c r="V129" s="268"/>
      <c r="W129" s="268"/>
      <c r="X129" s="268"/>
      <c r="Y129" s="268"/>
      <c r="Z129" s="267"/>
      <c r="AA129" s="267"/>
    </row>
    <row r="130" spans="4:27" x14ac:dyDescent="0.3">
      <c r="E130" t="s">
        <v>197</v>
      </c>
      <c r="G130" t="s">
        <v>269</v>
      </c>
      <c r="H130" s="267"/>
      <c r="I130" s="267"/>
      <c r="J130" s="279">
        <f>'Initial unit rates'!J130</f>
        <v>0.19711622085504762</v>
      </c>
      <c r="K130" s="279">
        <f>'Initial unit rates'!K130</f>
        <v>0.19711622085504762</v>
      </c>
      <c r="L130" s="279">
        <f>'Initial unit rates'!L130</f>
        <v>0.214343091875624</v>
      </c>
      <c r="M130" s="279">
        <f>'Initial unit rates'!M130</f>
        <v>0.214343091875624</v>
      </c>
      <c r="N130" s="279">
        <f>'Initial unit rates'!N130</f>
        <v>0.17991897618016026</v>
      </c>
      <c r="O130" s="279">
        <f>'Initial unit rates'!O130</f>
        <v>0.17948087001203425</v>
      </c>
      <c r="P130" s="279">
        <f>'Initial unit rates'!P130</f>
        <v>0.10468949871957975</v>
      </c>
      <c r="Q130" s="279">
        <f>'Initial unit rates'!Q130</f>
        <v>0.14240716217631527</v>
      </c>
      <c r="R130" s="268"/>
      <c r="S130" s="268"/>
      <c r="T130" s="268"/>
      <c r="U130" s="268"/>
      <c r="V130" s="268"/>
      <c r="W130" s="268"/>
      <c r="X130" s="268"/>
      <c r="Y130" s="268"/>
      <c r="Z130" s="267"/>
      <c r="AA130" s="267"/>
    </row>
    <row r="131" spans="4:27" x14ac:dyDescent="0.3">
      <c r="E131" t="s">
        <v>198</v>
      </c>
      <c r="G131" t="s">
        <v>269</v>
      </c>
      <c r="H131" s="267"/>
      <c r="I131" s="267"/>
      <c r="J131" s="279">
        <f>'Initial unit rates'!J131</f>
        <v>5.6190591412528502E-2</v>
      </c>
      <c r="K131" s="279">
        <f>'Initial unit rates'!K131</f>
        <v>5.6190591412528502E-2</v>
      </c>
      <c r="L131" s="279">
        <f>'Initial unit rates'!L131</f>
        <v>6.1101339328831959E-2</v>
      </c>
      <c r="M131" s="279">
        <f>'Initial unit rates'!M131</f>
        <v>6.1101339328831959E-2</v>
      </c>
      <c r="N131" s="279">
        <f>'Initial unit rates'!N131</f>
        <v>5.1288288878743232E-2</v>
      </c>
      <c r="O131" s="279">
        <f>'Initial unit rates'!O131</f>
        <v>5.1163400908683286E-2</v>
      </c>
      <c r="P131" s="279">
        <f>'Initial unit rates'!P131</f>
        <v>0</v>
      </c>
      <c r="Q131" s="279">
        <f>'Initial unit rates'!Q131</f>
        <v>4.059504910025321E-2</v>
      </c>
      <c r="R131" s="268"/>
      <c r="S131" s="268"/>
      <c r="T131" s="268"/>
      <c r="U131" s="268"/>
      <c r="V131" s="268"/>
      <c r="W131" s="268"/>
      <c r="X131" s="268"/>
      <c r="Y131" s="268"/>
      <c r="Z131" s="267"/>
      <c r="AA131" s="267"/>
    </row>
    <row r="132" spans="4:27" x14ac:dyDescent="0.3">
      <c r="E132" t="s">
        <v>199</v>
      </c>
      <c r="G132" t="s">
        <v>269</v>
      </c>
      <c r="H132" s="267"/>
      <c r="I132" s="267"/>
      <c r="J132" s="279">
        <f>'Initial unit rates'!J132</f>
        <v>3.7518644372927366E-2</v>
      </c>
      <c r="K132" s="279">
        <f>'Initial unit rates'!K132</f>
        <v>3.7518644372927366E-2</v>
      </c>
      <c r="L132" s="279">
        <f>'Initial unit rates'!L132</f>
        <v>4.0797567054559856E-2</v>
      </c>
      <c r="M132" s="279">
        <f>'Initial unit rates'!M132</f>
        <v>4.0797567054559856E-2</v>
      </c>
      <c r="N132" s="279">
        <f>'Initial unit rates'!N132</f>
        <v>3.4245360701231027E-2</v>
      </c>
      <c r="O132" s="279">
        <f>'Initial unit rates'!O132</f>
        <v>0</v>
      </c>
      <c r="P132" s="279">
        <f>'Initial unit rates'!P132</f>
        <v>0</v>
      </c>
      <c r="Q132" s="279">
        <f>'Initial unit rates'!Q132</f>
        <v>2.7105449012133638E-2</v>
      </c>
      <c r="R132" s="268"/>
      <c r="S132" s="268"/>
      <c r="T132" s="268"/>
      <c r="U132" s="268"/>
      <c r="V132" s="268"/>
      <c r="W132" s="268"/>
      <c r="X132" s="268"/>
      <c r="Y132" s="268"/>
      <c r="Z132" s="267"/>
      <c r="AA132" s="267"/>
    </row>
    <row r="133" spans="4:27" x14ac:dyDescent="0.3">
      <c r="E133" t="s">
        <v>376</v>
      </c>
      <c r="G133" t="s">
        <v>269</v>
      </c>
      <c r="H133" s="267"/>
      <c r="I133" s="267"/>
      <c r="J133" s="268"/>
      <c r="K133" s="268"/>
      <c r="L133" s="268"/>
      <c r="M133" s="268"/>
      <c r="N133" s="268"/>
      <c r="O133" s="268"/>
      <c r="P133" s="268"/>
      <c r="Q133" s="268"/>
      <c r="R133" s="268"/>
      <c r="S133" s="268"/>
      <c r="T133" s="268"/>
      <c r="U133" s="268"/>
      <c r="V133" s="268"/>
      <c r="W133" s="268"/>
      <c r="X133" s="268"/>
      <c r="Y133" s="268"/>
      <c r="Z133" s="267"/>
      <c r="AA133" s="267"/>
    </row>
    <row r="134" spans="4:27" x14ac:dyDescent="0.3">
      <c r="E134" s="37" t="s">
        <v>377</v>
      </c>
      <c r="F134" s="37"/>
      <c r="G134" s="37" t="s">
        <v>269</v>
      </c>
      <c r="H134" s="269"/>
      <c r="I134" s="269"/>
      <c r="J134" s="270"/>
      <c r="K134" s="270"/>
      <c r="L134" s="270"/>
      <c r="M134" s="270"/>
      <c r="N134" s="270"/>
      <c r="O134" s="270"/>
      <c r="P134" s="270"/>
      <c r="Q134" s="270"/>
      <c r="R134" s="270"/>
      <c r="S134" s="270"/>
      <c r="T134" s="270"/>
      <c r="U134" s="270"/>
      <c r="V134" s="270"/>
      <c r="W134" s="270"/>
      <c r="X134" s="270"/>
      <c r="Y134" s="270"/>
      <c r="Z134" s="267"/>
      <c r="AA134" s="267"/>
    </row>
    <row r="135" spans="4:27" x14ac:dyDescent="0.3">
      <c r="E135"/>
      <c r="J135" s="89"/>
      <c r="K135" s="89"/>
      <c r="L135" s="89"/>
      <c r="M135" s="89"/>
      <c r="N135" s="89"/>
      <c r="O135" s="89"/>
      <c r="P135" s="89"/>
      <c r="Q135" s="89"/>
      <c r="R135" s="89"/>
      <c r="S135" s="89"/>
      <c r="T135" s="89"/>
      <c r="U135" s="89"/>
      <c r="V135" s="89"/>
      <c r="W135" s="89"/>
      <c r="X135" s="89"/>
      <c r="Y135" s="89"/>
    </row>
    <row r="136" spans="4:27" x14ac:dyDescent="0.3">
      <c r="D136" s="32" t="s">
        <v>622</v>
      </c>
      <c r="E136"/>
      <c r="J136" s="89"/>
      <c r="K136" s="89"/>
      <c r="L136" s="89"/>
      <c r="M136" s="89"/>
      <c r="N136" s="89"/>
      <c r="O136" s="89"/>
      <c r="P136" s="89"/>
      <c r="Q136" s="89"/>
      <c r="R136" s="89"/>
      <c r="S136" s="89"/>
      <c r="T136" s="89"/>
      <c r="U136" s="89"/>
      <c r="V136" s="89"/>
      <c r="W136" s="89"/>
      <c r="X136" s="89"/>
      <c r="Y136" s="89"/>
    </row>
    <row r="137" spans="4:27" x14ac:dyDescent="0.3">
      <c r="E137" s="23" t="s">
        <v>189</v>
      </c>
      <c r="F137" s="23"/>
      <c r="G137" s="23" t="s">
        <v>269</v>
      </c>
      <c r="H137" s="266"/>
      <c r="I137" s="266"/>
      <c r="J137" s="278">
        <f>'Initial unit rates'!J135</f>
        <v>7.8536851193323293E-2</v>
      </c>
      <c r="K137" s="278">
        <f>'Initial unit rates'!K135</f>
        <v>7.8536851193323293E-2</v>
      </c>
      <c r="L137" s="278">
        <f>'Initial unit rates'!L135</f>
        <v>8.5400539021756719E-2</v>
      </c>
      <c r="M137" s="278">
        <f>'Initial unit rates'!M135</f>
        <v>8.5400539021756719E-2</v>
      </c>
      <c r="N137" s="278">
        <f>'Initial unit rates'!N135</f>
        <v>7.1684967365051269E-2</v>
      </c>
      <c r="O137" s="278">
        <f>'Initial unit rates'!O135</f>
        <v>7.1510413090503308E-2</v>
      </c>
      <c r="P137" s="278">
        <f>'Initial unit rates'!P135</f>
        <v>5.2763326149663302E-2</v>
      </c>
      <c r="Q137" s="278">
        <f>'Initial unit rates'!Q135</f>
        <v>5.6739166650973935E-2</v>
      </c>
      <c r="R137" s="280"/>
      <c r="S137" s="280"/>
      <c r="T137" s="280"/>
      <c r="U137" s="280"/>
      <c r="V137" s="280"/>
      <c r="W137" s="280"/>
      <c r="X137" s="280"/>
      <c r="Y137" s="280"/>
      <c r="Z137" s="267"/>
      <c r="AA137" s="267"/>
    </row>
    <row r="138" spans="4:27" x14ac:dyDescent="0.3">
      <c r="E138" t="s">
        <v>191</v>
      </c>
      <c r="G138" t="s">
        <v>269</v>
      </c>
      <c r="H138" s="267"/>
      <c r="I138" s="267"/>
      <c r="J138" s="279">
        <f>'Initial unit rates'!J136</f>
        <v>0</v>
      </c>
      <c r="K138" s="279">
        <f>'Initial unit rates'!K136</f>
        <v>0</v>
      </c>
      <c r="L138" s="279">
        <f>'Initial unit rates'!L136</f>
        <v>0</v>
      </c>
      <c r="M138" s="279">
        <f>'Initial unit rates'!M136</f>
        <v>0</v>
      </c>
      <c r="N138" s="279">
        <f>'Initial unit rates'!N136</f>
        <v>0</v>
      </c>
      <c r="O138" s="279">
        <f>'Initial unit rates'!O136</f>
        <v>0</v>
      </c>
      <c r="P138" s="279">
        <f>'Initial unit rates'!P136</f>
        <v>0</v>
      </c>
      <c r="Q138" s="279">
        <f>'Initial unit rates'!Q136</f>
        <v>0</v>
      </c>
      <c r="R138" s="268"/>
      <c r="S138" s="268"/>
      <c r="T138" s="268"/>
      <c r="U138" s="268"/>
      <c r="V138" s="268"/>
      <c r="W138" s="268"/>
      <c r="X138" s="268"/>
      <c r="Y138" s="268"/>
      <c r="Z138" s="267"/>
      <c r="AA138" s="267"/>
    </row>
    <row r="139" spans="4:27" x14ac:dyDescent="0.3">
      <c r="E139" t="s">
        <v>192</v>
      </c>
      <c r="G139" t="s">
        <v>269</v>
      </c>
      <c r="H139" s="267"/>
      <c r="I139" s="267"/>
      <c r="J139" s="279">
        <f>'Initial unit rates'!J137</f>
        <v>7.6252611593238012E-2</v>
      </c>
      <c r="K139" s="279">
        <f>'Initial unit rates'!K137</f>
        <v>7.6252611593238012E-2</v>
      </c>
      <c r="L139" s="279">
        <f>'Initial unit rates'!L137</f>
        <v>8.2916669473410101E-2</v>
      </c>
      <c r="M139" s="279">
        <f>'Initial unit rates'!M137</f>
        <v>8.2916669473410101E-2</v>
      </c>
      <c r="N139" s="279">
        <f>'Initial unit rates'!N137</f>
        <v>6.9600014394591556E-2</v>
      </c>
      <c r="O139" s="279">
        <f>'Initial unit rates'!O137</f>
        <v>6.9430537020635202E-2</v>
      </c>
      <c r="P139" s="279">
        <f>'Initial unit rates'!P137</f>
        <v>5.1228707977531603E-2</v>
      </c>
      <c r="Q139" s="279">
        <f>'Initial unit rates'!Q137</f>
        <v>5.5088911396648031E-2</v>
      </c>
      <c r="R139" s="268"/>
      <c r="S139" s="268"/>
      <c r="T139" s="268"/>
      <c r="U139" s="268"/>
      <c r="V139" s="268"/>
      <c r="W139" s="268"/>
      <c r="X139" s="268"/>
      <c r="Y139" s="268"/>
      <c r="Z139" s="267"/>
      <c r="AA139" s="267"/>
    </row>
    <row r="140" spans="4:27" x14ac:dyDescent="0.3">
      <c r="E140" t="s">
        <v>193</v>
      </c>
      <c r="G140" t="s">
        <v>269</v>
      </c>
      <c r="H140" s="267"/>
      <c r="I140" s="267"/>
      <c r="J140" s="279">
        <f>'Initial unit rates'!J138</f>
        <v>1.8052592690511113E-2</v>
      </c>
      <c r="K140" s="279">
        <f>'Initial unit rates'!K138</f>
        <v>1.8052592690511113E-2</v>
      </c>
      <c r="L140" s="279">
        <f>'Initial unit rates'!L138</f>
        <v>1.9630289769510645E-2</v>
      </c>
      <c r="M140" s="279">
        <f>'Initial unit rates'!M138</f>
        <v>1.9630289769510645E-2</v>
      </c>
      <c r="N140" s="279">
        <f>'Initial unit rates'!N138</f>
        <v>1.6477608895833454E-2</v>
      </c>
      <c r="O140" s="279">
        <f>'Initial unit rates'!O138</f>
        <v>1.6437485601189954E-2</v>
      </c>
      <c r="P140" s="279">
        <f>'Initial unit rates'!P138</f>
        <v>1.2128253444128941E-2</v>
      </c>
      <c r="Q140" s="279">
        <f>'Initial unit rates'!Q138</f>
        <v>1.3042145815442909E-2</v>
      </c>
      <c r="R140" s="268"/>
      <c r="S140" s="268"/>
      <c r="T140" s="268"/>
      <c r="U140" s="268"/>
      <c r="V140" s="268"/>
      <c r="W140" s="268"/>
      <c r="X140" s="268"/>
      <c r="Y140" s="268"/>
      <c r="Z140" s="267"/>
      <c r="AA140" s="267"/>
    </row>
    <row r="141" spans="4:27" x14ac:dyDescent="0.3">
      <c r="E141" t="s">
        <v>194</v>
      </c>
      <c r="G141" t="s">
        <v>269</v>
      </c>
      <c r="H141" s="267"/>
      <c r="I141" s="267"/>
      <c r="J141" s="279">
        <f>'Initial unit rates'!J139</f>
        <v>1.8349260716419007E-2</v>
      </c>
      <c r="K141" s="279">
        <f>'Initial unit rates'!K139</f>
        <v>1.8349260716419007E-2</v>
      </c>
      <c r="L141" s="279">
        <f>'Initial unit rates'!L139</f>
        <v>1.9952884945381513E-2</v>
      </c>
      <c r="M141" s="279">
        <f>'Initial unit rates'!M139</f>
        <v>1.9952884945381513E-2</v>
      </c>
      <c r="N141" s="279">
        <f>'Initial unit rates'!N139</f>
        <v>1.6748394360648081E-2</v>
      </c>
      <c r="O141" s="279">
        <f>'Initial unit rates'!O139</f>
        <v>1.6707611698188626E-2</v>
      </c>
      <c r="P141" s="279">
        <f>'Initial unit rates'!P139</f>
        <v>1.2327563596895616E-2</v>
      </c>
      <c r="Q141" s="279">
        <f>'Initial unit rates'!Q139</f>
        <v>1.3256474456154115E-2</v>
      </c>
      <c r="R141" s="268"/>
      <c r="S141" s="268"/>
      <c r="T141" s="268"/>
      <c r="U141" s="268"/>
      <c r="V141" s="268"/>
      <c r="W141" s="268"/>
      <c r="X141" s="268"/>
      <c r="Y141" s="268"/>
      <c r="Z141" s="267"/>
      <c r="AA141" s="267"/>
    </row>
    <row r="142" spans="4:27" x14ac:dyDescent="0.3">
      <c r="E142" t="s">
        <v>195</v>
      </c>
      <c r="G142" t="s">
        <v>269</v>
      </c>
      <c r="H142" s="267"/>
      <c r="I142" s="267"/>
      <c r="J142" s="279">
        <f>'Initial unit rates'!J140</f>
        <v>3.537165228439601E-2</v>
      </c>
      <c r="K142" s="279">
        <f>'Initial unit rates'!K140</f>
        <v>3.537165228439601E-2</v>
      </c>
      <c r="L142" s="279">
        <f>'Initial unit rates'!L140</f>
        <v>3.8462939693645073E-2</v>
      </c>
      <c r="M142" s="279">
        <f>'Initial unit rates'!M140</f>
        <v>3.8462939693645073E-2</v>
      </c>
      <c r="N142" s="279">
        <f>'Initial unit rates'!N140</f>
        <v>3.2285681194593532E-2</v>
      </c>
      <c r="O142" s="279">
        <f>'Initial unit rates'!O140</f>
        <v>3.2207064939800391E-2</v>
      </c>
      <c r="P142" s="279">
        <f>'Initial unit rates'!P140</f>
        <v>2.3763698156677979E-2</v>
      </c>
      <c r="Q142" s="279">
        <f>'Initial unit rates'!Q140</f>
        <v>2.5554348604381872E-2</v>
      </c>
      <c r="R142" s="268"/>
      <c r="S142" s="268"/>
      <c r="T142" s="268"/>
      <c r="U142" s="268"/>
      <c r="V142" s="268"/>
      <c r="W142" s="268"/>
      <c r="X142" s="268"/>
      <c r="Y142" s="268"/>
      <c r="Z142" s="267"/>
      <c r="AA142" s="267"/>
    </row>
    <row r="143" spans="4:27" x14ac:dyDescent="0.3">
      <c r="E143" t="s">
        <v>196</v>
      </c>
      <c r="G143" t="s">
        <v>269</v>
      </c>
      <c r="H143" s="267"/>
      <c r="I143" s="267"/>
      <c r="J143" s="279">
        <f>'Initial unit rates'!J141</f>
        <v>3.7763473711605988E-2</v>
      </c>
      <c r="K143" s="279">
        <f>'Initial unit rates'!K141</f>
        <v>3.7763473711605988E-2</v>
      </c>
      <c r="L143" s="279">
        <f>'Initial unit rates'!L141</f>
        <v>4.1063793127719149E-2</v>
      </c>
      <c r="M143" s="279">
        <f>'Initial unit rates'!M141</f>
        <v>4.1063793127719149E-2</v>
      </c>
      <c r="N143" s="279">
        <f>'Initial unit rates'!N141</f>
        <v>3.4468830103002453E-2</v>
      </c>
      <c r="O143" s="279">
        <f>'Initial unit rates'!O141</f>
        <v>3.4384897838619796E-2</v>
      </c>
      <c r="P143" s="279">
        <f>'Initial unit rates'!P141</f>
        <v>2.537059290911697E-2</v>
      </c>
      <c r="Q143" s="279">
        <f>'Initial unit rates'!Q141</f>
        <v>2.7282326649029711E-2</v>
      </c>
      <c r="R143" s="268"/>
      <c r="S143" s="268"/>
      <c r="T143" s="268"/>
      <c r="U143" s="268"/>
      <c r="V143" s="268"/>
      <c r="W143" s="268"/>
      <c r="X143" s="268"/>
      <c r="Y143" s="268"/>
      <c r="Z143" s="267"/>
      <c r="AA143" s="267"/>
    </row>
    <row r="144" spans="4:27" x14ac:dyDescent="0.3">
      <c r="E144" t="s">
        <v>197</v>
      </c>
      <c r="G144" t="s">
        <v>269</v>
      </c>
      <c r="H144" s="267"/>
      <c r="I144" s="267"/>
      <c r="J144" s="279">
        <f>'Initial unit rates'!J142</f>
        <v>0.22571574726350457</v>
      </c>
      <c r="K144" s="279">
        <f>'Initial unit rates'!K142</f>
        <v>0.22571574726350457</v>
      </c>
      <c r="L144" s="279">
        <f>'Initial unit rates'!L142</f>
        <v>0.24544205922583051</v>
      </c>
      <c r="M144" s="279">
        <f>'Initial unit rates'!M142</f>
        <v>0.24544205922583051</v>
      </c>
      <c r="N144" s="279">
        <f>'Initial unit rates'!N142</f>
        <v>0.20602336012343259</v>
      </c>
      <c r="O144" s="279">
        <f>'Initial unit rates'!O142</f>
        <v>0.20552168927823095</v>
      </c>
      <c r="P144" s="279">
        <f>'Initial unit rates'!P142</f>
        <v>0.15164236163050721</v>
      </c>
      <c r="Q144" s="279">
        <f>'Initial unit rates'!Q142</f>
        <v>0.16306896960011888</v>
      </c>
      <c r="R144" s="268"/>
      <c r="S144" s="268"/>
      <c r="T144" s="268"/>
      <c r="U144" s="268"/>
      <c r="V144" s="268"/>
      <c r="W144" s="268"/>
      <c r="X144" s="268"/>
      <c r="Y144" s="268"/>
      <c r="Z144" s="267"/>
      <c r="AA144" s="267"/>
    </row>
    <row r="145" spans="2:27" x14ac:dyDescent="0.3">
      <c r="E145" t="s">
        <v>198</v>
      </c>
      <c r="G145" t="s">
        <v>269</v>
      </c>
      <c r="H145" s="267"/>
      <c r="I145" s="267"/>
      <c r="J145" s="279">
        <f>'Initial unit rates'!J143</f>
        <v>0.10997045550271603</v>
      </c>
      <c r="K145" s="279">
        <f>'Initial unit rates'!K143</f>
        <v>0.10997045550271603</v>
      </c>
      <c r="L145" s="279">
        <f>'Initial unit rates'!L143</f>
        <v>0.11958126705745072</v>
      </c>
      <c r="M145" s="279">
        <f>'Initial unit rates'!M143</f>
        <v>0.11958126705745072</v>
      </c>
      <c r="N145" s="279">
        <f>'Initial unit rates'!N143</f>
        <v>0.10037617238341993</v>
      </c>
      <c r="O145" s="279">
        <f>'Initial unit rates'!O143</f>
        <v>0.10013175447271541</v>
      </c>
      <c r="P145" s="279">
        <f>'Initial unit rates'!P143</f>
        <v>0</v>
      </c>
      <c r="Q145" s="279">
        <f>'Initial unit rates'!Q143</f>
        <v>7.9448461539320933E-2</v>
      </c>
      <c r="R145" s="268"/>
      <c r="S145" s="268"/>
      <c r="T145" s="268"/>
      <c r="U145" s="268"/>
      <c r="V145" s="268"/>
      <c r="W145" s="268"/>
      <c r="X145" s="268"/>
      <c r="Y145" s="268"/>
      <c r="Z145" s="267"/>
      <c r="AA145" s="267"/>
    </row>
    <row r="146" spans="2:27" x14ac:dyDescent="0.3">
      <c r="E146" t="s">
        <v>199</v>
      </c>
      <c r="G146" t="s">
        <v>269</v>
      </c>
      <c r="H146" s="267"/>
      <c r="I146" s="267"/>
      <c r="J146" s="279">
        <f>'Initial unit rates'!J144</f>
        <v>0.25243401167481427</v>
      </c>
      <c r="K146" s="279">
        <f>'Initial unit rates'!K144</f>
        <v>0.25243401167481427</v>
      </c>
      <c r="L146" s="279">
        <f>'Initial unit rates'!L144</f>
        <v>0.27449535265154973</v>
      </c>
      <c r="M146" s="279">
        <f>'Initial unit rates'!M144</f>
        <v>0.27449535265154973</v>
      </c>
      <c r="N146" s="279">
        <f>'Initial unit rates'!N144</f>
        <v>0.23041061124534123</v>
      </c>
      <c r="O146" s="279">
        <f>'Initial unit rates'!O144</f>
        <v>0</v>
      </c>
      <c r="P146" s="279">
        <f>'Initial unit rates'!P144</f>
        <v>0</v>
      </c>
      <c r="Q146" s="279">
        <f>'Initial unit rates'!Q144</f>
        <v>0.18237165406000932</v>
      </c>
      <c r="R146" s="268"/>
      <c r="S146" s="268"/>
      <c r="T146" s="268"/>
      <c r="U146" s="268"/>
      <c r="V146" s="268"/>
      <c r="W146" s="268"/>
      <c r="X146" s="268"/>
      <c r="Y146" s="268"/>
      <c r="Z146" s="267"/>
      <c r="AA146" s="267"/>
    </row>
    <row r="147" spans="2:27" x14ac:dyDescent="0.3">
      <c r="E147" t="s">
        <v>376</v>
      </c>
      <c r="G147" t="s">
        <v>269</v>
      </c>
      <c r="H147" s="267"/>
      <c r="I147" s="267"/>
      <c r="J147" s="268"/>
      <c r="K147" s="268"/>
      <c r="L147" s="268"/>
      <c r="M147" s="268"/>
      <c r="N147" s="268"/>
      <c r="O147" s="268"/>
      <c r="P147" s="268"/>
      <c r="Q147" s="268"/>
      <c r="R147" s="268"/>
      <c r="S147" s="268"/>
      <c r="T147" s="268"/>
      <c r="U147" s="268"/>
      <c r="V147" s="268"/>
      <c r="W147" s="268"/>
      <c r="X147" s="268"/>
      <c r="Y147" s="268"/>
      <c r="Z147" s="267"/>
      <c r="AA147" s="267"/>
    </row>
    <row r="148" spans="2:27" x14ac:dyDescent="0.3">
      <c r="E148" s="37" t="s">
        <v>377</v>
      </c>
      <c r="F148" s="37"/>
      <c r="G148" s="37" t="s">
        <v>269</v>
      </c>
      <c r="H148" s="269"/>
      <c r="I148" s="269"/>
      <c r="J148" s="270"/>
      <c r="K148" s="270"/>
      <c r="L148" s="270"/>
      <c r="M148" s="270"/>
      <c r="N148" s="270"/>
      <c r="O148" s="270"/>
      <c r="P148" s="270"/>
      <c r="Q148" s="270"/>
      <c r="R148" s="270"/>
      <c r="S148" s="270"/>
      <c r="T148" s="270"/>
      <c r="U148" s="270"/>
      <c r="V148" s="270"/>
      <c r="W148" s="270"/>
      <c r="X148" s="270"/>
      <c r="Y148" s="270"/>
      <c r="Z148" s="267"/>
      <c r="AA148" s="267"/>
    </row>
    <row r="149" spans="2:27" x14ac:dyDescent="0.3">
      <c r="D149"/>
      <c r="E149"/>
      <c r="J149" s="89"/>
      <c r="K149" s="89"/>
      <c r="L149" s="89"/>
      <c r="M149" s="89"/>
      <c r="N149" s="89"/>
      <c r="O149" s="89"/>
      <c r="P149" s="89"/>
      <c r="Q149" s="89"/>
      <c r="R149" s="89"/>
      <c r="S149" s="89"/>
      <c r="T149" s="89"/>
      <c r="U149" s="89"/>
      <c r="V149" s="89"/>
      <c r="W149" s="89"/>
      <c r="X149" s="89"/>
      <c r="Y149" s="89"/>
    </row>
    <row r="150" spans="2:27" x14ac:dyDescent="0.3">
      <c r="B150" s="30" t="s">
        <v>675</v>
      </c>
      <c r="C150" s="30"/>
      <c r="D150" s="30"/>
      <c r="E150" s="30"/>
      <c r="F150" s="30"/>
      <c r="G150" s="30"/>
      <c r="H150" s="30"/>
      <c r="I150" s="30"/>
      <c r="J150" s="184"/>
      <c r="K150" s="184"/>
      <c r="L150" s="184"/>
      <c r="M150" s="184"/>
      <c r="N150" s="184"/>
      <c r="O150" s="184"/>
      <c r="P150" s="184"/>
      <c r="Q150" s="184"/>
      <c r="R150" s="184"/>
      <c r="S150" s="184"/>
      <c r="T150" s="184"/>
      <c r="U150" s="184"/>
      <c r="V150" s="184"/>
      <c r="W150" s="184"/>
      <c r="X150" s="184"/>
      <c r="Y150" s="184"/>
      <c r="Z150" s="30"/>
      <c r="AA150" s="30"/>
    </row>
    <row r="151" spans="2:27" x14ac:dyDescent="0.3">
      <c r="C151" s="205"/>
      <c r="D151"/>
      <c r="E151"/>
      <c r="J151" s="89"/>
      <c r="K151" s="89"/>
      <c r="L151" s="89"/>
      <c r="M151" s="89"/>
      <c r="N151" s="89"/>
      <c r="O151" s="89"/>
      <c r="P151" s="89"/>
      <c r="Q151" s="89"/>
      <c r="R151" s="89"/>
      <c r="S151" s="89"/>
      <c r="T151" s="89"/>
      <c r="U151" s="89"/>
      <c r="V151" s="89"/>
      <c r="W151" s="89"/>
      <c r="X151" s="89"/>
      <c r="Y151" s="89"/>
    </row>
    <row r="152" spans="2:27" x14ac:dyDescent="0.3">
      <c r="C152" s="29" t="s">
        <v>676</v>
      </c>
      <c r="D152"/>
      <c r="E152"/>
      <c r="J152" s="89"/>
      <c r="K152" s="89"/>
      <c r="L152" s="89"/>
      <c r="M152" s="89"/>
      <c r="N152" s="89"/>
      <c r="O152" s="89"/>
      <c r="P152" s="89"/>
      <c r="Q152" s="89"/>
      <c r="R152" s="89"/>
      <c r="S152" s="89"/>
      <c r="T152" s="89"/>
      <c r="U152" s="89"/>
      <c r="V152" s="89"/>
      <c r="W152" s="89"/>
      <c r="X152" s="89"/>
      <c r="Y152" s="89"/>
    </row>
    <row r="153" spans="2:27" x14ac:dyDescent="0.3">
      <c r="C153" s="29" t="s">
        <v>677</v>
      </c>
      <c r="D153"/>
      <c r="E153"/>
      <c r="J153" s="89"/>
      <c r="K153" s="89"/>
      <c r="L153" s="89"/>
      <c r="M153" s="89"/>
      <c r="N153" s="89"/>
      <c r="O153" s="89"/>
      <c r="P153" s="89"/>
      <c r="Q153" s="89"/>
      <c r="R153" s="89"/>
      <c r="S153" s="89"/>
      <c r="T153" s="89"/>
      <c r="U153" s="89"/>
      <c r="V153" s="89"/>
      <c r="W153" s="89"/>
      <c r="X153" s="89"/>
      <c r="Y153" s="89"/>
    </row>
    <row r="154" spans="2:27" x14ac:dyDescent="0.3">
      <c r="C154" s="205"/>
      <c r="D154"/>
      <c r="E154"/>
      <c r="J154" s="89"/>
      <c r="K154" s="89"/>
      <c r="L154" s="89"/>
      <c r="M154" s="89"/>
      <c r="N154" s="89"/>
      <c r="O154" s="89"/>
      <c r="P154" s="89"/>
      <c r="Q154" s="89"/>
      <c r="R154" s="89"/>
      <c r="S154" s="89"/>
      <c r="T154" s="89"/>
      <c r="U154" s="89"/>
      <c r="V154" s="89"/>
      <c r="W154" s="89"/>
      <c r="X154" s="89"/>
      <c r="Y154" s="89"/>
    </row>
    <row r="155" spans="2:27" x14ac:dyDescent="0.3">
      <c r="C155" s="31" t="str">
        <f ca="1">INDEX('Version control'!$H$34:$H$57,MATCH($A$1,'Version control'!$F$34:$F$57,0),1)&amp;"-C: Yardstick charge used for generation"</f>
        <v>Section 113-C: Yardstick charge used for generation</v>
      </c>
      <c r="D155" s="31"/>
      <c r="E155" s="31"/>
      <c r="F155" s="31"/>
      <c r="G155" s="31"/>
      <c r="H155" s="31"/>
      <c r="I155" s="31"/>
      <c r="J155" s="90"/>
      <c r="K155" s="90"/>
      <c r="L155" s="90"/>
      <c r="M155" s="90"/>
      <c r="N155" s="90"/>
      <c r="O155" s="90"/>
      <c r="P155" s="90"/>
      <c r="Q155" s="90"/>
      <c r="R155" s="90"/>
      <c r="S155" s="90"/>
      <c r="T155" s="90"/>
      <c r="U155" s="90"/>
      <c r="V155" s="90"/>
      <c r="W155" s="90"/>
      <c r="X155" s="90"/>
      <c r="Y155" s="90"/>
      <c r="Z155" s="31"/>
      <c r="AA155" s="31"/>
    </row>
    <row r="156" spans="2:27" x14ac:dyDescent="0.3">
      <c r="D156" s="32"/>
      <c r="E156" s="32"/>
      <c r="I156" t="s">
        <v>154</v>
      </c>
      <c r="J156" s="89"/>
      <c r="K156" s="89"/>
      <c r="L156" s="89"/>
      <c r="M156" s="89"/>
      <c r="N156" s="89"/>
      <c r="O156" s="89"/>
      <c r="P156" s="89"/>
      <c r="Q156" s="89"/>
      <c r="R156" s="89"/>
      <c r="S156" s="89"/>
      <c r="T156" s="89"/>
      <c r="U156" s="89"/>
      <c r="V156" s="89"/>
      <c r="W156" s="89"/>
      <c r="X156" s="89"/>
      <c r="Y156" s="89"/>
      <c r="AA156" t="s">
        <v>678</v>
      </c>
    </row>
    <row r="157" spans="2:27" x14ac:dyDescent="0.3">
      <c r="D157"/>
      <c r="E157" s="32" t="s">
        <v>621</v>
      </c>
      <c r="J157" s="89"/>
      <c r="K157" s="89"/>
      <c r="L157" s="89"/>
      <c r="M157" s="89"/>
      <c r="N157" s="89"/>
      <c r="O157" s="89"/>
      <c r="P157" s="89"/>
      <c r="Q157" s="89"/>
      <c r="R157" s="89"/>
      <c r="S157" s="89"/>
      <c r="T157" s="89"/>
      <c r="U157" s="89"/>
      <c r="V157" s="89"/>
      <c r="W157" s="89"/>
      <c r="X157" s="89"/>
      <c r="Y157" s="89"/>
    </row>
    <row r="158" spans="2:27" x14ac:dyDescent="0.3">
      <c r="D158"/>
      <c r="F158" s="23" t="s">
        <v>189</v>
      </c>
      <c r="G158" s="23" t="s">
        <v>269</v>
      </c>
      <c r="H158" s="266"/>
      <c r="I158" s="266"/>
      <c r="J158" s="280"/>
      <c r="K158" s="280"/>
      <c r="L158" s="280"/>
      <c r="M158" s="280"/>
      <c r="N158" s="280"/>
      <c r="O158" s="280"/>
      <c r="P158" s="280"/>
      <c r="Q158" s="280"/>
      <c r="R158" s="280"/>
      <c r="S158" s="280"/>
      <c r="T158" s="280"/>
      <c r="U158" s="280"/>
      <c r="V158" s="280"/>
      <c r="W158" s="280"/>
      <c r="X158" s="280"/>
      <c r="Y158" s="280"/>
      <c r="Z158" s="267"/>
      <c r="AA158" s="267"/>
    </row>
    <row r="159" spans="2:27" x14ac:dyDescent="0.3">
      <c r="D159"/>
      <c r="F159" t="s">
        <v>191</v>
      </c>
      <c r="G159" t="s">
        <v>269</v>
      </c>
      <c r="H159" s="267"/>
      <c r="I159" s="267"/>
      <c r="J159" s="268"/>
      <c r="K159" s="268"/>
      <c r="L159" s="268"/>
      <c r="M159" s="268"/>
      <c r="N159" s="268"/>
      <c r="O159" s="268"/>
      <c r="P159" s="268"/>
      <c r="Q159" s="268"/>
      <c r="R159" s="268"/>
      <c r="S159" s="268"/>
      <c r="T159" s="268"/>
      <c r="U159" s="268"/>
      <c r="V159" s="268"/>
      <c r="W159" s="268"/>
      <c r="X159" s="268"/>
      <c r="Y159" s="268"/>
      <c r="Z159" s="267"/>
      <c r="AA159" s="267"/>
    </row>
    <row r="160" spans="2:27" x14ac:dyDescent="0.3">
      <c r="D160"/>
      <c r="F160" t="s">
        <v>192</v>
      </c>
      <c r="G160" t="s">
        <v>269</v>
      </c>
      <c r="H160" s="267"/>
      <c r="I160" s="267"/>
      <c r="J160" s="268"/>
      <c r="K160" s="268"/>
      <c r="L160" s="268"/>
      <c r="M160" s="268"/>
      <c r="N160" s="268"/>
      <c r="O160" s="268"/>
      <c r="P160" s="268"/>
      <c r="Q160" s="268"/>
      <c r="R160" s="282">
        <f t="shared" ref="R160:S160" si="0">hundred * $H51 * R95 / $H37 * (1 - R109) / hours_in_year</f>
        <v>-6.0305648507411352E-2</v>
      </c>
      <c r="S160" s="282">
        <f t="shared" si="0"/>
        <v>-5.903314399762194E-2</v>
      </c>
      <c r="T160" s="282">
        <f t="shared" ref="T160:U160" si="1">hundred * $H51 * T95 / $H37 * (1 - T109) / hours_in_year</f>
        <v>-6.0305648507411352E-2</v>
      </c>
      <c r="U160" s="282">
        <f t="shared" si="1"/>
        <v>-6.0305648507411352E-2</v>
      </c>
      <c r="V160" s="282">
        <f t="shared" ref="V160:W160" si="2">hundred * $H51 * V95 / $H37 * (1 - V109) / hours_in_year</f>
        <v>-5.903314399762194E-2</v>
      </c>
      <c r="W160" s="282">
        <f t="shared" si="2"/>
        <v>-5.903314399762194E-2</v>
      </c>
      <c r="X160" s="282">
        <f t="shared" ref="X160:Y160" si="3">hundred * $H51 * X95 / $H37 * (1 - X109) / hours_in_year</f>
        <v>-5.8147923469072778E-2</v>
      </c>
      <c r="Y160" s="282">
        <f t="shared" si="3"/>
        <v>-5.8147923469072778E-2</v>
      </c>
      <c r="Z160" s="267"/>
      <c r="AA160" s="267"/>
    </row>
    <row r="161" spans="5:27" customFormat="1" x14ac:dyDescent="0.3">
      <c r="E161" s="2"/>
      <c r="F161" t="s">
        <v>193</v>
      </c>
      <c r="G161" t="s">
        <v>269</v>
      </c>
      <c r="H161" s="267"/>
      <c r="I161" s="267"/>
      <c r="J161" s="268"/>
      <c r="K161" s="268"/>
      <c r="L161" s="268"/>
      <c r="M161" s="268"/>
      <c r="N161" s="268"/>
      <c r="O161" s="268"/>
      <c r="P161" s="268"/>
      <c r="Q161" s="268"/>
      <c r="R161" s="282">
        <f t="shared" ref="R161:S161" si="4">hundred * $H52 * R96 / $H38 * (1 - R110) / hours_in_year</f>
        <v>-1.4277193747131524E-2</v>
      </c>
      <c r="S161" s="282">
        <f t="shared" si="4"/>
        <v>-1.3975931860724159E-2</v>
      </c>
      <c r="T161" s="282">
        <f t="shared" ref="T161:U161" si="5">hundred * $H52 * T96 / $H38 * (1 - T110) / hours_in_year</f>
        <v>-1.4277193747131524E-2</v>
      </c>
      <c r="U161" s="282">
        <f t="shared" si="5"/>
        <v>-1.4277193747131524E-2</v>
      </c>
      <c r="V161" s="282">
        <f t="shared" ref="V161:W161" si="6">hundred * $H52 * V96 / $H38 * (1 - V110) / hours_in_year</f>
        <v>-1.3975931860724159E-2</v>
      </c>
      <c r="W161" s="282">
        <f t="shared" si="6"/>
        <v>-1.3975931860724159E-2</v>
      </c>
      <c r="X161" s="282">
        <f t="shared" ref="X161:Y161" si="7">hundred * $H52 * X96 / $H38 * (1 - X110) / hours_in_year</f>
        <v>-1.3766358374527733E-2</v>
      </c>
      <c r="Y161" s="282">
        <f t="shared" si="7"/>
        <v>-1.3766358374527733E-2</v>
      </c>
      <c r="Z161" s="267"/>
      <c r="AA161" s="267"/>
    </row>
    <row r="162" spans="5:27" customFormat="1" x14ac:dyDescent="0.3">
      <c r="E162" s="2"/>
      <c r="F162" t="s">
        <v>194</v>
      </c>
      <c r="G162" t="s">
        <v>269</v>
      </c>
      <c r="H162" s="267"/>
      <c r="I162" s="267"/>
      <c r="J162" s="268"/>
      <c r="K162" s="268"/>
      <c r="L162" s="268"/>
      <c r="M162" s="268"/>
      <c r="N162" s="268"/>
      <c r="O162" s="268"/>
      <c r="P162" s="268"/>
      <c r="Q162" s="268"/>
      <c r="R162" s="282">
        <f t="shared" ref="R162:S162" si="8">hundred * $H53 * R97 / $H39 * (1 - R111) / hours_in_year</f>
        <v>-1.4511818598923164E-2</v>
      </c>
      <c r="S162" s="282">
        <f t="shared" si="8"/>
        <v>-1.4205605912890837E-2</v>
      </c>
      <c r="T162" s="282">
        <f t="shared" ref="T162:U162" si="9">hundred * $H53 * T97 / $H39 * (1 - T111) / hours_in_year</f>
        <v>-1.4511818598923164E-2</v>
      </c>
      <c r="U162" s="282">
        <f t="shared" si="9"/>
        <v>-1.4511818598923164E-2</v>
      </c>
      <c r="V162" s="282">
        <f t="shared" ref="V162:W162" si="10">hundred * $H53 * V97 / $H39 * (1 - V111) / hours_in_year</f>
        <v>-1.4205605912890837E-2</v>
      </c>
      <c r="W162" s="282">
        <f t="shared" si="10"/>
        <v>-1.4205605912890837E-2</v>
      </c>
      <c r="X162" s="282">
        <f t="shared" ref="X162:Y162" si="11">hundred * $H53 * X97 / $H39 * (1 - X111) / hours_in_year</f>
        <v>-1.3992588392172701E-2</v>
      </c>
      <c r="Y162" s="282">
        <f t="shared" si="11"/>
        <v>-1.3992588392172701E-2</v>
      </c>
      <c r="Z162" s="267"/>
      <c r="AA162" s="267"/>
    </row>
    <row r="163" spans="5:27" customFormat="1" x14ac:dyDescent="0.3">
      <c r="E163" s="2"/>
      <c r="F163" t="s">
        <v>195</v>
      </c>
      <c r="G163" t="s">
        <v>269</v>
      </c>
      <c r="H163" s="267"/>
      <c r="I163" s="267"/>
      <c r="J163" s="268"/>
      <c r="K163" s="268"/>
      <c r="L163" s="268"/>
      <c r="M163" s="268"/>
      <c r="N163" s="268"/>
      <c r="O163" s="268"/>
      <c r="P163" s="268"/>
      <c r="Q163" s="268"/>
      <c r="R163" s="282">
        <f t="shared" ref="R163:S163" si="12">hundred * $H54 * R98 / $H40 * (1 - R112) / hours_in_year</f>
        <v>-2.7974260621629929E-2</v>
      </c>
      <c r="S163" s="282">
        <f t="shared" si="12"/>
        <v>-2.7383978058054245E-2</v>
      </c>
      <c r="T163" s="282">
        <f t="shared" ref="T163:U163" si="13">hundred * $H54 * T98 / $H40 * (1 - T112) / hours_in_year</f>
        <v>-2.7974260621629929E-2</v>
      </c>
      <c r="U163" s="282">
        <f t="shared" si="13"/>
        <v>-2.7974260621629929E-2</v>
      </c>
      <c r="V163" s="282">
        <f t="shared" ref="V163:W163" si="14">hundred * $H54 * V98 / $H40 * (1 - V112) / hours_in_year</f>
        <v>-2.7383978058054245E-2</v>
      </c>
      <c r="W163" s="282">
        <f t="shared" si="14"/>
        <v>-2.7383978058054245E-2</v>
      </c>
      <c r="X163" s="282">
        <f t="shared" ref="X163:Y163" si="15">hundred * $H54 * X98 / $H40 * (1 - X112) / hours_in_year</f>
        <v>-2.0023904815757179E-2</v>
      </c>
      <c r="Y163" s="282">
        <f t="shared" si="15"/>
        <v>-2.0023904815757179E-2</v>
      </c>
      <c r="Z163" s="267"/>
      <c r="AA163" s="267"/>
    </row>
    <row r="164" spans="5:27" customFormat="1" x14ac:dyDescent="0.3">
      <c r="E164" s="2"/>
      <c r="F164" t="s">
        <v>196</v>
      </c>
      <c r="G164" t="s">
        <v>269</v>
      </c>
      <c r="H164" s="267"/>
      <c r="I164" s="267"/>
      <c r="J164" s="268"/>
      <c r="K164" s="268"/>
      <c r="L164" s="268"/>
      <c r="M164" s="268"/>
      <c r="N164" s="268"/>
      <c r="O164" s="268"/>
      <c r="P164" s="268"/>
      <c r="Q164" s="268"/>
      <c r="R164" s="282">
        <f t="shared" ref="R164:S164" si="16">hundred * $H55 * R99 / $H41 * (1 - R113) / hours_in_year</f>
        <v>-2.9865872453251587E-2</v>
      </c>
      <c r="S164" s="282">
        <f t="shared" si="16"/>
        <v>-2.923567514460499E-2</v>
      </c>
      <c r="T164" s="282">
        <f t="shared" ref="T164:U164" si="17">hundred * $H55 * T99 / $H41 * (1 - T113) / hours_in_year</f>
        <v>-2.9865872453251587E-2</v>
      </c>
      <c r="U164" s="282">
        <f t="shared" si="17"/>
        <v>-2.9865872453251587E-2</v>
      </c>
      <c r="V164" s="282">
        <f t="shared" ref="V164:W164" si="18">hundred * $H55 * V99 / $H41 * (1 - V113) / hours_in_year</f>
        <v>-2.923567514460499E-2</v>
      </c>
      <c r="W164" s="282">
        <f t="shared" si="18"/>
        <v>-2.923567514460499E-2</v>
      </c>
      <c r="X164" s="282">
        <f t="shared" ref="X164:Y164" si="19">hundred * $H55 * X99 / $H41 * (1 - X113) / hours_in_year</f>
        <v>-2.1377915768077578E-2</v>
      </c>
      <c r="Y164" s="282">
        <f t="shared" si="19"/>
        <v>-2.1377915768077578E-2</v>
      </c>
      <c r="Z164" s="267"/>
      <c r="AA164" s="267"/>
    </row>
    <row r="165" spans="5:27" customFormat="1" x14ac:dyDescent="0.3">
      <c r="E165" s="2"/>
      <c r="F165" t="s">
        <v>197</v>
      </c>
      <c r="G165" t="s">
        <v>269</v>
      </c>
      <c r="H165" s="267"/>
      <c r="I165" s="267"/>
      <c r="J165" s="268"/>
      <c r="K165" s="268"/>
      <c r="L165" s="268"/>
      <c r="M165" s="268"/>
      <c r="N165" s="268"/>
      <c r="O165" s="268"/>
      <c r="P165" s="268"/>
      <c r="Q165" s="268"/>
      <c r="R165" s="282">
        <f t="shared" ref="R165:S165" si="20">hundred * $H56 * R100 / $H42 * (1 - R114) / hours_in_year</f>
        <v>-0.10945411048233605</v>
      </c>
      <c r="S165" s="282">
        <f t="shared" si="20"/>
        <v>-0.10714452833454362</v>
      </c>
      <c r="T165" s="282">
        <f t="shared" ref="T165:U165" si="21">hundred * $H56 * T100 / $H42 * (1 - T114) / hours_in_year</f>
        <v>-0.10945411048233605</v>
      </c>
      <c r="U165" s="282">
        <f t="shared" si="21"/>
        <v>-0.10945411048233605</v>
      </c>
      <c r="V165" s="282">
        <f t="shared" ref="V165:W165" si="22">hundred * $H56 * V100 / $H42 * (1 - V114) / hours_in_year</f>
        <v>-0.10714452833454362</v>
      </c>
      <c r="W165" s="282">
        <f t="shared" si="22"/>
        <v>-0.10714452833454362</v>
      </c>
      <c r="X165" s="282">
        <f t="shared" ref="X165:Y165" si="23">hundred * $H56 * X100 / $H42 * (1 - X114) / hours_in_year</f>
        <v>-8.3431561092719042E-2</v>
      </c>
      <c r="Y165" s="282">
        <f t="shared" si="23"/>
        <v>-8.3431561092719042E-2</v>
      </c>
      <c r="Z165" s="267"/>
      <c r="AA165" s="267"/>
    </row>
    <row r="166" spans="5:27" customFormat="1" x14ac:dyDescent="0.3">
      <c r="E166" s="2"/>
      <c r="F166" t="s">
        <v>198</v>
      </c>
      <c r="G166" t="s">
        <v>269</v>
      </c>
      <c r="H166" s="267"/>
      <c r="I166" s="267"/>
      <c r="J166" s="268"/>
      <c r="K166" s="268"/>
      <c r="L166" s="268"/>
      <c r="M166" s="268"/>
      <c r="N166" s="268"/>
      <c r="O166" s="268"/>
      <c r="P166" s="268"/>
      <c r="Q166" s="268"/>
      <c r="R166" s="282">
        <f t="shared" ref="R166:S166" si="24">hundred * $H57 * R101 / $H43 * (1 - R115) / hours_in_year</f>
        <v>-3.1201344941862535E-2</v>
      </c>
      <c r="S166" s="282">
        <f t="shared" si="24"/>
        <v>-3.0542967938502127E-2</v>
      </c>
      <c r="T166" s="282">
        <f t="shared" ref="T166:U166" si="25">hundred * $H57 * T101 / $H43 * (1 - T115) / hours_in_year</f>
        <v>-3.1201344941862535E-2</v>
      </c>
      <c r="U166" s="282">
        <f t="shared" si="25"/>
        <v>-3.1201344941862535E-2</v>
      </c>
      <c r="V166" s="282">
        <f t="shared" ref="V166:W166" si="26">hundred * $H57 * V101 / $H43 * (1 - V115) / hours_in_year</f>
        <v>-3.0542967938502127E-2</v>
      </c>
      <c r="W166" s="282">
        <f t="shared" si="26"/>
        <v>-3.0542967938502127E-2</v>
      </c>
      <c r="X166" s="282">
        <f t="shared" ref="X166:Y166" si="27">hundred * $H57 * X101 / $H43 * (1 - X115) / hours_in_year</f>
        <v>0</v>
      </c>
      <c r="Y166" s="282">
        <f t="shared" si="27"/>
        <v>0</v>
      </c>
      <c r="Z166" s="267"/>
      <c r="AA166" s="267"/>
    </row>
    <row r="167" spans="5:27" customFormat="1" x14ac:dyDescent="0.3">
      <c r="E167" s="2"/>
      <c r="F167" t="s">
        <v>199</v>
      </c>
      <c r="G167" t="s">
        <v>269</v>
      </c>
      <c r="H167" s="267"/>
      <c r="I167" s="267"/>
      <c r="J167" s="268"/>
      <c r="K167" s="268"/>
      <c r="L167" s="268"/>
      <c r="M167" s="268"/>
      <c r="N167" s="268"/>
      <c r="O167" s="268"/>
      <c r="P167" s="268"/>
      <c r="Q167" s="268"/>
      <c r="R167" s="282">
        <f t="shared" ref="R167:S167" si="28">hundred * $H58 * R102 / $H44 * (1 - R116) / hours_in_year</f>
        <v>-2.0833241569508866E-2</v>
      </c>
      <c r="S167" s="282">
        <f t="shared" si="28"/>
        <v>0</v>
      </c>
      <c r="T167" s="282">
        <f t="shared" ref="T167:U167" si="29">hundred * $H58 * T102 / $H44 * (1 - T116) / hours_in_year</f>
        <v>-2.0833241569508866E-2</v>
      </c>
      <c r="U167" s="282">
        <f t="shared" si="29"/>
        <v>-2.0833241569508866E-2</v>
      </c>
      <c r="V167" s="282">
        <f t="shared" ref="V167:W167" si="30">hundred * $H58 * V102 / $H44 * (1 - V116) / hours_in_year</f>
        <v>0</v>
      </c>
      <c r="W167" s="282">
        <f t="shared" si="30"/>
        <v>0</v>
      </c>
      <c r="X167" s="282">
        <f t="shared" ref="X167:Y167" si="31">hundred * $H58 * X102 / $H44 * (1 - X116) / hours_in_year</f>
        <v>0</v>
      </c>
      <c r="Y167" s="282">
        <f t="shared" si="31"/>
        <v>0</v>
      </c>
      <c r="Z167" s="267"/>
      <c r="AA167" s="267"/>
    </row>
    <row r="168" spans="5:27" customFormat="1" x14ac:dyDescent="0.3">
      <c r="E168" s="2"/>
      <c r="F168" t="s">
        <v>376</v>
      </c>
      <c r="G168" t="s">
        <v>269</v>
      </c>
      <c r="H168" s="267"/>
      <c r="I168" s="267"/>
      <c r="J168" s="268"/>
      <c r="K168" s="268"/>
      <c r="L168" s="268"/>
      <c r="M168" s="268"/>
      <c r="N168" s="268"/>
      <c r="O168" s="268"/>
      <c r="P168" s="268"/>
      <c r="Q168" s="268"/>
      <c r="R168" s="268"/>
      <c r="S168" s="268"/>
      <c r="T168" s="268"/>
      <c r="U168" s="268"/>
      <c r="V168" s="268"/>
      <c r="W168" s="268"/>
      <c r="X168" s="268"/>
      <c r="Y168" s="268"/>
      <c r="Z168" s="267"/>
      <c r="AA168" s="267"/>
    </row>
    <row r="169" spans="5:27" customFormat="1" x14ac:dyDescent="0.3">
      <c r="E169" s="2"/>
      <c r="F169" s="37" t="s">
        <v>377</v>
      </c>
      <c r="G169" s="37" t="s">
        <v>269</v>
      </c>
      <c r="H169" s="269"/>
      <c r="I169" s="269"/>
      <c r="J169" s="270"/>
      <c r="K169" s="270"/>
      <c r="L169" s="270"/>
      <c r="M169" s="270"/>
      <c r="N169" s="270"/>
      <c r="O169" s="270"/>
      <c r="P169" s="270"/>
      <c r="Q169" s="270"/>
      <c r="R169" s="270"/>
      <c r="S169" s="270"/>
      <c r="T169" s="270"/>
      <c r="U169" s="270"/>
      <c r="V169" s="270"/>
      <c r="W169" s="270"/>
      <c r="X169" s="270"/>
      <c r="Y169" s="270"/>
      <c r="Z169" s="267"/>
      <c r="AA169" s="267"/>
    </row>
    <row r="170" spans="5:27" customFormat="1" x14ac:dyDescent="0.3">
      <c r="E170" s="2"/>
      <c r="J170" s="89"/>
      <c r="K170" s="89"/>
      <c r="L170" s="89"/>
      <c r="M170" s="89"/>
      <c r="N170" s="89"/>
      <c r="O170" s="89"/>
      <c r="P170" s="89"/>
      <c r="Q170" s="89"/>
      <c r="R170" s="89"/>
      <c r="S170" s="89"/>
      <c r="T170" s="89"/>
      <c r="U170" s="89"/>
      <c r="V170" s="89"/>
      <c r="W170" s="89"/>
      <c r="X170" s="89"/>
      <c r="Y170" s="89"/>
    </row>
    <row r="171" spans="5:27" customFormat="1" x14ac:dyDescent="0.3">
      <c r="E171" s="32" t="s">
        <v>622</v>
      </c>
      <c r="J171" s="89"/>
      <c r="K171" s="89"/>
      <c r="L171" s="89"/>
      <c r="M171" s="89"/>
      <c r="N171" s="89"/>
      <c r="O171" s="89"/>
      <c r="P171" s="89"/>
      <c r="Q171" s="89"/>
      <c r="R171" s="89"/>
      <c r="S171" s="89"/>
      <c r="T171" s="89"/>
      <c r="U171" s="89"/>
      <c r="V171" s="89"/>
      <c r="W171" s="89"/>
      <c r="X171" s="89"/>
      <c r="Y171" s="89"/>
    </row>
    <row r="172" spans="5:27" customFormat="1" x14ac:dyDescent="0.3">
      <c r="E172" s="2"/>
      <c r="F172" s="23" t="s">
        <v>189</v>
      </c>
      <c r="G172" s="23" t="s">
        <v>269</v>
      </c>
      <c r="H172" s="266"/>
      <c r="I172" s="266"/>
      <c r="J172" s="280"/>
      <c r="K172" s="280"/>
      <c r="L172" s="280"/>
      <c r="M172" s="280"/>
      <c r="N172" s="280"/>
      <c r="O172" s="280"/>
      <c r="P172" s="280"/>
      <c r="Q172" s="280"/>
      <c r="R172" s="281">
        <f t="shared" ref="R172:S172" si="32">hundred * $H63 * R93 / $H35 / hours_in_year</f>
        <v>-4.3609709795370551E-2</v>
      </c>
      <c r="S172" s="281">
        <f t="shared" si="32"/>
        <v>-4.2689504909780157E-2</v>
      </c>
      <c r="T172" s="281">
        <f t="shared" ref="T172:U172" si="33">hundred * $H63 * T93 / $H35 / hours_in_year</f>
        <v>-4.3609709795370551E-2</v>
      </c>
      <c r="U172" s="281">
        <f t="shared" si="33"/>
        <v>-4.3609709795370551E-2</v>
      </c>
      <c r="V172" s="281">
        <f t="shared" ref="V172:W172" si="34">hundred * $H63 * V93 / $H35 / hours_in_year</f>
        <v>-4.2689504909780157E-2</v>
      </c>
      <c r="W172" s="281">
        <f t="shared" si="34"/>
        <v>-4.2689504909780157E-2</v>
      </c>
      <c r="X172" s="281">
        <f t="shared" ref="X172:Y172" si="35">hundred * $H63 * X93 / $H35 / hours_in_year</f>
        <v>-4.2049362380673805E-2</v>
      </c>
      <c r="Y172" s="281">
        <f t="shared" si="35"/>
        <v>-4.2049362380673805E-2</v>
      </c>
      <c r="Z172" s="267"/>
      <c r="AA172" s="267"/>
    </row>
    <row r="173" spans="5:27" customFormat="1" x14ac:dyDescent="0.3">
      <c r="E173" s="2"/>
      <c r="F173" t="s">
        <v>191</v>
      </c>
      <c r="G173" t="s">
        <v>269</v>
      </c>
      <c r="H173" s="267"/>
      <c r="I173" s="267"/>
      <c r="J173" s="268"/>
      <c r="K173" s="268"/>
      <c r="L173" s="268"/>
      <c r="M173" s="268"/>
      <c r="N173" s="268"/>
      <c r="O173" s="268"/>
      <c r="P173" s="268"/>
      <c r="Q173" s="268"/>
      <c r="R173" s="282">
        <f t="shared" ref="R173:S173" si="36">hundred * $H64 * R94 / $H36 / hours_in_year</f>
        <v>0</v>
      </c>
      <c r="S173" s="282">
        <f t="shared" si="36"/>
        <v>0</v>
      </c>
      <c r="T173" s="282">
        <f t="shared" ref="T173:U173" si="37">hundred * $H64 * T94 / $H36 / hours_in_year</f>
        <v>0</v>
      </c>
      <c r="U173" s="282">
        <f t="shared" si="37"/>
        <v>0</v>
      </c>
      <c r="V173" s="282">
        <f t="shared" ref="V173:W173" si="38">hundred * $H64 * V94 / $H36 / hours_in_year</f>
        <v>0</v>
      </c>
      <c r="W173" s="282">
        <f t="shared" si="38"/>
        <v>0</v>
      </c>
      <c r="X173" s="282">
        <f t="shared" ref="X173:Y173" si="39">hundred * $H64 * X94 / $H36 / hours_in_year</f>
        <v>0</v>
      </c>
      <c r="Y173" s="282">
        <f t="shared" si="39"/>
        <v>0</v>
      </c>
      <c r="Z173" s="267"/>
      <c r="AA173" s="267"/>
    </row>
    <row r="174" spans="5:27" customFormat="1" x14ac:dyDescent="0.3">
      <c r="E174" s="2"/>
      <c r="F174" t="s">
        <v>192</v>
      </c>
      <c r="G174" t="s">
        <v>269</v>
      </c>
      <c r="H174" s="267"/>
      <c r="I174" s="267"/>
      <c r="J174" s="268"/>
      <c r="K174" s="268"/>
      <c r="L174" s="268"/>
      <c r="M174" s="268"/>
      <c r="N174" s="268"/>
      <c r="O174" s="268"/>
      <c r="P174" s="268"/>
      <c r="Q174" s="268"/>
      <c r="R174" s="282">
        <f t="shared" ref="R174:S174" si="40">hundred * $H65 * R95 / $H37 / hours_in_year</f>
        <v>-4.2341324005143177E-2</v>
      </c>
      <c r="S174" s="282">
        <f t="shared" si="40"/>
        <v>-4.1447883223383275E-2</v>
      </c>
      <c r="T174" s="282">
        <f t="shared" ref="T174:U174" si="41">hundred * $H65 * T95 / $H37 / hours_in_year</f>
        <v>-4.2341324005143177E-2</v>
      </c>
      <c r="U174" s="282">
        <f t="shared" si="41"/>
        <v>-4.2341324005143177E-2</v>
      </c>
      <c r="V174" s="282">
        <f t="shared" ref="V174:W174" si="42">hundred * $H65 * V95 / $H37 / hours_in_year</f>
        <v>-4.1447883223383275E-2</v>
      </c>
      <c r="W174" s="282">
        <f t="shared" si="42"/>
        <v>-4.1447883223383275E-2</v>
      </c>
      <c r="X174" s="282">
        <f t="shared" ref="X174:Y174" si="43">hundred * $H65 * X95 / $H37 / hours_in_year</f>
        <v>-4.0826359201289422E-2</v>
      </c>
      <c r="Y174" s="282">
        <f t="shared" si="43"/>
        <v>-4.0826359201289422E-2</v>
      </c>
      <c r="Z174" s="267"/>
      <c r="AA174" s="267"/>
    </row>
    <row r="175" spans="5:27" customFormat="1" x14ac:dyDescent="0.3">
      <c r="E175" s="2"/>
      <c r="F175" t="s">
        <v>193</v>
      </c>
      <c r="G175" t="s">
        <v>269</v>
      </c>
      <c r="H175" s="267"/>
      <c r="I175" s="267"/>
      <c r="J175" s="268"/>
      <c r="K175" s="268"/>
      <c r="L175" s="268"/>
      <c r="M175" s="268"/>
      <c r="N175" s="268"/>
      <c r="O175" s="268"/>
      <c r="P175" s="268"/>
      <c r="Q175" s="268"/>
      <c r="R175" s="282">
        <f t="shared" ref="R175:S175" si="44">hundred * $H66 * R96 / $H38 / hours_in_year</f>
        <v>-1.0024190126356197E-2</v>
      </c>
      <c r="S175" s="282">
        <f t="shared" si="44"/>
        <v>-9.8126705181853738E-3</v>
      </c>
      <c r="T175" s="282">
        <f t="shared" ref="T175:U175" si="45">hundred * $H66 * T96 / $H38 / hours_in_year</f>
        <v>-1.0024190126356197E-2</v>
      </c>
      <c r="U175" s="282">
        <f t="shared" si="45"/>
        <v>-1.0024190126356197E-2</v>
      </c>
      <c r="V175" s="282">
        <f t="shared" ref="V175:W175" si="46">hundred * $H66 * V96 / $H38 / hours_in_year</f>
        <v>-9.8126705181853738E-3</v>
      </c>
      <c r="W175" s="282">
        <f t="shared" si="46"/>
        <v>-9.8126705181853738E-3</v>
      </c>
      <c r="X175" s="282">
        <f t="shared" ref="X175:Y175" si="47">hundred * $H66 * X96 / $H38 / hours_in_year</f>
        <v>-9.6655264429361103E-3</v>
      </c>
      <c r="Y175" s="282">
        <f t="shared" si="47"/>
        <v>-9.6655264429361103E-3</v>
      </c>
      <c r="Z175" s="267"/>
      <c r="AA175" s="267"/>
    </row>
    <row r="176" spans="5:27" customFormat="1" x14ac:dyDescent="0.3">
      <c r="E176" s="2"/>
      <c r="F176" t="s">
        <v>194</v>
      </c>
      <c r="G176" t="s">
        <v>269</v>
      </c>
      <c r="H176" s="267"/>
      <c r="I176" s="267"/>
      <c r="J176" s="268"/>
      <c r="K176" s="268"/>
      <c r="L176" s="268"/>
      <c r="M176" s="268"/>
      <c r="N176" s="268"/>
      <c r="O176" s="268"/>
      <c r="P176" s="268"/>
      <c r="Q176" s="268"/>
      <c r="R176" s="282">
        <f t="shared" ref="R176:S176" si="48">hundred * $H67 * R97 / $H39 / hours_in_year</f>
        <v>-1.0188923067884013E-2</v>
      </c>
      <c r="S176" s="282">
        <f t="shared" si="48"/>
        <v>-9.9739274435158166E-3</v>
      </c>
      <c r="T176" s="282">
        <f t="shared" ref="T176:U176" si="49">hundred * $H67 * T97 / $H39 / hours_in_year</f>
        <v>-1.0188923067884013E-2</v>
      </c>
      <c r="U176" s="282">
        <f t="shared" si="49"/>
        <v>-1.0188923067884013E-2</v>
      </c>
      <c r="V176" s="282">
        <f t="shared" ref="V176:W176" si="50">hundred * $H67 * V97 / $H39 / hours_in_year</f>
        <v>-9.9739274435158166E-3</v>
      </c>
      <c r="W176" s="282">
        <f t="shared" si="50"/>
        <v>-9.9739274435158166E-3</v>
      </c>
      <c r="X176" s="282">
        <f t="shared" ref="X176:Y176" si="51">hundred * $H67 * X97 / $H39 / hours_in_year</f>
        <v>-9.8243652700422887E-3</v>
      </c>
      <c r="Y176" s="282">
        <f t="shared" si="51"/>
        <v>-9.8243652700422887E-3</v>
      </c>
      <c r="Z176" s="267"/>
      <c r="AA176" s="267"/>
    </row>
    <row r="177" spans="2:27" x14ac:dyDescent="0.3">
      <c r="D177"/>
      <c r="F177" t="s">
        <v>195</v>
      </c>
      <c r="G177" t="s">
        <v>269</v>
      </c>
      <c r="H177" s="267"/>
      <c r="I177" s="267"/>
      <c r="J177" s="268"/>
      <c r="K177" s="268"/>
      <c r="L177" s="268"/>
      <c r="M177" s="268"/>
      <c r="N177" s="268"/>
      <c r="O177" s="268"/>
      <c r="P177" s="268"/>
      <c r="Q177" s="268"/>
      <c r="R177" s="282">
        <f t="shared" ref="R177:S177" si="52">hundred * $H68 * R98 / $H40 / hours_in_year</f>
        <v>-1.9641066170429853E-2</v>
      </c>
      <c r="S177" s="282">
        <f t="shared" si="52"/>
        <v>-1.9226621654907017E-2</v>
      </c>
      <c r="T177" s="282">
        <f t="shared" ref="T177:U177" si="53">hundred * $H68 * T98 / $H40 / hours_in_year</f>
        <v>-1.9641066170429853E-2</v>
      </c>
      <c r="U177" s="282">
        <f t="shared" si="53"/>
        <v>-1.9641066170429853E-2</v>
      </c>
      <c r="V177" s="282">
        <f t="shared" ref="V177:W177" si="54">hundred * $H68 * V98 / $H40 / hours_in_year</f>
        <v>-1.9226621654907017E-2</v>
      </c>
      <c r="W177" s="282">
        <f t="shared" si="54"/>
        <v>-1.9226621654907017E-2</v>
      </c>
      <c r="X177" s="282">
        <f t="shared" ref="X177:Y177" si="55">hundred * $H68 * X98 / $H40 / hours_in_year</f>
        <v>-1.8938312426717223E-2</v>
      </c>
      <c r="Y177" s="282">
        <f t="shared" si="55"/>
        <v>-1.8938312426717223E-2</v>
      </c>
      <c r="Z177" s="267"/>
      <c r="AA177" s="267"/>
    </row>
    <row r="178" spans="2:27" x14ac:dyDescent="0.3">
      <c r="D178"/>
      <c r="F178" t="s">
        <v>196</v>
      </c>
      <c r="G178" t="s">
        <v>269</v>
      </c>
      <c r="H178" s="267"/>
      <c r="I178" s="267"/>
      <c r="J178" s="268"/>
      <c r="K178" s="268"/>
      <c r="L178" s="268"/>
      <c r="M178" s="268"/>
      <c r="N178" s="268"/>
      <c r="O178" s="268"/>
      <c r="P178" s="268"/>
      <c r="Q178" s="268"/>
      <c r="R178" s="282">
        <f t="shared" ref="R178:S178" si="56">hundred * $H69 * R99 / $H41 / hours_in_year</f>
        <v>-2.0969189678542229E-2</v>
      </c>
      <c r="S178" s="282">
        <f t="shared" si="56"/>
        <v>-2.0526720538536294E-2</v>
      </c>
      <c r="T178" s="282">
        <f t="shared" ref="T178:U178" si="57">hundred * $H69 * T99 / $H41 / hours_in_year</f>
        <v>-2.0969189678542229E-2</v>
      </c>
      <c r="U178" s="282">
        <f t="shared" si="57"/>
        <v>-2.0969189678542229E-2</v>
      </c>
      <c r="V178" s="282">
        <f t="shared" ref="V178:W178" si="58">hundred * $H69 * V99 / $H41 / hours_in_year</f>
        <v>-2.0526720538536294E-2</v>
      </c>
      <c r="W178" s="282">
        <f t="shared" si="58"/>
        <v>-2.0526720538536294E-2</v>
      </c>
      <c r="X178" s="282">
        <f t="shared" ref="X178:Y178" si="59">hundred * $H69 * X99 / $H41 / hours_in_year</f>
        <v>-2.0218915919401725E-2</v>
      </c>
      <c r="Y178" s="282">
        <f t="shared" si="59"/>
        <v>-2.0218915919401725E-2</v>
      </c>
      <c r="Z178" s="267"/>
      <c r="AA178" s="267"/>
    </row>
    <row r="179" spans="2:27" x14ac:dyDescent="0.3">
      <c r="D179"/>
      <c r="F179" t="s">
        <v>197</v>
      </c>
      <c r="G179" t="s">
        <v>269</v>
      </c>
      <c r="H179" s="267"/>
      <c r="I179" s="267"/>
      <c r="J179" s="268"/>
      <c r="K179" s="268"/>
      <c r="L179" s="268"/>
      <c r="M179" s="268"/>
      <c r="N179" s="268"/>
      <c r="O179" s="268"/>
      <c r="P179" s="268"/>
      <c r="Q179" s="268"/>
      <c r="R179" s="282">
        <f t="shared" ref="R179:S179" si="60">hundred * $H70 * R100 / $H42 / hours_in_year</f>
        <v>-0.12533477068206497</v>
      </c>
      <c r="S179" s="282">
        <f t="shared" si="60"/>
        <v>-0.12269009203464526</v>
      </c>
      <c r="T179" s="282">
        <f t="shared" ref="T179:U179" si="61">hundred * $H70 * T100 / $H42 / hours_in_year</f>
        <v>-0.12533477068206497</v>
      </c>
      <c r="U179" s="282">
        <f t="shared" si="61"/>
        <v>-0.12533477068206497</v>
      </c>
      <c r="V179" s="282">
        <f t="shared" ref="V179:W179" si="62">hundred * $H70 * V100 / $H42 / hours_in_year</f>
        <v>-0.12269009203464526</v>
      </c>
      <c r="W179" s="282">
        <f t="shared" si="62"/>
        <v>-0.12269009203464526</v>
      </c>
      <c r="X179" s="282">
        <f t="shared" ref="X179:Y179" si="63">hundred * $H70 * X100 / $H42 / hours_in_year</f>
        <v>-0.12085031558426633</v>
      </c>
      <c r="Y179" s="282">
        <f t="shared" si="63"/>
        <v>-0.12085031558426633</v>
      </c>
      <c r="Z179" s="267"/>
      <c r="AA179" s="267"/>
    </row>
    <row r="180" spans="2:27" x14ac:dyDescent="0.3">
      <c r="D180"/>
      <c r="F180" t="s">
        <v>198</v>
      </c>
      <c r="G180" t="s">
        <v>269</v>
      </c>
      <c r="H180" s="267"/>
      <c r="I180" s="267"/>
      <c r="J180" s="268"/>
      <c r="K180" s="268"/>
      <c r="L180" s="268"/>
      <c r="M180" s="268"/>
      <c r="N180" s="268"/>
      <c r="O180" s="268"/>
      <c r="P180" s="268"/>
      <c r="Q180" s="268"/>
      <c r="R180" s="282">
        <f t="shared" ref="R180:S180" si="64">hundred * $H71 * R101 / $H43 / hours_in_year</f>
        <v>-6.1064068366238018E-2</v>
      </c>
      <c r="S180" s="282">
        <f t="shared" si="64"/>
        <v>-5.977556050162932E-2</v>
      </c>
      <c r="T180" s="282">
        <f t="shared" ref="T180:U180" si="65">hundred * $H71 * T101 / $H43 / hours_in_year</f>
        <v>-6.1064068366238018E-2</v>
      </c>
      <c r="U180" s="282">
        <f t="shared" si="65"/>
        <v>-6.1064068366238018E-2</v>
      </c>
      <c r="V180" s="282">
        <f t="shared" ref="V180:W180" si="66">hundred * $H71 * V101 / $H43 / hours_in_year</f>
        <v>-5.977556050162932E-2</v>
      </c>
      <c r="W180" s="282">
        <f t="shared" si="66"/>
        <v>-5.977556050162932E-2</v>
      </c>
      <c r="X180" s="282">
        <f t="shared" ref="X180:Y180" si="67">hundred * $H71 * X101 / $H43 / hours_in_year</f>
        <v>0</v>
      </c>
      <c r="Y180" s="282">
        <f t="shared" si="67"/>
        <v>0</v>
      </c>
      <c r="Z180" s="267"/>
      <c r="AA180" s="267"/>
    </row>
    <row r="181" spans="2:27" x14ac:dyDescent="0.3">
      <c r="D181"/>
      <c r="F181" t="s">
        <v>199</v>
      </c>
      <c r="G181" t="s">
        <v>269</v>
      </c>
      <c r="H181" s="267"/>
      <c r="I181" s="267"/>
      <c r="J181" s="268"/>
      <c r="K181" s="268"/>
      <c r="L181" s="268"/>
      <c r="M181" s="268"/>
      <c r="N181" s="268"/>
      <c r="O181" s="268"/>
      <c r="P181" s="268"/>
      <c r="Q181" s="268"/>
      <c r="R181" s="282">
        <f t="shared" ref="R181:S181" si="68">hundred * $H72 * R102 / $H44 / hours_in_year</f>
        <v>-0.14017080929972031</v>
      </c>
      <c r="S181" s="282">
        <f t="shared" si="68"/>
        <v>0</v>
      </c>
      <c r="T181" s="282">
        <f t="shared" ref="T181:U181" si="69">hundred * $H72 * T102 / $H44 / hours_in_year</f>
        <v>-0.14017080929972031</v>
      </c>
      <c r="U181" s="282">
        <f t="shared" si="69"/>
        <v>-0.14017080929972031</v>
      </c>
      <c r="V181" s="282">
        <f t="shared" ref="V181:W181" si="70">hundred * $H72 * V102 / $H44 / hours_in_year</f>
        <v>0</v>
      </c>
      <c r="W181" s="282">
        <f t="shared" si="70"/>
        <v>0</v>
      </c>
      <c r="X181" s="282">
        <f t="shared" ref="X181:Y181" si="71">hundred * $H72 * X102 / $H44 / hours_in_year</f>
        <v>0</v>
      </c>
      <c r="Y181" s="282">
        <f t="shared" si="71"/>
        <v>0</v>
      </c>
      <c r="Z181" s="267"/>
      <c r="AA181" s="267"/>
    </row>
    <row r="182" spans="2:27" x14ac:dyDescent="0.3">
      <c r="D182"/>
      <c r="F182" t="s">
        <v>376</v>
      </c>
      <c r="G182" t="s">
        <v>269</v>
      </c>
      <c r="H182" s="267"/>
      <c r="I182" s="267"/>
      <c r="J182" s="268"/>
      <c r="K182" s="268"/>
      <c r="L182" s="268"/>
      <c r="M182" s="268"/>
      <c r="N182" s="268"/>
      <c r="O182" s="268"/>
      <c r="P182" s="268"/>
      <c r="Q182" s="268"/>
      <c r="R182" s="268"/>
      <c r="S182" s="268"/>
      <c r="T182" s="268"/>
      <c r="U182" s="268"/>
      <c r="V182" s="268"/>
      <c r="W182" s="268"/>
      <c r="X182" s="268"/>
      <c r="Y182" s="268"/>
      <c r="Z182" s="267"/>
      <c r="AA182" s="267"/>
    </row>
    <row r="183" spans="2:27" x14ac:dyDescent="0.3">
      <c r="D183"/>
      <c r="F183" s="37" t="s">
        <v>377</v>
      </c>
      <c r="G183" s="37" t="s">
        <v>269</v>
      </c>
      <c r="H183" s="269"/>
      <c r="I183" s="269"/>
      <c r="J183" s="270"/>
      <c r="K183" s="270"/>
      <c r="L183" s="270"/>
      <c r="M183" s="270"/>
      <c r="N183" s="270"/>
      <c r="O183" s="270"/>
      <c r="P183" s="270"/>
      <c r="Q183" s="270"/>
      <c r="R183" s="270"/>
      <c r="S183" s="270"/>
      <c r="T183" s="270"/>
      <c r="U183" s="270"/>
      <c r="V183" s="270"/>
      <c r="W183" s="270"/>
      <c r="X183" s="270"/>
      <c r="Y183" s="270"/>
      <c r="Z183" s="267"/>
      <c r="AA183" s="267"/>
    </row>
    <row r="184" spans="2:27" x14ac:dyDescent="0.3">
      <c r="D184"/>
      <c r="E184"/>
      <c r="J184" s="89"/>
      <c r="K184" s="89"/>
      <c r="L184" s="89"/>
      <c r="M184" s="89"/>
      <c r="N184" s="89"/>
      <c r="O184" s="89"/>
      <c r="P184" s="89"/>
      <c r="Q184" s="89"/>
      <c r="R184" s="89"/>
      <c r="S184" s="89"/>
      <c r="T184" s="89"/>
      <c r="U184" s="89"/>
      <c r="V184" s="89"/>
      <c r="W184" s="89"/>
      <c r="X184" s="89"/>
      <c r="Y184" s="89"/>
    </row>
    <row r="185" spans="2:27" x14ac:dyDescent="0.3">
      <c r="B185" s="30" t="s">
        <v>679</v>
      </c>
      <c r="C185" s="30"/>
      <c r="D185" s="30"/>
      <c r="E185" s="30"/>
      <c r="F185" s="30"/>
      <c r="G185" s="30"/>
      <c r="H185" s="30"/>
      <c r="I185" s="30"/>
      <c r="J185" s="184"/>
      <c r="K185" s="184"/>
      <c r="L185" s="184"/>
      <c r="M185" s="184"/>
      <c r="N185" s="184"/>
      <c r="O185" s="184"/>
      <c r="P185" s="184"/>
      <c r="Q185" s="184"/>
      <c r="R185" s="184"/>
      <c r="S185" s="184"/>
      <c r="T185" s="184"/>
      <c r="U185" s="184"/>
      <c r="V185" s="184"/>
      <c r="W185" s="184"/>
      <c r="X185" s="184"/>
      <c r="Y185" s="184"/>
      <c r="Z185" s="30"/>
      <c r="AA185" s="30"/>
    </row>
    <row r="186" spans="2:27" x14ac:dyDescent="0.3">
      <c r="B186" s="206"/>
      <c r="J186" s="89"/>
      <c r="K186" s="89"/>
      <c r="L186" s="89"/>
      <c r="M186" s="89"/>
      <c r="N186" s="89"/>
      <c r="O186" s="89"/>
      <c r="P186" s="89"/>
      <c r="Q186" s="89"/>
      <c r="R186" s="89"/>
      <c r="S186" s="89"/>
      <c r="T186" s="89"/>
      <c r="U186" s="89"/>
      <c r="V186" s="89"/>
      <c r="W186" s="89"/>
      <c r="X186" s="89"/>
      <c r="Y186" s="89"/>
    </row>
    <row r="187" spans="2:27" x14ac:dyDescent="0.3">
      <c r="B187" s="206"/>
      <c r="C187" s="29" t="s">
        <v>680</v>
      </c>
      <c r="J187" s="89"/>
      <c r="K187" s="89"/>
      <c r="L187" s="89"/>
      <c r="M187" s="89"/>
      <c r="N187" s="89"/>
      <c r="O187" s="89"/>
      <c r="P187" s="89"/>
      <c r="Q187" s="89"/>
      <c r="R187" s="89"/>
      <c r="S187" s="89"/>
      <c r="T187" s="89"/>
      <c r="U187" s="89"/>
      <c r="V187" s="89"/>
      <c r="W187" s="89"/>
      <c r="X187" s="89"/>
      <c r="Y187" s="89"/>
    </row>
    <row r="188" spans="2:27" x14ac:dyDescent="0.3">
      <c r="B188" s="206"/>
      <c r="C188" s="29" t="s">
        <v>681</v>
      </c>
      <c r="I188" t="s">
        <v>154</v>
      </c>
      <c r="J188" s="89"/>
      <c r="K188" s="89"/>
      <c r="L188" s="89"/>
      <c r="M188" s="89"/>
      <c r="N188" s="89"/>
      <c r="O188" s="89"/>
      <c r="P188" s="89"/>
      <c r="Q188" s="89"/>
      <c r="R188" s="89"/>
      <c r="S188" s="89"/>
      <c r="T188" s="89"/>
      <c r="U188" s="89"/>
      <c r="V188" s="89"/>
      <c r="W188" s="89"/>
      <c r="X188" s="89"/>
      <c r="Y188" s="89"/>
      <c r="AA188" t="s">
        <v>682</v>
      </c>
    </row>
    <row r="189" spans="2:27" x14ac:dyDescent="0.3">
      <c r="B189" s="206"/>
      <c r="J189" s="89"/>
      <c r="K189" s="89"/>
      <c r="L189" s="89"/>
      <c r="M189" s="89"/>
      <c r="N189" s="89"/>
      <c r="O189" s="89"/>
      <c r="P189" s="89"/>
      <c r="Q189" s="89"/>
      <c r="R189" s="89"/>
      <c r="S189" s="89"/>
      <c r="T189" s="89"/>
      <c r="U189" s="89"/>
      <c r="V189" s="89"/>
      <c r="W189" s="89"/>
      <c r="X189" s="89"/>
      <c r="Y189" s="89"/>
    </row>
    <row r="190" spans="2:27" x14ac:dyDescent="0.3">
      <c r="C190" s="31" t="str">
        <f ca="1">INDEX('Version control'!$H$34:$H$57,MATCH($A$1,'Version control'!$F$34:$F$57,0),1)&amp;"-D: Reactive power charges, all customer categories"</f>
        <v>Section 113-D: Reactive power charges, all customer categories</v>
      </c>
      <c r="D190" s="31"/>
      <c r="E190" s="31"/>
      <c r="F190" s="31"/>
      <c r="G190" s="31"/>
      <c r="H190" s="31"/>
      <c r="I190" s="31"/>
      <c r="J190" s="90"/>
      <c r="K190" s="90"/>
      <c r="L190" s="90"/>
      <c r="M190" s="90"/>
      <c r="N190" s="90"/>
      <c r="O190" s="90"/>
      <c r="P190" s="90"/>
      <c r="Q190" s="90"/>
      <c r="R190" s="90"/>
      <c r="S190" s="90"/>
      <c r="T190" s="90"/>
      <c r="U190" s="90"/>
      <c r="V190" s="90"/>
      <c r="W190" s="90"/>
      <c r="X190" s="90"/>
      <c r="Y190" s="90"/>
      <c r="Z190" s="31"/>
      <c r="AA190" s="31"/>
    </row>
    <row r="191" spans="2:27" x14ac:dyDescent="0.3">
      <c r="C191" s="32"/>
      <c r="D191"/>
      <c r="E191" s="32"/>
      <c r="I191" t="s">
        <v>154</v>
      </c>
      <c r="J191" s="89"/>
      <c r="K191" s="89"/>
      <c r="L191" s="89"/>
      <c r="M191" s="89"/>
      <c r="N191" s="89"/>
      <c r="O191" s="89"/>
      <c r="P191" s="89"/>
      <c r="Q191" s="89"/>
      <c r="R191" s="89"/>
      <c r="S191" s="89"/>
      <c r="T191" s="89"/>
      <c r="U191" s="89"/>
      <c r="V191" s="89"/>
      <c r="W191" s="89"/>
      <c r="X191" s="89"/>
      <c r="Y191" s="89"/>
      <c r="AA191" t="s">
        <v>683</v>
      </c>
    </row>
    <row r="192" spans="2:27" x14ac:dyDescent="0.3">
      <c r="E192" s="32" t="s">
        <v>621</v>
      </c>
      <c r="J192" s="89"/>
      <c r="K192" s="89"/>
      <c r="L192" s="89"/>
      <c r="M192" s="89"/>
      <c r="N192" s="89"/>
      <c r="O192" s="89"/>
      <c r="P192" s="89"/>
      <c r="Q192" s="89"/>
      <c r="R192" s="89"/>
      <c r="S192" s="89"/>
      <c r="T192" s="89"/>
      <c r="U192" s="89"/>
      <c r="V192" s="89"/>
      <c r="W192" s="89"/>
      <c r="X192" s="89"/>
      <c r="Y192" s="89"/>
    </row>
    <row r="193" spans="4:27" x14ac:dyDescent="0.3">
      <c r="F193" s="23" t="s">
        <v>189</v>
      </c>
      <c r="G193" s="23" t="s">
        <v>272</v>
      </c>
      <c r="H193" s="266"/>
      <c r="I193" s="266"/>
      <c r="J193" s="280"/>
      <c r="K193" s="280"/>
      <c r="L193" s="280"/>
      <c r="M193" s="280"/>
      <c r="N193" s="280"/>
      <c r="O193" s="280"/>
      <c r="P193" s="280"/>
      <c r="Q193" s="280"/>
      <c r="R193" s="280"/>
      <c r="S193" s="280"/>
      <c r="T193" s="280"/>
      <c r="U193" s="280"/>
      <c r="V193" s="280"/>
      <c r="W193" s="280"/>
      <c r="X193" s="280"/>
      <c r="Y193" s="280"/>
      <c r="Z193" s="267"/>
      <c r="AA193" s="267"/>
    </row>
    <row r="194" spans="4:27" x14ac:dyDescent="0.3">
      <c r="F194" t="s">
        <v>191</v>
      </c>
      <c r="G194" t="s">
        <v>272</v>
      </c>
      <c r="H194" s="267"/>
      <c r="I194" s="267"/>
      <c r="J194" s="268"/>
      <c r="K194" s="268"/>
      <c r="L194" s="268"/>
      <c r="M194" s="268"/>
      <c r="N194" s="268"/>
      <c r="O194" s="268"/>
      <c r="P194" s="268"/>
      <c r="Q194" s="268"/>
      <c r="R194" s="268"/>
      <c r="S194" s="268"/>
      <c r="T194" s="268"/>
      <c r="U194" s="268"/>
      <c r="V194" s="268"/>
      <c r="W194" s="268"/>
      <c r="X194" s="268"/>
      <c r="Y194" s="268"/>
      <c r="Z194" s="267"/>
      <c r="AA194" s="267"/>
    </row>
    <row r="195" spans="4:27" x14ac:dyDescent="0.3">
      <c r="F195" t="s">
        <v>192</v>
      </c>
      <c r="G195" t="s">
        <v>272</v>
      </c>
      <c r="H195" s="267"/>
      <c r="I195" s="267"/>
      <c r="J195" s="282">
        <f t="shared" ref="J195:K195" si="72">ABS(J125 + J160)*(1-J82)*PowerFactor*$H23</f>
        <v>2.9921967237224015E-2</v>
      </c>
      <c r="K195" s="282">
        <f t="shared" si="72"/>
        <v>2.9921967237224015E-2</v>
      </c>
      <c r="L195" s="282">
        <f t="shared" ref="L195:M195" si="73">ABS(L125 + L160)*(1-L82)*PowerFactor*$H23</f>
        <v>3.2536982216922833E-2</v>
      </c>
      <c r="M195" s="282">
        <f t="shared" si="73"/>
        <v>3.2536982216922833E-2</v>
      </c>
      <c r="N195" s="282">
        <f t="shared" ref="N195:P195" si="74">ABS(N125 + N160)*(1-N82)*PowerFactor*$H23</f>
        <v>2.7311449495455286E-2</v>
      </c>
      <c r="O195" s="282">
        <f t="shared" si="74"/>
        <v>2.7244945590539561E-2</v>
      </c>
      <c r="P195" s="282">
        <f t="shared" si="74"/>
        <v>1.7317990145470932E-2</v>
      </c>
      <c r="Q195" s="282">
        <f t="shared" ref="Q195:S195" si="75">ABS(Q125 + Q160)*(1-Q82)*PowerFactor*$H23</f>
        <v>2.1617208479860303E-2</v>
      </c>
      <c r="R195" s="282">
        <f t="shared" si="75"/>
        <v>1.6614981220852129E-2</v>
      </c>
      <c r="S195" s="282">
        <f t="shared" si="75"/>
        <v>1.626438987399011E-2</v>
      </c>
      <c r="T195" s="282">
        <f t="shared" ref="T195:U195" si="76">ABS(T125 + T160)*(1-T82)*PowerFactor*$H23</f>
        <v>1.6614981220852129E-2</v>
      </c>
      <c r="U195" s="282">
        <f t="shared" si="76"/>
        <v>1.6614981220852129E-2</v>
      </c>
      <c r="V195" s="282">
        <f t="shared" ref="V195:W195" si="77">ABS(V125 + V160)*(1-V82)*PowerFactor*$H23</f>
        <v>1.626438987399011E-2</v>
      </c>
      <c r="W195" s="282">
        <f t="shared" si="77"/>
        <v>1.626438987399011E-2</v>
      </c>
      <c r="X195" s="282">
        <f t="shared" ref="X195:Y195" si="78">ABS(X125 + X160)*(1-X82)*PowerFactor*$H23</f>
        <v>1.6020500241390446E-2</v>
      </c>
      <c r="Y195" s="282">
        <f t="shared" si="78"/>
        <v>1.6020500241390446E-2</v>
      </c>
      <c r="Z195" s="267"/>
      <c r="AA195" s="267"/>
    </row>
    <row r="196" spans="4:27" x14ac:dyDescent="0.3">
      <c r="F196" t="s">
        <v>193</v>
      </c>
      <c r="G196" t="s">
        <v>272</v>
      </c>
      <c r="H196" s="267"/>
      <c r="I196" s="267"/>
      <c r="J196" s="282">
        <f t="shared" ref="J196:K196" si="79">ABS(J126 + J161)*(1-J83)*PowerFactor*$H24</f>
        <v>7.0839421200929028E-3</v>
      </c>
      <c r="K196" s="282">
        <f t="shared" si="79"/>
        <v>7.0839421200929028E-3</v>
      </c>
      <c r="L196" s="282">
        <f t="shared" ref="L196:M196" si="80">ABS(L126 + L161)*(1-L83)*PowerFactor*$H24</f>
        <v>7.7030396083194487E-3</v>
      </c>
      <c r="M196" s="282">
        <f t="shared" si="80"/>
        <v>7.7030396083194487E-3</v>
      </c>
      <c r="N196" s="282">
        <f t="shared" ref="N196:P196" si="81">ABS(N126 + N161)*(1-N83)*PowerFactor*$H24</f>
        <v>6.4659093403778168E-3</v>
      </c>
      <c r="O196" s="282">
        <f t="shared" si="81"/>
        <v>6.4501647267483668E-3</v>
      </c>
      <c r="P196" s="282">
        <f t="shared" si="81"/>
        <v>4.7591970244355167E-3</v>
      </c>
      <c r="Q196" s="282">
        <f t="shared" ref="Q196:S196" si="82">ABS(Q126 + Q161)*(1-Q83)*PowerFactor*$H24</f>
        <v>5.1178136937068209E-3</v>
      </c>
      <c r="R196" s="282">
        <f t="shared" si="82"/>
        <v>3.9335503699276988E-3</v>
      </c>
      <c r="S196" s="282">
        <f t="shared" si="82"/>
        <v>3.8505488483604167E-3</v>
      </c>
      <c r="T196" s="282">
        <f t="shared" ref="T196:U196" si="83">ABS(T126 + T161)*(1-T83)*PowerFactor*$H24</f>
        <v>3.9335503699276988E-3</v>
      </c>
      <c r="U196" s="282">
        <f t="shared" si="83"/>
        <v>3.9335503699276988E-3</v>
      </c>
      <c r="V196" s="282">
        <f t="shared" ref="V196:W196" si="84">ABS(V126 + V161)*(1-V83)*PowerFactor*$H24</f>
        <v>3.8505488483604167E-3</v>
      </c>
      <c r="W196" s="282">
        <f t="shared" si="84"/>
        <v>3.8505488483604167E-3</v>
      </c>
      <c r="X196" s="282">
        <f t="shared" ref="X196:Y196" si="85">ABS(X126 + X161)*(1-X83)*PowerFactor*$H24</f>
        <v>3.7928086594440466E-3</v>
      </c>
      <c r="Y196" s="282">
        <f t="shared" si="85"/>
        <v>3.7928086594440466E-3</v>
      </c>
      <c r="Z196" s="267"/>
      <c r="AA196" s="267"/>
    </row>
    <row r="197" spans="4:27" x14ac:dyDescent="0.3">
      <c r="F197" t="s">
        <v>194</v>
      </c>
      <c r="G197" t="s">
        <v>272</v>
      </c>
      <c r="H197" s="267"/>
      <c r="I197" s="267"/>
      <c r="J197" s="282">
        <f t="shared" ref="J197:K197" si="86">ABS(J127 + J162)*(1-J84)*PowerFactor*$H25</f>
        <v>7.2003563748452631E-3</v>
      </c>
      <c r="K197" s="282">
        <f t="shared" si="86"/>
        <v>7.2003563748452631E-3</v>
      </c>
      <c r="L197" s="282">
        <f t="shared" ref="L197:M197" si="87">ABS(L127 + L162)*(1-L84)*PowerFactor*$H25</f>
        <v>7.8296278271569372E-3</v>
      </c>
      <c r="M197" s="282">
        <f t="shared" si="87"/>
        <v>7.8296278271569372E-3</v>
      </c>
      <c r="N197" s="282">
        <f t="shared" ref="N197:P197" si="88">ABS(N127 + N162)*(1-N84)*PowerFactor*$H25</f>
        <v>6.5721671279762471E-3</v>
      </c>
      <c r="O197" s="282">
        <f t="shared" si="88"/>
        <v>6.5561637745898968E-3</v>
      </c>
      <c r="P197" s="282">
        <f t="shared" si="88"/>
        <v>3.8699259878864699E-3</v>
      </c>
      <c r="Q197" s="282">
        <f t="shared" ref="Q197:S197" si="89">ABS(Q127 + Q162)*(1-Q84)*PowerFactor*$H25</f>
        <v>5.2019174959420777E-3</v>
      </c>
      <c r="R197" s="282">
        <f t="shared" si="89"/>
        <v>3.9981925320293843E-3</v>
      </c>
      <c r="S197" s="282">
        <f t="shared" si="89"/>
        <v>3.9138270015370196E-3</v>
      </c>
      <c r="T197" s="282">
        <f t="shared" ref="T197:U197" si="90">ABS(T127 + T162)*(1-T84)*PowerFactor*$H25</f>
        <v>3.9981925320293843E-3</v>
      </c>
      <c r="U197" s="282">
        <f t="shared" si="90"/>
        <v>3.9981925320293843E-3</v>
      </c>
      <c r="V197" s="282">
        <f t="shared" ref="V197:W197" si="91">ABS(V127 + V162)*(1-V84)*PowerFactor*$H25</f>
        <v>3.9138270015370196E-3</v>
      </c>
      <c r="W197" s="282">
        <f t="shared" si="91"/>
        <v>3.9138270015370196E-3</v>
      </c>
      <c r="X197" s="282">
        <f t="shared" ref="X197:Y197" si="92">ABS(X127 + X162)*(1-X84)*PowerFactor*$H25</f>
        <v>3.8551379368466808E-3</v>
      </c>
      <c r="Y197" s="282">
        <f t="shared" si="92"/>
        <v>3.8551379368466808E-3</v>
      </c>
      <c r="Z197" s="267"/>
      <c r="AA197" s="267"/>
    </row>
    <row r="198" spans="4:27" x14ac:dyDescent="0.3">
      <c r="F198" t="s">
        <v>195</v>
      </c>
      <c r="G198" t="s">
        <v>272</v>
      </c>
      <c r="H198" s="267"/>
      <c r="I198" s="267"/>
      <c r="J198" s="282">
        <f t="shared" ref="J198:K198" si="93">ABS(J128 + J163)*(1-J85)*PowerFactor*$H26</f>
        <v>1.388004159681836E-2</v>
      </c>
      <c r="K198" s="282">
        <f t="shared" si="93"/>
        <v>1.388004159681836E-2</v>
      </c>
      <c r="L198" s="282">
        <f t="shared" ref="L198:M198" si="94">ABS(L128 + L163)*(1-L85)*PowerFactor*$H26</f>
        <v>1.509308071308905E-2</v>
      </c>
      <c r="M198" s="282">
        <f t="shared" si="94"/>
        <v>1.509308071308905E-2</v>
      </c>
      <c r="N198" s="282">
        <f t="shared" ref="N198:P198" si="95">ABS(N128 + N163)*(1-N85)*PowerFactor*$H26</f>
        <v>1.2669088635145914E-2</v>
      </c>
      <c r="O198" s="282">
        <f t="shared" si="95"/>
        <v>1.2638239160602249E-2</v>
      </c>
      <c r="P198" s="282">
        <f t="shared" si="95"/>
        <v>0</v>
      </c>
      <c r="Q198" s="282">
        <f t="shared" ref="Q198:S198" si="96">ABS(Q128 + Q163)*(1-Q85)*PowerFactor*$H26</f>
        <v>1.0027674668872883E-2</v>
      </c>
      <c r="R198" s="282">
        <f t="shared" si="96"/>
        <v>7.7072683305691204E-3</v>
      </c>
      <c r="S198" s="282">
        <f t="shared" si="96"/>
        <v>7.544637897905734E-3</v>
      </c>
      <c r="T198" s="282">
        <f t="shared" ref="T198:U198" si="97">ABS(T128 + T163)*(1-T85)*PowerFactor*$H26</f>
        <v>7.7072683305691204E-3</v>
      </c>
      <c r="U198" s="282">
        <f t="shared" si="97"/>
        <v>7.7072683305691204E-3</v>
      </c>
      <c r="V198" s="282">
        <f t="shared" ref="V198:W198" si="98">ABS(V128 + V163)*(1-V85)*PowerFactor*$H26</f>
        <v>7.544637897905734E-3</v>
      </c>
      <c r="W198" s="282">
        <f t="shared" si="98"/>
        <v>7.544637897905734E-3</v>
      </c>
      <c r="X198" s="282">
        <f t="shared" ref="X198:Y198" si="99">ABS(X128 + X163)*(1-X85)*PowerFactor*$H26</f>
        <v>5.5168431269095597E-3</v>
      </c>
      <c r="Y198" s="282">
        <f t="shared" si="99"/>
        <v>5.5168431269095597E-3</v>
      </c>
      <c r="Z198" s="267"/>
      <c r="AA198" s="267"/>
    </row>
    <row r="199" spans="4:27" x14ac:dyDescent="0.3">
      <c r="F199" t="s">
        <v>196</v>
      </c>
      <c r="G199" t="s">
        <v>272</v>
      </c>
      <c r="H199" s="267"/>
      <c r="I199" s="267"/>
      <c r="J199" s="282">
        <f t="shared" ref="J199:K199" si="100">ABS(J129 + J164)*(1-J86)*PowerFactor*$H27</f>
        <v>1.4818606203156563E-2</v>
      </c>
      <c r="K199" s="282">
        <f t="shared" si="100"/>
        <v>1.4818606203156563E-2</v>
      </c>
      <c r="L199" s="282">
        <f t="shared" ref="L199:M199" si="101">ABS(L129 + L164)*(1-L86)*PowerFactor*$H27</f>
        <v>1.6113670691807722E-2</v>
      </c>
      <c r="M199" s="282">
        <f t="shared" si="101"/>
        <v>1.6113670691807722E-2</v>
      </c>
      <c r="N199" s="282">
        <f t="shared" ref="N199:P199" si="102">ABS(N129 + N164)*(1-N86)*PowerFactor*$H27</f>
        <v>1.3525768934305479E-2</v>
      </c>
      <c r="O199" s="282">
        <f t="shared" si="102"/>
        <v>1.3492833426753276E-2</v>
      </c>
      <c r="P199" s="282">
        <f t="shared" si="102"/>
        <v>0</v>
      </c>
      <c r="Q199" s="282">
        <f t="shared" ref="Q199:S199" si="103">ABS(Q129 + Q164)*(1-Q86)*PowerFactor*$H27</f>
        <v>1.0705743280009871E-2</v>
      </c>
      <c r="R199" s="282">
        <f t="shared" si="103"/>
        <v>8.228431701454238E-3</v>
      </c>
      <c r="S199" s="282">
        <f t="shared" si="103"/>
        <v>8.0548042435336434E-3</v>
      </c>
      <c r="T199" s="282">
        <f t="shared" ref="T199:U199" si="104">ABS(T129 + T164)*(1-T86)*PowerFactor*$H27</f>
        <v>8.228431701454238E-3</v>
      </c>
      <c r="U199" s="282">
        <f t="shared" si="104"/>
        <v>8.228431701454238E-3</v>
      </c>
      <c r="V199" s="282">
        <f t="shared" ref="V199:W199" si="105">ABS(V129 + V164)*(1-V86)*PowerFactor*$H27</f>
        <v>8.0548042435336434E-3</v>
      </c>
      <c r="W199" s="282">
        <f t="shared" si="105"/>
        <v>8.0548042435336434E-3</v>
      </c>
      <c r="X199" s="282">
        <f t="shared" ref="X199:Y199" si="106">ABS(X129 + X164)*(1-X86)*PowerFactor*$H27</f>
        <v>5.8898905462216444E-3</v>
      </c>
      <c r="Y199" s="282">
        <f t="shared" si="106"/>
        <v>5.8898905462216444E-3</v>
      </c>
      <c r="Z199" s="267"/>
      <c r="AA199" s="267"/>
    </row>
    <row r="200" spans="4:27" x14ac:dyDescent="0.3">
      <c r="F200" t="s">
        <v>197</v>
      </c>
      <c r="G200" t="s">
        <v>272</v>
      </c>
      <c r="H200" s="267"/>
      <c r="I200" s="267"/>
      <c r="J200" s="282">
        <f t="shared" ref="J200:K200" si="107">ABS(J130 + J165)*(1-J87)*PowerFactor*$H28</f>
        <v>5.4308052212214603E-2</v>
      </c>
      <c r="K200" s="282">
        <f t="shared" si="107"/>
        <v>5.4308052212214603E-2</v>
      </c>
      <c r="L200" s="282">
        <f t="shared" ref="L200:M200" si="108">ABS(L130 + L165)*(1-L87)*PowerFactor*$H28</f>
        <v>5.905427658066232E-2</v>
      </c>
      <c r="M200" s="282">
        <f t="shared" si="108"/>
        <v>5.905427658066232E-2</v>
      </c>
      <c r="N200" s="282">
        <f t="shared" ref="N200:P200" si="109">ABS(N130 + N165)*(1-N87)*PowerFactor*$H28</f>
        <v>3.9655992226213084E-2</v>
      </c>
      <c r="O200" s="282">
        <f t="shared" si="109"/>
        <v>0</v>
      </c>
      <c r="P200" s="282">
        <f t="shared" si="109"/>
        <v>0</v>
      </c>
      <c r="Q200" s="282">
        <f t="shared" ref="Q200:S200" si="110">ABS(Q130 + Q165)*(1-Q87)*PowerFactor*$H28</f>
        <v>3.9235003417358777E-2</v>
      </c>
      <c r="R200" s="282">
        <f t="shared" si="110"/>
        <v>3.0156014158202623E-2</v>
      </c>
      <c r="S200" s="282">
        <f t="shared" si="110"/>
        <v>2.9519694593396508E-2</v>
      </c>
      <c r="T200" s="282">
        <f t="shared" ref="T200:U200" si="111">ABS(T130 + T165)*(1-T87)*PowerFactor*$H28</f>
        <v>3.0156014158202623E-2</v>
      </c>
      <c r="U200" s="282">
        <f t="shared" si="111"/>
        <v>3.0156014158202623E-2</v>
      </c>
      <c r="V200" s="282">
        <f t="shared" ref="V200:W200" si="112">ABS(V130 + V165)*(1-V87)*PowerFactor*$H28</f>
        <v>2.9519694593396508E-2</v>
      </c>
      <c r="W200" s="282">
        <f t="shared" si="112"/>
        <v>2.9519694593396508E-2</v>
      </c>
      <c r="X200" s="282">
        <f t="shared" ref="X200:Y200" si="113">ABS(X130 + X165)*(1-X87)*PowerFactor*$H28</f>
        <v>2.2986467355732742E-2</v>
      </c>
      <c r="Y200" s="282">
        <f t="shared" si="113"/>
        <v>2.2986467355732742E-2</v>
      </c>
      <c r="Z200" s="267"/>
      <c r="AA200" s="267"/>
    </row>
    <row r="201" spans="4:27" x14ac:dyDescent="0.3">
      <c r="F201" t="s">
        <v>198</v>
      </c>
      <c r="G201" t="s">
        <v>272</v>
      </c>
      <c r="H201" s="267"/>
      <c r="I201" s="267"/>
      <c r="J201" s="282">
        <f t="shared" ref="J201:K201" si="114">ABS(J131 + J166)*(1-J88)*PowerFactor*$H29</f>
        <v>1.5481230103893157E-2</v>
      </c>
      <c r="K201" s="282">
        <f t="shared" si="114"/>
        <v>1.5481230103893157E-2</v>
      </c>
      <c r="L201" s="282">
        <f t="shared" ref="L201:M201" si="115">ABS(L131 + L166)*(1-L88)*PowerFactor*$H29</f>
        <v>1.6834204268488921E-2</v>
      </c>
      <c r="M201" s="282">
        <f t="shared" si="115"/>
        <v>1.6834204268488921E-2</v>
      </c>
      <c r="N201" s="282">
        <f t="shared" ref="N201:P201" si="116">ABS(N131 + N166)*(1-N88)*PowerFactor*$H29</f>
        <v>0</v>
      </c>
      <c r="O201" s="282">
        <f t="shared" si="116"/>
        <v>0</v>
      </c>
      <c r="P201" s="282">
        <f t="shared" si="116"/>
        <v>0</v>
      </c>
      <c r="Q201" s="282">
        <f t="shared" ref="Q201:S201" si="117">ABS(Q131 + Q166)*(1-Q88)*PowerFactor*$H29</f>
        <v>1.1184457760658776E-2</v>
      </c>
      <c r="R201" s="282">
        <f t="shared" si="117"/>
        <v>8.5963715357553084E-3</v>
      </c>
      <c r="S201" s="282">
        <f t="shared" si="117"/>
        <v>8.4149802097714804E-3</v>
      </c>
      <c r="T201" s="282">
        <f t="shared" ref="T201:U201" si="118">ABS(T131 + T166)*(1-T88)*PowerFactor*$H29</f>
        <v>8.5963715357553084E-3</v>
      </c>
      <c r="U201" s="282">
        <f t="shared" si="118"/>
        <v>8.5963715357553084E-3</v>
      </c>
      <c r="V201" s="282">
        <f t="shared" ref="V201:W201" si="119">ABS(V131 + V166)*(1-V88)*PowerFactor*$H29</f>
        <v>8.4149802097714804E-3</v>
      </c>
      <c r="W201" s="282">
        <f t="shared" si="119"/>
        <v>8.4149802097714804E-3</v>
      </c>
      <c r="X201" s="282">
        <f t="shared" ref="X201:Y201" si="120">ABS(X131 + X166)*(1-X88)*PowerFactor*$H29</f>
        <v>0</v>
      </c>
      <c r="Y201" s="282">
        <f t="shared" si="120"/>
        <v>0</v>
      </c>
      <c r="Z201" s="267"/>
      <c r="AA201" s="267"/>
    </row>
    <row r="202" spans="4:27" x14ac:dyDescent="0.3">
      <c r="F202" t="s">
        <v>199</v>
      </c>
      <c r="G202" t="s">
        <v>272</v>
      </c>
      <c r="H202" s="267"/>
      <c r="I202" s="267"/>
      <c r="J202" s="282">
        <f t="shared" ref="J202:K202" si="121">ABS(J132 + J167)*(1-J89)*PowerFactor*$H30</f>
        <v>0</v>
      </c>
      <c r="K202" s="282">
        <f t="shared" si="121"/>
        <v>0</v>
      </c>
      <c r="L202" s="282">
        <f t="shared" ref="L202:M202" si="122">ABS(L132 + L167)*(1-L89)*PowerFactor*$H30</f>
        <v>0</v>
      </c>
      <c r="M202" s="282">
        <f t="shared" si="122"/>
        <v>0</v>
      </c>
      <c r="N202" s="282">
        <f t="shared" ref="N202:P202" si="123">ABS(N132 + N167)*(1-N89)*PowerFactor*$H30</f>
        <v>0</v>
      </c>
      <c r="O202" s="282">
        <f t="shared" si="123"/>
        <v>0</v>
      </c>
      <c r="P202" s="282">
        <f t="shared" si="123"/>
        <v>0</v>
      </c>
      <c r="Q202" s="282">
        <f t="shared" ref="Q202:S202" si="124">ABS(Q132 + Q167)*(1-Q89)*PowerFactor*$H30</f>
        <v>7.4678995660583617E-3</v>
      </c>
      <c r="R202" s="282">
        <f t="shared" si="124"/>
        <v>5.7398258042830911E-3</v>
      </c>
      <c r="S202" s="282">
        <f t="shared" si="124"/>
        <v>0</v>
      </c>
      <c r="T202" s="282">
        <f t="shared" ref="T202:U202" si="125">ABS(T132 + T167)*(1-T89)*PowerFactor*$H30</f>
        <v>5.7398258042830911E-3</v>
      </c>
      <c r="U202" s="282">
        <f t="shared" si="125"/>
        <v>5.7398258042830911E-3</v>
      </c>
      <c r="V202" s="282">
        <f t="shared" ref="V202:W202" si="126">ABS(V132 + V167)*(1-V89)*PowerFactor*$H30</f>
        <v>0</v>
      </c>
      <c r="W202" s="282">
        <f t="shared" si="126"/>
        <v>0</v>
      </c>
      <c r="X202" s="282">
        <f t="shared" ref="X202:Y202" si="127">ABS(X132 + X167)*(1-X89)*PowerFactor*$H30</f>
        <v>0</v>
      </c>
      <c r="Y202" s="282">
        <f t="shared" si="127"/>
        <v>0</v>
      </c>
      <c r="Z202" s="267"/>
      <c r="AA202" s="267"/>
    </row>
    <row r="203" spans="4:27" x14ac:dyDescent="0.3">
      <c r="F203" t="s">
        <v>376</v>
      </c>
      <c r="G203" t="s">
        <v>272</v>
      </c>
      <c r="H203" s="267"/>
      <c r="I203" s="267"/>
      <c r="J203" s="268"/>
      <c r="K203" s="268"/>
      <c r="L203" s="268"/>
      <c r="M203" s="268"/>
      <c r="N203" s="268"/>
      <c r="O203" s="268"/>
      <c r="P203" s="268"/>
      <c r="Q203" s="268"/>
      <c r="R203" s="268"/>
      <c r="S203" s="268"/>
      <c r="T203" s="268"/>
      <c r="U203" s="268"/>
      <c r="V203" s="268"/>
      <c r="W203" s="268"/>
      <c r="X203" s="268"/>
      <c r="Y203" s="268"/>
      <c r="Z203" s="267"/>
      <c r="AA203" s="267"/>
    </row>
    <row r="204" spans="4:27" x14ac:dyDescent="0.3">
      <c r="F204" s="37" t="s">
        <v>377</v>
      </c>
      <c r="G204" s="37" t="s">
        <v>272</v>
      </c>
      <c r="H204" s="269"/>
      <c r="I204" s="269"/>
      <c r="J204" s="270"/>
      <c r="K204" s="270"/>
      <c r="L204" s="270"/>
      <c r="M204" s="270"/>
      <c r="N204" s="270"/>
      <c r="O204" s="270"/>
      <c r="P204" s="270"/>
      <c r="Q204" s="270"/>
      <c r="R204" s="270"/>
      <c r="S204" s="270"/>
      <c r="T204" s="270"/>
      <c r="U204" s="270"/>
      <c r="V204" s="270"/>
      <c r="W204" s="270"/>
      <c r="X204" s="270"/>
      <c r="Y204" s="270"/>
      <c r="Z204" s="267"/>
      <c r="AA204" s="267"/>
    </row>
    <row r="205" spans="4:27" x14ac:dyDescent="0.3">
      <c r="D205"/>
      <c r="J205" s="89"/>
      <c r="K205" s="89"/>
      <c r="L205" s="89"/>
      <c r="M205" s="89"/>
      <c r="N205" s="89"/>
      <c r="O205" s="89"/>
      <c r="P205" s="89"/>
      <c r="Q205" s="89"/>
      <c r="R205" s="89"/>
      <c r="S205" s="89"/>
      <c r="T205" s="89"/>
      <c r="U205" s="89"/>
      <c r="V205" s="89"/>
      <c r="W205" s="89"/>
      <c r="X205" s="89"/>
      <c r="Y205" s="89"/>
    </row>
    <row r="206" spans="4:27" x14ac:dyDescent="0.3">
      <c r="E206" s="32" t="s">
        <v>622</v>
      </c>
      <c r="J206" s="89"/>
      <c r="K206" s="89"/>
      <c r="L206" s="89"/>
      <c r="M206" s="89"/>
      <c r="N206" s="89"/>
      <c r="O206" s="89"/>
      <c r="P206" s="89"/>
      <c r="Q206" s="89"/>
      <c r="R206" s="89"/>
      <c r="S206" s="89"/>
      <c r="T206" s="89"/>
      <c r="U206" s="89"/>
      <c r="V206" s="89"/>
      <c r="W206" s="89"/>
      <c r="X206" s="89"/>
      <c r="Y206" s="89"/>
    </row>
    <row r="207" spans="4:27" x14ac:dyDescent="0.3">
      <c r="F207" s="23" t="s">
        <v>189</v>
      </c>
      <c r="G207" s="23" t="s">
        <v>272</v>
      </c>
      <c r="H207" s="266"/>
      <c r="I207" s="266"/>
      <c r="J207" s="434">
        <f t="shared" ref="J207:K207" si="128">ABS(J137 + J172)*(1-J81)*PowerFactor*$H22</f>
        <v>2.1637911870918E-2</v>
      </c>
      <c r="K207" s="434">
        <f t="shared" si="128"/>
        <v>2.1637911870918E-2</v>
      </c>
      <c r="L207" s="434">
        <f t="shared" ref="L207:M207" si="129">ABS(L137 + L172)*(1-L81)*PowerFactor*$H22</f>
        <v>2.3528946080776429E-2</v>
      </c>
      <c r="M207" s="434">
        <f t="shared" si="129"/>
        <v>2.3528946080776429E-2</v>
      </c>
      <c r="N207" s="434">
        <f t="shared" ref="N207:P207" si="130">ABS(N137 + N172)*(1-N81)*PowerFactor*$H22</f>
        <v>1.9750129814810786E-2</v>
      </c>
      <c r="O207" s="434">
        <f t="shared" si="130"/>
        <v>1.9702037868775626E-2</v>
      </c>
      <c r="P207" s="434">
        <f t="shared" si="130"/>
        <v>1.4536974476256783E-2</v>
      </c>
      <c r="Q207" s="434">
        <f t="shared" ref="Q207:S207" si="131">ABS(Q137 + Q172)*(1-Q81)*PowerFactor*$H22</f>
        <v>1.5632369632454485E-2</v>
      </c>
      <c r="R207" s="434">
        <f t="shared" si="131"/>
        <v>1.201503552702605E-2</v>
      </c>
      <c r="S207" s="434">
        <f t="shared" si="131"/>
        <v>1.1761507254437425E-2</v>
      </c>
      <c r="T207" s="434">
        <f t="shared" ref="T207:U207" si="132">ABS(T137 + T172)*(1-T81)*PowerFactor*$H22</f>
        <v>1.201503552702605E-2</v>
      </c>
      <c r="U207" s="434">
        <f t="shared" si="132"/>
        <v>1.201503552702605E-2</v>
      </c>
      <c r="V207" s="434">
        <f t="shared" ref="V207:W207" si="133">ABS(V137 + V172)*(1-V81)*PowerFactor*$H22</f>
        <v>1.1761507254437425E-2</v>
      </c>
      <c r="W207" s="434">
        <f t="shared" si="133"/>
        <v>1.1761507254437425E-2</v>
      </c>
      <c r="X207" s="434">
        <f t="shared" ref="X207:Y207" si="134">ABS(X137 + X172)*(1-X81)*PowerFactor*$H22</f>
        <v>1.1585139760462732E-2</v>
      </c>
      <c r="Y207" s="434">
        <f t="shared" si="134"/>
        <v>1.1585139760462732E-2</v>
      </c>
      <c r="Z207" s="267"/>
      <c r="AA207" s="267"/>
    </row>
    <row r="208" spans="4:27" x14ac:dyDescent="0.3">
      <c r="F208" t="s">
        <v>191</v>
      </c>
      <c r="G208" t="s">
        <v>272</v>
      </c>
      <c r="H208" s="267"/>
      <c r="I208" s="267"/>
      <c r="J208" s="282">
        <f t="shared" ref="J208:K208" si="135">ABS(J138 + J173)*(1-J81)*PowerFactor*$H22</f>
        <v>0</v>
      </c>
      <c r="K208" s="282">
        <f t="shared" si="135"/>
        <v>0</v>
      </c>
      <c r="L208" s="282">
        <f t="shared" ref="L208:M208" si="136">ABS(L138 + L173)*(1-L81)*PowerFactor*$H22</f>
        <v>0</v>
      </c>
      <c r="M208" s="282">
        <f t="shared" si="136"/>
        <v>0</v>
      </c>
      <c r="N208" s="282">
        <f t="shared" ref="N208:P208" si="137">ABS(N138 + N173)*(1-N81)*PowerFactor*$H22</f>
        <v>0</v>
      </c>
      <c r="O208" s="282">
        <f t="shared" si="137"/>
        <v>0</v>
      </c>
      <c r="P208" s="282">
        <f t="shared" si="137"/>
        <v>0</v>
      </c>
      <c r="Q208" s="282">
        <f t="shared" ref="Q208:S208" si="138">ABS(Q138 + Q173)*(1-Q81)*PowerFactor*$H22</f>
        <v>0</v>
      </c>
      <c r="R208" s="282">
        <f t="shared" si="138"/>
        <v>0</v>
      </c>
      <c r="S208" s="282">
        <f t="shared" si="138"/>
        <v>0</v>
      </c>
      <c r="T208" s="282">
        <f t="shared" ref="T208:U208" si="139">ABS(T138 + T173)*(1-T81)*PowerFactor*$H22</f>
        <v>0</v>
      </c>
      <c r="U208" s="282">
        <f t="shared" si="139"/>
        <v>0</v>
      </c>
      <c r="V208" s="282">
        <f t="shared" ref="V208:W208" si="140">ABS(V138 + V173)*(1-V81)*PowerFactor*$H22</f>
        <v>0</v>
      </c>
      <c r="W208" s="282">
        <f t="shared" si="140"/>
        <v>0</v>
      </c>
      <c r="X208" s="282">
        <f t="shared" ref="X208:Y208" si="141">ABS(X138 + X173)*(1-X81)*PowerFactor*$H22</f>
        <v>0</v>
      </c>
      <c r="Y208" s="282">
        <f t="shared" si="141"/>
        <v>0</v>
      </c>
      <c r="Z208" s="267"/>
      <c r="AA208" s="267"/>
    </row>
    <row r="209" spans="3:27" x14ac:dyDescent="0.3">
      <c r="F209" t="s">
        <v>192</v>
      </c>
      <c r="G209" t="s">
        <v>272</v>
      </c>
      <c r="H209" s="267"/>
      <c r="I209" s="267"/>
      <c r="J209" s="282">
        <f t="shared" ref="J209:K209" si="142">ABS(J139 + J174)*(1-J82)*PowerFactor*$H23</f>
        <v>2.1008574503711356E-2</v>
      </c>
      <c r="K209" s="282">
        <f t="shared" si="142"/>
        <v>2.1008574503711356E-2</v>
      </c>
      <c r="L209" s="282">
        <f t="shared" ref="L209:M209" si="143">ABS(L139 + L174)*(1-L82)*PowerFactor*$H23</f>
        <v>2.2844608097150342E-2</v>
      </c>
      <c r="M209" s="282">
        <f t="shared" si="143"/>
        <v>2.2844608097150342E-2</v>
      </c>
      <c r="N209" s="282">
        <f t="shared" ref="N209:P209" si="144">ABS(N139 + N174)*(1-N82)*PowerFactor*$H23</f>
        <v>1.9175698475327047E-2</v>
      </c>
      <c r="O209" s="282">
        <f t="shared" si="144"/>
        <v>1.9129005280653946E-2</v>
      </c>
      <c r="P209" s="282">
        <f t="shared" si="144"/>
        <v>1.2159169995114889E-2</v>
      </c>
      <c r="Q209" s="282">
        <f t="shared" ref="Q209:S209" si="145">ABS(Q139 + Q174)*(1-Q82)*PowerFactor*$H23</f>
        <v>1.5177703100564561E-2</v>
      </c>
      <c r="R209" s="282">
        <f t="shared" si="145"/>
        <v>1.1665578940337764E-2</v>
      </c>
      <c r="S209" s="282">
        <f t="shared" si="145"/>
        <v>1.1419424522330636E-2</v>
      </c>
      <c r="T209" s="282">
        <f t="shared" ref="T209:U209" si="146">ABS(T139 + T174)*(1-T82)*PowerFactor*$H23</f>
        <v>1.1665578940337764E-2</v>
      </c>
      <c r="U209" s="282">
        <f t="shared" si="146"/>
        <v>1.1665578940337764E-2</v>
      </c>
      <c r="V209" s="282">
        <f t="shared" ref="V209:W209" si="147">ABS(V139 + V174)*(1-V82)*PowerFactor*$H23</f>
        <v>1.1419424522330636E-2</v>
      </c>
      <c r="W209" s="282">
        <f t="shared" si="147"/>
        <v>1.1419424522330636E-2</v>
      </c>
      <c r="X209" s="282">
        <f t="shared" ref="X209:Y209" si="148">ABS(X139 + X174)*(1-X82)*PowerFactor*$H23</f>
        <v>1.1248186666325675E-2</v>
      </c>
      <c r="Y209" s="282">
        <f t="shared" si="148"/>
        <v>1.1248186666325675E-2</v>
      </c>
      <c r="Z209" s="267"/>
      <c r="AA209" s="267"/>
    </row>
    <row r="210" spans="3:27" x14ac:dyDescent="0.3">
      <c r="F210" t="s">
        <v>193</v>
      </c>
      <c r="G210" t="s">
        <v>272</v>
      </c>
      <c r="H210" s="267"/>
      <c r="I210" s="267"/>
      <c r="J210" s="282">
        <f t="shared" ref="J210:K210" si="149">ABS(J140 + J175)*(1-J83)*PowerFactor*$H24</f>
        <v>4.9737213008110275E-3</v>
      </c>
      <c r="K210" s="282">
        <f t="shared" si="149"/>
        <v>4.9737213008110275E-3</v>
      </c>
      <c r="L210" s="282">
        <f t="shared" ref="L210:M210" si="150">ABS(L140 + L175)*(1-L83)*PowerFactor*$H24</f>
        <v>5.4083971228701981E-3</v>
      </c>
      <c r="M210" s="282">
        <f t="shared" si="150"/>
        <v>5.4083971228701981E-3</v>
      </c>
      <c r="N210" s="282">
        <f t="shared" ref="N210:P210" si="151">ABS(N140 + N175)*(1-N83)*PowerFactor*$H24</f>
        <v>4.5397930234540602E-3</v>
      </c>
      <c r="O210" s="282">
        <f t="shared" si="151"/>
        <v>4.528738540109295E-3</v>
      </c>
      <c r="P210" s="282">
        <f t="shared" si="151"/>
        <v>3.341489697953792E-3</v>
      </c>
      <c r="Q210" s="282">
        <f t="shared" ref="Q210:S210" si="152">ABS(Q140 + Q175)*(1-Q83)*PowerFactor*$H24</f>
        <v>3.5932787917299001E-3</v>
      </c>
      <c r="R210" s="282">
        <f t="shared" si="152"/>
        <v>2.7617932121763175E-3</v>
      </c>
      <c r="S210" s="282">
        <f t="shared" si="152"/>
        <v>2.7035168416441554E-3</v>
      </c>
      <c r="T210" s="282">
        <f t="shared" ref="T210:U210" si="153">ABS(T140 + T175)*(1-T83)*PowerFactor*$H24</f>
        <v>2.7617932121763175E-3</v>
      </c>
      <c r="U210" s="282">
        <f t="shared" si="153"/>
        <v>2.7617932121763175E-3</v>
      </c>
      <c r="V210" s="282">
        <f t="shared" ref="V210:W210" si="154">ABS(V140 + V175)*(1-V83)*PowerFactor*$H24</f>
        <v>2.7035168416441554E-3</v>
      </c>
      <c r="W210" s="282">
        <f t="shared" si="154"/>
        <v>2.7035168416441554E-3</v>
      </c>
      <c r="X210" s="282">
        <f t="shared" ref="X210:Y210" si="155">ABS(X140 + X175)*(1-X83)*PowerFactor*$H24</f>
        <v>2.6629767577956965E-3</v>
      </c>
      <c r="Y210" s="282">
        <f t="shared" si="155"/>
        <v>2.6629767577956965E-3</v>
      </c>
      <c r="Z210" s="267"/>
      <c r="AA210" s="267"/>
    </row>
    <row r="211" spans="3:27" x14ac:dyDescent="0.3">
      <c r="F211" t="s">
        <v>194</v>
      </c>
      <c r="G211" t="s">
        <v>272</v>
      </c>
      <c r="H211" s="267"/>
      <c r="I211" s="267"/>
      <c r="J211" s="282">
        <f t="shared" ref="J211:K211" si="156">ABS(J141 + J176)*(1-J84)*PowerFactor*$H25</f>
        <v>5.0554571547697345E-3</v>
      </c>
      <c r="K211" s="282">
        <f t="shared" si="156"/>
        <v>5.0554571547697345E-3</v>
      </c>
      <c r="L211" s="282">
        <f t="shared" ref="L211:M211" si="157">ABS(L141 + L176)*(1-L84)*PowerFactor*$H25</f>
        <v>5.4972762398632488E-3</v>
      </c>
      <c r="M211" s="282">
        <f t="shared" si="157"/>
        <v>5.4972762398632488E-3</v>
      </c>
      <c r="N211" s="282">
        <f t="shared" ref="N211:P211" si="158">ABS(N141 + N176)*(1-N84)*PowerFactor*$H25</f>
        <v>4.6143978991850928E-3</v>
      </c>
      <c r="O211" s="282">
        <f t="shared" si="158"/>
        <v>4.6031617515327385E-3</v>
      </c>
      <c r="P211" s="282">
        <f t="shared" si="158"/>
        <v>2.717121765283517E-3</v>
      </c>
      <c r="Q211" s="282">
        <f t="shared" ref="Q211:S211" si="159">ABS(Q141 + Q176)*(1-Q84)*PowerFactor*$H25</f>
        <v>3.6523290868290367E-3</v>
      </c>
      <c r="R211" s="282">
        <f t="shared" si="159"/>
        <v>2.8071792547392136E-3</v>
      </c>
      <c r="S211" s="282">
        <f t="shared" si="159"/>
        <v>2.7479451970704033E-3</v>
      </c>
      <c r="T211" s="282">
        <f t="shared" ref="T211:U211" si="160">ABS(T141 + T176)*(1-T84)*PowerFactor*$H25</f>
        <v>2.8071792547392136E-3</v>
      </c>
      <c r="U211" s="282">
        <f t="shared" si="160"/>
        <v>2.8071792547392136E-3</v>
      </c>
      <c r="V211" s="282">
        <f t="shared" ref="V211:W211" si="161">ABS(V141 + V176)*(1-V84)*PowerFactor*$H25</f>
        <v>2.7479451970704033E-3</v>
      </c>
      <c r="W211" s="282">
        <f t="shared" si="161"/>
        <v>2.7479451970704033E-3</v>
      </c>
      <c r="X211" s="282">
        <f t="shared" ref="X211:Y211" si="162">ABS(X141 + X176)*(1-X84)*PowerFactor*$H25</f>
        <v>2.706738896083406E-3</v>
      </c>
      <c r="Y211" s="282">
        <f t="shared" si="162"/>
        <v>2.706738896083406E-3</v>
      </c>
      <c r="Z211" s="267"/>
      <c r="AA211" s="267"/>
    </row>
    <row r="212" spans="3:27" x14ac:dyDescent="0.3">
      <c r="F212" t="s">
        <v>195</v>
      </c>
      <c r="G212" t="s">
        <v>272</v>
      </c>
      <c r="H212" s="267"/>
      <c r="I212" s="267"/>
      <c r="J212" s="282">
        <f t="shared" ref="J212:K212" si="163">ABS(J142 + J177)*(1-J85)*PowerFactor*$H26</f>
        <v>9.7453448060263338E-3</v>
      </c>
      <c r="K212" s="282">
        <f t="shared" si="163"/>
        <v>9.7453448060263338E-3</v>
      </c>
      <c r="L212" s="282">
        <f t="shared" ref="L212:M212" si="164">ABS(L142 + L177)*(1-L85)*PowerFactor*$H26</f>
        <v>1.0597034216954694E-2</v>
      </c>
      <c r="M212" s="282">
        <f t="shared" si="164"/>
        <v>1.0597034216954694E-2</v>
      </c>
      <c r="N212" s="282">
        <f t="shared" ref="N212:P212" si="165">ABS(N142 + N177)*(1-N85)*PowerFactor*$H26</f>
        <v>8.8951201094316298E-3</v>
      </c>
      <c r="O212" s="282">
        <f t="shared" si="165"/>
        <v>8.8734603208484551E-3</v>
      </c>
      <c r="P212" s="282">
        <f t="shared" si="165"/>
        <v>0</v>
      </c>
      <c r="Q212" s="282">
        <f t="shared" ref="Q212:S212" si="166">ABS(Q142 + Q177)*(1-Q85)*PowerFactor*$H26</f>
        <v>7.0405514687522782E-3</v>
      </c>
      <c r="R212" s="282">
        <f t="shared" si="166"/>
        <v>5.411366159823329E-3</v>
      </c>
      <c r="S212" s="282">
        <f t="shared" si="166"/>
        <v>5.297181369294946E-3</v>
      </c>
      <c r="T212" s="282">
        <f t="shared" ref="T212:U212" si="167">ABS(T142 + T177)*(1-T85)*PowerFactor*$H26</f>
        <v>5.411366159823329E-3</v>
      </c>
      <c r="U212" s="282">
        <f t="shared" si="167"/>
        <v>5.411366159823329E-3</v>
      </c>
      <c r="V212" s="282">
        <f t="shared" ref="V212:W212" si="168">ABS(V142 + V177)*(1-V85)*PowerFactor*$H26</f>
        <v>5.297181369294946E-3</v>
      </c>
      <c r="W212" s="282">
        <f t="shared" si="168"/>
        <v>5.297181369294946E-3</v>
      </c>
      <c r="X212" s="282">
        <f t="shared" ref="X212:Y212" si="169">ABS(X142 + X177)*(1-X85)*PowerFactor*$H26</f>
        <v>5.2177484715360718E-3</v>
      </c>
      <c r="Y212" s="282">
        <f t="shared" si="169"/>
        <v>5.2177484715360718E-3</v>
      </c>
      <c r="Z212" s="267"/>
      <c r="AA212" s="267"/>
    </row>
    <row r="213" spans="3:27" x14ac:dyDescent="0.3">
      <c r="F213" t="s">
        <v>196</v>
      </c>
      <c r="G213" t="s">
        <v>272</v>
      </c>
      <c r="H213" s="267"/>
      <c r="I213" s="267"/>
      <c r="J213" s="282">
        <f t="shared" ref="J213:K213" si="170">ABS(J143 + J178)*(1-J86)*PowerFactor*$H27</f>
        <v>1.0404322349263294E-2</v>
      </c>
      <c r="K213" s="282">
        <f t="shared" si="170"/>
        <v>1.0404322349263294E-2</v>
      </c>
      <c r="L213" s="282">
        <f t="shared" ref="L213:M213" si="171">ABS(L143 + L178)*(1-L86)*PowerFactor*$H27</f>
        <v>1.1313602764592794E-2</v>
      </c>
      <c r="M213" s="282">
        <f t="shared" si="171"/>
        <v>1.1313602764592794E-2</v>
      </c>
      <c r="N213" s="282">
        <f t="shared" ref="N213:P213" si="172">ABS(N143 + N178)*(1-N86)*PowerFactor*$H27</f>
        <v>9.4966056918490086E-3</v>
      </c>
      <c r="O213" s="282">
        <f t="shared" si="172"/>
        <v>9.4734812743017868E-3</v>
      </c>
      <c r="P213" s="282">
        <f t="shared" si="172"/>
        <v>0</v>
      </c>
      <c r="Q213" s="282">
        <f t="shared" ref="Q213:S213" si="173">ABS(Q143 + Q178)*(1-Q86)*PowerFactor*$H27</f>
        <v>7.5166316282806222E-3</v>
      </c>
      <c r="R213" s="282">
        <f t="shared" si="173"/>
        <v>5.7772812555468662E-3</v>
      </c>
      <c r="S213" s="282">
        <f t="shared" si="173"/>
        <v>5.6553753207967952E-3</v>
      </c>
      <c r="T213" s="282">
        <f t="shared" ref="T213:U213" si="174">ABS(T143 + T178)*(1-T86)*PowerFactor*$H27</f>
        <v>5.7772812555468662E-3</v>
      </c>
      <c r="U213" s="282">
        <f t="shared" si="174"/>
        <v>5.7772812555468662E-3</v>
      </c>
      <c r="V213" s="282">
        <f t="shared" ref="V213:W213" si="175">ABS(V143 + V178)*(1-V86)*PowerFactor*$H27</f>
        <v>5.6553753207967952E-3</v>
      </c>
      <c r="W213" s="282">
        <f t="shared" si="175"/>
        <v>5.6553753207967952E-3</v>
      </c>
      <c r="X213" s="282">
        <f t="shared" ref="X213:Y213" si="176">ABS(X143 + X178)*(1-X86)*PowerFactor*$H27</f>
        <v>5.5705711922750048E-3</v>
      </c>
      <c r="Y213" s="282">
        <f t="shared" si="176"/>
        <v>5.5705711922750048E-3</v>
      </c>
      <c r="Z213" s="267"/>
      <c r="AA213" s="267"/>
    </row>
    <row r="214" spans="3:27" x14ac:dyDescent="0.3">
      <c r="F214" t="s">
        <v>197</v>
      </c>
      <c r="G214" t="s">
        <v>272</v>
      </c>
      <c r="H214" s="267"/>
      <c r="I214" s="267"/>
      <c r="J214" s="282">
        <f t="shared" ref="J214:K214" si="177">ABS(J144 + J179)*(1-J87)*PowerFactor*$H28</f>
        <v>6.2187589303062382E-2</v>
      </c>
      <c r="K214" s="282">
        <f t="shared" si="177"/>
        <v>6.2187589303062382E-2</v>
      </c>
      <c r="L214" s="282">
        <f t="shared" ref="L214:M214" si="178">ABS(L144 + L179)*(1-L87)*PowerFactor*$H28</f>
        <v>6.7622441774144532E-2</v>
      </c>
      <c r="M214" s="282">
        <f t="shared" si="178"/>
        <v>6.7622441774144532E-2</v>
      </c>
      <c r="N214" s="282">
        <f t="shared" ref="N214:P214" si="179">ABS(N144 + N179)*(1-N87)*PowerFactor*$H28</f>
        <v>4.54096668452144E-2</v>
      </c>
      <c r="O214" s="282">
        <f t="shared" si="179"/>
        <v>0</v>
      </c>
      <c r="P214" s="282">
        <f t="shared" si="179"/>
        <v>0</v>
      </c>
      <c r="Q214" s="282">
        <f t="shared" ref="Q214:S214" si="180">ABS(Q144 + Q179)*(1-Q87)*PowerFactor*$H28</f>
        <v>4.4927596911203224E-2</v>
      </c>
      <c r="R214" s="282">
        <f t="shared" si="180"/>
        <v>3.453134014380748E-2</v>
      </c>
      <c r="S214" s="282">
        <f t="shared" si="180"/>
        <v>3.3802697186644574E-2</v>
      </c>
      <c r="T214" s="282">
        <f t="shared" ref="T214:U214" si="181">ABS(T144 + T179)*(1-T87)*PowerFactor*$H28</f>
        <v>3.453134014380748E-2</v>
      </c>
      <c r="U214" s="282">
        <f t="shared" si="181"/>
        <v>3.453134014380748E-2</v>
      </c>
      <c r="V214" s="282">
        <f t="shared" ref="V214:W214" si="182">ABS(V144 + V179)*(1-V87)*PowerFactor*$H28</f>
        <v>3.3802697186644574E-2</v>
      </c>
      <c r="W214" s="282">
        <f t="shared" si="182"/>
        <v>3.3802697186644574E-2</v>
      </c>
      <c r="X214" s="282">
        <f t="shared" ref="X214:Y214" si="183">ABS(X144 + X179)*(1-X87)*PowerFactor*$H28</f>
        <v>3.3295815129487774E-2</v>
      </c>
      <c r="Y214" s="282">
        <f t="shared" si="183"/>
        <v>3.3295815129487774E-2</v>
      </c>
      <c r="Z214" s="267"/>
      <c r="AA214" s="267"/>
    </row>
    <row r="215" spans="3:27" x14ac:dyDescent="0.3">
      <c r="F215" t="s">
        <v>198</v>
      </c>
      <c r="G215" t="s">
        <v>272</v>
      </c>
      <c r="H215" s="267"/>
      <c r="I215" s="267"/>
      <c r="J215" s="282">
        <f t="shared" ref="J215:K215" si="184">ABS(J145 + J180)*(1-J88)*PowerFactor*$H29</f>
        <v>3.0298273847459419E-2</v>
      </c>
      <c r="K215" s="282">
        <f t="shared" si="184"/>
        <v>3.0298273847459419E-2</v>
      </c>
      <c r="L215" s="282">
        <f t="shared" ref="L215:M215" si="185">ABS(L145 + L180)*(1-L88)*PowerFactor*$H29</f>
        <v>3.2946175950351833E-2</v>
      </c>
      <c r="M215" s="282">
        <f t="shared" si="185"/>
        <v>3.2946175950351833E-2</v>
      </c>
      <c r="N215" s="282">
        <f t="shared" ref="N215:P215" si="186">ABS(N145 + N180)*(1-N88)*PowerFactor*$H29</f>
        <v>0</v>
      </c>
      <c r="O215" s="282">
        <f t="shared" si="186"/>
        <v>0</v>
      </c>
      <c r="P215" s="282">
        <f t="shared" si="186"/>
        <v>0</v>
      </c>
      <c r="Q215" s="282">
        <f t="shared" ref="Q215:S215" si="187">ABS(Q145 + Q180)*(1-Q88)*PowerFactor*$H29</f>
        <v>2.1889072237390537E-2</v>
      </c>
      <c r="R215" s="282">
        <f t="shared" si="187"/>
        <v>1.68239356392824E-2</v>
      </c>
      <c r="S215" s="282">
        <f t="shared" si="187"/>
        <v>1.6468935162490199E-2</v>
      </c>
      <c r="T215" s="282">
        <f t="shared" ref="T215:U215" si="188">ABS(T145 + T180)*(1-T88)*PowerFactor*$H29</f>
        <v>1.68239356392824E-2</v>
      </c>
      <c r="U215" s="282">
        <f t="shared" si="188"/>
        <v>1.68239356392824E-2</v>
      </c>
      <c r="V215" s="282">
        <f t="shared" ref="V215:W215" si="189">ABS(V145 + V180)*(1-V88)*PowerFactor*$H29</f>
        <v>1.6468935162490199E-2</v>
      </c>
      <c r="W215" s="282">
        <f t="shared" si="189"/>
        <v>1.6468935162490199E-2</v>
      </c>
      <c r="X215" s="282">
        <f t="shared" ref="X215:Y215" si="190">ABS(X145 + X180)*(1-X88)*PowerFactor*$H29</f>
        <v>0</v>
      </c>
      <c r="Y215" s="282">
        <f t="shared" si="190"/>
        <v>0</v>
      </c>
      <c r="Z215" s="267"/>
      <c r="AA215" s="267"/>
    </row>
    <row r="216" spans="3:27" x14ac:dyDescent="0.3">
      <c r="F216" t="s">
        <v>199</v>
      </c>
      <c r="G216" t="s">
        <v>272</v>
      </c>
      <c r="H216" s="267"/>
      <c r="I216" s="267"/>
      <c r="J216" s="282">
        <f t="shared" ref="J216:K216" si="191">ABS(J146 + J181)*(1-J89)*PowerFactor*$H30</f>
        <v>0</v>
      </c>
      <c r="K216" s="282">
        <f t="shared" si="191"/>
        <v>0</v>
      </c>
      <c r="L216" s="282">
        <f t="shared" ref="L216:M216" si="192">ABS(L146 + L181)*(1-L89)*PowerFactor*$H30</f>
        <v>0</v>
      </c>
      <c r="M216" s="282">
        <f t="shared" si="192"/>
        <v>0</v>
      </c>
      <c r="N216" s="282">
        <f t="shared" ref="N216:P216" si="193">ABS(N146 + N181)*(1-N89)*PowerFactor*$H30</f>
        <v>0</v>
      </c>
      <c r="O216" s="282">
        <f t="shared" si="193"/>
        <v>0</v>
      </c>
      <c r="P216" s="282">
        <f t="shared" si="193"/>
        <v>0</v>
      </c>
      <c r="Q216" s="282">
        <f t="shared" ref="Q216:S216" si="194">ABS(Q146 + Q181)*(1-Q89)*PowerFactor*$H30</f>
        <v>5.0245734560841464E-2</v>
      </c>
      <c r="R216" s="282">
        <f t="shared" si="194"/>
        <v>3.8618859457920922E-2</v>
      </c>
      <c r="S216" s="282">
        <f t="shared" si="194"/>
        <v>0</v>
      </c>
      <c r="T216" s="282">
        <f t="shared" ref="T216:U216" si="195">ABS(T146 + T181)*(1-T89)*PowerFactor*$H30</f>
        <v>3.8618859457920922E-2</v>
      </c>
      <c r="U216" s="282">
        <f t="shared" si="195"/>
        <v>3.8618859457920922E-2</v>
      </c>
      <c r="V216" s="282">
        <f t="shared" ref="V216:W216" si="196">ABS(V146 + V181)*(1-V89)*PowerFactor*$H30</f>
        <v>0</v>
      </c>
      <c r="W216" s="282">
        <f t="shared" si="196"/>
        <v>0</v>
      </c>
      <c r="X216" s="282">
        <f t="shared" ref="X216:Y216" si="197">ABS(X146 + X181)*(1-X89)*PowerFactor*$H30</f>
        <v>0</v>
      </c>
      <c r="Y216" s="282">
        <f t="shared" si="197"/>
        <v>0</v>
      </c>
      <c r="Z216" s="267"/>
      <c r="AA216" s="267"/>
    </row>
    <row r="217" spans="3:27" x14ac:dyDescent="0.3">
      <c r="F217" t="s">
        <v>376</v>
      </c>
      <c r="G217" t="s">
        <v>272</v>
      </c>
      <c r="H217" s="267"/>
      <c r="I217" s="267"/>
      <c r="J217" s="268"/>
      <c r="K217" s="268"/>
      <c r="L217" s="268"/>
      <c r="M217" s="268"/>
      <c r="N217" s="268"/>
      <c r="O217" s="268"/>
      <c r="P217" s="268"/>
      <c r="Q217" s="268"/>
      <c r="R217" s="268"/>
      <c r="S217" s="268"/>
      <c r="T217" s="268"/>
      <c r="U217" s="268"/>
      <c r="V217" s="268"/>
      <c r="W217" s="268"/>
      <c r="X217" s="268"/>
      <c r="Y217" s="268"/>
      <c r="Z217" s="267"/>
      <c r="AA217" s="267"/>
    </row>
    <row r="218" spans="3:27" x14ac:dyDescent="0.3">
      <c r="F218" s="37" t="s">
        <v>377</v>
      </c>
      <c r="G218" s="37" t="s">
        <v>272</v>
      </c>
      <c r="H218" s="269"/>
      <c r="I218" s="269"/>
      <c r="J218" s="270"/>
      <c r="K218" s="270"/>
      <c r="L218" s="270"/>
      <c r="M218" s="270"/>
      <c r="N218" s="270"/>
      <c r="O218" s="270"/>
      <c r="P218" s="270"/>
      <c r="Q218" s="270"/>
      <c r="R218" s="270"/>
      <c r="S218" s="270"/>
      <c r="T218" s="270"/>
      <c r="U218" s="270"/>
      <c r="V218" s="270"/>
      <c r="W218" s="270"/>
      <c r="X218" s="270"/>
      <c r="Y218" s="270"/>
      <c r="Z218" s="267"/>
      <c r="AA218" s="267"/>
    </row>
    <row r="219" spans="3:27" x14ac:dyDescent="0.3">
      <c r="J219" s="89"/>
      <c r="K219" s="89"/>
      <c r="L219" s="89"/>
      <c r="M219" s="89"/>
      <c r="N219" s="89"/>
      <c r="O219" s="89"/>
      <c r="P219" s="89"/>
      <c r="Q219" s="89"/>
      <c r="R219" s="89"/>
      <c r="S219" s="89"/>
      <c r="T219" s="89"/>
      <c r="U219" s="89"/>
      <c r="V219" s="89"/>
      <c r="W219" s="89"/>
      <c r="X219" s="89"/>
      <c r="Y219" s="89"/>
    </row>
    <row r="220" spans="3:27" x14ac:dyDescent="0.3">
      <c r="C220" s="31" t="str">
        <f ca="1">INDEX('Version control'!$H$34:$H$57,MATCH($A$1,'Version control'!$F$34:$F$57,0),1)&amp;"-E: Reactive power charges for applicable customers"</f>
        <v>Section 113-E: Reactive power charges for applicable customers</v>
      </c>
      <c r="D220" s="31"/>
      <c r="E220" s="31"/>
      <c r="F220" s="31"/>
      <c r="G220" s="31"/>
      <c r="H220" s="31"/>
      <c r="I220" s="31"/>
      <c r="J220" s="90"/>
      <c r="K220" s="90"/>
      <c r="L220" s="90"/>
      <c r="M220" s="90"/>
      <c r="N220" s="90"/>
      <c r="O220" s="90"/>
      <c r="P220" s="90"/>
      <c r="Q220" s="90"/>
      <c r="R220" s="90"/>
      <c r="S220" s="90"/>
      <c r="T220" s="90"/>
      <c r="U220" s="90"/>
      <c r="V220" s="90"/>
      <c r="W220" s="90"/>
      <c r="X220" s="90"/>
      <c r="Y220" s="90"/>
      <c r="Z220" s="31"/>
      <c r="AA220" s="31"/>
    </row>
    <row r="221" spans="3:27" x14ac:dyDescent="0.3">
      <c r="D221" s="32"/>
      <c r="E221" s="32"/>
      <c r="J221" s="89"/>
      <c r="K221" s="89"/>
      <c r="L221" s="89"/>
      <c r="M221" s="89"/>
      <c r="N221" s="89"/>
      <c r="O221" s="89"/>
      <c r="P221" s="89"/>
      <c r="Q221" s="89"/>
      <c r="R221" s="89"/>
      <c r="S221" s="89"/>
      <c r="T221" s="89"/>
      <c r="U221" s="89"/>
      <c r="V221" s="89"/>
      <c r="W221" s="89"/>
      <c r="X221" s="89"/>
      <c r="Y221" s="89"/>
    </row>
    <row r="222" spans="3:27" x14ac:dyDescent="0.3">
      <c r="D222"/>
      <c r="E222" s="32" t="s">
        <v>621</v>
      </c>
      <c r="J222" s="89"/>
      <c r="K222" s="89"/>
      <c r="L222" s="89"/>
      <c r="M222" s="89"/>
      <c r="N222" s="89"/>
      <c r="O222" s="89"/>
      <c r="P222" s="89"/>
      <c r="Q222" s="89"/>
      <c r="R222" s="89"/>
      <c r="S222" s="89"/>
      <c r="T222" s="89"/>
      <c r="U222" s="89"/>
      <c r="V222" s="89"/>
      <c r="W222" s="89"/>
      <c r="X222" s="89"/>
      <c r="Y222" s="89"/>
    </row>
    <row r="223" spans="3:27" x14ac:dyDescent="0.3">
      <c r="D223"/>
      <c r="F223" s="23" t="s">
        <v>189</v>
      </c>
      <c r="G223" s="23" t="s">
        <v>272</v>
      </c>
      <c r="H223" s="266"/>
      <c r="I223" s="266"/>
      <c r="J223" s="280"/>
      <c r="K223" s="280"/>
      <c r="L223" s="280"/>
      <c r="M223" s="280"/>
      <c r="N223" s="280"/>
      <c r="O223" s="280"/>
      <c r="P223" s="280"/>
      <c r="Q223" s="280"/>
      <c r="R223" s="280"/>
      <c r="S223" s="280"/>
      <c r="T223" s="280"/>
      <c r="U223" s="280"/>
      <c r="V223" s="280"/>
      <c r="W223" s="280"/>
      <c r="X223" s="280"/>
      <c r="Y223" s="280"/>
      <c r="Z223" s="267"/>
      <c r="AA223" s="267"/>
    </row>
    <row r="224" spans="3:27" x14ac:dyDescent="0.3">
      <c r="D224"/>
      <c r="F224" t="s">
        <v>191</v>
      </c>
      <c r="G224" t="s">
        <v>272</v>
      </c>
      <c r="H224" s="267"/>
      <c r="I224" s="267"/>
      <c r="J224" s="268"/>
      <c r="K224" s="268"/>
      <c r="L224" s="268"/>
      <c r="M224" s="268"/>
      <c r="N224" s="268"/>
      <c r="O224" s="268"/>
      <c r="P224" s="268"/>
      <c r="Q224" s="268"/>
      <c r="R224" s="268"/>
      <c r="S224" s="268"/>
      <c r="T224" s="268"/>
      <c r="U224" s="268"/>
      <c r="V224" s="268"/>
      <c r="W224" s="268"/>
      <c r="X224" s="268"/>
      <c r="Y224" s="268"/>
      <c r="Z224" s="267"/>
      <c r="AA224" s="267"/>
    </row>
    <row r="225" spans="5:27" customFormat="1" x14ac:dyDescent="0.3">
      <c r="E225" s="2"/>
      <c r="F225" t="s">
        <v>192</v>
      </c>
      <c r="G225" t="s">
        <v>272</v>
      </c>
      <c r="H225" s="267"/>
      <c r="I225" s="267"/>
      <c r="J225" s="282">
        <f t="shared" ref="J225:K225" si="198">J$78 * J195</f>
        <v>0</v>
      </c>
      <c r="K225" s="282">
        <f t="shared" si="198"/>
        <v>0</v>
      </c>
      <c r="L225" s="282">
        <f t="shared" ref="L225:M225" si="199">L$78 * L195</f>
        <v>0</v>
      </c>
      <c r="M225" s="282">
        <f t="shared" si="199"/>
        <v>0</v>
      </c>
      <c r="N225" s="282">
        <f t="shared" ref="N225:P225" si="200">N$78 * N195</f>
        <v>2.7311449495455286E-2</v>
      </c>
      <c r="O225" s="282">
        <f t="shared" si="200"/>
        <v>2.7244945590539561E-2</v>
      </c>
      <c r="P225" s="282">
        <f t="shared" si="200"/>
        <v>1.7317990145470932E-2</v>
      </c>
      <c r="Q225" s="282">
        <f t="shared" ref="Q225:S225" si="201">Q$78 * Q195</f>
        <v>0</v>
      </c>
      <c r="R225" s="282">
        <f t="shared" si="201"/>
        <v>0</v>
      </c>
      <c r="S225" s="282">
        <f t="shared" si="201"/>
        <v>0</v>
      </c>
      <c r="T225" s="282">
        <f t="shared" ref="T225:U225" si="202">T$78 * T195</f>
        <v>1.6614981220852129E-2</v>
      </c>
      <c r="U225" s="282">
        <f t="shared" si="202"/>
        <v>0</v>
      </c>
      <c r="V225" s="282">
        <f t="shared" ref="V225:W225" si="203">V$78 * V195</f>
        <v>1.626438987399011E-2</v>
      </c>
      <c r="W225" s="282">
        <f t="shared" si="203"/>
        <v>0</v>
      </c>
      <c r="X225" s="282">
        <f t="shared" ref="X225:Y225" si="204">X$78 * X195</f>
        <v>1.6020500241390446E-2</v>
      </c>
      <c r="Y225" s="282">
        <f t="shared" si="204"/>
        <v>0</v>
      </c>
      <c r="Z225" s="267"/>
      <c r="AA225" s="267"/>
    </row>
    <row r="226" spans="5:27" customFormat="1" x14ac:dyDescent="0.3">
      <c r="E226" s="2"/>
      <c r="F226" t="s">
        <v>193</v>
      </c>
      <c r="G226" t="s">
        <v>272</v>
      </c>
      <c r="H226" s="267"/>
      <c r="I226" s="267"/>
      <c r="J226" s="282">
        <f t="shared" ref="J226:K226" si="205">J$78 * J196</f>
        <v>0</v>
      </c>
      <c r="K226" s="282">
        <f t="shared" si="205"/>
        <v>0</v>
      </c>
      <c r="L226" s="282">
        <f t="shared" ref="L226:M226" si="206">L$78 * L196</f>
        <v>0</v>
      </c>
      <c r="M226" s="282">
        <f t="shared" si="206"/>
        <v>0</v>
      </c>
      <c r="N226" s="282">
        <f t="shared" ref="N226:P226" si="207">N$78 * N196</f>
        <v>6.4659093403778168E-3</v>
      </c>
      <c r="O226" s="282">
        <f t="shared" si="207"/>
        <v>6.4501647267483668E-3</v>
      </c>
      <c r="P226" s="282">
        <f t="shared" si="207"/>
        <v>4.7591970244355167E-3</v>
      </c>
      <c r="Q226" s="282">
        <f t="shared" ref="Q226:S226" si="208">Q$78 * Q196</f>
        <v>0</v>
      </c>
      <c r="R226" s="282">
        <f t="shared" si="208"/>
        <v>0</v>
      </c>
      <c r="S226" s="282">
        <f t="shared" si="208"/>
        <v>0</v>
      </c>
      <c r="T226" s="282">
        <f t="shared" ref="T226:U226" si="209">T$78 * T196</f>
        <v>3.9335503699276988E-3</v>
      </c>
      <c r="U226" s="282">
        <f t="shared" si="209"/>
        <v>0</v>
      </c>
      <c r="V226" s="282">
        <f t="shared" ref="V226:W226" si="210">V$78 * V196</f>
        <v>3.8505488483604167E-3</v>
      </c>
      <c r="W226" s="282">
        <f t="shared" si="210"/>
        <v>0</v>
      </c>
      <c r="X226" s="282">
        <f t="shared" ref="X226:Y226" si="211">X$78 * X196</f>
        <v>3.7928086594440466E-3</v>
      </c>
      <c r="Y226" s="282">
        <f t="shared" si="211"/>
        <v>0</v>
      </c>
      <c r="Z226" s="267"/>
      <c r="AA226" s="267"/>
    </row>
    <row r="227" spans="5:27" customFormat="1" x14ac:dyDescent="0.3">
      <c r="E227" s="2"/>
      <c r="F227" t="s">
        <v>194</v>
      </c>
      <c r="G227" t="s">
        <v>272</v>
      </c>
      <c r="H227" s="267"/>
      <c r="I227" s="267"/>
      <c r="J227" s="282">
        <f t="shared" ref="J227:K227" si="212">J$78 * J197</f>
        <v>0</v>
      </c>
      <c r="K227" s="282">
        <f t="shared" si="212"/>
        <v>0</v>
      </c>
      <c r="L227" s="282">
        <f t="shared" ref="L227:M227" si="213">L$78 * L197</f>
        <v>0</v>
      </c>
      <c r="M227" s="282">
        <f t="shared" si="213"/>
        <v>0</v>
      </c>
      <c r="N227" s="282">
        <f t="shared" ref="N227:P227" si="214">N$78 * N197</f>
        <v>6.5721671279762471E-3</v>
      </c>
      <c r="O227" s="282">
        <f t="shared" si="214"/>
        <v>6.5561637745898968E-3</v>
      </c>
      <c r="P227" s="282">
        <f t="shared" si="214"/>
        <v>3.8699259878864699E-3</v>
      </c>
      <c r="Q227" s="282">
        <f t="shared" ref="Q227:S227" si="215">Q$78 * Q197</f>
        <v>0</v>
      </c>
      <c r="R227" s="282">
        <f t="shared" si="215"/>
        <v>0</v>
      </c>
      <c r="S227" s="282">
        <f t="shared" si="215"/>
        <v>0</v>
      </c>
      <c r="T227" s="282">
        <f t="shared" ref="T227:U227" si="216">T$78 * T197</f>
        <v>3.9981925320293843E-3</v>
      </c>
      <c r="U227" s="282">
        <f t="shared" si="216"/>
        <v>0</v>
      </c>
      <c r="V227" s="282">
        <f t="shared" ref="V227:W227" si="217">V$78 * V197</f>
        <v>3.9138270015370196E-3</v>
      </c>
      <c r="W227" s="282">
        <f t="shared" si="217"/>
        <v>0</v>
      </c>
      <c r="X227" s="282">
        <f t="shared" ref="X227:Y227" si="218">X$78 * X197</f>
        <v>3.8551379368466808E-3</v>
      </c>
      <c r="Y227" s="282">
        <f t="shared" si="218"/>
        <v>0</v>
      </c>
      <c r="Z227" s="267"/>
      <c r="AA227" s="267"/>
    </row>
    <row r="228" spans="5:27" customFormat="1" x14ac:dyDescent="0.3">
      <c r="E228" s="2"/>
      <c r="F228" t="s">
        <v>195</v>
      </c>
      <c r="G228" t="s">
        <v>272</v>
      </c>
      <c r="H228" s="267"/>
      <c r="I228" s="267"/>
      <c r="J228" s="282">
        <f t="shared" ref="J228:K228" si="219">J$78 * J198</f>
        <v>0</v>
      </c>
      <c r="K228" s="282">
        <f t="shared" si="219"/>
        <v>0</v>
      </c>
      <c r="L228" s="282">
        <f t="shared" ref="L228:M228" si="220">L$78 * L198</f>
        <v>0</v>
      </c>
      <c r="M228" s="282">
        <f t="shared" si="220"/>
        <v>0</v>
      </c>
      <c r="N228" s="282">
        <f t="shared" ref="N228:P228" si="221">N$78 * N198</f>
        <v>1.2669088635145914E-2</v>
      </c>
      <c r="O228" s="282">
        <f t="shared" si="221"/>
        <v>1.2638239160602249E-2</v>
      </c>
      <c r="P228" s="282">
        <f t="shared" si="221"/>
        <v>0</v>
      </c>
      <c r="Q228" s="282">
        <f t="shared" ref="Q228:S228" si="222">Q$78 * Q198</f>
        <v>0</v>
      </c>
      <c r="R228" s="282">
        <f t="shared" si="222"/>
        <v>0</v>
      </c>
      <c r="S228" s="282">
        <f t="shared" si="222"/>
        <v>0</v>
      </c>
      <c r="T228" s="282">
        <f t="shared" ref="T228:U228" si="223">T$78 * T198</f>
        <v>7.7072683305691204E-3</v>
      </c>
      <c r="U228" s="282">
        <f t="shared" si="223"/>
        <v>0</v>
      </c>
      <c r="V228" s="282">
        <f t="shared" ref="V228:W228" si="224">V$78 * V198</f>
        <v>7.544637897905734E-3</v>
      </c>
      <c r="W228" s="282">
        <f t="shared" si="224"/>
        <v>0</v>
      </c>
      <c r="X228" s="282">
        <f t="shared" ref="X228:Y228" si="225">X$78 * X198</f>
        <v>5.5168431269095597E-3</v>
      </c>
      <c r="Y228" s="282">
        <f t="shared" si="225"/>
        <v>0</v>
      </c>
      <c r="Z228" s="267"/>
      <c r="AA228" s="267"/>
    </row>
    <row r="229" spans="5:27" customFormat="1" x14ac:dyDescent="0.3">
      <c r="E229" s="2"/>
      <c r="F229" t="s">
        <v>196</v>
      </c>
      <c r="G229" t="s">
        <v>272</v>
      </c>
      <c r="H229" s="267"/>
      <c r="I229" s="267"/>
      <c r="J229" s="282">
        <f t="shared" ref="J229:K229" si="226">J$78 * J199</f>
        <v>0</v>
      </c>
      <c r="K229" s="282">
        <f t="shared" si="226"/>
        <v>0</v>
      </c>
      <c r="L229" s="282">
        <f t="shared" ref="L229:M229" si="227">L$78 * L199</f>
        <v>0</v>
      </c>
      <c r="M229" s="282">
        <f t="shared" si="227"/>
        <v>0</v>
      </c>
      <c r="N229" s="282">
        <f t="shared" ref="N229:P229" si="228">N$78 * N199</f>
        <v>1.3525768934305479E-2</v>
      </c>
      <c r="O229" s="282">
        <f t="shared" si="228"/>
        <v>1.3492833426753276E-2</v>
      </c>
      <c r="P229" s="282">
        <f t="shared" si="228"/>
        <v>0</v>
      </c>
      <c r="Q229" s="282">
        <f t="shared" ref="Q229:S229" si="229">Q$78 * Q199</f>
        <v>0</v>
      </c>
      <c r="R229" s="282">
        <f t="shared" si="229"/>
        <v>0</v>
      </c>
      <c r="S229" s="282">
        <f t="shared" si="229"/>
        <v>0</v>
      </c>
      <c r="T229" s="282">
        <f t="shared" ref="T229:U229" si="230">T$78 * T199</f>
        <v>8.228431701454238E-3</v>
      </c>
      <c r="U229" s="282">
        <f t="shared" si="230"/>
        <v>0</v>
      </c>
      <c r="V229" s="282">
        <f t="shared" ref="V229:W229" si="231">V$78 * V199</f>
        <v>8.0548042435336434E-3</v>
      </c>
      <c r="W229" s="282">
        <f t="shared" si="231"/>
        <v>0</v>
      </c>
      <c r="X229" s="282">
        <f t="shared" ref="X229:Y229" si="232">X$78 * X199</f>
        <v>5.8898905462216444E-3</v>
      </c>
      <c r="Y229" s="282">
        <f t="shared" si="232"/>
        <v>0</v>
      </c>
      <c r="Z229" s="267"/>
      <c r="AA229" s="267"/>
    </row>
    <row r="230" spans="5:27" customFormat="1" x14ac:dyDescent="0.3">
      <c r="E230" s="2"/>
      <c r="F230" t="s">
        <v>197</v>
      </c>
      <c r="G230" t="s">
        <v>272</v>
      </c>
      <c r="H230" s="267"/>
      <c r="I230" s="267"/>
      <c r="J230" s="282">
        <f t="shared" ref="J230:K230" si="233">J$78 * J200</f>
        <v>0</v>
      </c>
      <c r="K230" s="282">
        <f t="shared" si="233"/>
        <v>0</v>
      </c>
      <c r="L230" s="282">
        <f t="shared" ref="L230:M230" si="234">L$78 * L200</f>
        <v>0</v>
      </c>
      <c r="M230" s="282">
        <f t="shared" si="234"/>
        <v>0</v>
      </c>
      <c r="N230" s="282">
        <f t="shared" ref="N230:P230" si="235">N$78 * N200</f>
        <v>3.9655992226213084E-2</v>
      </c>
      <c r="O230" s="282">
        <f t="shared" si="235"/>
        <v>0</v>
      </c>
      <c r="P230" s="282">
        <f t="shared" si="235"/>
        <v>0</v>
      </c>
      <c r="Q230" s="282">
        <f t="shared" ref="Q230:S230" si="236">Q$78 * Q200</f>
        <v>0</v>
      </c>
      <c r="R230" s="282">
        <f t="shared" si="236"/>
        <v>0</v>
      </c>
      <c r="S230" s="282">
        <f t="shared" si="236"/>
        <v>0</v>
      </c>
      <c r="T230" s="282">
        <f t="shared" ref="T230:U230" si="237">T$78 * T200</f>
        <v>3.0156014158202623E-2</v>
      </c>
      <c r="U230" s="282">
        <f t="shared" si="237"/>
        <v>0</v>
      </c>
      <c r="V230" s="282">
        <f t="shared" ref="V230:W230" si="238">V$78 * V200</f>
        <v>2.9519694593396508E-2</v>
      </c>
      <c r="W230" s="282">
        <f t="shared" si="238"/>
        <v>0</v>
      </c>
      <c r="X230" s="282">
        <f t="shared" ref="X230:Y230" si="239">X$78 * X200</f>
        <v>2.2986467355732742E-2</v>
      </c>
      <c r="Y230" s="282">
        <f t="shared" si="239"/>
        <v>0</v>
      </c>
      <c r="Z230" s="267"/>
      <c r="AA230" s="267"/>
    </row>
    <row r="231" spans="5:27" customFormat="1" x14ac:dyDescent="0.3">
      <c r="E231" s="2"/>
      <c r="F231" t="s">
        <v>198</v>
      </c>
      <c r="G231" t="s">
        <v>272</v>
      </c>
      <c r="H231" s="267"/>
      <c r="I231" s="267"/>
      <c r="J231" s="282">
        <f t="shared" ref="J231:K231" si="240">J$78 * J201</f>
        <v>0</v>
      </c>
      <c r="K231" s="282">
        <f t="shared" si="240"/>
        <v>0</v>
      </c>
      <c r="L231" s="282">
        <f t="shared" ref="L231:M231" si="241">L$78 * L201</f>
        <v>0</v>
      </c>
      <c r="M231" s="282">
        <f t="shared" si="241"/>
        <v>0</v>
      </c>
      <c r="N231" s="282">
        <f t="shared" ref="N231:P231" si="242">N$78 * N201</f>
        <v>0</v>
      </c>
      <c r="O231" s="282">
        <f t="shared" si="242"/>
        <v>0</v>
      </c>
      <c r="P231" s="282">
        <f t="shared" si="242"/>
        <v>0</v>
      </c>
      <c r="Q231" s="282">
        <f t="shared" ref="Q231:S231" si="243">Q$78 * Q201</f>
        <v>0</v>
      </c>
      <c r="R231" s="282">
        <f t="shared" si="243"/>
        <v>0</v>
      </c>
      <c r="S231" s="282">
        <f t="shared" si="243"/>
        <v>0</v>
      </c>
      <c r="T231" s="282">
        <f t="shared" ref="T231:U231" si="244">T$78 * T201</f>
        <v>8.5963715357553084E-3</v>
      </c>
      <c r="U231" s="282">
        <f t="shared" si="244"/>
        <v>0</v>
      </c>
      <c r="V231" s="282">
        <f t="shared" ref="V231:W231" si="245">V$78 * V201</f>
        <v>8.4149802097714804E-3</v>
      </c>
      <c r="W231" s="282">
        <f t="shared" si="245"/>
        <v>0</v>
      </c>
      <c r="X231" s="282">
        <f t="shared" ref="X231:Y231" si="246">X$78 * X201</f>
        <v>0</v>
      </c>
      <c r="Y231" s="282">
        <f t="shared" si="246"/>
        <v>0</v>
      </c>
      <c r="Z231" s="267"/>
      <c r="AA231" s="267"/>
    </row>
    <row r="232" spans="5:27" customFormat="1" x14ac:dyDescent="0.3">
      <c r="E232" s="2"/>
      <c r="F232" t="s">
        <v>199</v>
      </c>
      <c r="G232" t="s">
        <v>272</v>
      </c>
      <c r="H232" s="267"/>
      <c r="I232" s="267"/>
      <c r="J232" s="282">
        <f t="shared" ref="J232:K232" si="247">J$78 * J202</f>
        <v>0</v>
      </c>
      <c r="K232" s="282">
        <f t="shared" si="247"/>
        <v>0</v>
      </c>
      <c r="L232" s="282">
        <f t="shared" ref="L232:M232" si="248">L$78 * L202</f>
        <v>0</v>
      </c>
      <c r="M232" s="282">
        <f t="shared" si="248"/>
        <v>0</v>
      </c>
      <c r="N232" s="282">
        <f t="shared" ref="N232:P232" si="249">N$78 * N202</f>
        <v>0</v>
      </c>
      <c r="O232" s="282">
        <f t="shared" si="249"/>
        <v>0</v>
      </c>
      <c r="P232" s="282">
        <f t="shared" si="249"/>
        <v>0</v>
      </c>
      <c r="Q232" s="282">
        <f t="shared" ref="Q232:S232" si="250">Q$78 * Q202</f>
        <v>0</v>
      </c>
      <c r="R232" s="282">
        <f t="shared" si="250"/>
        <v>0</v>
      </c>
      <c r="S232" s="282">
        <f t="shared" si="250"/>
        <v>0</v>
      </c>
      <c r="T232" s="282">
        <f t="shared" ref="T232:U232" si="251">T$78 * T202</f>
        <v>5.7398258042830911E-3</v>
      </c>
      <c r="U232" s="282">
        <f t="shared" si="251"/>
        <v>0</v>
      </c>
      <c r="V232" s="282">
        <f t="shared" ref="V232:W232" si="252">V$78 * V202</f>
        <v>0</v>
      </c>
      <c r="W232" s="282">
        <f t="shared" si="252"/>
        <v>0</v>
      </c>
      <c r="X232" s="282">
        <f t="shared" ref="X232:Y232" si="253">X$78 * X202</f>
        <v>0</v>
      </c>
      <c r="Y232" s="282">
        <f t="shared" si="253"/>
        <v>0</v>
      </c>
      <c r="Z232" s="267"/>
      <c r="AA232" s="267"/>
    </row>
    <row r="233" spans="5:27" customFormat="1" x14ac:dyDescent="0.3">
      <c r="E233" s="2"/>
      <c r="F233" t="s">
        <v>376</v>
      </c>
      <c r="G233" t="s">
        <v>272</v>
      </c>
      <c r="H233" s="267"/>
      <c r="I233" s="267"/>
      <c r="J233" s="268"/>
      <c r="K233" s="268"/>
      <c r="L233" s="268"/>
      <c r="M233" s="268"/>
      <c r="N233" s="268"/>
      <c r="O233" s="268"/>
      <c r="P233" s="268"/>
      <c r="Q233" s="268"/>
      <c r="R233" s="268"/>
      <c r="S233" s="268"/>
      <c r="T233" s="268"/>
      <c r="U233" s="268"/>
      <c r="V233" s="268"/>
      <c r="W233" s="268"/>
      <c r="X233" s="268"/>
      <c r="Y233" s="268"/>
      <c r="Z233" s="267"/>
      <c r="AA233" s="267"/>
    </row>
    <row r="234" spans="5:27" customFormat="1" x14ac:dyDescent="0.3">
      <c r="E234" s="2"/>
      <c r="F234" s="37" t="s">
        <v>377</v>
      </c>
      <c r="G234" s="37" t="s">
        <v>272</v>
      </c>
      <c r="H234" s="269"/>
      <c r="I234" s="269"/>
      <c r="J234" s="270"/>
      <c r="K234" s="270"/>
      <c r="L234" s="270"/>
      <c r="M234" s="270"/>
      <c r="N234" s="270"/>
      <c r="O234" s="270"/>
      <c r="P234" s="270"/>
      <c r="Q234" s="270"/>
      <c r="R234" s="270"/>
      <c r="S234" s="270"/>
      <c r="T234" s="270"/>
      <c r="U234" s="270"/>
      <c r="V234" s="270"/>
      <c r="W234" s="270"/>
      <c r="X234" s="270"/>
      <c r="Y234" s="270"/>
      <c r="Z234" s="267"/>
      <c r="AA234" s="267"/>
    </row>
    <row r="235" spans="5:27" customFormat="1" x14ac:dyDescent="0.3">
      <c r="E235" s="2"/>
      <c r="J235" s="89"/>
      <c r="K235" s="89"/>
      <c r="L235" s="89"/>
      <c r="M235" s="89"/>
      <c r="N235" s="89"/>
      <c r="O235" s="89"/>
      <c r="P235" s="89"/>
      <c r="Q235" s="89"/>
      <c r="R235" s="89"/>
      <c r="S235" s="89"/>
      <c r="T235" s="89"/>
      <c r="U235" s="89"/>
      <c r="V235" s="89"/>
      <c r="W235" s="89"/>
      <c r="X235" s="89"/>
      <c r="Y235" s="89"/>
    </row>
    <row r="236" spans="5:27" customFormat="1" x14ac:dyDescent="0.3">
      <c r="E236" s="32" t="s">
        <v>622</v>
      </c>
      <c r="J236" s="89"/>
      <c r="K236" s="89"/>
      <c r="L236" s="89"/>
      <c r="M236" s="89"/>
      <c r="N236" s="89"/>
      <c r="O236" s="89"/>
      <c r="P236" s="89"/>
      <c r="Q236" s="89"/>
      <c r="R236" s="89"/>
      <c r="S236" s="89"/>
      <c r="T236" s="89"/>
      <c r="U236" s="89"/>
      <c r="V236" s="89"/>
      <c r="W236" s="89"/>
      <c r="X236" s="89"/>
      <c r="Y236" s="89"/>
    </row>
    <row r="237" spans="5:27" customFormat="1" x14ac:dyDescent="0.3">
      <c r="E237" s="2"/>
      <c r="F237" s="23" t="s">
        <v>189</v>
      </c>
      <c r="G237" s="23" t="s">
        <v>272</v>
      </c>
      <c r="H237" s="266"/>
      <c r="I237" s="266"/>
      <c r="J237" s="281">
        <f t="shared" ref="J237:K237" si="254">J$78 * J207</f>
        <v>0</v>
      </c>
      <c r="K237" s="281">
        <f t="shared" si="254"/>
        <v>0</v>
      </c>
      <c r="L237" s="281">
        <f t="shared" ref="L237:M237" si="255">L$78 * L207</f>
        <v>0</v>
      </c>
      <c r="M237" s="281">
        <f t="shared" si="255"/>
        <v>0</v>
      </c>
      <c r="N237" s="281">
        <f t="shared" ref="N237:P237" si="256">N$78 * N207</f>
        <v>1.9750129814810786E-2</v>
      </c>
      <c r="O237" s="281">
        <f t="shared" si="256"/>
        <v>1.9702037868775626E-2</v>
      </c>
      <c r="P237" s="281">
        <f t="shared" si="256"/>
        <v>1.4536974476256783E-2</v>
      </c>
      <c r="Q237" s="281">
        <f t="shared" ref="Q237:S237" si="257">Q$78 * Q207</f>
        <v>0</v>
      </c>
      <c r="R237" s="281">
        <f t="shared" si="257"/>
        <v>0</v>
      </c>
      <c r="S237" s="281">
        <f t="shared" si="257"/>
        <v>0</v>
      </c>
      <c r="T237" s="281">
        <f t="shared" ref="T237:U237" si="258">T$78 * T207</f>
        <v>1.201503552702605E-2</v>
      </c>
      <c r="U237" s="281">
        <f t="shared" si="258"/>
        <v>0</v>
      </c>
      <c r="V237" s="281">
        <f t="shared" ref="V237:W237" si="259">V$78 * V207</f>
        <v>1.1761507254437425E-2</v>
      </c>
      <c r="W237" s="281">
        <f t="shared" si="259"/>
        <v>0</v>
      </c>
      <c r="X237" s="281">
        <f t="shared" ref="X237:Y237" si="260">X$78 * X207</f>
        <v>1.1585139760462732E-2</v>
      </c>
      <c r="Y237" s="281">
        <f t="shared" si="260"/>
        <v>0</v>
      </c>
      <c r="Z237" s="267"/>
      <c r="AA237" s="267"/>
    </row>
    <row r="238" spans="5:27" customFormat="1" x14ac:dyDescent="0.3">
      <c r="E238" s="2"/>
      <c r="F238" t="s">
        <v>191</v>
      </c>
      <c r="G238" t="s">
        <v>272</v>
      </c>
      <c r="H238" s="267"/>
      <c r="I238" s="267"/>
      <c r="J238" s="282">
        <f t="shared" ref="J238:K238" si="261">J$78 * J208</f>
        <v>0</v>
      </c>
      <c r="K238" s="282">
        <f t="shared" si="261"/>
        <v>0</v>
      </c>
      <c r="L238" s="282">
        <f t="shared" ref="L238:M238" si="262">L$78 * L208</f>
        <v>0</v>
      </c>
      <c r="M238" s="282">
        <f t="shared" si="262"/>
        <v>0</v>
      </c>
      <c r="N238" s="282">
        <f t="shared" ref="N238:P238" si="263">N$78 * N208</f>
        <v>0</v>
      </c>
      <c r="O238" s="282">
        <f t="shared" si="263"/>
        <v>0</v>
      </c>
      <c r="P238" s="282">
        <f t="shared" si="263"/>
        <v>0</v>
      </c>
      <c r="Q238" s="282">
        <f t="shared" ref="Q238:S238" si="264">Q$78 * Q208</f>
        <v>0</v>
      </c>
      <c r="R238" s="282">
        <f t="shared" si="264"/>
        <v>0</v>
      </c>
      <c r="S238" s="282">
        <f t="shared" si="264"/>
        <v>0</v>
      </c>
      <c r="T238" s="282">
        <f t="shared" ref="T238:U238" si="265">T$78 * T208</f>
        <v>0</v>
      </c>
      <c r="U238" s="282">
        <f t="shared" si="265"/>
        <v>0</v>
      </c>
      <c r="V238" s="282">
        <f t="shared" ref="V238:W238" si="266">V$78 * V208</f>
        <v>0</v>
      </c>
      <c r="W238" s="282">
        <f t="shared" si="266"/>
        <v>0</v>
      </c>
      <c r="X238" s="282">
        <f t="shared" ref="X238:Y238" si="267">X$78 * X208</f>
        <v>0</v>
      </c>
      <c r="Y238" s="282">
        <f t="shared" si="267"/>
        <v>0</v>
      </c>
      <c r="Z238" s="267"/>
      <c r="AA238" s="267"/>
    </row>
    <row r="239" spans="5:27" customFormat="1" x14ac:dyDescent="0.3">
      <c r="E239" s="2"/>
      <c r="F239" t="s">
        <v>192</v>
      </c>
      <c r="G239" t="s">
        <v>272</v>
      </c>
      <c r="H239" s="267"/>
      <c r="I239" s="267"/>
      <c r="J239" s="282">
        <f t="shared" ref="J239:K239" si="268">J$78 * J209</f>
        <v>0</v>
      </c>
      <c r="K239" s="282">
        <f t="shared" si="268"/>
        <v>0</v>
      </c>
      <c r="L239" s="282">
        <f t="shared" ref="L239:M239" si="269">L$78 * L209</f>
        <v>0</v>
      </c>
      <c r="M239" s="282">
        <f t="shared" si="269"/>
        <v>0</v>
      </c>
      <c r="N239" s="282">
        <f t="shared" ref="N239:P239" si="270">N$78 * N209</f>
        <v>1.9175698475327047E-2</v>
      </c>
      <c r="O239" s="282">
        <f t="shared" si="270"/>
        <v>1.9129005280653946E-2</v>
      </c>
      <c r="P239" s="282">
        <f t="shared" si="270"/>
        <v>1.2159169995114889E-2</v>
      </c>
      <c r="Q239" s="282">
        <f t="shared" ref="Q239:S239" si="271">Q$78 * Q209</f>
        <v>0</v>
      </c>
      <c r="R239" s="282">
        <f t="shared" si="271"/>
        <v>0</v>
      </c>
      <c r="S239" s="282">
        <f t="shared" si="271"/>
        <v>0</v>
      </c>
      <c r="T239" s="282">
        <f t="shared" ref="T239:U239" si="272">T$78 * T209</f>
        <v>1.1665578940337764E-2</v>
      </c>
      <c r="U239" s="282">
        <f t="shared" si="272"/>
        <v>0</v>
      </c>
      <c r="V239" s="282">
        <f t="shared" ref="V239:W239" si="273">V$78 * V209</f>
        <v>1.1419424522330636E-2</v>
      </c>
      <c r="W239" s="282">
        <f t="shared" si="273"/>
        <v>0</v>
      </c>
      <c r="X239" s="282">
        <f t="shared" ref="X239:Y239" si="274">X$78 * X209</f>
        <v>1.1248186666325675E-2</v>
      </c>
      <c r="Y239" s="282">
        <f t="shared" si="274"/>
        <v>0</v>
      </c>
      <c r="Z239" s="267"/>
      <c r="AA239" s="267"/>
    </row>
    <row r="240" spans="5:27" customFormat="1" x14ac:dyDescent="0.3">
      <c r="E240" s="2"/>
      <c r="F240" t="s">
        <v>193</v>
      </c>
      <c r="G240" t="s">
        <v>272</v>
      </c>
      <c r="H240" s="267"/>
      <c r="I240" s="267"/>
      <c r="J240" s="282">
        <f t="shared" ref="J240:K240" si="275">J$78 * J210</f>
        <v>0</v>
      </c>
      <c r="K240" s="282">
        <f t="shared" si="275"/>
        <v>0</v>
      </c>
      <c r="L240" s="282">
        <f t="shared" ref="L240:M240" si="276">L$78 * L210</f>
        <v>0</v>
      </c>
      <c r="M240" s="282">
        <f t="shared" si="276"/>
        <v>0</v>
      </c>
      <c r="N240" s="282">
        <f t="shared" ref="N240:P240" si="277">N$78 * N210</f>
        <v>4.5397930234540602E-3</v>
      </c>
      <c r="O240" s="282">
        <f t="shared" si="277"/>
        <v>4.528738540109295E-3</v>
      </c>
      <c r="P240" s="282">
        <f t="shared" si="277"/>
        <v>3.341489697953792E-3</v>
      </c>
      <c r="Q240" s="282">
        <f t="shared" ref="Q240:S240" si="278">Q$78 * Q210</f>
        <v>0</v>
      </c>
      <c r="R240" s="282">
        <f t="shared" si="278"/>
        <v>0</v>
      </c>
      <c r="S240" s="282">
        <f t="shared" si="278"/>
        <v>0</v>
      </c>
      <c r="T240" s="282">
        <f t="shared" ref="T240:U240" si="279">T$78 * T210</f>
        <v>2.7617932121763175E-3</v>
      </c>
      <c r="U240" s="282">
        <f t="shared" si="279"/>
        <v>0</v>
      </c>
      <c r="V240" s="282">
        <f t="shared" ref="V240:W240" si="280">V$78 * V210</f>
        <v>2.7035168416441554E-3</v>
      </c>
      <c r="W240" s="282">
        <f t="shared" si="280"/>
        <v>0</v>
      </c>
      <c r="X240" s="282">
        <f t="shared" ref="X240:Y240" si="281">X$78 * X210</f>
        <v>2.6629767577956965E-3</v>
      </c>
      <c r="Y240" s="282">
        <f t="shared" si="281"/>
        <v>0</v>
      </c>
      <c r="Z240" s="267"/>
      <c r="AA240" s="267"/>
    </row>
    <row r="241" spans="2:27" x14ac:dyDescent="0.3">
      <c r="D241"/>
      <c r="F241" t="s">
        <v>194</v>
      </c>
      <c r="G241" t="s">
        <v>272</v>
      </c>
      <c r="H241" s="267"/>
      <c r="I241" s="267"/>
      <c r="J241" s="282">
        <f t="shared" ref="J241:K241" si="282">J$78 * J211</f>
        <v>0</v>
      </c>
      <c r="K241" s="282">
        <f t="shared" si="282"/>
        <v>0</v>
      </c>
      <c r="L241" s="282">
        <f t="shared" ref="L241:M241" si="283">L$78 * L211</f>
        <v>0</v>
      </c>
      <c r="M241" s="282">
        <f t="shared" si="283"/>
        <v>0</v>
      </c>
      <c r="N241" s="282">
        <f t="shared" ref="N241:P241" si="284">N$78 * N211</f>
        <v>4.6143978991850928E-3</v>
      </c>
      <c r="O241" s="282">
        <f t="shared" si="284"/>
        <v>4.6031617515327385E-3</v>
      </c>
      <c r="P241" s="282">
        <f t="shared" si="284"/>
        <v>2.717121765283517E-3</v>
      </c>
      <c r="Q241" s="282">
        <f t="shared" ref="Q241:S241" si="285">Q$78 * Q211</f>
        <v>0</v>
      </c>
      <c r="R241" s="282">
        <f t="shared" si="285"/>
        <v>0</v>
      </c>
      <c r="S241" s="282">
        <f t="shared" si="285"/>
        <v>0</v>
      </c>
      <c r="T241" s="282">
        <f t="shared" ref="T241:U241" si="286">T$78 * T211</f>
        <v>2.8071792547392136E-3</v>
      </c>
      <c r="U241" s="282">
        <f t="shared" si="286"/>
        <v>0</v>
      </c>
      <c r="V241" s="282">
        <f t="shared" ref="V241:W241" si="287">V$78 * V211</f>
        <v>2.7479451970704033E-3</v>
      </c>
      <c r="W241" s="282">
        <f t="shared" si="287"/>
        <v>0</v>
      </c>
      <c r="X241" s="282">
        <f t="shared" ref="X241:Y241" si="288">X$78 * X211</f>
        <v>2.706738896083406E-3</v>
      </c>
      <c r="Y241" s="282">
        <f t="shared" si="288"/>
        <v>0</v>
      </c>
      <c r="Z241" s="267"/>
      <c r="AA241" s="267"/>
    </row>
    <row r="242" spans="2:27" x14ac:dyDescent="0.3">
      <c r="D242"/>
      <c r="F242" t="s">
        <v>195</v>
      </c>
      <c r="G242" t="s">
        <v>272</v>
      </c>
      <c r="H242" s="267"/>
      <c r="I242" s="267"/>
      <c r="J242" s="282">
        <f t="shared" ref="J242:K242" si="289">J$78 * J212</f>
        <v>0</v>
      </c>
      <c r="K242" s="282">
        <f t="shared" si="289"/>
        <v>0</v>
      </c>
      <c r="L242" s="282">
        <f t="shared" ref="L242:M242" si="290">L$78 * L212</f>
        <v>0</v>
      </c>
      <c r="M242" s="282">
        <f t="shared" si="290"/>
        <v>0</v>
      </c>
      <c r="N242" s="282">
        <f t="shared" ref="N242:P242" si="291">N$78 * N212</f>
        <v>8.8951201094316298E-3</v>
      </c>
      <c r="O242" s="282">
        <f t="shared" si="291"/>
        <v>8.8734603208484551E-3</v>
      </c>
      <c r="P242" s="282">
        <f t="shared" si="291"/>
        <v>0</v>
      </c>
      <c r="Q242" s="282">
        <f t="shared" ref="Q242:S242" si="292">Q$78 * Q212</f>
        <v>0</v>
      </c>
      <c r="R242" s="282">
        <f t="shared" si="292"/>
        <v>0</v>
      </c>
      <c r="S242" s="282">
        <f t="shared" si="292"/>
        <v>0</v>
      </c>
      <c r="T242" s="282">
        <f t="shared" ref="T242:U242" si="293">T$78 * T212</f>
        <v>5.411366159823329E-3</v>
      </c>
      <c r="U242" s="282">
        <f t="shared" si="293"/>
        <v>0</v>
      </c>
      <c r="V242" s="282">
        <f t="shared" ref="V242:W242" si="294">V$78 * V212</f>
        <v>5.297181369294946E-3</v>
      </c>
      <c r="W242" s="282">
        <f t="shared" si="294"/>
        <v>0</v>
      </c>
      <c r="X242" s="282">
        <f t="shared" ref="X242:Y242" si="295">X$78 * X212</f>
        <v>5.2177484715360718E-3</v>
      </c>
      <c r="Y242" s="282">
        <f t="shared" si="295"/>
        <v>0</v>
      </c>
      <c r="Z242" s="267"/>
      <c r="AA242" s="267"/>
    </row>
    <row r="243" spans="2:27" x14ac:dyDescent="0.3">
      <c r="D243"/>
      <c r="F243" t="s">
        <v>196</v>
      </c>
      <c r="G243" t="s">
        <v>272</v>
      </c>
      <c r="H243" s="267"/>
      <c r="I243" s="267"/>
      <c r="J243" s="282">
        <f t="shared" ref="J243:K243" si="296">J$78 * J213</f>
        <v>0</v>
      </c>
      <c r="K243" s="282">
        <f t="shared" si="296"/>
        <v>0</v>
      </c>
      <c r="L243" s="282">
        <f t="shared" ref="L243:M243" si="297">L$78 * L213</f>
        <v>0</v>
      </c>
      <c r="M243" s="282">
        <f t="shared" si="297"/>
        <v>0</v>
      </c>
      <c r="N243" s="282">
        <f t="shared" ref="N243:P243" si="298">N$78 * N213</f>
        <v>9.4966056918490086E-3</v>
      </c>
      <c r="O243" s="282">
        <f t="shared" si="298"/>
        <v>9.4734812743017868E-3</v>
      </c>
      <c r="P243" s="282">
        <f t="shared" si="298"/>
        <v>0</v>
      </c>
      <c r="Q243" s="282">
        <f t="shared" ref="Q243:S243" si="299">Q$78 * Q213</f>
        <v>0</v>
      </c>
      <c r="R243" s="282">
        <f t="shared" si="299"/>
        <v>0</v>
      </c>
      <c r="S243" s="282">
        <f t="shared" si="299"/>
        <v>0</v>
      </c>
      <c r="T243" s="282">
        <f t="shared" ref="T243:U243" si="300">T$78 * T213</f>
        <v>5.7772812555468662E-3</v>
      </c>
      <c r="U243" s="282">
        <f t="shared" si="300"/>
        <v>0</v>
      </c>
      <c r="V243" s="282">
        <f t="shared" ref="V243:W243" si="301">V$78 * V213</f>
        <v>5.6553753207967952E-3</v>
      </c>
      <c r="W243" s="282">
        <f t="shared" si="301"/>
        <v>0</v>
      </c>
      <c r="X243" s="282">
        <f t="shared" ref="X243:Y243" si="302">X$78 * X213</f>
        <v>5.5705711922750048E-3</v>
      </c>
      <c r="Y243" s="282">
        <f t="shared" si="302"/>
        <v>0</v>
      </c>
      <c r="Z243" s="267"/>
      <c r="AA243" s="267"/>
    </row>
    <row r="244" spans="2:27" x14ac:dyDescent="0.3">
      <c r="D244"/>
      <c r="F244" t="s">
        <v>197</v>
      </c>
      <c r="G244" t="s">
        <v>272</v>
      </c>
      <c r="H244" s="267"/>
      <c r="I244" s="267"/>
      <c r="J244" s="282">
        <f t="shared" ref="J244:K244" si="303">J$78 * J214</f>
        <v>0</v>
      </c>
      <c r="K244" s="282">
        <f t="shared" si="303"/>
        <v>0</v>
      </c>
      <c r="L244" s="282">
        <f t="shared" ref="L244:M244" si="304">L$78 * L214</f>
        <v>0</v>
      </c>
      <c r="M244" s="282">
        <f t="shared" si="304"/>
        <v>0</v>
      </c>
      <c r="N244" s="282">
        <f t="shared" ref="N244:P244" si="305">N$78 * N214</f>
        <v>4.54096668452144E-2</v>
      </c>
      <c r="O244" s="282">
        <f t="shared" si="305"/>
        <v>0</v>
      </c>
      <c r="P244" s="282">
        <f t="shared" si="305"/>
        <v>0</v>
      </c>
      <c r="Q244" s="282">
        <f t="shared" ref="Q244:S244" si="306">Q$78 * Q214</f>
        <v>0</v>
      </c>
      <c r="R244" s="282">
        <f t="shared" si="306"/>
        <v>0</v>
      </c>
      <c r="S244" s="282">
        <f t="shared" si="306"/>
        <v>0</v>
      </c>
      <c r="T244" s="282">
        <f t="shared" ref="T244:U244" si="307">T$78 * T214</f>
        <v>3.453134014380748E-2</v>
      </c>
      <c r="U244" s="282">
        <f t="shared" si="307"/>
        <v>0</v>
      </c>
      <c r="V244" s="282">
        <f t="shared" ref="V244:W244" si="308">V$78 * V214</f>
        <v>3.3802697186644574E-2</v>
      </c>
      <c r="W244" s="282">
        <f t="shared" si="308"/>
        <v>0</v>
      </c>
      <c r="X244" s="282">
        <f t="shared" ref="X244:Y244" si="309">X$78 * X214</f>
        <v>3.3295815129487774E-2</v>
      </c>
      <c r="Y244" s="282">
        <f t="shared" si="309"/>
        <v>0</v>
      </c>
      <c r="Z244" s="267"/>
      <c r="AA244" s="267"/>
    </row>
    <row r="245" spans="2:27" x14ac:dyDescent="0.3">
      <c r="D245"/>
      <c r="F245" t="s">
        <v>198</v>
      </c>
      <c r="G245" t="s">
        <v>272</v>
      </c>
      <c r="H245" s="267"/>
      <c r="I245" s="267"/>
      <c r="J245" s="282">
        <f t="shared" ref="J245:K245" si="310">J$78 * J215</f>
        <v>0</v>
      </c>
      <c r="K245" s="282">
        <f t="shared" si="310"/>
        <v>0</v>
      </c>
      <c r="L245" s="282">
        <f t="shared" ref="L245:M245" si="311">L$78 * L215</f>
        <v>0</v>
      </c>
      <c r="M245" s="282">
        <f t="shared" si="311"/>
        <v>0</v>
      </c>
      <c r="N245" s="282">
        <f t="shared" ref="N245:P245" si="312">N$78 * N215</f>
        <v>0</v>
      </c>
      <c r="O245" s="282">
        <f t="shared" si="312"/>
        <v>0</v>
      </c>
      <c r="P245" s="282">
        <f t="shared" si="312"/>
        <v>0</v>
      </c>
      <c r="Q245" s="282">
        <f t="shared" ref="Q245:S245" si="313">Q$78 * Q215</f>
        <v>0</v>
      </c>
      <c r="R245" s="282">
        <f t="shared" si="313"/>
        <v>0</v>
      </c>
      <c r="S245" s="282">
        <f t="shared" si="313"/>
        <v>0</v>
      </c>
      <c r="T245" s="282">
        <f t="shared" ref="T245:U245" si="314">T$78 * T215</f>
        <v>1.68239356392824E-2</v>
      </c>
      <c r="U245" s="282">
        <f t="shared" si="314"/>
        <v>0</v>
      </c>
      <c r="V245" s="282">
        <f t="shared" ref="V245:W245" si="315">V$78 * V215</f>
        <v>1.6468935162490199E-2</v>
      </c>
      <c r="W245" s="282">
        <f t="shared" si="315"/>
        <v>0</v>
      </c>
      <c r="X245" s="282">
        <f t="shared" ref="X245:Y245" si="316">X$78 * X215</f>
        <v>0</v>
      </c>
      <c r="Y245" s="282">
        <f t="shared" si="316"/>
        <v>0</v>
      </c>
      <c r="Z245" s="267"/>
      <c r="AA245" s="267"/>
    </row>
    <row r="246" spans="2:27" x14ac:dyDescent="0.3">
      <c r="D246"/>
      <c r="F246" t="s">
        <v>199</v>
      </c>
      <c r="G246" t="s">
        <v>272</v>
      </c>
      <c r="H246" s="267"/>
      <c r="I246" s="267"/>
      <c r="J246" s="282">
        <f t="shared" ref="J246:K246" si="317">J$78 * J216</f>
        <v>0</v>
      </c>
      <c r="K246" s="282">
        <f t="shared" si="317"/>
        <v>0</v>
      </c>
      <c r="L246" s="282">
        <f t="shared" ref="L246:M246" si="318">L$78 * L216</f>
        <v>0</v>
      </c>
      <c r="M246" s="282">
        <f t="shared" si="318"/>
        <v>0</v>
      </c>
      <c r="N246" s="282">
        <f t="shared" ref="N246:P246" si="319">N$78 * N216</f>
        <v>0</v>
      </c>
      <c r="O246" s="282">
        <f t="shared" si="319"/>
        <v>0</v>
      </c>
      <c r="P246" s="282">
        <f t="shared" si="319"/>
        <v>0</v>
      </c>
      <c r="Q246" s="282">
        <f t="shared" ref="Q246:S246" si="320">Q$78 * Q216</f>
        <v>0</v>
      </c>
      <c r="R246" s="282">
        <f t="shared" si="320"/>
        <v>0</v>
      </c>
      <c r="S246" s="282">
        <f t="shared" si="320"/>
        <v>0</v>
      </c>
      <c r="T246" s="282">
        <f t="shared" ref="T246:U246" si="321">T$78 * T216</f>
        <v>3.8618859457920922E-2</v>
      </c>
      <c r="U246" s="282">
        <f t="shared" si="321"/>
        <v>0</v>
      </c>
      <c r="V246" s="282">
        <f t="shared" ref="V246:W246" si="322">V$78 * V216</f>
        <v>0</v>
      </c>
      <c r="W246" s="282">
        <f t="shared" si="322"/>
        <v>0</v>
      </c>
      <c r="X246" s="282">
        <f t="shared" ref="X246:Y246" si="323">X$78 * X216</f>
        <v>0</v>
      </c>
      <c r="Y246" s="282">
        <f t="shared" si="323"/>
        <v>0</v>
      </c>
      <c r="Z246" s="267"/>
      <c r="AA246" s="267"/>
    </row>
    <row r="247" spans="2:27" x14ac:dyDescent="0.3">
      <c r="D247"/>
      <c r="F247" t="s">
        <v>376</v>
      </c>
      <c r="G247" t="s">
        <v>272</v>
      </c>
      <c r="H247" s="267"/>
      <c r="I247" s="267"/>
      <c r="J247" s="268"/>
      <c r="K247" s="268"/>
      <c r="L247" s="268"/>
      <c r="M247" s="268"/>
      <c r="N247" s="268"/>
      <c r="O247" s="268"/>
      <c r="P247" s="268"/>
      <c r="Q247" s="268"/>
      <c r="R247" s="268"/>
      <c r="S247" s="268"/>
      <c r="T247" s="268"/>
      <c r="U247" s="268"/>
      <c r="V247" s="268"/>
      <c r="W247" s="268"/>
      <c r="X247" s="268"/>
      <c r="Y247" s="268"/>
      <c r="Z247" s="267"/>
      <c r="AA247" s="267"/>
    </row>
    <row r="248" spans="2:27" x14ac:dyDescent="0.3">
      <c r="D248"/>
      <c r="F248" s="37" t="s">
        <v>377</v>
      </c>
      <c r="G248" s="37" t="s">
        <v>272</v>
      </c>
      <c r="H248" s="269"/>
      <c r="I248" s="269"/>
      <c r="J248" s="270"/>
      <c r="K248" s="270"/>
      <c r="L248" s="270"/>
      <c r="M248" s="270"/>
      <c r="N248" s="270"/>
      <c r="O248" s="270"/>
      <c r="P248" s="270"/>
      <c r="Q248" s="270"/>
      <c r="R248" s="270"/>
      <c r="S248" s="270"/>
      <c r="T248" s="270"/>
      <c r="U248" s="270"/>
      <c r="V248" s="270"/>
      <c r="W248" s="270"/>
      <c r="X248" s="270"/>
      <c r="Y248" s="270"/>
      <c r="Z248" s="267"/>
      <c r="AA248" s="267"/>
    </row>
    <row r="249" spans="2:27" x14ac:dyDescent="0.3">
      <c r="C249" s="88"/>
      <c r="J249" s="89"/>
      <c r="K249" s="89"/>
      <c r="L249" s="89"/>
      <c r="M249" s="89"/>
      <c r="N249" s="89"/>
      <c r="O249" s="89"/>
      <c r="P249" s="89"/>
      <c r="Q249" s="89"/>
      <c r="R249" s="89"/>
      <c r="S249" s="89"/>
      <c r="T249" s="89"/>
      <c r="U249" s="89"/>
      <c r="V249" s="89"/>
      <c r="W249" s="89"/>
      <c r="X249" s="89"/>
      <c r="Y249" s="89"/>
    </row>
    <row r="250" spans="2:27" x14ac:dyDescent="0.3">
      <c r="E250" t="s">
        <v>684</v>
      </c>
      <c r="G250" t="s">
        <v>272</v>
      </c>
      <c r="H250" s="267"/>
      <c r="I250" s="267" t="s">
        <v>154</v>
      </c>
      <c r="J250" s="272">
        <f t="shared" ref="J250:K250" si="324">SUM(J223:J234,J237:J248)</f>
        <v>0</v>
      </c>
      <c r="K250" s="272">
        <f t="shared" si="324"/>
        <v>0</v>
      </c>
      <c r="L250" s="272">
        <f t="shared" ref="L250:M250" si="325">SUM(L223:L234,L237:L248)</f>
        <v>0</v>
      </c>
      <c r="M250" s="272">
        <f t="shared" si="325"/>
        <v>0</v>
      </c>
      <c r="N250" s="272">
        <f t="shared" ref="N250:P250" si="326">SUM(N223:N234,N237:N248)</f>
        <v>0.21808178761874586</v>
      </c>
      <c r="O250" s="272">
        <f t="shared" si="326"/>
        <v>0.13269223171545519</v>
      </c>
      <c r="P250" s="272">
        <f t="shared" si="326"/>
        <v>5.8701869092401909E-2</v>
      </c>
      <c r="Q250" s="272">
        <f t="shared" ref="Q250:S250" si="327">SUM(Q223:Q234,Q237:Q248)</f>
        <v>0</v>
      </c>
      <c r="R250" s="272">
        <f t="shared" si="327"/>
        <v>0</v>
      </c>
      <c r="S250" s="272">
        <f t="shared" si="327"/>
        <v>0</v>
      </c>
      <c r="T250" s="272">
        <f t="shared" ref="T250:U250" si="328">SUM(T223:T234,T237:T248)</f>
        <v>0.21538700524373391</v>
      </c>
      <c r="U250" s="272">
        <f t="shared" si="328"/>
        <v>0</v>
      </c>
      <c r="V250" s="272">
        <f t="shared" ref="V250:W250" si="329">SUM(V223:V234,V237:V248)</f>
        <v>0.16741946552320405</v>
      </c>
      <c r="W250" s="272">
        <f t="shared" si="329"/>
        <v>0</v>
      </c>
      <c r="X250" s="272">
        <f t="shared" ref="X250:Y250" si="330">SUM(X223:X234,X237:X248)</f>
        <v>0.13034882474051146</v>
      </c>
      <c r="Y250" s="272">
        <f t="shared" si="330"/>
        <v>0</v>
      </c>
      <c r="Z250" s="267"/>
      <c r="AA250" s="267" t="s">
        <v>683</v>
      </c>
    </row>
    <row r="251" spans="2:27" x14ac:dyDescent="0.3">
      <c r="C251" s="88"/>
    </row>
    <row r="252" spans="2:27" x14ac:dyDescent="0.3">
      <c r="B252" s="30" t="s">
        <v>231</v>
      </c>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row>
    <row r="254" spans="2:27" x14ac:dyDescent="0.3">
      <c r="E254" t="s">
        <v>232</v>
      </c>
      <c r="G254" s="6" t="s">
        <v>55</v>
      </c>
      <c r="H254" s="103">
        <f t="array" ref="H254">SUM(IF(ISERROR(H21:Y250), 1))</f>
        <v>0</v>
      </c>
    </row>
    <row r="256" spans="2:27" x14ac:dyDescent="0.3">
      <c r="B256" s="30" t="s">
        <v>106</v>
      </c>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row>
    <row r="279" spans="18:23" x14ac:dyDescent="0.3">
      <c r="R279" s="63"/>
      <c r="S279" s="63"/>
      <c r="T279" s="63"/>
      <c r="U279" s="63"/>
      <c r="V279" s="63"/>
      <c r="W279" s="63"/>
    </row>
    <row r="280" spans="18:23" x14ac:dyDescent="0.3">
      <c r="R280" s="63"/>
      <c r="S280" s="63"/>
      <c r="T280" s="63"/>
      <c r="U280" s="63"/>
      <c r="V280" s="63"/>
      <c r="W280" s="63"/>
    </row>
    <row r="281" spans="18:23" x14ac:dyDescent="0.3">
      <c r="R281" s="63"/>
      <c r="S281" s="63"/>
      <c r="T281" s="63"/>
      <c r="U281" s="63"/>
      <c r="V281" s="63"/>
      <c r="W281" s="63"/>
    </row>
    <row r="282" spans="18:23" x14ac:dyDescent="0.3">
      <c r="R282" s="63"/>
      <c r="S282" s="63"/>
      <c r="T282" s="63"/>
      <c r="U282" s="63"/>
      <c r="V282" s="63"/>
      <c r="W282" s="63"/>
    </row>
    <row r="283" spans="18:23" x14ac:dyDescent="0.3">
      <c r="R283" s="63"/>
      <c r="S283" s="63"/>
      <c r="T283" s="63"/>
      <c r="U283" s="63"/>
      <c r="V283" s="63"/>
      <c r="W283" s="63"/>
    </row>
    <row r="284" spans="18:23" x14ac:dyDescent="0.3">
      <c r="R284" s="63"/>
      <c r="S284" s="63"/>
      <c r="T284" s="63"/>
      <c r="U284" s="63"/>
      <c r="V284" s="63"/>
      <c r="W284" s="63"/>
    </row>
    <row r="285" spans="18:23" x14ac:dyDescent="0.3">
      <c r="R285" s="63"/>
      <c r="S285" s="63"/>
      <c r="T285" s="63"/>
      <c r="U285" s="63"/>
      <c r="V285" s="63"/>
      <c r="W285" s="63"/>
    </row>
    <row r="286" spans="18:23" x14ac:dyDescent="0.3">
      <c r="R286" s="63"/>
      <c r="S286" s="63"/>
      <c r="T286" s="63"/>
      <c r="U286" s="63"/>
      <c r="V286" s="63"/>
      <c r="W286" s="63"/>
    </row>
    <row r="287" spans="18:23" x14ac:dyDescent="0.3">
      <c r="R287" s="63"/>
      <c r="S287" s="63"/>
      <c r="T287" s="63"/>
      <c r="U287" s="63"/>
      <c r="V287" s="63"/>
      <c r="W287" s="63"/>
    </row>
    <row r="288" spans="18:23" x14ac:dyDescent="0.3">
      <c r="R288" s="63"/>
      <c r="S288" s="63"/>
      <c r="T288" s="63"/>
      <c r="U288" s="63"/>
      <c r="V288" s="63"/>
      <c r="W288" s="63"/>
    </row>
    <row r="289" spans="18:23" x14ac:dyDescent="0.3">
      <c r="R289" s="63"/>
      <c r="S289" s="63"/>
      <c r="T289" s="63"/>
      <c r="U289" s="63"/>
      <c r="V289" s="63"/>
      <c r="W289" s="63"/>
    </row>
    <row r="290" spans="18:23" x14ac:dyDescent="0.3">
      <c r="R290" s="63"/>
      <c r="S290" s="63"/>
      <c r="T290" s="63"/>
      <c r="U290" s="63"/>
      <c r="V290" s="63"/>
      <c r="W290" s="63"/>
    </row>
    <row r="291" spans="18:23" x14ac:dyDescent="0.3">
      <c r="R291" s="63"/>
      <c r="S291" s="63"/>
      <c r="T291" s="63"/>
      <c r="U291" s="63"/>
      <c r="V291" s="63"/>
      <c r="W291" s="63"/>
    </row>
    <row r="292" spans="18:23" x14ac:dyDescent="0.3">
      <c r="R292" s="63"/>
      <c r="S292" s="63"/>
      <c r="T292" s="63"/>
      <c r="U292" s="63"/>
      <c r="V292" s="63"/>
      <c r="W292" s="63"/>
    </row>
  </sheetData>
  <sheetProtection sheet="1" objects="1" formatCells="0" formatColumns="0" formatRows="0" sort="0" autoFilter="0"/>
  <conditionalFormatting sqref="A4:I4 Z4:XFD4">
    <cfRule type="expression" dxfId="59" priority="10">
      <formula>LEFT($A$4,1) &lt;&gt; "0"</formula>
    </cfRule>
  </conditionalFormatting>
  <conditionalFormatting sqref="N4:P4">
    <cfRule type="expression" dxfId="58" priority="9">
      <formula>LEFT($A$4,1) &lt;&gt; "0"</formula>
    </cfRule>
  </conditionalFormatting>
  <conditionalFormatting sqref="L4:M4">
    <cfRule type="expression" dxfId="57" priority="8">
      <formula>LEFT($A$4,1) &lt;&gt; "0"</formula>
    </cfRule>
  </conditionalFormatting>
  <conditionalFormatting sqref="J4:K4">
    <cfRule type="expression" dxfId="56" priority="7">
      <formula>LEFT($A$4,1) &lt;&gt; "0"</formula>
    </cfRule>
  </conditionalFormatting>
  <conditionalFormatting sqref="Q4">
    <cfRule type="expression" dxfId="55" priority="6">
      <formula>LEFT($A$4,1) &lt;&gt; "0"</formula>
    </cfRule>
  </conditionalFormatting>
  <conditionalFormatting sqref="R4:S4">
    <cfRule type="expression" dxfId="54" priority="5">
      <formula>LEFT($A$4,1) &lt;&gt; "0"</formula>
    </cfRule>
  </conditionalFormatting>
  <conditionalFormatting sqref="T4:U4">
    <cfRule type="expression" dxfId="53" priority="4">
      <formula>LEFT($A$4,1) &lt;&gt; "0"</formula>
    </cfRule>
  </conditionalFormatting>
  <conditionalFormatting sqref="V4:W4">
    <cfRule type="expression" dxfId="52" priority="3">
      <formula>LEFT($A$4,1) &lt;&gt; "0"</formula>
    </cfRule>
  </conditionalFormatting>
  <conditionalFormatting sqref="X4:Y4">
    <cfRule type="expression" dxfId="51" priority="2">
      <formula>LEFT($A$4,1) &lt;&gt; "0"</formula>
    </cfRule>
  </conditionalFormatting>
  <conditionalFormatting sqref="H254">
    <cfRule type="cellIs" dxfId="5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LC169"/>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Fixed charges</v>
      </c>
    </row>
    <row r="2" spans="1:27" s="1" customFormat="1" x14ac:dyDescent="0.3">
      <c r="A2" s="1" t="str">
        <f>Cover!D21&amp;" - "&amp;Cover!D23</f>
        <v>WPD Mid West - April 22 Pricing</v>
      </c>
    </row>
    <row r="3" spans="1:27" s="5" customFormat="1" x14ac:dyDescent="0.3">
      <c r="A3" s="5" t="str">
        <f>Cover!D2&amp;" - "&amp;Cover!D8&amp;" v"&amp;Cover!D10&amp;" - "&amp;Cover!D19</f>
        <v>CDCM charging model - Release for charge setting v7 - 2022/23</v>
      </c>
    </row>
    <row r="4" spans="1:27" x14ac:dyDescent="0.3">
      <c r="A4" s="12" t="str">
        <f>H165 &amp; IF(H165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D9" s="29" t="s">
        <v>716</v>
      </c>
      <c r="E9"/>
    </row>
    <row r="10" spans="1:27" x14ac:dyDescent="0.3">
      <c r="D10" s="91" t="s">
        <v>717</v>
      </c>
      <c r="E10"/>
    </row>
    <row r="11" spans="1:27" x14ac:dyDescent="0.3">
      <c r="D11" s="29" t="s">
        <v>718</v>
      </c>
      <c r="E11"/>
    </row>
    <row r="12" spans="1:27" x14ac:dyDescent="0.3">
      <c r="D12" s="91" t="s">
        <v>719</v>
      </c>
      <c r="E12"/>
    </row>
    <row r="14" spans="1:27" x14ac:dyDescent="0.3">
      <c r="B14" s="30" t="s">
        <v>720</v>
      </c>
      <c r="C14" s="30"/>
      <c r="D14" s="30"/>
      <c r="E14" s="30"/>
      <c r="F14" s="30"/>
      <c r="G14" s="30"/>
      <c r="H14" s="30"/>
      <c r="I14" s="30"/>
      <c r="J14" s="30"/>
      <c r="K14" s="30"/>
      <c r="L14" s="30"/>
      <c r="M14" s="30"/>
      <c r="N14" s="30"/>
      <c r="O14" s="30"/>
      <c r="P14" s="30"/>
      <c r="Q14" s="30"/>
      <c r="R14" s="30"/>
      <c r="S14" s="30"/>
      <c r="T14" s="30"/>
      <c r="U14" s="30"/>
      <c r="V14" s="30"/>
      <c r="W14" s="30"/>
      <c r="X14" s="30"/>
      <c r="Y14" s="30"/>
      <c r="Z14" s="30"/>
      <c r="AA14" s="30"/>
    </row>
    <row r="16" spans="1:27" x14ac:dyDescent="0.3">
      <c r="C16" s="31" t="str">
        <f ca="1">INDEX('Version control'!$H$34:$H$57,MATCH($A$1,'Version control'!$F$34:$F$57,0),1)&amp;"-A: Volumes (discounted MPANs &amp; maximum load)"</f>
        <v>Section 114-A: Volumes (discounted MPANs &amp; maximum load)</v>
      </c>
      <c r="D16" s="31"/>
      <c r="E16" s="31"/>
      <c r="F16" s="31"/>
      <c r="G16" s="31"/>
      <c r="H16" s="31"/>
      <c r="I16" s="31"/>
      <c r="J16" s="31"/>
      <c r="K16" s="31"/>
      <c r="L16" s="31"/>
      <c r="M16" s="31"/>
      <c r="N16" s="31"/>
      <c r="O16" s="31"/>
      <c r="P16" s="31"/>
      <c r="Q16" s="31"/>
      <c r="R16" s="31"/>
      <c r="S16" s="31"/>
      <c r="T16" s="31"/>
      <c r="U16" s="31"/>
      <c r="V16" s="31"/>
      <c r="W16" s="31"/>
      <c r="X16" s="31"/>
      <c r="Y16" s="31"/>
      <c r="Z16" s="31"/>
      <c r="AA16" s="31"/>
    </row>
    <row r="17" spans="3:27" x14ac:dyDescent="0.3">
      <c r="D17"/>
      <c r="E17" s="32"/>
      <c r="I17" t="s">
        <v>154</v>
      </c>
      <c r="AA17" t="s">
        <v>721</v>
      </c>
    </row>
    <row r="18" spans="3:27" x14ac:dyDescent="0.3">
      <c r="C18" s="88"/>
      <c r="E18" t="s">
        <v>549</v>
      </c>
      <c r="G18" t="s">
        <v>212</v>
      </c>
      <c r="J18" s="120">
        <f>'Volume adjustments'!J275</f>
        <v>2371479.4191347011</v>
      </c>
      <c r="K18" s="120">
        <f>'Volume adjustments'!K275</f>
        <v>0</v>
      </c>
      <c r="L18" s="120">
        <f>'Volume adjustments'!L275</f>
        <v>186963.63183969076</v>
      </c>
      <c r="M18" s="120">
        <f>'Volume adjustments'!M275</f>
        <v>0</v>
      </c>
      <c r="N18" s="120">
        <f>'Volume adjustments'!N275</f>
        <v>15044.021631328782</v>
      </c>
      <c r="O18" s="120">
        <f>'Volume adjustments'!O275</f>
        <v>399.86184324490995</v>
      </c>
      <c r="P18" s="120">
        <f>'Volume adjustments'!P275</f>
        <v>4136.1544018244804</v>
      </c>
      <c r="Q18" s="120">
        <f>'Volume adjustments'!Q275</f>
        <v>29.475632524712577</v>
      </c>
      <c r="R18" s="120">
        <f>'Volume adjustments'!R275</f>
        <v>0</v>
      </c>
      <c r="S18" s="120">
        <f>'Volume adjustments'!S275</f>
        <v>0</v>
      </c>
      <c r="T18" s="120">
        <f>'Volume adjustments'!T275</f>
        <v>654.93140614185506</v>
      </c>
      <c r="U18" s="120">
        <f>'Volume adjustments'!U275</f>
        <v>0</v>
      </c>
      <c r="V18" s="120">
        <f>'Volume adjustments'!V275</f>
        <v>27.058064434890188</v>
      </c>
      <c r="W18" s="120">
        <f>'Volume adjustments'!W275</f>
        <v>0</v>
      </c>
      <c r="X18" s="120">
        <f>'Volume adjustments'!X275</f>
        <v>316.31557457887271</v>
      </c>
      <c r="Y18" s="120">
        <f>'Volume adjustments'!Y275</f>
        <v>0</v>
      </c>
    </row>
    <row r="19" spans="3:27" x14ac:dyDescent="0.3">
      <c r="C19" s="88"/>
      <c r="E19"/>
      <c r="J19" s="120"/>
      <c r="K19" s="120"/>
      <c r="L19" s="120"/>
      <c r="M19" s="120"/>
      <c r="N19" s="120"/>
      <c r="O19" s="120"/>
      <c r="P19" s="120"/>
      <c r="Q19" s="120"/>
      <c r="R19" s="120"/>
      <c r="S19" s="120"/>
      <c r="T19" s="120"/>
      <c r="U19" s="120"/>
      <c r="V19" s="120"/>
      <c r="W19" s="120"/>
      <c r="X19" s="120"/>
      <c r="Y19" s="120"/>
    </row>
    <row r="20" spans="3:27" x14ac:dyDescent="0.3">
      <c r="C20" s="88"/>
      <c r="E20" t="s">
        <v>471</v>
      </c>
      <c r="G20" t="s">
        <v>172</v>
      </c>
      <c r="H20" s="63"/>
      <c r="J20" s="120">
        <f>'System peak demand'!J200</f>
        <v>2112.6929518010884</v>
      </c>
      <c r="K20" s="120">
        <f>'System peak demand'!K200</f>
        <v>10.973290498328069</v>
      </c>
      <c r="L20" s="120">
        <f>'System peak demand'!L200</f>
        <v>733.62011211835545</v>
      </c>
      <c r="M20" s="120">
        <f>'System peak demand'!M200</f>
        <v>2.0454605364011504</v>
      </c>
      <c r="N20" s="120">
        <f>'System peak demand'!N200</f>
        <v>528.43301822234241</v>
      </c>
      <c r="O20" s="120">
        <f>'System peak demand'!O200</f>
        <v>29.728779036538903</v>
      </c>
      <c r="P20" s="120">
        <f>'System peak demand'!P200</f>
        <v>1136.9128464351452</v>
      </c>
      <c r="Q20" s="120">
        <f>'System peak demand'!Q200</f>
        <v>54.065424081434287</v>
      </c>
      <c r="R20" s="120">
        <f>'System peak demand'!R200</f>
        <v>0</v>
      </c>
      <c r="S20" s="120">
        <f>'System peak demand'!S200</f>
        <v>0</v>
      </c>
      <c r="T20" s="120">
        <f>'System peak demand'!T200</f>
        <v>0</v>
      </c>
      <c r="U20" s="120">
        <f>'System peak demand'!U200</f>
        <v>0</v>
      </c>
      <c r="V20" s="120">
        <f>'System peak demand'!V200</f>
        <v>0</v>
      </c>
      <c r="W20" s="120">
        <f>'System peak demand'!W200</f>
        <v>0</v>
      </c>
      <c r="X20" s="120">
        <f>'System peak demand'!X200</f>
        <v>0</v>
      </c>
      <c r="Y20" s="120">
        <f>'System peak demand'!Y200</f>
        <v>0</v>
      </c>
    </row>
    <row r="21" spans="3:27" x14ac:dyDescent="0.3">
      <c r="J21" s="89"/>
      <c r="K21" s="89"/>
      <c r="L21" s="89"/>
      <c r="M21" s="89"/>
      <c r="N21" s="89"/>
      <c r="O21" s="89"/>
      <c r="P21" s="89"/>
      <c r="Q21" s="89"/>
      <c r="R21" s="89"/>
      <c r="S21" s="89"/>
      <c r="T21" s="89"/>
      <c r="U21" s="89"/>
      <c r="V21" s="89"/>
      <c r="W21" s="89"/>
      <c r="X21" s="89"/>
      <c r="Y21" s="89"/>
    </row>
    <row r="22" spans="3:27" x14ac:dyDescent="0.3">
      <c r="C22" s="31" t="str">
        <f ca="1">INDEX('Version control'!$H$34:$H$57,MATCH($A$1,'Version control'!$F$34:$F$57,0),1)&amp;"-B: Capacity elements allocated to fixed charges"</f>
        <v>Section 114-B: Capacity elements allocated to fixed charges</v>
      </c>
      <c r="D22" s="31"/>
      <c r="E22" s="31"/>
      <c r="F22" s="31"/>
      <c r="G22" s="31"/>
      <c r="H22" s="31"/>
      <c r="I22" s="31"/>
      <c r="J22" s="90"/>
      <c r="K22" s="90"/>
      <c r="L22" s="90"/>
      <c r="M22" s="90"/>
      <c r="N22" s="90"/>
      <c r="O22" s="90"/>
      <c r="P22" s="90"/>
      <c r="Q22" s="90"/>
      <c r="R22" s="90"/>
      <c r="S22" s="90"/>
      <c r="T22" s="90"/>
      <c r="U22" s="90"/>
      <c r="V22" s="90"/>
      <c r="W22" s="90"/>
      <c r="X22" s="90"/>
      <c r="Y22" s="90"/>
      <c r="Z22" s="31"/>
      <c r="AA22" s="31"/>
    </row>
    <row r="23" spans="3:27" x14ac:dyDescent="0.3">
      <c r="D23"/>
      <c r="E23" s="32"/>
      <c r="I23" t="s">
        <v>154</v>
      </c>
      <c r="J23" s="89"/>
      <c r="K23" s="89"/>
      <c r="L23" s="89"/>
      <c r="M23" s="89"/>
      <c r="N23" s="89"/>
      <c r="O23" s="89"/>
      <c r="P23" s="89"/>
      <c r="Q23" s="89"/>
      <c r="R23" s="89"/>
      <c r="S23" s="89"/>
      <c r="T23" s="89"/>
      <c r="U23" s="89"/>
      <c r="V23" s="89"/>
      <c r="W23" s="89"/>
      <c r="X23" s="89"/>
      <c r="Y23" s="89"/>
      <c r="AA23" t="s">
        <v>721</v>
      </c>
    </row>
    <row r="24" spans="3:27" x14ac:dyDescent="0.3">
      <c r="C24" s="88"/>
      <c r="E24" s="32" t="s">
        <v>621</v>
      </c>
      <c r="J24" s="89"/>
      <c r="K24" s="89"/>
      <c r="L24" s="89"/>
      <c r="M24" s="89"/>
      <c r="N24" s="89"/>
      <c r="O24" s="89"/>
      <c r="P24" s="89"/>
      <c r="Q24" s="89"/>
      <c r="R24" s="89"/>
      <c r="S24" s="89"/>
      <c r="T24" s="89"/>
      <c r="U24" s="89"/>
      <c r="V24" s="89"/>
      <c r="W24" s="89"/>
      <c r="X24" s="89"/>
      <c r="Y24" s="89"/>
    </row>
    <row r="25" spans="3:27" x14ac:dyDescent="0.3">
      <c r="C25" s="88"/>
      <c r="E25" s="29"/>
      <c r="F25" s="23" t="s">
        <v>189</v>
      </c>
      <c r="G25" s="23" t="s">
        <v>271</v>
      </c>
      <c r="H25" s="23"/>
      <c r="I25" s="23"/>
      <c r="J25" s="83"/>
      <c r="K25" s="83"/>
      <c r="L25" s="83"/>
      <c r="M25" s="83"/>
      <c r="N25" s="83"/>
      <c r="O25" s="83"/>
      <c r="P25" s="83"/>
      <c r="Q25" s="83"/>
      <c r="R25" s="83"/>
      <c r="S25" s="83"/>
      <c r="T25" s="83"/>
      <c r="U25" s="83"/>
      <c r="V25" s="83"/>
      <c r="W25" s="83"/>
      <c r="X25" s="83"/>
      <c r="Y25" s="83"/>
    </row>
    <row r="26" spans="3:27" x14ac:dyDescent="0.3">
      <c r="C26" s="88"/>
      <c r="E26" s="29"/>
      <c r="F26" t="s">
        <v>191</v>
      </c>
      <c r="G26" t="s">
        <v>271</v>
      </c>
      <c r="J26" s="79"/>
      <c r="K26" s="79"/>
      <c r="L26" s="79"/>
      <c r="M26" s="79"/>
      <c r="N26" s="79"/>
      <c r="O26" s="79"/>
      <c r="P26" s="79"/>
      <c r="Q26" s="79"/>
      <c r="R26" s="79"/>
      <c r="S26" s="79"/>
      <c r="T26" s="79"/>
      <c r="U26" s="79"/>
      <c r="V26" s="79"/>
      <c r="W26" s="79"/>
      <c r="X26" s="79"/>
      <c r="Y26" s="79"/>
    </row>
    <row r="27" spans="3:27" x14ac:dyDescent="0.3">
      <c r="C27" s="88"/>
      <c r="E27" s="29"/>
      <c r="F27" t="s">
        <v>192</v>
      </c>
      <c r="G27" t="s">
        <v>271</v>
      </c>
      <c r="J27" s="120">
        <f>'Capacity charges'!J264</f>
        <v>0</v>
      </c>
      <c r="K27" s="120">
        <f>'Capacity charges'!K264</f>
        <v>0</v>
      </c>
      <c r="L27" s="120">
        <f>'Capacity charges'!L264</f>
        <v>0</v>
      </c>
      <c r="M27" s="120">
        <f>'Capacity charges'!M264</f>
        <v>0</v>
      </c>
      <c r="N27" s="120">
        <f>'Capacity charges'!N264</f>
        <v>0</v>
      </c>
      <c r="O27" s="120">
        <f>'Capacity charges'!O264</f>
        <v>0</v>
      </c>
      <c r="P27" s="120">
        <f>'Capacity charges'!P264</f>
        <v>0</v>
      </c>
      <c r="Q27" s="120">
        <f>'Capacity charges'!Q264</f>
        <v>0</v>
      </c>
      <c r="R27" s="120">
        <f>'Capacity charges'!R264</f>
        <v>0</v>
      </c>
      <c r="S27" s="120">
        <f>'Capacity charges'!S264</f>
        <v>0</v>
      </c>
      <c r="T27" s="120">
        <f>'Capacity charges'!T264</f>
        <v>0</v>
      </c>
      <c r="U27" s="120">
        <f>'Capacity charges'!U264</f>
        <v>0</v>
      </c>
      <c r="V27" s="120">
        <f>'Capacity charges'!V264</f>
        <v>0</v>
      </c>
      <c r="W27" s="120">
        <f>'Capacity charges'!W264</f>
        <v>0</v>
      </c>
      <c r="X27" s="120">
        <f>'Capacity charges'!X264</f>
        <v>0</v>
      </c>
      <c r="Y27" s="120">
        <f>'Capacity charges'!Y264</f>
        <v>0</v>
      </c>
    </row>
    <row r="28" spans="3:27" x14ac:dyDescent="0.3">
      <c r="C28" s="88"/>
      <c r="E28" s="29"/>
      <c r="F28" t="s">
        <v>193</v>
      </c>
      <c r="G28" t="s">
        <v>271</v>
      </c>
      <c r="J28" s="120">
        <f>'Capacity charges'!J265</f>
        <v>0</v>
      </c>
      <c r="K28" s="120">
        <f>'Capacity charges'!K265</f>
        <v>0</v>
      </c>
      <c r="L28" s="120">
        <f>'Capacity charges'!L265</f>
        <v>0</v>
      </c>
      <c r="M28" s="120">
        <f>'Capacity charges'!M265</f>
        <v>0</v>
      </c>
      <c r="N28" s="120">
        <f>'Capacity charges'!N265</f>
        <v>0</v>
      </c>
      <c r="O28" s="120">
        <f>'Capacity charges'!O265</f>
        <v>0</v>
      </c>
      <c r="P28" s="120">
        <f>'Capacity charges'!P265</f>
        <v>0</v>
      </c>
      <c r="Q28" s="120">
        <f>'Capacity charges'!Q265</f>
        <v>0</v>
      </c>
      <c r="R28" s="120">
        <f>'Capacity charges'!R265</f>
        <v>0</v>
      </c>
      <c r="S28" s="120">
        <f>'Capacity charges'!S265</f>
        <v>0</v>
      </c>
      <c r="T28" s="120">
        <f>'Capacity charges'!T265</f>
        <v>0</v>
      </c>
      <c r="U28" s="120">
        <f>'Capacity charges'!U265</f>
        <v>0</v>
      </c>
      <c r="V28" s="120">
        <f>'Capacity charges'!V265</f>
        <v>0</v>
      </c>
      <c r="W28" s="120">
        <f>'Capacity charges'!W265</f>
        <v>0</v>
      </c>
      <c r="X28" s="120">
        <f>'Capacity charges'!X265</f>
        <v>0</v>
      </c>
      <c r="Y28" s="120">
        <f>'Capacity charges'!Y265</f>
        <v>0</v>
      </c>
    </row>
    <row r="29" spans="3:27" x14ac:dyDescent="0.3">
      <c r="C29" s="88"/>
      <c r="E29" s="29"/>
      <c r="F29" t="s">
        <v>194</v>
      </c>
      <c r="G29" t="s">
        <v>271</v>
      </c>
      <c r="J29" s="120">
        <f>'Capacity charges'!J266</f>
        <v>0</v>
      </c>
      <c r="K29" s="120">
        <f>'Capacity charges'!K266</f>
        <v>0</v>
      </c>
      <c r="L29" s="120">
        <f>'Capacity charges'!L266</f>
        <v>0</v>
      </c>
      <c r="M29" s="120">
        <f>'Capacity charges'!M266</f>
        <v>0</v>
      </c>
      <c r="N29" s="120">
        <f>'Capacity charges'!N266</f>
        <v>0</v>
      </c>
      <c r="O29" s="120">
        <f>'Capacity charges'!O266</f>
        <v>0</v>
      </c>
      <c r="P29" s="120">
        <f>'Capacity charges'!P266</f>
        <v>0</v>
      </c>
      <c r="Q29" s="120">
        <f>'Capacity charges'!Q266</f>
        <v>0</v>
      </c>
      <c r="R29" s="120">
        <f>'Capacity charges'!R266</f>
        <v>0</v>
      </c>
      <c r="S29" s="120">
        <f>'Capacity charges'!S266</f>
        <v>0</v>
      </c>
      <c r="T29" s="120">
        <f>'Capacity charges'!T266</f>
        <v>0</v>
      </c>
      <c r="U29" s="120">
        <f>'Capacity charges'!U266</f>
        <v>0</v>
      </c>
      <c r="V29" s="120">
        <f>'Capacity charges'!V266</f>
        <v>0</v>
      </c>
      <c r="W29" s="120">
        <f>'Capacity charges'!W266</f>
        <v>0</v>
      </c>
      <c r="X29" s="120">
        <f>'Capacity charges'!X266</f>
        <v>0</v>
      </c>
      <c r="Y29" s="120">
        <f>'Capacity charges'!Y266</f>
        <v>0</v>
      </c>
    </row>
    <row r="30" spans="3:27" x14ac:dyDescent="0.3">
      <c r="C30" s="88"/>
      <c r="E30" s="29"/>
      <c r="F30" t="s">
        <v>195</v>
      </c>
      <c r="G30" t="s">
        <v>271</v>
      </c>
      <c r="J30" s="120">
        <f>'Capacity charges'!J267</f>
        <v>0</v>
      </c>
      <c r="K30" s="120">
        <f>'Capacity charges'!K267</f>
        <v>0</v>
      </c>
      <c r="L30" s="120">
        <f>'Capacity charges'!L267</f>
        <v>0</v>
      </c>
      <c r="M30" s="120">
        <f>'Capacity charges'!M267</f>
        <v>0</v>
      </c>
      <c r="N30" s="120">
        <f>'Capacity charges'!N267</f>
        <v>0</v>
      </c>
      <c r="O30" s="120">
        <f>'Capacity charges'!O267</f>
        <v>0</v>
      </c>
      <c r="P30" s="120">
        <f>'Capacity charges'!P267</f>
        <v>0</v>
      </c>
      <c r="Q30" s="120">
        <f>'Capacity charges'!Q267</f>
        <v>0</v>
      </c>
      <c r="R30" s="120">
        <f>'Capacity charges'!R267</f>
        <v>0</v>
      </c>
      <c r="S30" s="120">
        <f>'Capacity charges'!S267</f>
        <v>0</v>
      </c>
      <c r="T30" s="120">
        <f>'Capacity charges'!T267</f>
        <v>0</v>
      </c>
      <c r="U30" s="120">
        <f>'Capacity charges'!U267</f>
        <v>0</v>
      </c>
      <c r="V30" s="120">
        <f>'Capacity charges'!V267</f>
        <v>0</v>
      </c>
      <c r="W30" s="120">
        <f>'Capacity charges'!W267</f>
        <v>0</v>
      </c>
      <c r="X30" s="120">
        <f>'Capacity charges'!X267</f>
        <v>0</v>
      </c>
      <c r="Y30" s="120">
        <f>'Capacity charges'!Y267</f>
        <v>0</v>
      </c>
    </row>
    <row r="31" spans="3:27" x14ac:dyDescent="0.3">
      <c r="C31" s="88"/>
      <c r="E31" s="29"/>
      <c r="F31" t="s">
        <v>196</v>
      </c>
      <c r="G31" t="s">
        <v>271</v>
      </c>
      <c r="J31" s="120">
        <f>'Capacity charges'!J268</f>
        <v>0</v>
      </c>
      <c r="K31" s="120">
        <f>'Capacity charges'!K268</f>
        <v>0</v>
      </c>
      <c r="L31" s="120">
        <f>'Capacity charges'!L268</f>
        <v>0</v>
      </c>
      <c r="M31" s="120">
        <f>'Capacity charges'!M268</f>
        <v>0</v>
      </c>
      <c r="N31" s="120">
        <f>'Capacity charges'!N268</f>
        <v>0</v>
      </c>
      <c r="O31" s="120">
        <f>'Capacity charges'!O268</f>
        <v>0</v>
      </c>
      <c r="P31" s="120">
        <f>'Capacity charges'!P268</f>
        <v>0</v>
      </c>
      <c r="Q31" s="120">
        <f>'Capacity charges'!Q268</f>
        <v>0</v>
      </c>
      <c r="R31" s="120">
        <f>'Capacity charges'!R268</f>
        <v>0</v>
      </c>
      <c r="S31" s="120">
        <f>'Capacity charges'!S268</f>
        <v>0</v>
      </c>
      <c r="T31" s="120">
        <f>'Capacity charges'!T268</f>
        <v>0</v>
      </c>
      <c r="U31" s="120">
        <f>'Capacity charges'!U268</f>
        <v>0</v>
      </c>
      <c r="V31" s="120">
        <f>'Capacity charges'!V268</f>
        <v>0</v>
      </c>
      <c r="W31" s="120">
        <f>'Capacity charges'!W268</f>
        <v>0</v>
      </c>
      <c r="X31" s="120">
        <f>'Capacity charges'!X268</f>
        <v>0</v>
      </c>
      <c r="Y31" s="120">
        <f>'Capacity charges'!Y268</f>
        <v>0</v>
      </c>
    </row>
    <row r="32" spans="3:27" x14ac:dyDescent="0.3">
      <c r="C32" s="88"/>
      <c r="E32" s="29"/>
      <c r="F32" t="s">
        <v>197</v>
      </c>
      <c r="G32" t="s">
        <v>271</v>
      </c>
      <c r="J32" s="120">
        <f>'Capacity charges'!J269</f>
        <v>0</v>
      </c>
      <c r="K32" s="120">
        <f>'Capacity charges'!K269</f>
        <v>0</v>
      </c>
      <c r="L32" s="120">
        <f>'Capacity charges'!L269</f>
        <v>0</v>
      </c>
      <c r="M32" s="120">
        <f>'Capacity charges'!M269</f>
        <v>0</v>
      </c>
      <c r="N32" s="120">
        <f>'Capacity charges'!N269</f>
        <v>0</v>
      </c>
      <c r="O32" s="120">
        <f>'Capacity charges'!O269</f>
        <v>0</v>
      </c>
      <c r="P32" s="120">
        <f>'Capacity charges'!P269</f>
        <v>0</v>
      </c>
      <c r="Q32" s="120">
        <f>'Capacity charges'!Q269</f>
        <v>0</v>
      </c>
      <c r="R32" s="120">
        <f>'Capacity charges'!R269</f>
        <v>0</v>
      </c>
      <c r="S32" s="120">
        <f>'Capacity charges'!S269</f>
        <v>0</v>
      </c>
      <c r="T32" s="120">
        <f>'Capacity charges'!T269</f>
        <v>0</v>
      </c>
      <c r="U32" s="120">
        <f>'Capacity charges'!U269</f>
        <v>0</v>
      </c>
      <c r="V32" s="120">
        <f>'Capacity charges'!V269</f>
        <v>0</v>
      </c>
      <c r="W32" s="120">
        <f>'Capacity charges'!W269</f>
        <v>0</v>
      </c>
      <c r="X32" s="120">
        <f>'Capacity charges'!X269</f>
        <v>0</v>
      </c>
      <c r="Y32" s="120">
        <f>'Capacity charges'!Y269</f>
        <v>0</v>
      </c>
    </row>
    <row r="33" spans="3:25" x14ac:dyDescent="0.3">
      <c r="C33" s="88"/>
      <c r="E33" s="29"/>
      <c r="F33" t="s">
        <v>198</v>
      </c>
      <c r="G33" t="s">
        <v>271</v>
      </c>
      <c r="J33" s="120">
        <f>'Capacity charges'!J270</f>
        <v>0</v>
      </c>
      <c r="K33" s="120">
        <f>'Capacity charges'!K270</f>
        <v>0</v>
      </c>
      <c r="L33" s="120">
        <f>'Capacity charges'!L270</f>
        <v>0</v>
      </c>
      <c r="M33" s="120">
        <f>'Capacity charges'!M270</f>
        <v>0</v>
      </c>
      <c r="N33" s="120">
        <f>'Capacity charges'!N270</f>
        <v>0</v>
      </c>
      <c r="O33" s="120">
        <f>'Capacity charges'!O270</f>
        <v>0</v>
      </c>
      <c r="P33" s="120">
        <f>'Capacity charges'!P270</f>
        <v>0</v>
      </c>
      <c r="Q33" s="120">
        <f>'Capacity charges'!Q270</f>
        <v>0</v>
      </c>
      <c r="R33" s="120">
        <f>'Capacity charges'!R270</f>
        <v>0</v>
      </c>
      <c r="S33" s="120">
        <f>'Capacity charges'!S270</f>
        <v>0</v>
      </c>
      <c r="T33" s="120">
        <f>'Capacity charges'!T270</f>
        <v>0</v>
      </c>
      <c r="U33" s="120">
        <f>'Capacity charges'!U270</f>
        <v>0</v>
      </c>
      <c r="V33" s="120">
        <f>'Capacity charges'!V270</f>
        <v>0</v>
      </c>
      <c r="W33" s="120">
        <f>'Capacity charges'!W270</f>
        <v>0</v>
      </c>
      <c r="X33" s="120">
        <f>'Capacity charges'!X270</f>
        <v>0</v>
      </c>
      <c r="Y33" s="120">
        <f>'Capacity charges'!Y270</f>
        <v>0</v>
      </c>
    </row>
    <row r="34" spans="3:25" x14ac:dyDescent="0.3">
      <c r="C34" s="88"/>
      <c r="E34" s="29"/>
      <c r="F34" t="s">
        <v>199</v>
      </c>
      <c r="G34" t="s">
        <v>271</v>
      </c>
      <c r="J34" s="120">
        <f>'Capacity charges'!J271</f>
        <v>0.28575600268472384</v>
      </c>
      <c r="K34" s="120">
        <f>'Capacity charges'!K271</f>
        <v>0</v>
      </c>
      <c r="L34" s="120">
        <f>'Capacity charges'!L271</f>
        <v>0.28575600268472384</v>
      </c>
      <c r="M34" s="120">
        <f>'Capacity charges'!M271</f>
        <v>0</v>
      </c>
      <c r="N34" s="120">
        <f>'Capacity charges'!N271</f>
        <v>0</v>
      </c>
      <c r="O34" s="120">
        <f>'Capacity charges'!O271</f>
        <v>0</v>
      </c>
      <c r="P34" s="120">
        <f>'Capacity charges'!P271</f>
        <v>0</v>
      </c>
      <c r="Q34" s="120">
        <f>'Capacity charges'!Q271</f>
        <v>0</v>
      </c>
      <c r="R34" s="120">
        <f>'Capacity charges'!R271</f>
        <v>0</v>
      </c>
      <c r="S34" s="120">
        <f>'Capacity charges'!S271</f>
        <v>0</v>
      </c>
      <c r="T34" s="120">
        <f>'Capacity charges'!T271</f>
        <v>0</v>
      </c>
      <c r="U34" s="120">
        <f>'Capacity charges'!U271</f>
        <v>0</v>
      </c>
      <c r="V34" s="120">
        <f>'Capacity charges'!V271</f>
        <v>0</v>
      </c>
      <c r="W34" s="120">
        <f>'Capacity charges'!W271</f>
        <v>0</v>
      </c>
      <c r="X34" s="120">
        <f>'Capacity charges'!X271</f>
        <v>0</v>
      </c>
      <c r="Y34" s="120">
        <f>'Capacity charges'!Y271</f>
        <v>0</v>
      </c>
    </row>
    <row r="35" spans="3:25" x14ac:dyDescent="0.3">
      <c r="C35" s="88"/>
      <c r="E35" s="29"/>
      <c r="F35" t="s">
        <v>376</v>
      </c>
      <c r="G35" t="s">
        <v>271</v>
      </c>
      <c r="J35" s="79"/>
      <c r="K35" s="79"/>
      <c r="L35" s="79"/>
      <c r="M35" s="79"/>
      <c r="N35" s="79"/>
      <c r="O35" s="79"/>
      <c r="P35" s="79"/>
      <c r="Q35" s="79"/>
      <c r="R35" s="79"/>
      <c r="S35" s="79"/>
      <c r="T35" s="79"/>
      <c r="U35" s="79"/>
      <c r="V35" s="79"/>
      <c r="W35" s="79"/>
      <c r="X35" s="79"/>
      <c r="Y35" s="79"/>
    </row>
    <row r="36" spans="3:25" x14ac:dyDescent="0.3">
      <c r="C36" s="88"/>
      <c r="E36" s="29"/>
      <c r="F36" s="37" t="s">
        <v>377</v>
      </c>
      <c r="G36" s="37" t="s">
        <v>271</v>
      </c>
      <c r="H36" s="37"/>
      <c r="I36" s="37"/>
      <c r="J36" s="81"/>
      <c r="K36" s="81"/>
      <c r="L36" s="81"/>
      <c r="M36" s="81"/>
      <c r="N36" s="81"/>
      <c r="O36" s="81"/>
      <c r="P36" s="81"/>
      <c r="Q36" s="81"/>
      <c r="R36" s="81"/>
      <c r="S36" s="81"/>
      <c r="T36" s="81"/>
      <c r="U36" s="81"/>
      <c r="V36" s="81"/>
      <c r="W36" s="81"/>
      <c r="X36" s="81"/>
      <c r="Y36" s="81"/>
    </row>
    <row r="37" spans="3:25" x14ac:dyDescent="0.3">
      <c r="C37" s="88"/>
      <c r="D37"/>
      <c r="E37" s="29"/>
      <c r="J37" s="89"/>
      <c r="K37" s="89"/>
      <c r="L37" s="89"/>
      <c r="M37" s="89"/>
      <c r="N37" s="89"/>
      <c r="O37" s="89"/>
      <c r="P37" s="89"/>
      <c r="Q37" s="89"/>
      <c r="R37" s="89"/>
      <c r="S37" s="89"/>
      <c r="T37" s="89"/>
      <c r="U37" s="89"/>
      <c r="V37" s="89"/>
      <c r="W37" s="89"/>
      <c r="X37" s="89"/>
      <c r="Y37" s="89"/>
    </row>
    <row r="38" spans="3:25" x14ac:dyDescent="0.3">
      <c r="C38" s="88"/>
      <c r="E38" s="32" t="s">
        <v>622</v>
      </c>
      <c r="J38" s="89"/>
      <c r="K38" s="89"/>
      <c r="L38" s="89"/>
      <c r="M38" s="89"/>
      <c r="N38" s="89"/>
      <c r="O38" s="89"/>
      <c r="P38" s="89"/>
      <c r="Q38" s="89"/>
      <c r="R38" s="89"/>
      <c r="S38" s="89"/>
      <c r="T38" s="89"/>
      <c r="U38" s="89"/>
      <c r="V38" s="89"/>
      <c r="W38" s="89"/>
      <c r="X38" s="89"/>
      <c r="Y38" s="89"/>
    </row>
    <row r="39" spans="3:25" x14ac:dyDescent="0.3">
      <c r="C39" s="88"/>
      <c r="F39" s="23" t="s">
        <v>189</v>
      </c>
      <c r="G39" s="23" t="s">
        <v>271</v>
      </c>
      <c r="H39" s="23"/>
      <c r="I39" s="23"/>
      <c r="J39" s="124">
        <f>'Capacity charges'!J276</f>
        <v>0</v>
      </c>
      <c r="K39" s="124">
        <f>'Capacity charges'!K276</f>
        <v>0</v>
      </c>
      <c r="L39" s="124">
        <f>'Capacity charges'!L276</f>
        <v>0</v>
      </c>
      <c r="M39" s="124">
        <f>'Capacity charges'!M276</f>
        <v>0</v>
      </c>
      <c r="N39" s="124">
        <f>'Capacity charges'!N276</f>
        <v>0</v>
      </c>
      <c r="O39" s="124">
        <f>'Capacity charges'!O276</f>
        <v>0</v>
      </c>
      <c r="P39" s="124">
        <f>'Capacity charges'!P276</f>
        <v>0</v>
      </c>
      <c r="Q39" s="124">
        <f>'Capacity charges'!Q276</f>
        <v>0</v>
      </c>
      <c r="R39" s="124">
        <f>'Capacity charges'!R276</f>
        <v>0</v>
      </c>
      <c r="S39" s="124">
        <f>'Capacity charges'!S276</f>
        <v>0</v>
      </c>
      <c r="T39" s="124">
        <f>'Capacity charges'!T276</f>
        <v>0</v>
      </c>
      <c r="U39" s="124">
        <f>'Capacity charges'!U276</f>
        <v>0</v>
      </c>
      <c r="V39" s="124">
        <f>'Capacity charges'!V276</f>
        <v>0</v>
      </c>
      <c r="W39" s="124">
        <f>'Capacity charges'!W276</f>
        <v>0</v>
      </c>
      <c r="X39" s="124">
        <f>'Capacity charges'!X276</f>
        <v>0</v>
      </c>
      <c r="Y39" s="124">
        <f>'Capacity charges'!Y276</f>
        <v>0</v>
      </c>
    </row>
    <row r="40" spans="3:25" x14ac:dyDescent="0.3">
      <c r="C40" s="88"/>
      <c r="F40" t="s">
        <v>191</v>
      </c>
      <c r="G40" t="s">
        <v>271</v>
      </c>
      <c r="J40" s="120">
        <f>'Capacity charges'!J277</f>
        <v>0</v>
      </c>
      <c r="K40" s="120">
        <f>'Capacity charges'!K277</f>
        <v>0</v>
      </c>
      <c r="L40" s="120">
        <f>'Capacity charges'!L277</f>
        <v>0</v>
      </c>
      <c r="M40" s="120">
        <f>'Capacity charges'!M277</f>
        <v>0</v>
      </c>
      <c r="N40" s="120">
        <f>'Capacity charges'!N277</f>
        <v>0</v>
      </c>
      <c r="O40" s="120">
        <f>'Capacity charges'!O277</f>
        <v>0</v>
      </c>
      <c r="P40" s="120">
        <f>'Capacity charges'!P277</f>
        <v>0</v>
      </c>
      <c r="Q40" s="120">
        <f>'Capacity charges'!Q277</f>
        <v>0</v>
      </c>
      <c r="R40" s="120">
        <f>'Capacity charges'!R277</f>
        <v>0</v>
      </c>
      <c r="S40" s="120">
        <f>'Capacity charges'!S277</f>
        <v>0</v>
      </c>
      <c r="T40" s="120">
        <f>'Capacity charges'!T277</f>
        <v>0</v>
      </c>
      <c r="U40" s="120">
        <f>'Capacity charges'!U277</f>
        <v>0</v>
      </c>
      <c r="V40" s="120">
        <f>'Capacity charges'!V277</f>
        <v>0</v>
      </c>
      <c r="W40" s="120">
        <f>'Capacity charges'!W277</f>
        <v>0</v>
      </c>
      <c r="X40" s="120">
        <f>'Capacity charges'!X277</f>
        <v>0</v>
      </c>
      <c r="Y40" s="120">
        <f>'Capacity charges'!Y277</f>
        <v>0</v>
      </c>
    </row>
    <row r="41" spans="3:25" x14ac:dyDescent="0.3">
      <c r="C41" s="88"/>
      <c r="F41" t="s">
        <v>192</v>
      </c>
      <c r="G41" t="s">
        <v>271</v>
      </c>
      <c r="J41" s="120">
        <f>'Capacity charges'!J278</f>
        <v>0</v>
      </c>
      <c r="K41" s="120">
        <f>'Capacity charges'!K278</f>
        <v>0</v>
      </c>
      <c r="L41" s="120">
        <f>'Capacity charges'!L278</f>
        <v>0</v>
      </c>
      <c r="M41" s="120">
        <f>'Capacity charges'!M278</f>
        <v>0</v>
      </c>
      <c r="N41" s="120">
        <f>'Capacity charges'!N278</f>
        <v>0</v>
      </c>
      <c r="O41" s="120">
        <f>'Capacity charges'!O278</f>
        <v>0</v>
      </c>
      <c r="P41" s="120">
        <f>'Capacity charges'!P278</f>
        <v>0</v>
      </c>
      <c r="Q41" s="120">
        <f>'Capacity charges'!Q278</f>
        <v>0</v>
      </c>
      <c r="R41" s="120">
        <f>'Capacity charges'!R278</f>
        <v>0</v>
      </c>
      <c r="S41" s="120">
        <f>'Capacity charges'!S278</f>
        <v>0</v>
      </c>
      <c r="T41" s="120">
        <f>'Capacity charges'!T278</f>
        <v>0</v>
      </c>
      <c r="U41" s="120">
        <f>'Capacity charges'!U278</f>
        <v>0</v>
      </c>
      <c r="V41" s="120">
        <f>'Capacity charges'!V278</f>
        <v>0</v>
      </c>
      <c r="W41" s="120">
        <f>'Capacity charges'!W278</f>
        <v>0</v>
      </c>
      <c r="X41" s="120">
        <f>'Capacity charges'!X278</f>
        <v>0</v>
      </c>
      <c r="Y41" s="120">
        <f>'Capacity charges'!Y278</f>
        <v>0</v>
      </c>
    </row>
    <row r="42" spans="3:25" x14ac:dyDescent="0.3">
      <c r="C42" s="88"/>
      <c r="F42" t="s">
        <v>193</v>
      </c>
      <c r="G42" t="s">
        <v>271</v>
      </c>
      <c r="J42" s="120">
        <f>'Capacity charges'!J279</f>
        <v>0</v>
      </c>
      <c r="K42" s="120">
        <f>'Capacity charges'!K279</f>
        <v>0</v>
      </c>
      <c r="L42" s="120">
        <f>'Capacity charges'!L279</f>
        <v>0</v>
      </c>
      <c r="M42" s="120">
        <f>'Capacity charges'!M279</f>
        <v>0</v>
      </c>
      <c r="N42" s="120">
        <f>'Capacity charges'!N279</f>
        <v>0</v>
      </c>
      <c r="O42" s="120">
        <f>'Capacity charges'!O279</f>
        <v>0</v>
      </c>
      <c r="P42" s="120">
        <f>'Capacity charges'!P279</f>
        <v>0</v>
      </c>
      <c r="Q42" s="120">
        <f>'Capacity charges'!Q279</f>
        <v>0</v>
      </c>
      <c r="R42" s="120">
        <f>'Capacity charges'!R279</f>
        <v>0</v>
      </c>
      <c r="S42" s="120">
        <f>'Capacity charges'!S279</f>
        <v>0</v>
      </c>
      <c r="T42" s="120">
        <f>'Capacity charges'!T279</f>
        <v>0</v>
      </c>
      <c r="U42" s="120">
        <f>'Capacity charges'!U279</f>
        <v>0</v>
      </c>
      <c r="V42" s="120">
        <f>'Capacity charges'!V279</f>
        <v>0</v>
      </c>
      <c r="W42" s="120">
        <f>'Capacity charges'!W279</f>
        <v>0</v>
      </c>
      <c r="X42" s="120">
        <f>'Capacity charges'!X279</f>
        <v>0</v>
      </c>
      <c r="Y42" s="120">
        <f>'Capacity charges'!Y279</f>
        <v>0</v>
      </c>
    </row>
    <row r="43" spans="3:25" x14ac:dyDescent="0.3">
      <c r="C43" s="88"/>
      <c r="F43" t="s">
        <v>194</v>
      </c>
      <c r="G43" t="s">
        <v>271</v>
      </c>
      <c r="J43" s="120">
        <f>'Capacity charges'!J280</f>
        <v>0</v>
      </c>
      <c r="K43" s="120">
        <f>'Capacity charges'!K280</f>
        <v>0</v>
      </c>
      <c r="L43" s="120">
        <f>'Capacity charges'!L280</f>
        <v>0</v>
      </c>
      <c r="M43" s="120">
        <f>'Capacity charges'!M280</f>
        <v>0</v>
      </c>
      <c r="N43" s="120">
        <f>'Capacity charges'!N280</f>
        <v>0</v>
      </c>
      <c r="O43" s="120">
        <f>'Capacity charges'!O280</f>
        <v>0</v>
      </c>
      <c r="P43" s="120">
        <f>'Capacity charges'!P280</f>
        <v>0</v>
      </c>
      <c r="Q43" s="120">
        <f>'Capacity charges'!Q280</f>
        <v>0</v>
      </c>
      <c r="R43" s="120">
        <f>'Capacity charges'!R280</f>
        <v>0</v>
      </c>
      <c r="S43" s="120">
        <f>'Capacity charges'!S280</f>
        <v>0</v>
      </c>
      <c r="T43" s="120">
        <f>'Capacity charges'!T280</f>
        <v>0</v>
      </c>
      <c r="U43" s="120">
        <f>'Capacity charges'!U280</f>
        <v>0</v>
      </c>
      <c r="V43" s="120">
        <f>'Capacity charges'!V280</f>
        <v>0</v>
      </c>
      <c r="W43" s="120">
        <f>'Capacity charges'!W280</f>
        <v>0</v>
      </c>
      <c r="X43" s="120">
        <f>'Capacity charges'!X280</f>
        <v>0</v>
      </c>
      <c r="Y43" s="120">
        <f>'Capacity charges'!Y280</f>
        <v>0</v>
      </c>
    </row>
    <row r="44" spans="3:25" x14ac:dyDescent="0.3">
      <c r="C44" s="88"/>
      <c r="F44" t="s">
        <v>195</v>
      </c>
      <c r="G44" t="s">
        <v>271</v>
      </c>
      <c r="J44" s="120">
        <f>'Capacity charges'!J281</f>
        <v>0</v>
      </c>
      <c r="K44" s="120">
        <f>'Capacity charges'!K281</f>
        <v>0</v>
      </c>
      <c r="L44" s="120">
        <f>'Capacity charges'!L281</f>
        <v>0</v>
      </c>
      <c r="M44" s="120">
        <f>'Capacity charges'!M281</f>
        <v>0</v>
      </c>
      <c r="N44" s="120">
        <f>'Capacity charges'!N281</f>
        <v>0</v>
      </c>
      <c r="O44" s="120">
        <f>'Capacity charges'!O281</f>
        <v>0</v>
      </c>
      <c r="P44" s="120">
        <f>'Capacity charges'!P281</f>
        <v>0</v>
      </c>
      <c r="Q44" s="120">
        <f>'Capacity charges'!Q281</f>
        <v>0</v>
      </c>
      <c r="R44" s="120">
        <f>'Capacity charges'!R281</f>
        <v>0</v>
      </c>
      <c r="S44" s="120">
        <f>'Capacity charges'!S281</f>
        <v>0</v>
      </c>
      <c r="T44" s="120">
        <f>'Capacity charges'!T281</f>
        <v>0</v>
      </c>
      <c r="U44" s="120">
        <f>'Capacity charges'!U281</f>
        <v>0</v>
      </c>
      <c r="V44" s="120">
        <f>'Capacity charges'!V281</f>
        <v>0</v>
      </c>
      <c r="W44" s="120">
        <f>'Capacity charges'!W281</f>
        <v>0</v>
      </c>
      <c r="X44" s="120">
        <f>'Capacity charges'!X281</f>
        <v>0</v>
      </c>
      <c r="Y44" s="120">
        <f>'Capacity charges'!Y281</f>
        <v>0</v>
      </c>
    </row>
    <row r="45" spans="3:25" x14ac:dyDescent="0.3">
      <c r="C45" s="88"/>
      <c r="F45" t="s">
        <v>196</v>
      </c>
      <c r="G45" t="s">
        <v>271</v>
      </c>
      <c r="J45" s="120">
        <f>'Capacity charges'!J282</f>
        <v>0</v>
      </c>
      <c r="K45" s="120">
        <f>'Capacity charges'!K282</f>
        <v>0</v>
      </c>
      <c r="L45" s="120">
        <f>'Capacity charges'!L282</f>
        <v>0</v>
      </c>
      <c r="M45" s="120">
        <f>'Capacity charges'!M282</f>
        <v>0</v>
      </c>
      <c r="N45" s="120">
        <f>'Capacity charges'!N282</f>
        <v>0</v>
      </c>
      <c r="O45" s="120">
        <f>'Capacity charges'!O282</f>
        <v>0</v>
      </c>
      <c r="P45" s="120">
        <f>'Capacity charges'!P282</f>
        <v>0</v>
      </c>
      <c r="Q45" s="120">
        <f>'Capacity charges'!Q282</f>
        <v>0</v>
      </c>
      <c r="R45" s="120">
        <f>'Capacity charges'!R282</f>
        <v>0</v>
      </c>
      <c r="S45" s="120">
        <f>'Capacity charges'!S282</f>
        <v>0</v>
      </c>
      <c r="T45" s="120">
        <f>'Capacity charges'!T282</f>
        <v>0</v>
      </c>
      <c r="U45" s="120">
        <f>'Capacity charges'!U282</f>
        <v>0</v>
      </c>
      <c r="V45" s="120">
        <f>'Capacity charges'!V282</f>
        <v>0</v>
      </c>
      <c r="W45" s="120">
        <f>'Capacity charges'!W282</f>
        <v>0</v>
      </c>
      <c r="X45" s="120">
        <f>'Capacity charges'!X282</f>
        <v>0</v>
      </c>
      <c r="Y45" s="120">
        <f>'Capacity charges'!Y282</f>
        <v>0</v>
      </c>
    </row>
    <row r="46" spans="3:25" x14ac:dyDescent="0.3">
      <c r="C46" s="88"/>
      <c r="F46" t="s">
        <v>197</v>
      </c>
      <c r="G46" t="s">
        <v>271</v>
      </c>
      <c r="J46" s="120">
        <f>'Capacity charges'!J283</f>
        <v>0</v>
      </c>
      <c r="K46" s="120">
        <f>'Capacity charges'!K283</f>
        <v>0</v>
      </c>
      <c r="L46" s="120">
        <f>'Capacity charges'!L283</f>
        <v>0</v>
      </c>
      <c r="M46" s="120">
        <f>'Capacity charges'!M283</f>
        <v>0</v>
      </c>
      <c r="N46" s="120">
        <f>'Capacity charges'!N283</f>
        <v>0</v>
      </c>
      <c r="O46" s="120">
        <f>'Capacity charges'!O283</f>
        <v>0</v>
      </c>
      <c r="P46" s="120">
        <f>'Capacity charges'!P283</f>
        <v>0</v>
      </c>
      <c r="Q46" s="120">
        <f>'Capacity charges'!Q283</f>
        <v>0</v>
      </c>
      <c r="R46" s="120">
        <f>'Capacity charges'!R283</f>
        <v>0</v>
      </c>
      <c r="S46" s="120">
        <f>'Capacity charges'!S283</f>
        <v>0</v>
      </c>
      <c r="T46" s="120">
        <f>'Capacity charges'!T283</f>
        <v>0</v>
      </c>
      <c r="U46" s="120">
        <f>'Capacity charges'!U283</f>
        <v>0</v>
      </c>
      <c r="V46" s="120">
        <f>'Capacity charges'!V283</f>
        <v>0</v>
      </c>
      <c r="W46" s="120">
        <f>'Capacity charges'!W283</f>
        <v>0</v>
      </c>
      <c r="X46" s="120">
        <f>'Capacity charges'!X283</f>
        <v>0</v>
      </c>
      <c r="Y46" s="120">
        <f>'Capacity charges'!Y283</f>
        <v>0</v>
      </c>
    </row>
    <row r="47" spans="3:25" x14ac:dyDescent="0.3">
      <c r="C47" s="88"/>
      <c r="F47" t="s">
        <v>198</v>
      </c>
      <c r="G47" t="s">
        <v>271</v>
      </c>
      <c r="J47" s="120">
        <f>'Capacity charges'!J284</f>
        <v>0</v>
      </c>
      <c r="K47" s="120">
        <f>'Capacity charges'!K284</f>
        <v>0</v>
      </c>
      <c r="L47" s="120">
        <f>'Capacity charges'!L284</f>
        <v>0</v>
      </c>
      <c r="M47" s="120">
        <f>'Capacity charges'!M284</f>
        <v>0</v>
      </c>
      <c r="N47" s="120">
        <f>'Capacity charges'!N284</f>
        <v>0</v>
      </c>
      <c r="O47" s="120">
        <f>'Capacity charges'!O284</f>
        <v>0</v>
      </c>
      <c r="P47" s="120">
        <f>'Capacity charges'!P284</f>
        <v>0</v>
      </c>
      <c r="Q47" s="120">
        <f>'Capacity charges'!Q284</f>
        <v>0</v>
      </c>
      <c r="R47" s="120">
        <f>'Capacity charges'!R284</f>
        <v>0</v>
      </c>
      <c r="S47" s="120">
        <f>'Capacity charges'!S284</f>
        <v>0</v>
      </c>
      <c r="T47" s="120">
        <f>'Capacity charges'!T284</f>
        <v>0</v>
      </c>
      <c r="U47" s="120">
        <f>'Capacity charges'!U284</f>
        <v>0</v>
      </c>
      <c r="V47" s="120">
        <f>'Capacity charges'!V284</f>
        <v>0</v>
      </c>
      <c r="W47" s="120">
        <f>'Capacity charges'!W284</f>
        <v>0</v>
      </c>
      <c r="X47" s="120">
        <f>'Capacity charges'!X284</f>
        <v>0</v>
      </c>
      <c r="Y47" s="120">
        <f>'Capacity charges'!Y284</f>
        <v>0</v>
      </c>
    </row>
    <row r="48" spans="3:25" x14ac:dyDescent="0.3">
      <c r="C48" s="88"/>
      <c r="F48" t="s">
        <v>199</v>
      </c>
      <c r="G48" t="s">
        <v>271</v>
      </c>
      <c r="J48" s="120">
        <f>'Capacity charges'!J285</f>
        <v>1.9226316761571092</v>
      </c>
      <c r="K48" s="120">
        <f>'Capacity charges'!K285</f>
        <v>0</v>
      </c>
      <c r="L48" s="120">
        <f>'Capacity charges'!L285</f>
        <v>1.9226316761571092</v>
      </c>
      <c r="M48" s="120">
        <f>'Capacity charges'!M285</f>
        <v>0</v>
      </c>
      <c r="N48" s="120">
        <f>'Capacity charges'!N285</f>
        <v>0</v>
      </c>
      <c r="O48" s="120">
        <f>'Capacity charges'!O285</f>
        <v>0</v>
      </c>
      <c r="P48" s="120">
        <f>'Capacity charges'!P285</f>
        <v>0</v>
      </c>
      <c r="Q48" s="120">
        <f>'Capacity charges'!Q285</f>
        <v>0</v>
      </c>
      <c r="R48" s="120">
        <f>'Capacity charges'!R285</f>
        <v>0</v>
      </c>
      <c r="S48" s="120">
        <f>'Capacity charges'!S285</f>
        <v>0</v>
      </c>
      <c r="T48" s="120">
        <f>'Capacity charges'!T285</f>
        <v>0</v>
      </c>
      <c r="U48" s="120">
        <f>'Capacity charges'!U285</f>
        <v>0</v>
      </c>
      <c r="V48" s="120">
        <f>'Capacity charges'!V285</f>
        <v>0</v>
      </c>
      <c r="W48" s="120">
        <f>'Capacity charges'!W285</f>
        <v>0</v>
      </c>
      <c r="X48" s="120">
        <f>'Capacity charges'!X285</f>
        <v>0</v>
      </c>
      <c r="Y48" s="120">
        <f>'Capacity charges'!Y285</f>
        <v>0</v>
      </c>
    </row>
    <row r="49" spans="3:27" x14ac:dyDescent="0.3">
      <c r="C49" s="88"/>
      <c r="F49" t="s">
        <v>376</v>
      </c>
      <c r="G49" t="s">
        <v>271</v>
      </c>
      <c r="J49" s="79"/>
      <c r="K49" s="79"/>
      <c r="L49" s="79"/>
      <c r="M49" s="79"/>
      <c r="N49" s="79"/>
      <c r="O49" s="79"/>
      <c r="P49" s="79"/>
      <c r="Q49" s="79"/>
      <c r="R49" s="79"/>
      <c r="S49" s="79"/>
      <c r="T49" s="79"/>
      <c r="U49" s="79"/>
      <c r="V49" s="79"/>
      <c r="W49" s="79"/>
      <c r="X49" s="79"/>
      <c r="Y49" s="79"/>
    </row>
    <row r="50" spans="3:27" x14ac:dyDescent="0.3">
      <c r="C50" s="88"/>
      <c r="F50" s="37" t="s">
        <v>377</v>
      </c>
      <c r="G50" s="37" t="s">
        <v>271</v>
      </c>
      <c r="H50" s="37"/>
      <c r="I50" s="37"/>
      <c r="J50" s="81"/>
      <c r="K50" s="81"/>
      <c r="L50" s="81"/>
      <c r="M50" s="81"/>
      <c r="N50" s="81"/>
      <c r="O50" s="81"/>
      <c r="P50" s="81"/>
      <c r="Q50" s="81"/>
      <c r="R50" s="81"/>
      <c r="S50" s="81"/>
      <c r="T50" s="81"/>
      <c r="U50" s="81"/>
      <c r="V50" s="81"/>
      <c r="W50" s="81"/>
      <c r="X50" s="81"/>
      <c r="Y50" s="81"/>
    </row>
    <row r="51" spans="3:27" x14ac:dyDescent="0.3">
      <c r="C51" s="88"/>
      <c r="J51" s="89"/>
      <c r="K51" s="89"/>
      <c r="L51" s="89"/>
      <c r="M51" s="89"/>
      <c r="N51" s="89"/>
      <c r="O51" s="89"/>
      <c r="P51" s="89"/>
      <c r="Q51" s="89"/>
      <c r="R51" s="89"/>
      <c r="S51" s="89"/>
      <c r="T51" s="89"/>
      <c r="U51" s="89"/>
      <c r="V51" s="89"/>
      <c r="W51" s="89"/>
      <c r="X51" s="89"/>
      <c r="Y51" s="89"/>
    </row>
    <row r="52" spans="3:27" x14ac:dyDescent="0.3">
      <c r="C52" s="31" t="str">
        <f ca="1">INDEX('Version control'!$H$34:$H$57,MATCH($A$1,'Version control'!$F$34:$F$57,0),1)&amp;"-C: Service model costs allocated to fixed charges"</f>
        <v>Section 114-C: Service model costs allocated to fixed charges</v>
      </c>
      <c r="D52" s="31"/>
      <c r="E52" s="31"/>
      <c r="F52" s="31"/>
      <c r="G52" s="31"/>
      <c r="H52" s="31"/>
      <c r="I52" s="31"/>
      <c r="J52" s="90"/>
      <c r="K52" s="90"/>
      <c r="L52" s="90"/>
      <c r="M52" s="90"/>
      <c r="N52" s="90"/>
      <c r="O52" s="90"/>
      <c r="P52" s="90"/>
      <c r="Q52" s="90"/>
      <c r="R52" s="90"/>
      <c r="S52" s="90"/>
      <c r="T52" s="90"/>
      <c r="U52" s="90"/>
      <c r="V52" s="90"/>
      <c r="W52" s="90"/>
      <c r="X52" s="90"/>
      <c r="Y52" s="90"/>
      <c r="Z52" s="31"/>
      <c r="AA52" s="31"/>
    </row>
    <row r="53" spans="3:27" x14ac:dyDescent="0.3">
      <c r="D53"/>
    </row>
    <row r="54" spans="3:27" x14ac:dyDescent="0.3">
      <c r="C54" s="32"/>
      <c r="D54"/>
      <c r="E54" s="32" t="s">
        <v>622</v>
      </c>
      <c r="I54" t="s">
        <v>154</v>
      </c>
      <c r="J54" s="89"/>
      <c r="K54" s="89"/>
      <c r="L54" s="89"/>
      <c r="M54" s="89"/>
      <c r="N54" s="89"/>
      <c r="O54" s="89"/>
      <c r="P54" s="89"/>
      <c r="Q54" s="89"/>
      <c r="R54" s="89"/>
      <c r="S54" s="89"/>
      <c r="T54" s="89"/>
      <c r="U54" s="89"/>
      <c r="V54" s="89"/>
      <c r="W54" s="89"/>
      <c r="X54" s="89"/>
      <c r="Y54" s="89"/>
      <c r="AA54" t="s">
        <v>722</v>
      </c>
    </row>
    <row r="55" spans="3:27" x14ac:dyDescent="0.3">
      <c r="C55" s="88"/>
      <c r="D55"/>
      <c r="F55" s="23" t="s">
        <v>376</v>
      </c>
      <c r="G55" s="23" t="s">
        <v>270</v>
      </c>
      <c r="H55" s="23"/>
      <c r="I55" s="23"/>
      <c r="J55" s="124">
        <f>'Service model charges'!J42</f>
        <v>2.1347370422324241</v>
      </c>
      <c r="K55" s="124">
        <f>'Service model charges'!K42</f>
        <v>0</v>
      </c>
      <c r="L55" s="124">
        <f>'Service model charges'!L42</f>
        <v>6.2593399282875648</v>
      </c>
      <c r="M55" s="124">
        <f>'Service model charges'!M42</f>
        <v>0</v>
      </c>
      <c r="N55" s="124">
        <f>'Service model charges'!N42</f>
        <v>12.488244880854381</v>
      </c>
      <c r="O55" s="124">
        <f>'Service model charges'!O42</f>
        <v>9.7484171632986918</v>
      </c>
      <c r="P55" s="124">
        <f>'Service model charges'!P42</f>
        <v>0</v>
      </c>
      <c r="Q55" s="83"/>
      <c r="R55" s="124">
        <f>'Service model charges'!R42</f>
        <v>0</v>
      </c>
      <c r="S55" s="124">
        <f>'Service model charges'!S42</f>
        <v>0</v>
      </c>
      <c r="T55" s="124">
        <f>'Service model charges'!T42</f>
        <v>0</v>
      </c>
      <c r="U55" s="124">
        <f>'Service model charges'!U42</f>
        <v>0</v>
      </c>
      <c r="V55" s="124">
        <f>'Service model charges'!V42</f>
        <v>0</v>
      </c>
      <c r="W55" s="124">
        <f>'Service model charges'!W42</f>
        <v>0</v>
      </c>
      <c r="X55" s="124">
        <f>'Service model charges'!X42</f>
        <v>0</v>
      </c>
      <c r="Y55" s="124">
        <f>'Service model charges'!Y42</f>
        <v>0</v>
      </c>
    </row>
    <row r="56" spans="3:27" x14ac:dyDescent="0.3">
      <c r="C56" s="88"/>
      <c r="D56"/>
      <c r="F56" s="37" t="s">
        <v>377</v>
      </c>
      <c r="G56" s="37" t="s">
        <v>270</v>
      </c>
      <c r="H56" s="37"/>
      <c r="I56" s="37"/>
      <c r="J56" s="125">
        <f>'Service model charges'!J43</f>
        <v>0</v>
      </c>
      <c r="K56" s="125">
        <f>'Service model charges'!K43</f>
        <v>0</v>
      </c>
      <c r="L56" s="125">
        <f>'Service model charges'!L43</f>
        <v>0</v>
      </c>
      <c r="M56" s="125">
        <f>'Service model charges'!M43</f>
        <v>0</v>
      </c>
      <c r="N56" s="125">
        <f>'Service model charges'!N43</f>
        <v>0</v>
      </c>
      <c r="O56" s="125">
        <f>'Service model charges'!O43</f>
        <v>0</v>
      </c>
      <c r="P56" s="125">
        <f>'Service model charges'!P43</f>
        <v>89.995785082794086</v>
      </c>
      <c r="Q56" s="81"/>
      <c r="R56" s="125">
        <f>'Service model charges'!R43</f>
        <v>0</v>
      </c>
      <c r="S56" s="125">
        <f>'Service model charges'!S43</f>
        <v>0</v>
      </c>
      <c r="T56" s="125">
        <f>'Service model charges'!T43</f>
        <v>0</v>
      </c>
      <c r="U56" s="125">
        <f>'Service model charges'!U43</f>
        <v>0</v>
      </c>
      <c r="V56" s="125">
        <f>'Service model charges'!V43</f>
        <v>0</v>
      </c>
      <c r="W56" s="125">
        <f>'Service model charges'!W43</f>
        <v>0</v>
      </c>
      <c r="X56" s="125">
        <f>'Service model charges'!X43</f>
        <v>56.323203629083082</v>
      </c>
      <c r="Y56" s="125">
        <f>'Service model charges'!Y43</f>
        <v>56.323203629083082</v>
      </c>
    </row>
    <row r="57" spans="3:27" x14ac:dyDescent="0.3">
      <c r="C57" s="88"/>
      <c r="D57"/>
      <c r="F57" s="2"/>
    </row>
    <row r="58" spans="3:27" x14ac:dyDescent="0.3">
      <c r="C58" s="31" t="str">
        <f ca="1">INDEX('Version control'!$H$34:$H$57,MATCH($A$1,'Version control'!$F$34:$F$57,0),1)&amp;"-D: Flags"</f>
        <v>Section 114-D: Flags</v>
      </c>
      <c r="D58" s="31"/>
      <c r="E58" s="31"/>
      <c r="F58" s="31"/>
      <c r="G58" s="31"/>
      <c r="H58" s="31"/>
      <c r="I58" s="31"/>
      <c r="J58" s="31"/>
      <c r="K58" s="31"/>
      <c r="L58" s="31"/>
      <c r="M58" s="31"/>
      <c r="N58" s="31"/>
      <c r="O58" s="31"/>
      <c r="P58" s="31"/>
      <c r="Q58" s="31"/>
      <c r="R58" s="31"/>
      <c r="S58" s="31"/>
      <c r="T58" s="31"/>
      <c r="U58" s="31"/>
      <c r="V58" s="31"/>
      <c r="W58" s="31"/>
      <c r="X58" s="31"/>
      <c r="Y58" s="31"/>
      <c r="Z58" s="31"/>
      <c r="AA58" s="31"/>
    </row>
    <row r="59" spans="3:27" x14ac:dyDescent="0.3">
      <c r="C59" s="32"/>
      <c r="D59"/>
      <c r="E59"/>
    </row>
    <row r="60" spans="3:27" x14ac:dyDescent="0.3">
      <c r="D60" s="29" t="s">
        <v>723</v>
      </c>
      <c r="E60"/>
    </row>
    <row r="61" spans="3:27" x14ac:dyDescent="0.3">
      <c r="D61" s="29" t="s">
        <v>724</v>
      </c>
      <c r="E61"/>
    </row>
    <row r="62" spans="3:27" x14ac:dyDescent="0.3">
      <c r="D62" s="29"/>
      <c r="E62"/>
    </row>
    <row r="63" spans="3:27" x14ac:dyDescent="0.3">
      <c r="E63" t="s">
        <v>725</v>
      </c>
      <c r="G63" t="s">
        <v>149</v>
      </c>
      <c r="I63" t="s">
        <v>154</v>
      </c>
      <c r="J63" s="51">
        <f>'Fixed inputs'!J145</f>
        <v>1</v>
      </c>
      <c r="K63" s="51">
        <f>'Fixed inputs'!K145</f>
        <v>0</v>
      </c>
      <c r="L63" s="51">
        <f>'Fixed inputs'!L145</f>
        <v>1</v>
      </c>
      <c r="M63" s="51">
        <f>'Fixed inputs'!M145</f>
        <v>0</v>
      </c>
      <c r="N63" s="51">
        <f>'Fixed inputs'!N145</f>
        <v>0</v>
      </c>
      <c r="O63" s="51">
        <f>'Fixed inputs'!O145</f>
        <v>0</v>
      </c>
      <c r="P63" s="51">
        <f>'Fixed inputs'!P145</f>
        <v>0</v>
      </c>
      <c r="Q63" s="51">
        <f>'Fixed inputs'!Q145</f>
        <v>0</v>
      </c>
      <c r="R63" s="51">
        <f>'Fixed inputs'!R145</f>
        <v>0</v>
      </c>
      <c r="S63" s="51">
        <f>'Fixed inputs'!S145</f>
        <v>0</v>
      </c>
      <c r="T63" s="51">
        <f>'Fixed inputs'!T145</f>
        <v>0</v>
      </c>
      <c r="U63" s="51">
        <f>'Fixed inputs'!U145</f>
        <v>0</v>
      </c>
      <c r="V63" s="51">
        <f>'Fixed inputs'!V145</f>
        <v>0</v>
      </c>
      <c r="W63" s="51">
        <f>'Fixed inputs'!W145</f>
        <v>0</v>
      </c>
      <c r="X63" s="51">
        <f>'Fixed inputs'!X145</f>
        <v>0</v>
      </c>
      <c r="Y63" s="51">
        <f>'Fixed inputs'!Y145</f>
        <v>0</v>
      </c>
      <c r="AA63" t="s">
        <v>726</v>
      </c>
    </row>
    <row r="65" spans="2:27" x14ac:dyDescent="0.3">
      <c r="B65" s="30" t="s">
        <v>727</v>
      </c>
      <c r="C65" s="30"/>
      <c r="D65" s="30"/>
      <c r="E65" s="30"/>
      <c r="F65" s="30"/>
      <c r="G65" s="30"/>
      <c r="H65" s="30"/>
      <c r="I65" s="30"/>
      <c r="J65" s="30"/>
      <c r="K65" s="30"/>
      <c r="L65" s="30"/>
      <c r="M65" s="30"/>
      <c r="N65" s="30"/>
      <c r="O65" s="30"/>
      <c r="P65" s="30"/>
      <c r="Q65" s="30"/>
      <c r="R65" s="30"/>
      <c r="S65" s="30"/>
      <c r="T65" s="30"/>
      <c r="U65" s="30"/>
      <c r="V65" s="30"/>
      <c r="W65" s="30"/>
      <c r="X65" s="30"/>
      <c r="Y65" s="30"/>
      <c r="Z65" s="30"/>
      <c r="AA65" s="30"/>
    </row>
    <row r="66" spans="2:27" x14ac:dyDescent="0.3">
      <c r="J66" s="89"/>
      <c r="K66" s="89"/>
      <c r="L66" s="89"/>
      <c r="M66" s="89"/>
      <c r="N66" s="89"/>
      <c r="O66" s="89"/>
      <c r="P66" s="89"/>
      <c r="Q66" s="89"/>
      <c r="R66" s="89"/>
      <c r="S66" s="89"/>
      <c r="T66" s="89"/>
      <c r="U66" s="89"/>
      <c r="V66" s="89"/>
      <c r="W66" s="89"/>
      <c r="X66" s="89"/>
      <c r="Y66" s="89"/>
    </row>
    <row r="67" spans="2:27" x14ac:dyDescent="0.3">
      <c r="C67" s="31" t="str">
        <f ca="1">INDEX('Version control'!$H$34:$H$57,MATCH($A$1,'Version control'!$F$34:$F$57,0),1)&amp;"-E: Revenue allocated to fixed charges"</f>
        <v>Section 114-E: Revenue allocated to fixed charges</v>
      </c>
      <c r="D67" s="31"/>
      <c r="E67" s="31"/>
      <c r="F67" s="31"/>
      <c r="G67" s="31"/>
      <c r="H67" s="31"/>
      <c r="I67" s="31"/>
      <c r="J67" s="90"/>
      <c r="K67" s="90"/>
      <c r="L67" s="90"/>
      <c r="M67" s="90"/>
      <c r="N67" s="90"/>
      <c r="O67" s="90"/>
      <c r="P67" s="90"/>
      <c r="Q67" s="90"/>
      <c r="R67" s="90"/>
      <c r="S67" s="90"/>
      <c r="T67" s="90"/>
      <c r="U67" s="90"/>
      <c r="V67" s="90"/>
      <c r="W67" s="90"/>
      <c r="X67" s="90"/>
      <c r="Y67" s="90"/>
      <c r="Z67" s="31"/>
      <c r="AA67" s="31"/>
    </row>
    <row r="68" spans="2:27" x14ac:dyDescent="0.3">
      <c r="D68"/>
      <c r="E68" s="32"/>
      <c r="I68" t="s">
        <v>154</v>
      </c>
      <c r="J68" s="89"/>
      <c r="K68" s="89"/>
      <c r="L68" s="89"/>
      <c r="M68" s="89"/>
      <c r="N68" s="89"/>
      <c r="O68" s="89"/>
      <c r="P68" s="89"/>
      <c r="Q68" s="89"/>
      <c r="R68" s="89"/>
      <c r="S68" s="89"/>
      <c r="T68" s="89"/>
      <c r="U68" s="89"/>
      <c r="V68" s="89"/>
      <c r="W68" s="89"/>
      <c r="X68" s="89"/>
      <c r="Y68" s="89"/>
      <c r="AA68" t="s">
        <v>726</v>
      </c>
    </row>
    <row r="69" spans="2:27" x14ac:dyDescent="0.3">
      <c r="C69" s="88"/>
      <c r="D69"/>
      <c r="E69" s="32" t="s">
        <v>621</v>
      </c>
      <c r="J69" s="89"/>
      <c r="K69" s="89"/>
      <c r="L69" s="89"/>
      <c r="M69" s="89"/>
      <c r="N69" s="89"/>
      <c r="O69" s="89"/>
      <c r="P69" s="89"/>
      <c r="Q69" s="89"/>
      <c r="R69" s="89"/>
      <c r="S69" s="89"/>
      <c r="T69" s="89"/>
      <c r="U69" s="89"/>
      <c r="V69" s="89"/>
      <c r="W69" s="89"/>
      <c r="X69" s="89"/>
      <c r="Y69" s="89"/>
    </row>
    <row r="70" spans="2:27" x14ac:dyDescent="0.3">
      <c r="C70" s="88"/>
      <c r="D70"/>
      <c r="E70" s="29"/>
      <c r="F70" s="23" t="s">
        <v>189</v>
      </c>
      <c r="G70" s="23" t="s">
        <v>728</v>
      </c>
      <c r="H70" s="23"/>
      <c r="I70" s="23"/>
      <c r="J70" s="83"/>
      <c r="K70" s="83"/>
      <c r="L70" s="83"/>
      <c r="M70" s="83"/>
      <c r="N70" s="83"/>
      <c r="O70" s="83"/>
      <c r="P70" s="83"/>
      <c r="Q70" s="83"/>
      <c r="R70" s="83"/>
      <c r="S70" s="83"/>
      <c r="T70" s="83"/>
      <c r="U70" s="83"/>
      <c r="V70" s="83"/>
      <c r="W70" s="83"/>
      <c r="X70" s="83"/>
      <c r="Y70" s="83"/>
    </row>
    <row r="71" spans="2:27" x14ac:dyDescent="0.3">
      <c r="C71" s="88"/>
      <c r="D71"/>
      <c r="E71" s="29"/>
      <c r="F71" t="s">
        <v>191</v>
      </c>
      <c r="G71" t="s">
        <v>728</v>
      </c>
      <c r="J71" s="79"/>
      <c r="K71" s="79"/>
      <c r="L71" s="79"/>
      <c r="M71" s="79"/>
      <c r="N71" s="79"/>
      <c r="O71" s="79"/>
      <c r="P71" s="79"/>
      <c r="Q71" s="79"/>
      <c r="R71" s="79"/>
      <c r="S71" s="79"/>
      <c r="T71" s="79"/>
      <c r="U71" s="79"/>
      <c r="V71" s="79"/>
      <c r="W71" s="79"/>
      <c r="X71" s="79"/>
      <c r="Y71" s="79"/>
    </row>
    <row r="72" spans="2:27" x14ac:dyDescent="0.3">
      <c r="C72" s="88"/>
      <c r="D72"/>
      <c r="E72" s="29"/>
      <c r="F72" t="s">
        <v>192</v>
      </c>
      <c r="G72" t="s">
        <v>728</v>
      </c>
      <c r="J72" s="98">
        <f t="shared" ref="J72:K72" si="0">J$20 * J27 * thousand / PowerFactor</f>
        <v>0</v>
      </c>
      <c r="K72" s="98">
        <f t="shared" si="0"/>
        <v>0</v>
      </c>
      <c r="L72" s="98">
        <f t="shared" ref="L72:M72" si="1">L$20 * L27 * thousand / PowerFactor</f>
        <v>0</v>
      </c>
      <c r="M72" s="98">
        <f t="shared" si="1"/>
        <v>0</v>
      </c>
      <c r="N72" s="98">
        <f t="shared" ref="N72:P72" si="2">N$20 * N27 * thousand / PowerFactor</f>
        <v>0</v>
      </c>
      <c r="O72" s="98">
        <f t="shared" si="2"/>
        <v>0</v>
      </c>
      <c r="P72" s="98">
        <f t="shared" si="2"/>
        <v>0</v>
      </c>
      <c r="Q72" s="98">
        <f t="shared" ref="Q72:S72" si="3">Q$20 * Q27 * thousand / PowerFactor</f>
        <v>0</v>
      </c>
      <c r="R72" s="98">
        <f t="shared" si="3"/>
        <v>0</v>
      </c>
      <c r="S72" s="98">
        <f t="shared" si="3"/>
        <v>0</v>
      </c>
      <c r="T72" s="98">
        <f t="shared" ref="T72:U72" si="4">T$20 * T27 * thousand / PowerFactor</f>
        <v>0</v>
      </c>
      <c r="U72" s="98">
        <f t="shared" si="4"/>
        <v>0</v>
      </c>
      <c r="V72" s="98">
        <f t="shared" ref="V72:W72" si="5">V$20 * V27 * thousand / PowerFactor</f>
        <v>0</v>
      </c>
      <c r="W72" s="98">
        <f t="shared" si="5"/>
        <v>0</v>
      </c>
      <c r="X72" s="98">
        <f t="shared" ref="X72:Y72" si="6">X$20 * X27 * thousand / PowerFactor</f>
        <v>0</v>
      </c>
      <c r="Y72" s="98">
        <f t="shared" si="6"/>
        <v>0</v>
      </c>
    </row>
    <row r="73" spans="2:27" x14ac:dyDescent="0.3">
      <c r="C73" s="88"/>
      <c r="D73"/>
      <c r="E73" s="29"/>
      <c r="F73" t="s">
        <v>193</v>
      </c>
      <c r="G73" t="s">
        <v>728</v>
      </c>
      <c r="J73" s="98">
        <f t="shared" ref="J73:K73" si="7">J$20 * J28 * thousand / PowerFactor</f>
        <v>0</v>
      </c>
      <c r="K73" s="98">
        <f t="shared" si="7"/>
        <v>0</v>
      </c>
      <c r="L73" s="98">
        <f t="shared" ref="L73:M73" si="8">L$20 * L28 * thousand / PowerFactor</f>
        <v>0</v>
      </c>
      <c r="M73" s="98">
        <f t="shared" si="8"/>
        <v>0</v>
      </c>
      <c r="N73" s="98">
        <f t="shared" ref="N73:P73" si="9">N$20 * N28 * thousand / PowerFactor</f>
        <v>0</v>
      </c>
      <c r="O73" s="98">
        <f t="shared" si="9"/>
        <v>0</v>
      </c>
      <c r="P73" s="98">
        <f t="shared" si="9"/>
        <v>0</v>
      </c>
      <c r="Q73" s="98">
        <f t="shared" ref="Q73:S73" si="10">Q$20 * Q28 * thousand / PowerFactor</f>
        <v>0</v>
      </c>
      <c r="R73" s="98">
        <f t="shared" si="10"/>
        <v>0</v>
      </c>
      <c r="S73" s="98">
        <f t="shared" si="10"/>
        <v>0</v>
      </c>
      <c r="T73" s="98">
        <f t="shared" ref="T73:U73" si="11">T$20 * T28 * thousand / PowerFactor</f>
        <v>0</v>
      </c>
      <c r="U73" s="98">
        <f t="shared" si="11"/>
        <v>0</v>
      </c>
      <c r="V73" s="98">
        <f t="shared" ref="V73:W73" si="12">V$20 * V28 * thousand / PowerFactor</f>
        <v>0</v>
      </c>
      <c r="W73" s="98">
        <f t="shared" si="12"/>
        <v>0</v>
      </c>
      <c r="X73" s="98">
        <f t="shared" ref="X73:Y73" si="13">X$20 * X28 * thousand / PowerFactor</f>
        <v>0</v>
      </c>
      <c r="Y73" s="98">
        <f t="shared" si="13"/>
        <v>0</v>
      </c>
    </row>
    <row r="74" spans="2:27" x14ac:dyDescent="0.3">
      <c r="C74" s="88"/>
      <c r="D74"/>
      <c r="E74" s="29"/>
      <c r="F74" t="s">
        <v>194</v>
      </c>
      <c r="G74" t="s">
        <v>728</v>
      </c>
      <c r="J74" s="98">
        <f t="shared" ref="J74:K74" si="14">J$20 * J29 * thousand / PowerFactor</f>
        <v>0</v>
      </c>
      <c r="K74" s="98">
        <f t="shared" si="14"/>
        <v>0</v>
      </c>
      <c r="L74" s="98">
        <f t="shared" ref="L74:M74" si="15">L$20 * L29 * thousand / PowerFactor</f>
        <v>0</v>
      </c>
      <c r="M74" s="98">
        <f t="shared" si="15"/>
        <v>0</v>
      </c>
      <c r="N74" s="98">
        <f t="shared" ref="N74:P74" si="16">N$20 * N29 * thousand / PowerFactor</f>
        <v>0</v>
      </c>
      <c r="O74" s="98">
        <f t="shared" si="16"/>
        <v>0</v>
      </c>
      <c r="P74" s="98">
        <f t="shared" si="16"/>
        <v>0</v>
      </c>
      <c r="Q74" s="98">
        <f t="shared" ref="Q74:S74" si="17">Q$20 * Q29 * thousand / PowerFactor</f>
        <v>0</v>
      </c>
      <c r="R74" s="98">
        <f t="shared" si="17"/>
        <v>0</v>
      </c>
      <c r="S74" s="98">
        <f t="shared" si="17"/>
        <v>0</v>
      </c>
      <c r="T74" s="98">
        <f t="shared" ref="T74:U74" si="18">T$20 * T29 * thousand / PowerFactor</f>
        <v>0</v>
      </c>
      <c r="U74" s="98">
        <f t="shared" si="18"/>
        <v>0</v>
      </c>
      <c r="V74" s="98">
        <f t="shared" ref="V74:W74" si="19">V$20 * V29 * thousand / PowerFactor</f>
        <v>0</v>
      </c>
      <c r="W74" s="98">
        <f t="shared" si="19"/>
        <v>0</v>
      </c>
      <c r="X74" s="98">
        <f t="shared" ref="X74:Y74" si="20">X$20 * X29 * thousand / PowerFactor</f>
        <v>0</v>
      </c>
      <c r="Y74" s="98">
        <f t="shared" si="20"/>
        <v>0</v>
      </c>
    </row>
    <row r="75" spans="2:27" x14ac:dyDescent="0.3">
      <c r="C75" s="88"/>
      <c r="D75"/>
      <c r="E75" s="29"/>
      <c r="F75" t="s">
        <v>195</v>
      </c>
      <c r="G75" t="s">
        <v>728</v>
      </c>
      <c r="J75" s="98">
        <f t="shared" ref="J75:K75" si="21">J$20 * J30 * thousand / PowerFactor</f>
        <v>0</v>
      </c>
      <c r="K75" s="98">
        <f t="shared" si="21"/>
        <v>0</v>
      </c>
      <c r="L75" s="98">
        <f t="shared" ref="L75:M75" si="22">L$20 * L30 * thousand / PowerFactor</f>
        <v>0</v>
      </c>
      <c r="M75" s="98">
        <f t="shared" si="22"/>
        <v>0</v>
      </c>
      <c r="N75" s="98">
        <f t="shared" ref="N75:P75" si="23">N$20 * N30 * thousand / PowerFactor</f>
        <v>0</v>
      </c>
      <c r="O75" s="98">
        <f t="shared" si="23"/>
        <v>0</v>
      </c>
      <c r="P75" s="98">
        <f t="shared" si="23"/>
        <v>0</v>
      </c>
      <c r="Q75" s="98">
        <f t="shared" ref="Q75:S75" si="24">Q$20 * Q30 * thousand / PowerFactor</f>
        <v>0</v>
      </c>
      <c r="R75" s="98">
        <f t="shared" si="24"/>
        <v>0</v>
      </c>
      <c r="S75" s="98">
        <f t="shared" si="24"/>
        <v>0</v>
      </c>
      <c r="T75" s="98">
        <f t="shared" ref="T75:U75" si="25">T$20 * T30 * thousand / PowerFactor</f>
        <v>0</v>
      </c>
      <c r="U75" s="98">
        <f t="shared" si="25"/>
        <v>0</v>
      </c>
      <c r="V75" s="98">
        <f t="shared" ref="V75:W75" si="26">V$20 * V30 * thousand / PowerFactor</f>
        <v>0</v>
      </c>
      <c r="W75" s="98">
        <f t="shared" si="26"/>
        <v>0</v>
      </c>
      <c r="X75" s="98">
        <f t="shared" ref="X75:Y75" si="27">X$20 * X30 * thousand / PowerFactor</f>
        <v>0</v>
      </c>
      <c r="Y75" s="98">
        <f t="shared" si="27"/>
        <v>0</v>
      </c>
    </row>
    <row r="76" spans="2:27" x14ac:dyDescent="0.3">
      <c r="C76" s="88"/>
      <c r="D76"/>
      <c r="E76" s="29"/>
      <c r="F76" t="s">
        <v>196</v>
      </c>
      <c r="G76" t="s">
        <v>728</v>
      </c>
      <c r="J76" s="98">
        <f t="shared" ref="J76:K76" si="28">J$20 * J31 * thousand / PowerFactor</f>
        <v>0</v>
      </c>
      <c r="K76" s="98">
        <f t="shared" si="28"/>
        <v>0</v>
      </c>
      <c r="L76" s="98">
        <f t="shared" ref="L76:M76" si="29">L$20 * L31 * thousand / PowerFactor</f>
        <v>0</v>
      </c>
      <c r="M76" s="98">
        <f t="shared" si="29"/>
        <v>0</v>
      </c>
      <c r="N76" s="98">
        <f t="shared" ref="N76:P76" si="30">N$20 * N31 * thousand / PowerFactor</f>
        <v>0</v>
      </c>
      <c r="O76" s="98">
        <f t="shared" si="30"/>
        <v>0</v>
      </c>
      <c r="P76" s="98">
        <f t="shared" si="30"/>
        <v>0</v>
      </c>
      <c r="Q76" s="98">
        <f t="shared" ref="Q76:S76" si="31">Q$20 * Q31 * thousand / PowerFactor</f>
        <v>0</v>
      </c>
      <c r="R76" s="98">
        <f t="shared" si="31"/>
        <v>0</v>
      </c>
      <c r="S76" s="98">
        <f t="shared" si="31"/>
        <v>0</v>
      </c>
      <c r="T76" s="98">
        <f t="shared" ref="T76:U76" si="32">T$20 * T31 * thousand / PowerFactor</f>
        <v>0</v>
      </c>
      <c r="U76" s="98">
        <f t="shared" si="32"/>
        <v>0</v>
      </c>
      <c r="V76" s="98">
        <f t="shared" ref="V76:W76" si="33">V$20 * V31 * thousand / PowerFactor</f>
        <v>0</v>
      </c>
      <c r="W76" s="98">
        <f t="shared" si="33"/>
        <v>0</v>
      </c>
      <c r="X76" s="98">
        <f t="shared" ref="X76:Y76" si="34">X$20 * X31 * thousand / PowerFactor</f>
        <v>0</v>
      </c>
      <c r="Y76" s="98">
        <f t="shared" si="34"/>
        <v>0</v>
      </c>
    </row>
    <row r="77" spans="2:27" x14ac:dyDescent="0.3">
      <c r="C77" s="88"/>
      <c r="D77"/>
      <c r="E77" s="29"/>
      <c r="F77" t="s">
        <v>197</v>
      </c>
      <c r="G77" t="s">
        <v>728</v>
      </c>
      <c r="J77" s="98">
        <f t="shared" ref="J77:K77" si="35">J$20 * J32 * thousand / PowerFactor</f>
        <v>0</v>
      </c>
      <c r="K77" s="98">
        <f t="shared" si="35"/>
        <v>0</v>
      </c>
      <c r="L77" s="98">
        <f t="shared" ref="L77:M77" si="36">L$20 * L32 * thousand / PowerFactor</f>
        <v>0</v>
      </c>
      <c r="M77" s="98">
        <f t="shared" si="36"/>
        <v>0</v>
      </c>
      <c r="N77" s="98">
        <f t="shared" ref="N77:P77" si="37">N$20 * N32 * thousand / PowerFactor</f>
        <v>0</v>
      </c>
      <c r="O77" s="98">
        <f t="shared" si="37"/>
        <v>0</v>
      </c>
      <c r="P77" s="98">
        <f t="shared" si="37"/>
        <v>0</v>
      </c>
      <c r="Q77" s="98">
        <f t="shared" ref="Q77:S77" si="38">Q$20 * Q32 * thousand / PowerFactor</f>
        <v>0</v>
      </c>
      <c r="R77" s="98">
        <f t="shared" si="38"/>
        <v>0</v>
      </c>
      <c r="S77" s="98">
        <f t="shared" si="38"/>
        <v>0</v>
      </c>
      <c r="T77" s="98">
        <f t="shared" ref="T77:U77" si="39">T$20 * T32 * thousand / PowerFactor</f>
        <v>0</v>
      </c>
      <c r="U77" s="98">
        <f t="shared" si="39"/>
        <v>0</v>
      </c>
      <c r="V77" s="98">
        <f t="shared" ref="V77:W77" si="40">V$20 * V32 * thousand / PowerFactor</f>
        <v>0</v>
      </c>
      <c r="W77" s="98">
        <f t="shared" si="40"/>
        <v>0</v>
      </c>
      <c r="X77" s="98">
        <f t="shared" ref="X77:Y77" si="41">X$20 * X32 * thousand / PowerFactor</f>
        <v>0</v>
      </c>
      <c r="Y77" s="98">
        <f t="shared" si="41"/>
        <v>0</v>
      </c>
    </row>
    <row r="78" spans="2:27" x14ac:dyDescent="0.3">
      <c r="C78" s="88"/>
      <c r="D78"/>
      <c r="E78" s="29"/>
      <c r="F78" t="s">
        <v>198</v>
      </c>
      <c r="G78" t="s">
        <v>728</v>
      </c>
      <c r="J78" s="98">
        <f t="shared" ref="J78:K78" si="42">J$20 * J33 * thousand / PowerFactor</f>
        <v>0</v>
      </c>
      <c r="K78" s="98">
        <f t="shared" si="42"/>
        <v>0</v>
      </c>
      <c r="L78" s="98">
        <f t="shared" ref="L78:M78" si="43">L$20 * L33 * thousand / PowerFactor</f>
        <v>0</v>
      </c>
      <c r="M78" s="98">
        <f t="shared" si="43"/>
        <v>0</v>
      </c>
      <c r="N78" s="98">
        <f t="shared" ref="N78:P78" si="44">N$20 * N33 * thousand / PowerFactor</f>
        <v>0</v>
      </c>
      <c r="O78" s="98">
        <f t="shared" si="44"/>
        <v>0</v>
      </c>
      <c r="P78" s="98">
        <f t="shared" si="44"/>
        <v>0</v>
      </c>
      <c r="Q78" s="98">
        <f t="shared" ref="Q78:S78" si="45">Q$20 * Q33 * thousand / PowerFactor</f>
        <v>0</v>
      </c>
      <c r="R78" s="98">
        <f t="shared" si="45"/>
        <v>0</v>
      </c>
      <c r="S78" s="98">
        <f t="shared" si="45"/>
        <v>0</v>
      </c>
      <c r="T78" s="98">
        <f t="shared" ref="T78:U78" si="46">T$20 * T33 * thousand / PowerFactor</f>
        <v>0</v>
      </c>
      <c r="U78" s="98">
        <f t="shared" si="46"/>
        <v>0</v>
      </c>
      <c r="V78" s="98">
        <f t="shared" ref="V78:W78" si="47">V$20 * V33 * thousand / PowerFactor</f>
        <v>0</v>
      </c>
      <c r="W78" s="98">
        <f t="shared" si="47"/>
        <v>0</v>
      </c>
      <c r="X78" s="98">
        <f t="shared" ref="X78:Y78" si="48">X$20 * X33 * thousand / PowerFactor</f>
        <v>0</v>
      </c>
      <c r="Y78" s="98">
        <f t="shared" si="48"/>
        <v>0</v>
      </c>
    </row>
    <row r="79" spans="2:27" x14ac:dyDescent="0.3">
      <c r="C79" s="88"/>
      <c r="D79"/>
      <c r="E79" s="29"/>
      <c r="F79" t="s">
        <v>199</v>
      </c>
      <c r="G79" t="s">
        <v>728</v>
      </c>
      <c r="J79" s="98">
        <f t="shared" ref="J79:K79" si="49">J$20 * J34 * thousand / PowerFactor</f>
        <v>635489.15032301995</v>
      </c>
      <c r="K79" s="98">
        <f t="shared" si="49"/>
        <v>0</v>
      </c>
      <c r="L79" s="98">
        <f t="shared" ref="L79:M79" si="50">L$20 * L34 * thousand / PowerFactor</f>
        <v>220669.84287164232</v>
      </c>
      <c r="M79" s="98">
        <f t="shared" si="50"/>
        <v>0</v>
      </c>
      <c r="N79" s="98">
        <f t="shared" ref="N79:P79" si="51">N$20 * N34 * thousand / PowerFactor</f>
        <v>0</v>
      </c>
      <c r="O79" s="98">
        <f t="shared" si="51"/>
        <v>0</v>
      </c>
      <c r="P79" s="98">
        <f t="shared" si="51"/>
        <v>0</v>
      </c>
      <c r="Q79" s="98">
        <f t="shared" ref="Q79:S79" si="52">Q$20 * Q34 * thousand / PowerFactor</f>
        <v>0</v>
      </c>
      <c r="R79" s="98">
        <f t="shared" si="52"/>
        <v>0</v>
      </c>
      <c r="S79" s="98">
        <f t="shared" si="52"/>
        <v>0</v>
      </c>
      <c r="T79" s="98">
        <f t="shared" ref="T79:U79" si="53">T$20 * T34 * thousand / PowerFactor</f>
        <v>0</v>
      </c>
      <c r="U79" s="98">
        <f t="shared" si="53"/>
        <v>0</v>
      </c>
      <c r="V79" s="98">
        <f t="shared" ref="V79:W79" si="54">V$20 * V34 * thousand / PowerFactor</f>
        <v>0</v>
      </c>
      <c r="W79" s="98">
        <f t="shared" si="54"/>
        <v>0</v>
      </c>
      <c r="X79" s="98">
        <f t="shared" ref="X79:Y79" si="55">X$20 * X34 * thousand / PowerFactor</f>
        <v>0</v>
      </c>
      <c r="Y79" s="98">
        <f t="shared" si="55"/>
        <v>0</v>
      </c>
    </row>
    <row r="80" spans="2:27" x14ac:dyDescent="0.3">
      <c r="C80" s="88"/>
      <c r="D80"/>
      <c r="E80" s="29"/>
      <c r="F80" t="s">
        <v>376</v>
      </c>
      <c r="G80" t="s">
        <v>728</v>
      </c>
      <c r="J80" s="79"/>
      <c r="K80" s="79"/>
      <c r="L80" s="79"/>
      <c r="M80" s="79"/>
      <c r="N80" s="79"/>
      <c r="O80" s="79"/>
      <c r="P80" s="79"/>
      <c r="Q80" s="79"/>
      <c r="R80" s="79"/>
      <c r="S80" s="79"/>
      <c r="T80" s="79"/>
      <c r="U80" s="79"/>
      <c r="V80" s="79"/>
      <c r="W80" s="79"/>
      <c r="X80" s="79"/>
      <c r="Y80" s="79"/>
    </row>
    <row r="81" spans="3:25" x14ac:dyDescent="0.3">
      <c r="C81" s="88"/>
      <c r="D81"/>
      <c r="E81" s="29"/>
      <c r="F81" s="37" t="s">
        <v>377</v>
      </c>
      <c r="G81" s="37" t="s">
        <v>728</v>
      </c>
      <c r="H81" s="37"/>
      <c r="I81" s="37"/>
      <c r="J81" s="81"/>
      <c r="K81" s="81"/>
      <c r="L81" s="81"/>
      <c r="M81" s="81"/>
      <c r="N81" s="81"/>
      <c r="O81" s="81"/>
      <c r="P81" s="81"/>
      <c r="Q81" s="81"/>
      <c r="R81" s="81"/>
      <c r="S81" s="81"/>
      <c r="T81" s="81"/>
      <c r="U81" s="81"/>
      <c r="V81" s="81"/>
      <c r="W81" s="81"/>
      <c r="X81" s="81"/>
      <c r="Y81" s="81"/>
    </row>
    <row r="82" spans="3:25" x14ac:dyDescent="0.3">
      <c r="C82" s="88"/>
      <c r="D82"/>
      <c r="E82" s="29"/>
      <c r="J82" s="89"/>
      <c r="K82" s="89"/>
      <c r="L82" s="89"/>
      <c r="M82" s="89"/>
      <c r="N82" s="89"/>
      <c r="O82" s="89"/>
      <c r="P82" s="89"/>
      <c r="Q82" s="89"/>
      <c r="R82" s="89"/>
      <c r="S82" s="89"/>
      <c r="T82" s="89"/>
      <c r="U82" s="89"/>
      <c r="V82" s="89"/>
      <c r="W82" s="89"/>
      <c r="X82" s="89"/>
      <c r="Y82" s="89"/>
    </row>
    <row r="83" spans="3:25" x14ac:dyDescent="0.3">
      <c r="C83" s="88"/>
      <c r="D83"/>
      <c r="E83" s="32" t="s">
        <v>622</v>
      </c>
      <c r="J83" s="89"/>
      <c r="K83" s="89"/>
      <c r="L83" s="89"/>
      <c r="M83" s="89"/>
      <c r="N83" s="89"/>
      <c r="O83" s="89"/>
      <c r="P83" s="89"/>
      <c r="Q83" s="89"/>
      <c r="R83" s="89"/>
      <c r="S83" s="89"/>
      <c r="T83" s="89"/>
      <c r="U83" s="89"/>
      <c r="V83" s="89"/>
      <c r="W83" s="89"/>
      <c r="X83" s="89"/>
      <c r="Y83" s="89"/>
    </row>
    <row r="84" spans="3:25" x14ac:dyDescent="0.3">
      <c r="C84" s="88"/>
      <c r="D84"/>
      <c r="F84" s="23" t="s">
        <v>189</v>
      </c>
      <c r="G84" s="23" t="s">
        <v>728</v>
      </c>
      <c r="H84" s="23"/>
      <c r="I84" s="23"/>
      <c r="J84" s="126">
        <f t="shared" ref="J84:K84" si="56">J$20 * J39 * thousand / PowerFactor</f>
        <v>0</v>
      </c>
      <c r="K84" s="126">
        <f t="shared" si="56"/>
        <v>0</v>
      </c>
      <c r="L84" s="126">
        <f t="shared" ref="L84:M84" si="57">L$20 * L39 * thousand / PowerFactor</f>
        <v>0</v>
      </c>
      <c r="M84" s="126">
        <f t="shared" si="57"/>
        <v>0</v>
      </c>
      <c r="N84" s="126">
        <f t="shared" ref="N84:P84" si="58">N$20 * N39 * thousand / PowerFactor</f>
        <v>0</v>
      </c>
      <c r="O84" s="126">
        <f t="shared" si="58"/>
        <v>0</v>
      </c>
      <c r="P84" s="126">
        <f t="shared" si="58"/>
        <v>0</v>
      </c>
      <c r="Q84" s="126">
        <f t="shared" ref="Q84:S84" si="59">Q$20 * Q39 * thousand / PowerFactor</f>
        <v>0</v>
      </c>
      <c r="R84" s="126">
        <f t="shared" si="59"/>
        <v>0</v>
      </c>
      <c r="S84" s="126">
        <f t="shared" si="59"/>
        <v>0</v>
      </c>
      <c r="T84" s="126">
        <f t="shared" ref="T84:U84" si="60">T$20 * T39 * thousand / PowerFactor</f>
        <v>0</v>
      </c>
      <c r="U84" s="126">
        <f t="shared" si="60"/>
        <v>0</v>
      </c>
      <c r="V84" s="126">
        <f t="shared" ref="V84:W84" si="61">V$20 * V39 * thousand / PowerFactor</f>
        <v>0</v>
      </c>
      <c r="W84" s="126">
        <f t="shared" si="61"/>
        <v>0</v>
      </c>
      <c r="X84" s="126">
        <f t="shared" ref="X84:Y84" si="62">X$20 * X39 * thousand / PowerFactor</f>
        <v>0</v>
      </c>
      <c r="Y84" s="126">
        <f t="shared" si="62"/>
        <v>0</v>
      </c>
    </row>
    <row r="85" spans="3:25" x14ac:dyDescent="0.3">
      <c r="C85" s="88"/>
      <c r="D85"/>
      <c r="F85" t="s">
        <v>191</v>
      </c>
      <c r="G85" t="s">
        <v>728</v>
      </c>
      <c r="J85" s="98">
        <f t="shared" ref="J85:K85" si="63">J$20 * J40 * thousand / PowerFactor</f>
        <v>0</v>
      </c>
      <c r="K85" s="98">
        <f t="shared" si="63"/>
        <v>0</v>
      </c>
      <c r="L85" s="98">
        <f t="shared" ref="L85:M85" si="64">L$20 * L40 * thousand / PowerFactor</f>
        <v>0</v>
      </c>
      <c r="M85" s="98">
        <f t="shared" si="64"/>
        <v>0</v>
      </c>
      <c r="N85" s="98">
        <f t="shared" ref="N85:P85" si="65">N$20 * N40 * thousand / PowerFactor</f>
        <v>0</v>
      </c>
      <c r="O85" s="98">
        <f t="shared" si="65"/>
        <v>0</v>
      </c>
      <c r="P85" s="98">
        <f t="shared" si="65"/>
        <v>0</v>
      </c>
      <c r="Q85" s="98">
        <f t="shared" ref="Q85:S85" si="66">Q$20 * Q40 * thousand / PowerFactor</f>
        <v>0</v>
      </c>
      <c r="R85" s="98">
        <f t="shared" si="66"/>
        <v>0</v>
      </c>
      <c r="S85" s="98">
        <f t="shared" si="66"/>
        <v>0</v>
      </c>
      <c r="T85" s="98">
        <f t="shared" ref="T85:U85" si="67">T$20 * T40 * thousand / PowerFactor</f>
        <v>0</v>
      </c>
      <c r="U85" s="98">
        <f t="shared" si="67"/>
        <v>0</v>
      </c>
      <c r="V85" s="98">
        <f t="shared" ref="V85:W85" si="68">V$20 * V40 * thousand / PowerFactor</f>
        <v>0</v>
      </c>
      <c r="W85" s="98">
        <f t="shared" si="68"/>
        <v>0</v>
      </c>
      <c r="X85" s="98">
        <f t="shared" ref="X85:Y85" si="69">X$20 * X40 * thousand / PowerFactor</f>
        <v>0</v>
      </c>
      <c r="Y85" s="98">
        <f t="shared" si="69"/>
        <v>0</v>
      </c>
    </row>
    <row r="86" spans="3:25" x14ac:dyDescent="0.3">
      <c r="C86" s="88"/>
      <c r="D86"/>
      <c r="F86" t="s">
        <v>192</v>
      </c>
      <c r="G86" t="s">
        <v>728</v>
      </c>
      <c r="J86" s="98">
        <f t="shared" ref="J86:K86" si="70">J$20 * J41 * thousand / PowerFactor</f>
        <v>0</v>
      </c>
      <c r="K86" s="98">
        <f t="shared" si="70"/>
        <v>0</v>
      </c>
      <c r="L86" s="98">
        <f t="shared" ref="L86:M86" si="71">L$20 * L41 * thousand / PowerFactor</f>
        <v>0</v>
      </c>
      <c r="M86" s="98">
        <f t="shared" si="71"/>
        <v>0</v>
      </c>
      <c r="N86" s="98">
        <f t="shared" ref="N86:P86" si="72">N$20 * N41 * thousand / PowerFactor</f>
        <v>0</v>
      </c>
      <c r="O86" s="98">
        <f t="shared" si="72"/>
        <v>0</v>
      </c>
      <c r="P86" s="98">
        <f t="shared" si="72"/>
        <v>0</v>
      </c>
      <c r="Q86" s="98">
        <f t="shared" ref="Q86:S86" si="73">Q$20 * Q41 * thousand / PowerFactor</f>
        <v>0</v>
      </c>
      <c r="R86" s="98">
        <f t="shared" si="73"/>
        <v>0</v>
      </c>
      <c r="S86" s="98">
        <f t="shared" si="73"/>
        <v>0</v>
      </c>
      <c r="T86" s="98">
        <f t="shared" ref="T86:U86" si="74">T$20 * T41 * thousand / PowerFactor</f>
        <v>0</v>
      </c>
      <c r="U86" s="98">
        <f t="shared" si="74"/>
        <v>0</v>
      </c>
      <c r="V86" s="98">
        <f t="shared" ref="V86:W86" si="75">V$20 * V41 * thousand / PowerFactor</f>
        <v>0</v>
      </c>
      <c r="W86" s="98">
        <f t="shared" si="75"/>
        <v>0</v>
      </c>
      <c r="X86" s="98">
        <f t="shared" ref="X86:Y86" si="76">X$20 * X41 * thousand / PowerFactor</f>
        <v>0</v>
      </c>
      <c r="Y86" s="98">
        <f t="shared" si="76"/>
        <v>0</v>
      </c>
    </row>
    <row r="87" spans="3:25" x14ac:dyDescent="0.3">
      <c r="C87" s="88"/>
      <c r="D87"/>
      <c r="F87" t="s">
        <v>193</v>
      </c>
      <c r="G87" t="s">
        <v>728</v>
      </c>
      <c r="J87" s="98">
        <f t="shared" ref="J87:K87" si="77">J$20 * J42 * thousand / PowerFactor</f>
        <v>0</v>
      </c>
      <c r="K87" s="98">
        <f t="shared" si="77"/>
        <v>0</v>
      </c>
      <c r="L87" s="98">
        <f t="shared" ref="L87:M87" si="78">L$20 * L42 * thousand / PowerFactor</f>
        <v>0</v>
      </c>
      <c r="M87" s="98">
        <f t="shared" si="78"/>
        <v>0</v>
      </c>
      <c r="N87" s="98">
        <f t="shared" ref="N87:P87" si="79">N$20 * N42 * thousand / PowerFactor</f>
        <v>0</v>
      </c>
      <c r="O87" s="98">
        <f t="shared" si="79"/>
        <v>0</v>
      </c>
      <c r="P87" s="98">
        <f t="shared" si="79"/>
        <v>0</v>
      </c>
      <c r="Q87" s="98">
        <f t="shared" ref="Q87:S87" si="80">Q$20 * Q42 * thousand / PowerFactor</f>
        <v>0</v>
      </c>
      <c r="R87" s="98">
        <f t="shared" si="80"/>
        <v>0</v>
      </c>
      <c r="S87" s="98">
        <f t="shared" si="80"/>
        <v>0</v>
      </c>
      <c r="T87" s="98">
        <f t="shared" ref="T87:U87" si="81">T$20 * T42 * thousand / PowerFactor</f>
        <v>0</v>
      </c>
      <c r="U87" s="98">
        <f t="shared" si="81"/>
        <v>0</v>
      </c>
      <c r="V87" s="98">
        <f t="shared" ref="V87:W87" si="82">V$20 * V42 * thousand / PowerFactor</f>
        <v>0</v>
      </c>
      <c r="W87" s="98">
        <f t="shared" si="82"/>
        <v>0</v>
      </c>
      <c r="X87" s="98">
        <f t="shared" ref="X87:Y87" si="83">X$20 * X42 * thousand / PowerFactor</f>
        <v>0</v>
      </c>
      <c r="Y87" s="98">
        <f t="shared" si="83"/>
        <v>0</v>
      </c>
    </row>
    <row r="88" spans="3:25" x14ac:dyDescent="0.3">
      <c r="C88" s="88"/>
      <c r="D88"/>
      <c r="F88" t="s">
        <v>194</v>
      </c>
      <c r="G88" t="s">
        <v>728</v>
      </c>
      <c r="J88" s="98">
        <f t="shared" ref="J88:K88" si="84">J$20 * J43 * thousand / PowerFactor</f>
        <v>0</v>
      </c>
      <c r="K88" s="98">
        <f t="shared" si="84"/>
        <v>0</v>
      </c>
      <c r="L88" s="98">
        <f t="shared" ref="L88:M88" si="85">L$20 * L43 * thousand / PowerFactor</f>
        <v>0</v>
      </c>
      <c r="M88" s="98">
        <f t="shared" si="85"/>
        <v>0</v>
      </c>
      <c r="N88" s="98">
        <f t="shared" ref="N88:P88" si="86">N$20 * N43 * thousand / PowerFactor</f>
        <v>0</v>
      </c>
      <c r="O88" s="98">
        <f t="shared" si="86"/>
        <v>0</v>
      </c>
      <c r="P88" s="98">
        <f t="shared" si="86"/>
        <v>0</v>
      </c>
      <c r="Q88" s="98">
        <f t="shared" ref="Q88:S88" si="87">Q$20 * Q43 * thousand / PowerFactor</f>
        <v>0</v>
      </c>
      <c r="R88" s="98">
        <f t="shared" si="87"/>
        <v>0</v>
      </c>
      <c r="S88" s="98">
        <f t="shared" si="87"/>
        <v>0</v>
      </c>
      <c r="T88" s="98">
        <f t="shared" ref="T88:U88" si="88">T$20 * T43 * thousand / PowerFactor</f>
        <v>0</v>
      </c>
      <c r="U88" s="98">
        <f t="shared" si="88"/>
        <v>0</v>
      </c>
      <c r="V88" s="98">
        <f t="shared" ref="V88:W88" si="89">V$20 * V43 * thousand / PowerFactor</f>
        <v>0</v>
      </c>
      <c r="W88" s="98">
        <f t="shared" si="89"/>
        <v>0</v>
      </c>
      <c r="X88" s="98">
        <f t="shared" ref="X88:Y88" si="90">X$20 * X43 * thousand / PowerFactor</f>
        <v>0</v>
      </c>
      <c r="Y88" s="98">
        <f t="shared" si="90"/>
        <v>0</v>
      </c>
    </row>
    <row r="89" spans="3:25" x14ac:dyDescent="0.3">
      <c r="C89" s="88"/>
      <c r="D89"/>
      <c r="F89" t="s">
        <v>195</v>
      </c>
      <c r="G89" t="s">
        <v>728</v>
      </c>
      <c r="J89" s="98">
        <f t="shared" ref="J89:K89" si="91">J$20 * J44 * thousand / PowerFactor</f>
        <v>0</v>
      </c>
      <c r="K89" s="98">
        <f t="shared" si="91"/>
        <v>0</v>
      </c>
      <c r="L89" s="98">
        <f t="shared" ref="L89:M89" si="92">L$20 * L44 * thousand / PowerFactor</f>
        <v>0</v>
      </c>
      <c r="M89" s="98">
        <f t="shared" si="92"/>
        <v>0</v>
      </c>
      <c r="N89" s="98">
        <f t="shared" ref="N89:P89" si="93">N$20 * N44 * thousand / PowerFactor</f>
        <v>0</v>
      </c>
      <c r="O89" s="98">
        <f t="shared" si="93"/>
        <v>0</v>
      </c>
      <c r="P89" s="98">
        <f t="shared" si="93"/>
        <v>0</v>
      </c>
      <c r="Q89" s="98">
        <f t="shared" ref="Q89:S89" si="94">Q$20 * Q44 * thousand / PowerFactor</f>
        <v>0</v>
      </c>
      <c r="R89" s="98">
        <f t="shared" si="94"/>
        <v>0</v>
      </c>
      <c r="S89" s="98">
        <f t="shared" si="94"/>
        <v>0</v>
      </c>
      <c r="T89" s="98">
        <f t="shared" ref="T89:U89" si="95">T$20 * T44 * thousand / PowerFactor</f>
        <v>0</v>
      </c>
      <c r="U89" s="98">
        <f t="shared" si="95"/>
        <v>0</v>
      </c>
      <c r="V89" s="98">
        <f t="shared" ref="V89:W89" si="96">V$20 * V44 * thousand / PowerFactor</f>
        <v>0</v>
      </c>
      <c r="W89" s="98">
        <f t="shared" si="96"/>
        <v>0</v>
      </c>
      <c r="X89" s="98">
        <f t="shared" ref="X89:Y89" si="97">X$20 * X44 * thousand / PowerFactor</f>
        <v>0</v>
      </c>
      <c r="Y89" s="98">
        <f t="shared" si="97"/>
        <v>0</v>
      </c>
    </row>
    <row r="90" spans="3:25" x14ac:dyDescent="0.3">
      <c r="C90" s="88"/>
      <c r="D90"/>
      <c r="F90" t="s">
        <v>196</v>
      </c>
      <c r="G90" t="s">
        <v>728</v>
      </c>
      <c r="J90" s="98">
        <f t="shared" ref="J90:K90" si="98">J$20 * J45 * thousand / PowerFactor</f>
        <v>0</v>
      </c>
      <c r="K90" s="98">
        <f t="shared" si="98"/>
        <v>0</v>
      </c>
      <c r="L90" s="98">
        <f t="shared" ref="L90:M90" si="99">L$20 * L45 * thousand / PowerFactor</f>
        <v>0</v>
      </c>
      <c r="M90" s="98">
        <f t="shared" si="99"/>
        <v>0</v>
      </c>
      <c r="N90" s="98">
        <f t="shared" ref="N90:P90" si="100">N$20 * N45 * thousand / PowerFactor</f>
        <v>0</v>
      </c>
      <c r="O90" s="98">
        <f t="shared" si="100"/>
        <v>0</v>
      </c>
      <c r="P90" s="98">
        <f t="shared" si="100"/>
        <v>0</v>
      </c>
      <c r="Q90" s="98">
        <f t="shared" ref="Q90:S90" si="101">Q$20 * Q45 * thousand / PowerFactor</f>
        <v>0</v>
      </c>
      <c r="R90" s="98">
        <f t="shared" si="101"/>
        <v>0</v>
      </c>
      <c r="S90" s="98">
        <f t="shared" si="101"/>
        <v>0</v>
      </c>
      <c r="T90" s="98">
        <f t="shared" ref="T90:U90" si="102">T$20 * T45 * thousand / PowerFactor</f>
        <v>0</v>
      </c>
      <c r="U90" s="98">
        <f t="shared" si="102"/>
        <v>0</v>
      </c>
      <c r="V90" s="98">
        <f t="shared" ref="V90:W90" si="103">V$20 * V45 * thousand / PowerFactor</f>
        <v>0</v>
      </c>
      <c r="W90" s="98">
        <f t="shared" si="103"/>
        <v>0</v>
      </c>
      <c r="X90" s="98">
        <f t="shared" ref="X90:Y90" si="104">X$20 * X45 * thousand / PowerFactor</f>
        <v>0</v>
      </c>
      <c r="Y90" s="98">
        <f t="shared" si="104"/>
        <v>0</v>
      </c>
    </row>
    <row r="91" spans="3:25" x14ac:dyDescent="0.3">
      <c r="C91" s="88"/>
      <c r="D91"/>
      <c r="F91" t="s">
        <v>197</v>
      </c>
      <c r="G91" t="s">
        <v>728</v>
      </c>
      <c r="J91" s="98">
        <f t="shared" ref="J91:K91" si="105">J$20 * J46 * thousand / PowerFactor</f>
        <v>0</v>
      </c>
      <c r="K91" s="98">
        <f t="shared" si="105"/>
        <v>0</v>
      </c>
      <c r="L91" s="98">
        <f t="shared" ref="L91:M91" si="106">L$20 * L46 * thousand / PowerFactor</f>
        <v>0</v>
      </c>
      <c r="M91" s="98">
        <f t="shared" si="106"/>
        <v>0</v>
      </c>
      <c r="N91" s="98">
        <f t="shared" ref="N91:P91" si="107">N$20 * N46 * thousand / PowerFactor</f>
        <v>0</v>
      </c>
      <c r="O91" s="98">
        <f t="shared" si="107"/>
        <v>0</v>
      </c>
      <c r="P91" s="98">
        <f t="shared" si="107"/>
        <v>0</v>
      </c>
      <c r="Q91" s="98">
        <f t="shared" ref="Q91:S91" si="108">Q$20 * Q46 * thousand / PowerFactor</f>
        <v>0</v>
      </c>
      <c r="R91" s="98">
        <f t="shared" si="108"/>
        <v>0</v>
      </c>
      <c r="S91" s="98">
        <f t="shared" si="108"/>
        <v>0</v>
      </c>
      <c r="T91" s="98">
        <f t="shared" ref="T91:U91" si="109">T$20 * T46 * thousand / PowerFactor</f>
        <v>0</v>
      </c>
      <c r="U91" s="98">
        <f t="shared" si="109"/>
        <v>0</v>
      </c>
      <c r="V91" s="98">
        <f t="shared" ref="V91:W91" si="110">V$20 * V46 * thousand / PowerFactor</f>
        <v>0</v>
      </c>
      <c r="W91" s="98">
        <f t="shared" si="110"/>
        <v>0</v>
      </c>
      <c r="X91" s="98">
        <f t="shared" ref="X91:Y91" si="111">X$20 * X46 * thousand / PowerFactor</f>
        <v>0</v>
      </c>
      <c r="Y91" s="98">
        <f t="shared" si="111"/>
        <v>0</v>
      </c>
    </row>
    <row r="92" spans="3:25" x14ac:dyDescent="0.3">
      <c r="C92" s="88"/>
      <c r="D92"/>
      <c r="F92" t="s">
        <v>198</v>
      </c>
      <c r="G92" t="s">
        <v>728</v>
      </c>
      <c r="J92" s="98">
        <f t="shared" ref="J92:K92" si="112">J$20 * J47 * thousand / PowerFactor</f>
        <v>0</v>
      </c>
      <c r="K92" s="98">
        <f t="shared" si="112"/>
        <v>0</v>
      </c>
      <c r="L92" s="98">
        <f t="shared" ref="L92:M92" si="113">L$20 * L47 * thousand / PowerFactor</f>
        <v>0</v>
      </c>
      <c r="M92" s="98">
        <f t="shared" si="113"/>
        <v>0</v>
      </c>
      <c r="N92" s="98">
        <f t="shared" ref="N92:P92" si="114">N$20 * N47 * thousand / PowerFactor</f>
        <v>0</v>
      </c>
      <c r="O92" s="98">
        <f t="shared" si="114"/>
        <v>0</v>
      </c>
      <c r="P92" s="98">
        <f t="shared" si="114"/>
        <v>0</v>
      </c>
      <c r="Q92" s="98">
        <f t="shared" ref="Q92:S92" si="115">Q$20 * Q47 * thousand / PowerFactor</f>
        <v>0</v>
      </c>
      <c r="R92" s="98">
        <f t="shared" si="115"/>
        <v>0</v>
      </c>
      <c r="S92" s="98">
        <f t="shared" si="115"/>
        <v>0</v>
      </c>
      <c r="T92" s="98">
        <f t="shared" ref="T92:U92" si="116">T$20 * T47 * thousand / PowerFactor</f>
        <v>0</v>
      </c>
      <c r="U92" s="98">
        <f t="shared" si="116"/>
        <v>0</v>
      </c>
      <c r="V92" s="98">
        <f t="shared" ref="V92:W92" si="117">V$20 * V47 * thousand / PowerFactor</f>
        <v>0</v>
      </c>
      <c r="W92" s="98">
        <f t="shared" si="117"/>
        <v>0</v>
      </c>
      <c r="X92" s="98">
        <f t="shared" ref="X92:Y92" si="118">X$20 * X47 * thousand / PowerFactor</f>
        <v>0</v>
      </c>
      <c r="Y92" s="98">
        <f t="shared" si="118"/>
        <v>0</v>
      </c>
    </row>
    <row r="93" spans="3:25" x14ac:dyDescent="0.3">
      <c r="C93" s="88"/>
      <c r="D93"/>
      <c r="F93" t="s">
        <v>199</v>
      </c>
      <c r="G93" t="s">
        <v>728</v>
      </c>
      <c r="J93" s="98">
        <f t="shared" ref="J93:K93" si="119">J$20 * J48 * thousand / PowerFactor</f>
        <v>4275716.2011859333</v>
      </c>
      <c r="K93" s="98">
        <f t="shared" si="119"/>
        <v>0</v>
      </c>
      <c r="L93" s="98">
        <f t="shared" ref="L93:M93" si="120">L$20 * L48 * thousand / PowerFactor</f>
        <v>1484717.121920716</v>
      </c>
      <c r="M93" s="98">
        <f t="shared" si="120"/>
        <v>0</v>
      </c>
      <c r="N93" s="98">
        <f t="shared" ref="N93:P93" si="121">N$20 * N48 * thousand / PowerFactor</f>
        <v>0</v>
      </c>
      <c r="O93" s="98">
        <f t="shared" si="121"/>
        <v>0</v>
      </c>
      <c r="P93" s="98">
        <f t="shared" si="121"/>
        <v>0</v>
      </c>
      <c r="Q93" s="98">
        <f t="shared" ref="Q93:S93" si="122">Q$20 * Q48 * thousand / PowerFactor</f>
        <v>0</v>
      </c>
      <c r="R93" s="98">
        <f t="shared" si="122"/>
        <v>0</v>
      </c>
      <c r="S93" s="98">
        <f t="shared" si="122"/>
        <v>0</v>
      </c>
      <c r="T93" s="98">
        <f t="shared" ref="T93:U93" si="123">T$20 * T48 * thousand / PowerFactor</f>
        <v>0</v>
      </c>
      <c r="U93" s="98">
        <f t="shared" si="123"/>
        <v>0</v>
      </c>
      <c r="V93" s="98">
        <f t="shared" ref="V93:W93" si="124">V$20 * V48 * thousand / PowerFactor</f>
        <v>0</v>
      </c>
      <c r="W93" s="98">
        <f t="shared" si="124"/>
        <v>0</v>
      </c>
      <c r="X93" s="98">
        <f t="shared" ref="X93:Y93" si="125">X$20 * X48 * thousand / PowerFactor</f>
        <v>0</v>
      </c>
      <c r="Y93" s="98">
        <f t="shared" si="125"/>
        <v>0</v>
      </c>
    </row>
    <row r="94" spans="3:25" x14ac:dyDescent="0.3">
      <c r="C94" s="88"/>
      <c r="D94"/>
      <c r="F94" t="s">
        <v>376</v>
      </c>
      <c r="G94" t="s">
        <v>728</v>
      </c>
      <c r="J94" s="79"/>
      <c r="K94" s="79"/>
      <c r="L94" s="79"/>
      <c r="M94" s="79"/>
      <c r="N94" s="79"/>
      <c r="O94" s="79"/>
      <c r="P94" s="79"/>
      <c r="Q94" s="79"/>
      <c r="R94" s="79"/>
      <c r="S94" s="79"/>
      <c r="T94" s="79"/>
      <c r="U94" s="79"/>
      <c r="V94" s="79"/>
      <c r="W94" s="79"/>
      <c r="X94" s="79"/>
      <c r="Y94" s="79"/>
    </row>
    <row r="95" spans="3:25" x14ac:dyDescent="0.3">
      <c r="C95" s="88"/>
      <c r="D95"/>
      <c r="F95" s="37" t="s">
        <v>377</v>
      </c>
      <c r="G95" s="37" t="s">
        <v>728</v>
      </c>
      <c r="H95" s="37"/>
      <c r="I95" s="37"/>
      <c r="J95" s="81"/>
      <c r="K95" s="81"/>
      <c r="L95" s="81"/>
      <c r="M95" s="81"/>
      <c r="N95" s="81"/>
      <c r="O95" s="81"/>
      <c r="P95" s="81"/>
      <c r="Q95" s="81"/>
      <c r="R95" s="81"/>
      <c r="S95" s="81"/>
      <c r="T95" s="81"/>
      <c r="U95" s="81"/>
      <c r="V95" s="81"/>
      <c r="W95" s="81"/>
      <c r="X95" s="81"/>
      <c r="Y95" s="81"/>
    </row>
    <row r="96" spans="3:25" x14ac:dyDescent="0.3">
      <c r="C96" s="88"/>
      <c r="J96" s="89"/>
      <c r="K96" s="89"/>
      <c r="L96" s="89"/>
      <c r="M96" s="89"/>
      <c r="N96" s="89"/>
      <c r="O96" s="89"/>
      <c r="P96" s="89"/>
      <c r="Q96" s="89"/>
      <c r="R96" s="89"/>
      <c r="S96" s="89"/>
      <c r="T96" s="89"/>
      <c r="U96" s="89"/>
      <c r="V96" s="89"/>
      <c r="W96" s="89"/>
      <c r="X96" s="89"/>
      <c r="Y96" s="89"/>
    </row>
    <row r="97" spans="3:27" x14ac:dyDescent="0.3">
      <c r="C97" s="31" t="str">
        <f ca="1">INDEX('Version control'!$H$34:$H$57,MATCH($A$1,'Version control'!$F$34:$F$57,0),1)&amp;"-F: Revenue allocated to fixed charges, by aggregation group"</f>
        <v>Section 114-F: Revenue allocated to fixed charges, by aggregation group</v>
      </c>
      <c r="D97" s="31"/>
      <c r="E97" s="31"/>
      <c r="F97" s="31"/>
      <c r="G97" s="31"/>
      <c r="H97" s="31"/>
      <c r="I97" s="31"/>
      <c r="J97" s="90"/>
      <c r="K97" s="90"/>
      <c r="L97" s="90"/>
      <c r="M97" s="90"/>
      <c r="N97" s="90"/>
      <c r="O97" s="90"/>
      <c r="P97" s="90"/>
      <c r="Q97" s="90"/>
      <c r="R97" s="90"/>
      <c r="S97" s="90"/>
      <c r="T97" s="90"/>
      <c r="U97" s="90"/>
      <c r="V97" s="90"/>
      <c r="W97" s="90"/>
      <c r="X97" s="90"/>
      <c r="Y97" s="90"/>
      <c r="Z97" s="31"/>
      <c r="AA97" s="31"/>
    </row>
    <row r="98" spans="3:27" x14ac:dyDescent="0.3">
      <c r="D98"/>
      <c r="E98" s="32"/>
      <c r="I98" t="s">
        <v>154</v>
      </c>
      <c r="J98" s="89"/>
      <c r="K98" s="89"/>
      <c r="L98" s="89"/>
      <c r="M98" s="89"/>
      <c r="N98" s="89"/>
      <c r="O98" s="89"/>
      <c r="P98" s="89"/>
      <c r="Q98" s="89"/>
      <c r="R98" s="89"/>
      <c r="S98" s="89"/>
      <c r="T98" s="89"/>
      <c r="U98" s="89"/>
      <c r="V98" s="89"/>
      <c r="W98" s="89"/>
      <c r="X98" s="89"/>
      <c r="Y98" s="89"/>
      <c r="AA98" t="s">
        <v>726</v>
      </c>
    </row>
    <row r="99" spans="3:27" x14ac:dyDescent="0.3">
      <c r="C99" s="88"/>
      <c r="D99"/>
      <c r="E99" s="32" t="s">
        <v>621</v>
      </c>
      <c r="J99" s="89"/>
      <c r="K99" s="89"/>
      <c r="L99" s="89"/>
      <c r="M99" s="89"/>
      <c r="N99" s="89"/>
      <c r="O99" s="89"/>
      <c r="P99" s="89"/>
      <c r="Q99" s="89"/>
      <c r="R99" s="89"/>
      <c r="S99" s="89"/>
      <c r="T99" s="89"/>
      <c r="U99" s="89"/>
      <c r="V99" s="89"/>
      <c r="W99" s="89"/>
      <c r="X99" s="89"/>
      <c r="Y99" s="89"/>
    </row>
    <row r="100" spans="3:27" x14ac:dyDescent="0.3">
      <c r="C100" s="88"/>
      <c r="D100"/>
      <c r="E100" s="29"/>
      <c r="F100" s="23" t="s">
        <v>189</v>
      </c>
      <c r="G100" s="23" t="s">
        <v>728</v>
      </c>
      <c r="H100" s="23"/>
      <c r="I100" s="23"/>
      <c r="J100" s="83"/>
      <c r="K100" s="83"/>
      <c r="L100" s="83"/>
      <c r="M100" s="83"/>
      <c r="N100" s="83"/>
      <c r="O100" s="83"/>
      <c r="P100" s="83"/>
      <c r="Q100" s="83"/>
      <c r="R100" s="83"/>
      <c r="S100" s="83"/>
      <c r="T100" s="83"/>
      <c r="U100" s="83"/>
      <c r="V100" s="83"/>
      <c r="W100" s="83"/>
      <c r="X100" s="83"/>
      <c r="Y100" s="83"/>
    </row>
    <row r="101" spans="3:27" x14ac:dyDescent="0.3">
      <c r="C101" s="88"/>
      <c r="D101"/>
      <c r="E101" s="29"/>
      <c r="F101" t="s">
        <v>191</v>
      </c>
      <c r="G101" t="s">
        <v>728</v>
      </c>
      <c r="J101" s="79"/>
      <c r="K101" s="79"/>
      <c r="L101" s="79"/>
      <c r="M101" s="79"/>
      <c r="N101" s="79"/>
      <c r="O101" s="79"/>
      <c r="P101" s="79"/>
      <c r="Q101" s="79"/>
      <c r="R101" s="79"/>
      <c r="S101" s="79"/>
      <c r="T101" s="79"/>
      <c r="U101" s="79"/>
      <c r="V101" s="79"/>
      <c r="W101" s="79"/>
      <c r="X101" s="79"/>
      <c r="Y101" s="79"/>
    </row>
    <row r="102" spans="3:27" x14ac:dyDescent="0.3">
      <c r="C102" s="88"/>
      <c r="D102"/>
      <c r="E102" s="29"/>
      <c r="F102" t="s">
        <v>192</v>
      </c>
      <c r="G102" t="s">
        <v>728</v>
      </c>
      <c r="J102" s="98">
        <f t="shared" ref="J102:Y102" si="126">SUMIFS($J72:$Y72,$J$63:$Y$63,J$63)</f>
        <v>0</v>
      </c>
      <c r="K102" s="98">
        <f t="shared" si="126"/>
        <v>0</v>
      </c>
      <c r="L102" s="98">
        <f t="shared" si="126"/>
        <v>0</v>
      </c>
      <c r="M102" s="98">
        <f t="shared" si="126"/>
        <v>0</v>
      </c>
      <c r="N102" s="98">
        <f t="shared" si="126"/>
        <v>0</v>
      </c>
      <c r="O102" s="98">
        <f t="shared" si="126"/>
        <v>0</v>
      </c>
      <c r="P102" s="98">
        <f t="shared" si="126"/>
        <v>0</v>
      </c>
      <c r="Q102" s="98">
        <f t="shared" si="126"/>
        <v>0</v>
      </c>
      <c r="R102" s="98">
        <f t="shared" si="126"/>
        <v>0</v>
      </c>
      <c r="S102" s="98">
        <f t="shared" si="126"/>
        <v>0</v>
      </c>
      <c r="T102" s="98">
        <f t="shared" si="126"/>
        <v>0</v>
      </c>
      <c r="U102" s="98">
        <f t="shared" si="126"/>
        <v>0</v>
      </c>
      <c r="V102" s="98">
        <f t="shared" si="126"/>
        <v>0</v>
      </c>
      <c r="W102" s="98">
        <f t="shared" si="126"/>
        <v>0</v>
      </c>
      <c r="X102" s="98">
        <f t="shared" si="126"/>
        <v>0</v>
      </c>
      <c r="Y102" s="98">
        <f t="shared" si="126"/>
        <v>0</v>
      </c>
    </row>
    <row r="103" spans="3:27" x14ac:dyDescent="0.3">
      <c r="C103" s="88"/>
      <c r="D103"/>
      <c r="E103" s="29"/>
      <c r="F103" t="s">
        <v>193</v>
      </c>
      <c r="G103" t="s">
        <v>728</v>
      </c>
      <c r="J103" s="98">
        <f t="shared" ref="J103:Y103" si="127">SUMIFS($J73:$Y73,$J$63:$Y$63,J$63)</f>
        <v>0</v>
      </c>
      <c r="K103" s="98">
        <f t="shared" si="127"/>
        <v>0</v>
      </c>
      <c r="L103" s="98">
        <f t="shared" si="127"/>
        <v>0</v>
      </c>
      <c r="M103" s="98">
        <f t="shared" si="127"/>
        <v>0</v>
      </c>
      <c r="N103" s="98">
        <f t="shared" si="127"/>
        <v>0</v>
      </c>
      <c r="O103" s="98">
        <f t="shared" si="127"/>
        <v>0</v>
      </c>
      <c r="P103" s="98">
        <f t="shared" si="127"/>
        <v>0</v>
      </c>
      <c r="Q103" s="98">
        <f t="shared" si="127"/>
        <v>0</v>
      </c>
      <c r="R103" s="98">
        <f t="shared" si="127"/>
        <v>0</v>
      </c>
      <c r="S103" s="98">
        <f t="shared" si="127"/>
        <v>0</v>
      </c>
      <c r="T103" s="98">
        <f t="shared" si="127"/>
        <v>0</v>
      </c>
      <c r="U103" s="98">
        <f t="shared" si="127"/>
        <v>0</v>
      </c>
      <c r="V103" s="98">
        <f t="shared" si="127"/>
        <v>0</v>
      </c>
      <c r="W103" s="98">
        <f t="shared" si="127"/>
        <v>0</v>
      </c>
      <c r="X103" s="98">
        <f t="shared" si="127"/>
        <v>0</v>
      </c>
      <c r="Y103" s="98">
        <f t="shared" si="127"/>
        <v>0</v>
      </c>
    </row>
    <row r="104" spans="3:27" x14ac:dyDescent="0.3">
      <c r="C104" s="88"/>
      <c r="D104"/>
      <c r="E104" s="29"/>
      <c r="F104" t="s">
        <v>194</v>
      </c>
      <c r="G104" t="s">
        <v>728</v>
      </c>
      <c r="J104" s="98">
        <f t="shared" ref="J104:Y104" si="128">SUMIFS($J74:$Y74,$J$63:$Y$63,J$63)</f>
        <v>0</v>
      </c>
      <c r="K104" s="98">
        <f t="shared" si="128"/>
        <v>0</v>
      </c>
      <c r="L104" s="98">
        <f t="shared" si="128"/>
        <v>0</v>
      </c>
      <c r="M104" s="98">
        <f t="shared" si="128"/>
        <v>0</v>
      </c>
      <c r="N104" s="98">
        <f t="shared" si="128"/>
        <v>0</v>
      </c>
      <c r="O104" s="98">
        <f t="shared" si="128"/>
        <v>0</v>
      </c>
      <c r="P104" s="98">
        <f t="shared" si="128"/>
        <v>0</v>
      </c>
      <c r="Q104" s="98">
        <f t="shared" si="128"/>
        <v>0</v>
      </c>
      <c r="R104" s="98">
        <f t="shared" si="128"/>
        <v>0</v>
      </c>
      <c r="S104" s="98">
        <f t="shared" si="128"/>
        <v>0</v>
      </c>
      <c r="T104" s="98">
        <f t="shared" si="128"/>
        <v>0</v>
      </c>
      <c r="U104" s="98">
        <f t="shared" si="128"/>
        <v>0</v>
      </c>
      <c r="V104" s="98">
        <f t="shared" si="128"/>
        <v>0</v>
      </c>
      <c r="W104" s="98">
        <f t="shared" si="128"/>
        <v>0</v>
      </c>
      <c r="X104" s="98">
        <f t="shared" si="128"/>
        <v>0</v>
      </c>
      <c r="Y104" s="98">
        <f t="shared" si="128"/>
        <v>0</v>
      </c>
    </row>
    <row r="105" spans="3:27" x14ac:dyDescent="0.3">
      <c r="C105" s="88"/>
      <c r="D105"/>
      <c r="E105" s="29"/>
      <c r="F105" t="s">
        <v>195</v>
      </c>
      <c r="G105" t="s">
        <v>728</v>
      </c>
      <c r="J105" s="98">
        <f t="shared" ref="J105:Y105" si="129">SUMIFS($J75:$Y75,$J$63:$Y$63,J$63)</f>
        <v>0</v>
      </c>
      <c r="K105" s="98">
        <f t="shared" si="129"/>
        <v>0</v>
      </c>
      <c r="L105" s="98">
        <f t="shared" si="129"/>
        <v>0</v>
      </c>
      <c r="M105" s="98">
        <f t="shared" si="129"/>
        <v>0</v>
      </c>
      <c r="N105" s="98">
        <f t="shared" si="129"/>
        <v>0</v>
      </c>
      <c r="O105" s="98">
        <f t="shared" si="129"/>
        <v>0</v>
      </c>
      <c r="P105" s="98">
        <f t="shared" si="129"/>
        <v>0</v>
      </c>
      <c r="Q105" s="98">
        <f t="shared" si="129"/>
        <v>0</v>
      </c>
      <c r="R105" s="98">
        <f t="shared" si="129"/>
        <v>0</v>
      </c>
      <c r="S105" s="98">
        <f t="shared" si="129"/>
        <v>0</v>
      </c>
      <c r="T105" s="98">
        <f t="shared" si="129"/>
        <v>0</v>
      </c>
      <c r="U105" s="98">
        <f t="shared" si="129"/>
        <v>0</v>
      </c>
      <c r="V105" s="98">
        <f t="shared" si="129"/>
        <v>0</v>
      </c>
      <c r="W105" s="98">
        <f t="shared" si="129"/>
        <v>0</v>
      </c>
      <c r="X105" s="98">
        <f t="shared" si="129"/>
        <v>0</v>
      </c>
      <c r="Y105" s="98">
        <f t="shared" si="129"/>
        <v>0</v>
      </c>
    </row>
    <row r="106" spans="3:27" x14ac:dyDescent="0.3">
      <c r="C106" s="88"/>
      <c r="D106"/>
      <c r="E106" s="29"/>
      <c r="F106" t="s">
        <v>196</v>
      </c>
      <c r="G106" t="s">
        <v>728</v>
      </c>
      <c r="J106" s="98">
        <f t="shared" ref="J106:Y106" si="130">SUMIFS($J76:$Y76,$J$63:$Y$63,J$63)</f>
        <v>0</v>
      </c>
      <c r="K106" s="98">
        <f t="shared" si="130"/>
        <v>0</v>
      </c>
      <c r="L106" s="98">
        <f t="shared" si="130"/>
        <v>0</v>
      </c>
      <c r="M106" s="98">
        <f t="shared" si="130"/>
        <v>0</v>
      </c>
      <c r="N106" s="98">
        <f t="shared" si="130"/>
        <v>0</v>
      </c>
      <c r="O106" s="98">
        <f t="shared" si="130"/>
        <v>0</v>
      </c>
      <c r="P106" s="98">
        <f t="shared" si="130"/>
        <v>0</v>
      </c>
      <c r="Q106" s="98">
        <f t="shared" si="130"/>
        <v>0</v>
      </c>
      <c r="R106" s="98">
        <f t="shared" si="130"/>
        <v>0</v>
      </c>
      <c r="S106" s="98">
        <f t="shared" si="130"/>
        <v>0</v>
      </c>
      <c r="T106" s="98">
        <f t="shared" si="130"/>
        <v>0</v>
      </c>
      <c r="U106" s="98">
        <f t="shared" si="130"/>
        <v>0</v>
      </c>
      <c r="V106" s="98">
        <f t="shared" si="130"/>
        <v>0</v>
      </c>
      <c r="W106" s="98">
        <f t="shared" si="130"/>
        <v>0</v>
      </c>
      <c r="X106" s="98">
        <f t="shared" si="130"/>
        <v>0</v>
      </c>
      <c r="Y106" s="98">
        <f t="shared" si="130"/>
        <v>0</v>
      </c>
    </row>
    <row r="107" spans="3:27" x14ac:dyDescent="0.3">
      <c r="C107" s="88"/>
      <c r="D107"/>
      <c r="E107" s="29"/>
      <c r="F107" t="s">
        <v>197</v>
      </c>
      <c r="G107" t="s">
        <v>728</v>
      </c>
      <c r="J107" s="98">
        <f t="shared" ref="J107:Y107" si="131">SUMIFS($J77:$Y77,$J$63:$Y$63,J$63)</f>
        <v>0</v>
      </c>
      <c r="K107" s="98">
        <f t="shared" si="131"/>
        <v>0</v>
      </c>
      <c r="L107" s="98">
        <f t="shared" si="131"/>
        <v>0</v>
      </c>
      <c r="M107" s="98">
        <f t="shared" si="131"/>
        <v>0</v>
      </c>
      <c r="N107" s="98">
        <f t="shared" si="131"/>
        <v>0</v>
      </c>
      <c r="O107" s="98">
        <f t="shared" si="131"/>
        <v>0</v>
      </c>
      <c r="P107" s="98">
        <f t="shared" si="131"/>
        <v>0</v>
      </c>
      <c r="Q107" s="98">
        <f t="shared" si="131"/>
        <v>0</v>
      </c>
      <c r="R107" s="98">
        <f t="shared" si="131"/>
        <v>0</v>
      </c>
      <c r="S107" s="98">
        <f t="shared" si="131"/>
        <v>0</v>
      </c>
      <c r="T107" s="98">
        <f t="shared" si="131"/>
        <v>0</v>
      </c>
      <c r="U107" s="98">
        <f t="shared" si="131"/>
        <v>0</v>
      </c>
      <c r="V107" s="98">
        <f t="shared" si="131"/>
        <v>0</v>
      </c>
      <c r="W107" s="98">
        <f t="shared" si="131"/>
        <v>0</v>
      </c>
      <c r="X107" s="98">
        <f t="shared" si="131"/>
        <v>0</v>
      </c>
      <c r="Y107" s="98">
        <f t="shared" si="131"/>
        <v>0</v>
      </c>
    </row>
    <row r="108" spans="3:27" x14ac:dyDescent="0.3">
      <c r="C108" s="88"/>
      <c r="D108"/>
      <c r="E108" s="29"/>
      <c r="F108" t="s">
        <v>198</v>
      </c>
      <c r="G108" t="s">
        <v>728</v>
      </c>
      <c r="J108" s="98">
        <f t="shared" ref="J108:Y108" si="132">SUMIFS($J78:$Y78,$J$63:$Y$63,J$63)</f>
        <v>0</v>
      </c>
      <c r="K108" s="98">
        <f t="shared" si="132"/>
        <v>0</v>
      </c>
      <c r="L108" s="98">
        <f t="shared" si="132"/>
        <v>0</v>
      </c>
      <c r="M108" s="98">
        <f t="shared" si="132"/>
        <v>0</v>
      </c>
      <c r="N108" s="98">
        <f t="shared" si="132"/>
        <v>0</v>
      </c>
      <c r="O108" s="98">
        <f t="shared" si="132"/>
        <v>0</v>
      </c>
      <c r="P108" s="98">
        <f t="shared" si="132"/>
        <v>0</v>
      </c>
      <c r="Q108" s="98">
        <f t="shared" si="132"/>
        <v>0</v>
      </c>
      <c r="R108" s="98">
        <f t="shared" si="132"/>
        <v>0</v>
      </c>
      <c r="S108" s="98">
        <f t="shared" si="132"/>
        <v>0</v>
      </c>
      <c r="T108" s="98">
        <f t="shared" si="132"/>
        <v>0</v>
      </c>
      <c r="U108" s="98">
        <f t="shared" si="132"/>
        <v>0</v>
      </c>
      <c r="V108" s="98">
        <f t="shared" si="132"/>
        <v>0</v>
      </c>
      <c r="W108" s="98">
        <f t="shared" si="132"/>
        <v>0</v>
      </c>
      <c r="X108" s="98">
        <f t="shared" si="132"/>
        <v>0</v>
      </c>
      <c r="Y108" s="98">
        <f t="shared" si="132"/>
        <v>0</v>
      </c>
    </row>
    <row r="109" spans="3:27" x14ac:dyDescent="0.3">
      <c r="C109" s="88"/>
      <c r="D109"/>
      <c r="E109" s="29"/>
      <c r="F109" t="s">
        <v>199</v>
      </c>
      <c r="G109" t="s">
        <v>728</v>
      </c>
      <c r="J109" s="98">
        <f t="shared" ref="J109:Y109" si="133">SUMIFS($J79:$Y79,$J$63:$Y$63,J$63)</f>
        <v>856158.99319466227</v>
      </c>
      <c r="K109" s="98">
        <f t="shared" si="133"/>
        <v>0</v>
      </c>
      <c r="L109" s="98">
        <f t="shared" si="133"/>
        <v>856158.99319466227</v>
      </c>
      <c r="M109" s="98">
        <f t="shared" si="133"/>
        <v>0</v>
      </c>
      <c r="N109" s="98">
        <f t="shared" si="133"/>
        <v>0</v>
      </c>
      <c r="O109" s="98">
        <f t="shared" si="133"/>
        <v>0</v>
      </c>
      <c r="P109" s="98">
        <f t="shared" si="133"/>
        <v>0</v>
      </c>
      <c r="Q109" s="98">
        <f t="shared" si="133"/>
        <v>0</v>
      </c>
      <c r="R109" s="98">
        <f t="shared" si="133"/>
        <v>0</v>
      </c>
      <c r="S109" s="98">
        <f t="shared" si="133"/>
        <v>0</v>
      </c>
      <c r="T109" s="98">
        <f t="shared" si="133"/>
        <v>0</v>
      </c>
      <c r="U109" s="98">
        <f t="shared" si="133"/>
        <v>0</v>
      </c>
      <c r="V109" s="98">
        <f t="shared" si="133"/>
        <v>0</v>
      </c>
      <c r="W109" s="98">
        <f t="shared" si="133"/>
        <v>0</v>
      </c>
      <c r="X109" s="98">
        <f t="shared" si="133"/>
        <v>0</v>
      </c>
      <c r="Y109" s="98">
        <f t="shared" si="133"/>
        <v>0</v>
      </c>
    </row>
    <row r="110" spans="3:27" x14ac:dyDescent="0.3">
      <c r="C110" s="88"/>
      <c r="D110"/>
      <c r="E110" s="29"/>
      <c r="F110" t="s">
        <v>376</v>
      </c>
      <c r="G110" t="s">
        <v>728</v>
      </c>
      <c r="J110" s="79"/>
      <c r="K110" s="79"/>
      <c r="L110" s="79"/>
      <c r="M110" s="79"/>
      <c r="N110" s="79"/>
      <c r="O110" s="79"/>
      <c r="P110" s="79"/>
      <c r="Q110" s="79"/>
      <c r="R110" s="79"/>
      <c r="S110" s="79"/>
      <c r="T110" s="79"/>
      <c r="U110" s="79"/>
      <c r="V110" s="79"/>
      <c r="W110" s="79"/>
      <c r="X110" s="79"/>
      <c r="Y110" s="79"/>
    </row>
    <row r="111" spans="3:27" x14ac:dyDescent="0.3">
      <c r="C111" s="88"/>
      <c r="D111"/>
      <c r="E111" s="29"/>
      <c r="F111" s="37" t="s">
        <v>377</v>
      </c>
      <c r="G111" s="37" t="s">
        <v>728</v>
      </c>
      <c r="H111" s="37"/>
      <c r="I111" s="37"/>
      <c r="J111" s="81"/>
      <c r="K111" s="81"/>
      <c r="L111" s="81"/>
      <c r="M111" s="81"/>
      <c r="N111" s="81"/>
      <c r="O111" s="81"/>
      <c r="P111" s="81"/>
      <c r="Q111" s="81"/>
      <c r="R111" s="81"/>
      <c r="S111" s="81"/>
      <c r="T111" s="81"/>
      <c r="U111" s="81"/>
      <c r="V111" s="81"/>
      <c r="W111" s="81"/>
      <c r="X111" s="81"/>
      <c r="Y111" s="81"/>
    </row>
    <row r="112" spans="3:27" x14ac:dyDescent="0.3">
      <c r="C112" s="88"/>
      <c r="D112"/>
      <c r="E112" s="29"/>
      <c r="J112" s="89"/>
      <c r="K112" s="89"/>
      <c r="L112" s="89"/>
      <c r="M112" s="89"/>
      <c r="N112" s="89"/>
      <c r="O112" s="89"/>
      <c r="P112" s="89"/>
      <c r="Q112" s="89"/>
      <c r="R112" s="89"/>
      <c r="S112" s="89"/>
      <c r="T112" s="89"/>
      <c r="U112" s="89"/>
      <c r="V112" s="89"/>
      <c r="W112" s="89"/>
      <c r="X112" s="89"/>
      <c r="Y112" s="89"/>
    </row>
    <row r="113" spans="3:27" x14ac:dyDescent="0.3">
      <c r="C113" s="88"/>
      <c r="D113"/>
      <c r="E113" s="32" t="s">
        <v>622</v>
      </c>
      <c r="J113" s="89"/>
      <c r="K113" s="89"/>
      <c r="L113" s="89"/>
      <c r="M113" s="89"/>
      <c r="N113" s="89"/>
      <c r="O113" s="89"/>
      <c r="P113" s="89"/>
      <c r="Q113" s="89"/>
      <c r="R113" s="89"/>
      <c r="S113" s="89"/>
      <c r="T113" s="89"/>
      <c r="U113" s="89"/>
      <c r="V113" s="89"/>
      <c r="W113" s="89"/>
      <c r="X113" s="89"/>
      <c r="Y113" s="89"/>
    </row>
    <row r="114" spans="3:27" x14ac:dyDescent="0.3">
      <c r="C114" s="88"/>
      <c r="D114"/>
      <c r="F114" s="23" t="s">
        <v>189</v>
      </c>
      <c r="G114" s="23" t="s">
        <v>728</v>
      </c>
      <c r="H114" s="23"/>
      <c r="I114" s="23"/>
      <c r="J114" s="126">
        <f t="shared" ref="J114:Y114" si="134">SUMIFS($J84:$Y84,$J$63:$Y$63,J$63)</f>
        <v>0</v>
      </c>
      <c r="K114" s="126">
        <f t="shared" si="134"/>
        <v>0</v>
      </c>
      <c r="L114" s="126">
        <f t="shared" si="134"/>
        <v>0</v>
      </c>
      <c r="M114" s="126">
        <f t="shared" si="134"/>
        <v>0</v>
      </c>
      <c r="N114" s="126">
        <f t="shared" si="134"/>
        <v>0</v>
      </c>
      <c r="O114" s="126">
        <f t="shared" si="134"/>
        <v>0</v>
      </c>
      <c r="P114" s="126">
        <f t="shared" si="134"/>
        <v>0</v>
      </c>
      <c r="Q114" s="126">
        <f t="shared" si="134"/>
        <v>0</v>
      </c>
      <c r="R114" s="126">
        <f t="shared" si="134"/>
        <v>0</v>
      </c>
      <c r="S114" s="126">
        <f t="shared" si="134"/>
        <v>0</v>
      </c>
      <c r="T114" s="126">
        <f t="shared" si="134"/>
        <v>0</v>
      </c>
      <c r="U114" s="126">
        <f t="shared" si="134"/>
        <v>0</v>
      </c>
      <c r="V114" s="126">
        <f t="shared" si="134"/>
        <v>0</v>
      </c>
      <c r="W114" s="126">
        <f t="shared" si="134"/>
        <v>0</v>
      </c>
      <c r="X114" s="126">
        <f t="shared" si="134"/>
        <v>0</v>
      </c>
      <c r="Y114" s="126">
        <f t="shared" si="134"/>
        <v>0</v>
      </c>
    </row>
    <row r="115" spans="3:27" x14ac:dyDescent="0.3">
      <c r="C115" s="88"/>
      <c r="D115"/>
      <c r="F115" t="s">
        <v>191</v>
      </c>
      <c r="G115" t="s">
        <v>728</v>
      </c>
      <c r="J115" s="98">
        <f t="shared" ref="J115:Y115" si="135">SUMIFS($J85:$Y85,$J$63:$Y$63,J$63)</f>
        <v>0</v>
      </c>
      <c r="K115" s="98">
        <f t="shared" si="135"/>
        <v>0</v>
      </c>
      <c r="L115" s="98">
        <f t="shared" si="135"/>
        <v>0</v>
      </c>
      <c r="M115" s="98">
        <f t="shared" si="135"/>
        <v>0</v>
      </c>
      <c r="N115" s="98">
        <f t="shared" si="135"/>
        <v>0</v>
      </c>
      <c r="O115" s="98">
        <f t="shared" si="135"/>
        <v>0</v>
      </c>
      <c r="P115" s="98">
        <f t="shared" si="135"/>
        <v>0</v>
      </c>
      <c r="Q115" s="98">
        <f t="shared" si="135"/>
        <v>0</v>
      </c>
      <c r="R115" s="98">
        <f t="shared" si="135"/>
        <v>0</v>
      </c>
      <c r="S115" s="98">
        <f t="shared" si="135"/>
        <v>0</v>
      </c>
      <c r="T115" s="98">
        <f t="shared" si="135"/>
        <v>0</v>
      </c>
      <c r="U115" s="98">
        <f t="shared" si="135"/>
        <v>0</v>
      </c>
      <c r="V115" s="98">
        <f t="shared" si="135"/>
        <v>0</v>
      </c>
      <c r="W115" s="98">
        <f t="shared" si="135"/>
        <v>0</v>
      </c>
      <c r="X115" s="98">
        <f t="shared" si="135"/>
        <v>0</v>
      </c>
      <c r="Y115" s="98">
        <f t="shared" si="135"/>
        <v>0</v>
      </c>
    </row>
    <row r="116" spans="3:27" x14ac:dyDescent="0.3">
      <c r="C116" s="88"/>
      <c r="D116"/>
      <c r="F116" t="s">
        <v>192</v>
      </c>
      <c r="G116" t="s">
        <v>728</v>
      </c>
      <c r="J116" s="98">
        <f t="shared" ref="J116:Y116" si="136">SUMIFS($J86:$Y86,$J$63:$Y$63,J$63)</f>
        <v>0</v>
      </c>
      <c r="K116" s="98">
        <f t="shared" si="136"/>
        <v>0</v>
      </c>
      <c r="L116" s="98">
        <f t="shared" si="136"/>
        <v>0</v>
      </c>
      <c r="M116" s="98">
        <f t="shared" si="136"/>
        <v>0</v>
      </c>
      <c r="N116" s="98">
        <f t="shared" si="136"/>
        <v>0</v>
      </c>
      <c r="O116" s="98">
        <f t="shared" si="136"/>
        <v>0</v>
      </c>
      <c r="P116" s="98">
        <f t="shared" si="136"/>
        <v>0</v>
      </c>
      <c r="Q116" s="98">
        <f t="shared" si="136"/>
        <v>0</v>
      </c>
      <c r="R116" s="98">
        <f t="shared" si="136"/>
        <v>0</v>
      </c>
      <c r="S116" s="98">
        <f t="shared" si="136"/>
        <v>0</v>
      </c>
      <c r="T116" s="98">
        <f t="shared" si="136"/>
        <v>0</v>
      </c>
      <c r="U116" s="98">
        <f t="shared" si="136"/>
        <v>0</v>
      </c>
      <c r="V116" s="98">
        <f t="shared" si="136"/>
        <v>0</v>
      </c>
      <c r="W116" s="98">
        <f t="shared" si="136"/>
        <v>0</v>
      </c>
      <c r="X116" s="98">
        <f t="shared" si="136"/>
        <v>0</v>
      </c>
      <c r="Y116" s="98">
        <f t="shared" si="136"/>
        <v>0</v>
      </c>
    </row>
    <row r="117" spans="3:27" x14ac:dyDescent="0.3">
      <c r="C117" s="88"/>
      <c r="D117"/>
      <c r="F117" t="s">
        <v>193</v>
      </c>
      <c r="G117" t="s">
        <v>728</v>
      </c>
      <c r="J117" s="98">
        <f t="shared" ref="J117:Y117" si="137">SUMIFS($J87:$Y87,$J$63:$Y$63,J$63)</f>
        <v>0</v>
      </c>
      <c r="K117" s="98">
        <f t="shared" si="137"/>
        <v>0</v>
      </c>
      <c r="L117" s="98">
        <f t="shared" si="137"/>
        <v>0</v>
      </c>
      <c r="M117" s="98">
        <f t="shared" si="137"/>
        <v>0</v>
      </c>
      <c r="N117" s="98">
        <f t="shared" si="137"/>
        <v>0</v>
      </c>
      <c r="O117" s="98">
        <f t="shared" si="137"/>
        <v>0</v>
      </c>
      <c r="P117" s="98">
        <f t="shared" si="137"/>
        <v>0</v>
      </c>
      <c r="Q117" s="98">
        <f t="shared" si="137"/>
        <v>0</v>
      </c>
      <c r="R117" s="98">
        <f t="shared" si="137"/>
        <v>0</v>
      </c>
      <c r="S117" s="98">
        <f t="shared" si="137"/>
        <v>0</v>
      </c>
      <c r="T117" s="98">
        <f t="shared" si="137"/>
        <v>0</v>
      </c>
      <c r="U117" s="98">
        <f t="shared" si="137"/>
        <v>0</v>
      </c>
      <c r="V117" s="98">
        <f t="shared" si="137"/>
        <v>0</v>
      </c>
      <c r="W117" s="98">
        <f t="shared" si="137"/>
        <v>0</v>
      </c>
      <c r="X117" s="98">
        <f t="shared" si="137"/>
        <v>0</v>
      </c>
      <c r="Y117" s="98">
        <f t="shared" si="137"/>
        <v>0</v>
      </c>
    </row>
    <row r="118" spans="3:27" x14ac:dyDescent="0.3">
      <c r="C118" s="88"/>
      <c r="D118"/>
      <c r="F118" t="s">
        <v>194</v>
      </c>
      <c r="G118" t="s">
        <v>728</v>
      </c>
      <c r="J118" s="98">
        <f t="shared" ref="J118:Y118" si="138">SUMIFS($J88:$Y88,$J$63:$Y$63,J$63)</f>
        <v>0</v>
      </c>
      <c r="K118" s="98">
        <f t="shared" si="138"/>
        <v>0</v>
      </c>
      <c r="L118" s="98">
        <f t="shared" si="138"/>
        <v>0</v>
      </c>
      <c r="M118" s="98">
        <f t="shared" si="138"/>
        <v>0</v>
      </c>
      <c r="N118" s="98">
        <f t="shared" si="138"/>
        <v>0</v>
      </c>
      <c r="O118" s="98">
        <f t="shared" si="138"/>
        <v>0</v>
      </c>
      <c r="P118" s="98">
        <f t="shared" si="138"/>
        <v>0</v>
      </c>
      <c r="Q118" s="98">
        <f t="shared" si="138"/>
        <v>0</v>
      </c>
      <c r="R118" s="98">
        <f t="shared" si="138"/>
        <v>0</v>
      </c>
      <c r="S118" s="98">
        <f t="shared" si="138"/>
        <v>0</v>
      </c>
      <c r="T118" s="98">
        <f t="shared" si="138"/>
        <v>0</v>
      </c>
      <c r="U118" s="98">
        <f t="shared" si="138"/>
        <v>0</v>
      </c>
      <c r="V118" s="98">
        <f t="shared" si="138"/>
        <v>0</v>
      </c>
      <c r="W118" s="98">
        <f t="shared" si="138"/>
        <v>0</v>
      </c>
      <c r="X118" s="98">
        <f t="shared" si="138"/>
        <v>0</v>
      </c>
      <c r="Y118" s="98">
        <f t="shared" si="138"/>
        <v>0</v>
      </c>
    </row>
    <row r="119" spans="3:27" x14ac:dyDescent="0.3">
      <c r="C119" s="88"/>
      <c r="D119"/>
      <c r="F119" t="s">
        <v>195</v>
      </c>
      <c r="G119" t="s">
        <v>728</v>
      </c>
      <c r="J119" s="98">
        <f t="shared" ref="J119:Y119" si="139">SUMIFS($J89:$Y89,$J$63:$Y$63,J$63)</f>
        <v>0</v>
      </c>
      <c r="K119" s="98">
        <f t="shared" si="139"/>
        <v>0</v>
      </c>
      <c r="L119" s="98">
        <f t="shared" si="139"/>
        <v>0</v>
      </c>
      <c r="M119" s="98">
        <f t="shared" si="139"/>
        <v>0</v>
      </c>
      <c r="N119" s="98">
        <f t="shared" si="139"/>
        <v>0</v>
      </c>
      <c r="O119" s="98">
        <f t="shared" si="139"/>
        <v>0</v>
      </c>
      <c r="P119" s="98">
        <f t="shared" si="139"/>
        <v>0</v>
      </c>
      <c r="Q119" s="98">
        <f t="shared" si="139"/>
        <v>0</v>
      </c>
      <c r="R119" s="98">
        <f t="shared" si="139"/>
        <v>0</v>
      </c>
      <c r="S119" s="98">
        <f t="shared" si="139"/>
        <v>0</v>
      </c>
      <c r="T119" s="98">
        <f t="shared" si="139"/>
        <v>0</v>
      </c>
      <c r="U119" s="98">
        <f t="shared" si="139"/>
        <v>0</v>
      </c>
      <c r="V119" s="98">
        <f t="shared" si="139"/>
        <v>0</v>
      </c>
      <c r="W119" s="98">
        <f t="shared" si="139"/>
        <v>0</v>
      </c>
      <c r="X119" s="98">
        <f t="shared" si="139"/>
        <v>0</v>
      </c>
      <c r="Y119" s="98">
        <f t="shared" si="139"/>
        <v>0</v>
      </c>
    </row>
    <row r="120" spans="3:27" x14ac:dyDescent="0.3">
      <c r="C120" s="88"/>
      <c r="D120"/>
      <c r="F120" t="s">
        <v>196</v>
      </c>
      <c r="G120" t="s">
        <v>728</v>
      </c>
      <c r="J120" s="98">
        <f t="shared" ref="J120:Y120" si="140">SUMIFS($J90:$Y90,$J$63:$Y$63,J$63)</f>
        <v>0</v>
      </c>
      <c r="K120" s="98">
        <f t="shared" si="140"/>
        <v>0</v>
      </c>
      <c r="L120" s="98">
        <f t="shared" si="140"/>
        <v>0</v>
      </c>
      <c r="M120" s="98">
        <f t="shared" si="140"/>
        <v>0</v>
      </c>
      <c r="N120" s="98">
        <f t="shared" si="140"/>
        <v>0</v>
      </c>
      <c r="O120" s="98">
        <f t="shared" si="140"/>
        <v>0</v>
      </c>
      <c r="P120" s="98">
        <f t="shared" si="140"/>
        <v>0</v>
      </c>
      <c r="Q120" s="98">
        <f t="shared" si="140"/>
        <v>0</v>
      </c>
      <c r="R120" s="98">
        <f t="shared" si="140"/>
        <v>0</v>
      </c>
      <c r="S120" s="98">
        <f t="shared" si="140"/>
        <v>0</v>
      </c>
      <c r="T120" s="98">
        <f t="shared" si="140"/>
        <v>0</v>
      </c>
      <c r="U120" s="98">
        <f t="shared" si="140"/>
        <v>0</v>
      </c>
      <c r="V120" s="98">
        <f t="shared" si="140"/>
        <v>0</v>
      </c>
      <c r="W120" s="98">
        <f t="shared" si="140"/>
        <v>0</v>
      </c>
      <c r="X120" s="98">
        <f t="shared" si="140"/>
        <v>0</v>
      </c>
      <c r="Y120" s="98">
        <f t="shared" si="140"/>
        <v>0</v>
      </c>
    </row>
    <row r="121" spans="3:27" x14ac:dyDescent="0.3">
      <c r="C121" s="88"/>
      <c r="D121"/>
      <c r="F121" t="s">
        <v>197</v>
      </c>
      <c r="G121" t="s">
        <v>728</v>
      </c>
      <c r="J121" s="98">
        <f t="shared" ref="J121:Y121" si="141">SUMIFS($J91:$Y91,$J$63:$Y$63,J$63)</f>
        <v>0</v>
      </c>
      <c r="K121" s="98">
        <f t="shared" si="141"/>
        <v>0</v>
      </c>
      <c r="L121" s="98">
        <f t="shared" si="141"/>
        <v>0</v>
      </c>
      <c r="M121" s="98">
        <f t="shared" si="141"/>
        <v>0</v>
      </c>
      <c r="N121" s="98">
        <f t="shared" si="141"/>
        <v>0</v>
      </c>
      <c r="O121" s="98">
        <f t="shared" si="141"/>
        <v>0</v>
      </c>
      <c r="P121" s="98">
        <f t="shared" si="141"/>
        <v>0</v>
      </c>
      <c r="Q121" s="98">
        <f t="shared" si="141"/>
        <v>0</v>
      </c>
      <c r="R121" s="98">
        <f t="shared" si="141"/>
        <v>0</v>
      </c>
      <c r="S121" s="98">
        <f t="shared" si="141"/>
        <v>0</v>
      </c>
      <c r="T121" s="98">
        <f t="shared" si="141"/>
        <v>0</v>
      </c>
      <c r="U121" s="98">
        <f t="shared" si="141"/>
        <v>0</v>
      </c>
      <c r="V121" s="98">
        <f t="shared" si="141"/>
        <v>0</v>
      </c>
      <c r="W121" s="98">
        <f t="shared" si="141"/>
        <v>0</v>
      </c>
      <c r="X121" s="98">
        <f t="shared" si="141"/>
        <v>0</v>
      </c>
      <c r="Y121" s="98">
        <f t="shared" si="141"/>
        <v>0</v>
      </c>
    </row>
    <row r="122" spans="3:27" x14ac:dyDescent="0.3">
      <c r="C122" s="88"/>
      <c r="D122"/>
      <c r="F122" t="s">
        <v>198</v>
      </c>
      <c r="G122" t="s">
        <v>728</v>
      </c>
      <c r="J122" s="98">
        <f t="shared" ref="J122:Y122" si="142">SUMIFS($J92:$Y92,$J$63:$Y$63,J$63)</f>
        <v>0</v>
      </c>
      <c r="K122" s="98">
        <f t="shared" si="142"/>
        <v>0</v>
      </c>
      <c r="L122" s="98">
        <f t="shared" si="142"/>
        <v>0</v>
      </c>
      <c r="M122" s="98">
        <f t="shared" si="142"/>
        <v>0</v>
      </c>
      <c r="N122" s="98">
        <f t="shared" si="142"/>
        <v>0</v>
      </c>
      <c r="O122" s="98">
        <f t="shared" si="142"/>
        <v>0</v>
      </c>
      <c r="P122" s="98">
        <f t="shared" si="142"/>
        <v>0</v>
      </c>
      <c r="Q122" s="98">
        <f t="shared" si="142"/>
        <v>0</v>
      </c>
      <c r="R122" s="98">
        <f t="shared" si="142"/>
        <v>0</v>
      </c>
      <c r="S122" s="98">
        <f t="shared" si="142"/>
        <v>0</v>
      </c>
      <c r="T122" s="98">
        <f t="shared" si="142"/>
        <v>0</v>
      </c>
      <c r="U122" s="98">
        <f t="shared" si="142"/>
        <v>0</v>
      </c>
      <c r="V122" s="98">
        <f t="shared" si="142"/>
        <v>0</v>
      </c>
      <c r="W122" s="98">
        <f t="shared" si="142"/>
        <v>0</v>
      </c>
      <c r="X122" s="98">
        <f t="shared" si="142"/>
        <v>0</v>
      </c>
      <c r="Y122" s="98">
        <f t="shared" si="142"/>
        <v>0</v>
      </c>
    </row>
    <row r="123" spans="3:27" x14ac:dyDescent="0.3">
      <c r="C123" s="88"/>
      <c r="D123"/>
      <c r="F123" t="s">
        <v>199</v>
      </c>
      <c r="G123" t="s">
        <v>728</v>
      </c>
      <c r="J123" s="98">
        <f t="shared" ref="J123:Y123" si="143">SUMIFS($J93:$Y93,$J$63:$Y$63,J$63)</f>
        <v>5760433.3231066493</v>
      </c>
      <c r="K123" s="98">
        <f t="shared" si="143"/>
        <v>0</v>
      </c>
      <c r="L123" s="98">
        <f t="shared" si="143"/>
        <v>5760433.3231066493</v>
      </c>
      <c r="M123" s="98">
        <f t="shared" si="143"/>
        <v>0</v>
      </c>
      <c r="N123" s="98">
        <f t="shared" si="143"/>
        <v>0</v>
      </c>
      <c r="O123" s="98">
        <f t="shared" si="143"/>
        <v>0</v>
      </c>
      <c r="P123" s="98">
        <f t="shared" si="143"/>
        <v>0</v>
      </c>
      <c r="Q123" s="98">
        <f t="shared" si="143"/>
        <v>0</v>
      </c>
      <c r="R123" s="98">
        <f t="shared" si="143"/>
        <v>0</v>
      </c>
      <c r="S123" s="98">
        <f t="shared" si="143"/>
        <v>0</v>
      </c>
      <c r="T123" s="98">
        <f t="shared" si="143"/>
        <v>0</v>
      </c>
      <c r="U123" s="98">
        <f t="shared" si="143"/>
        <v>0</v>
      </c>
      <c r="V123" s="98">
        <f t="shared" si="143"/>
        <v>0</v>
      </c>
      <c r="W123" s="98">
        <f t="shared" si="143"/>
        <v>0</v>
      </c>
      <c r="X123" s="98">
        <f t="shared" si="143"/>
        <v>0</v>
      </c>
      <c r="Y123" s="98">
        <f t="shared" si="143"/>
        <v>0</v>
      </c>
    </row>
    <row r="124" spans="3:27" x14ac:dyDescent="0.3">
      <c r="C124" s="88"/>
      <c r="D124"/>
      <c r="F124" t="s">
        <v>376</v>
      </c>
      <c r="G124" t="s">
        <v>728</v>
      </c>
      <c r="J124" s="79"/>
      <c r="K124" s="79"/>
      <c r="L124" s="79"/>
      <c r="M124" s="79"/>
      <c r="N124" s="79"/>
      <c r="O124" s="79"/>
      <c r="P124" s="79"/>
      <c r="Q124" s="79"/>
      <c r="R124" s="79"/>
      <c r="S124" s="79"/>
      <c r="T124" s="79"/>
      <c r="U124" s="79"/>
      <c r="V124" s="79"/>
      <c r="W124" s="79"/>
      <c r="X124" s="79"/>
      <c r="Y124" s="79"/>
    </row>
    <row r="125" spans="3:27" x14ac:dyDescent="0.3">
      <c r="C125" s="88"/>
      <c r="D125"/>
      <c r="F125" s="37" t="s">
        <v>377</v>
      </c>
      <c r="G125" s="37" t="s">
        <v>728</v>
      </c>
      <c r="H125" s="37"/>
      <c r="I125" s="37"/>
      <c r="J125" s="81"/>
      <c r="K125" s="81"/>
      <c r="L125" s="81"/>
      <c r="M125" s="81"/>
      <c r="N125" s="81"/>
      <c r="O125" s="81"/>
      <c r="P125" s="81"/>
      <c r="Q125" s="81"/>
      <c r="R125" s="81"/>
      <c r="S125" s="81"/>
      <c r="T125" s="81"/>
      <c r="U125" s="81"/>
      <c r="V125" s="81"/>
      <c r="W125" s="81"/>
      <c r="X125" s="81"/>
      <c r="Y125" s="81"/>
    </row>
    <row r="126" spans="3:27" x14ac:dyDescent="0.3">
      <c r="C126" s="88"/>
      <c r="J126" s="89"/>
      <c r="K126" s="89"/>
      <c r="L126" s="89"/>
      <c r="M126" s="89"/>
      <c r="N126" s="89"/>
      <c r="O126" s="89"/>
      <c r="P126" s="89"/>
      <c r="Q126" s="89"/>
      <c r="R126" s="89"/>
      <c r="S126" s="89"/>
      <c r="T126" s="89"/>
      <c r="U126" s="89"/>
      <c r="V126" s="89"/>
      <c r="W126" s="89"/>
      <c r="X126" s="89"/>
      <c r="Y126" s="89"/>
    </row>
    <row r="127" spans="3:27" x14ac:dyDescent="0.3">
      <c r="C127" s="31" t="str">
        <f ca="1">INDEX('Version control'!$H$34:$H$57,MATCH($A$1,'Version control'!$F$34:$F$57,0),1)&amp;"-G: Fixed charges, by network level"</f>
        <v>Section 114-G: Fixed charges, by network level</v>
      </c>
      <c r="D127" s="31"/>
      <c r="E127" s="31"/>
      <c r="F127" s="31"/>
      <c r="G127" s="31"/>
      <c r="H127" s="31"/>
      <c r="I127" s="31"/>
      <c r="J127" s="90"/>
      <c r="K127" s="90"/>
      <c r="L127" s="90"/>
      <c r="M127" s="90"/>
      <c r="N127" s="90"/>
      <c r="O127" s="90"/>
      <c r="P127" s="90"/>
      <c r="Q127" s="90"/>
      <c r="R127" s="90"/>
      <c r="S127" s="90"/>
      <c r="T127" s="90"/>
      <c r="U127" s="90"/>
      <c r="V127" s="90"/>
      <c r="W127" s="90"/>
      <c r="X127" s="90"/>
      <c r="Y127" s="90"/>
      <c r="Z127" s="31"/>
      <c r="AA127" s="31"/>
    </row>
    <row r="128" spans="3:27" x14ac:dyDescent="0.3">
      <c r="D128"/>
      <c r="E128" s="32"/>
    </row>
    <row r="129" spans="3:27" x14ac:dyDescent="0.3">
      <c r="D129"/>
      <c r="E129" t="s">
        <v>729</v>
      </c>
      <c r="G129" t="s">
        <v>212</v>
      </c>
      <c r="J129" s="89">
        <f t="shared" ref="J129:Y129" si="144">SUMIFS($J$18:$Y$18,$J$63:$Y$63,J63)</f>
        <v>2558443.0509743919</v>
      </c>
      <c r="K129" s="89">
        <f t="shared" si="144"/>
        <v>20607.818554078502</v>
      </c>
      <c r="L129" s="89">
        <f t="shared" si="144"/>
        <v>2558443.0509743919</v>
      </c>
      <c r="M129" s="89">
        <f t="shared" si="144"/>
        <v>20607.818554078502</v>
      </c>
      <c r="N129" s="89">
        <f t="shared" si="144"/>
        <v>20607.818554078502</v>
      </c>
      <c r="O129" s="89">
        <f t="shared" si="144"/>
        <v>20607.818554078502</v>
      </c>
      <c r="P129" s="89">
        <f t="shared" si="144"/>
        <v>20607.818554078502</v>
      </c>
      <c r="Q129" s="89">
        <f t="shared" si="144"/>
        <v>20607.818554078502</v>
      </c>
      <c r="R129" s="89">
        <f t="shared" si="144"/>
        <v>20607.818554078502</v>
      </c>
      <c r="S129" s="89">
        <f t="shared" si="144"/>
        <v>20607.818554078502</v>
      </c>
      <c r="T129" s="89">
        <f t="shared" si="144"/>
        <v>20607.818554078502</v>
      </c>
      <c r="U129" s="89">
        <f t="shared" si="144"/>
        <v>20607.818554078502</v>
      </c>
      <c r="V129" s="89">
        <f t="shared" si="144"/>
        <v>20607.818554078502</v>
      </c>
      <c r="W129" s="89">
        <f t="shared" si="144"/>
        <v>20607.818554078502</v>
      </c>
      <c r="X129" s="89">
        <f t="shared" si="144"/>
        <v>20607.818554078502</v>
      </c>
      <c r="Y129" s="89">
        <f t="shared" si="144"/>
        <v>20607.818554078502</v>
      </c>
    </row>
    <row r="130" spans="3:27" x14ac:dyDescent="0.3">
      <c r="D130"/>
      <c r="E130"/>
    </row>
    <row r="131" spans="3:27" x14ac:dyDescent="0.3">
      <c r="C131" s="88"/>
      <c r="E131" s="32" t="s">
        <v>621</v>
      </c>
      <c r="I131" t="s">
        <v>154</v>
      </c>
      <c r="J131" s="89"/>
      <c r="K131" s="89"/>
      <c r="L131" s="89"/>
      <c r="M131" s="89"/>
      <c r="N131" s="89"/>
      <c r="O131" s="89"/>
      <c r="P131" s="89"/>
      <c r="Q131" s="89"/>
      <c r="R131" s="89"/>
      <c r="S131" s="89"/>
      <c r="T131" s="89"/>
      <c r="U131" s="89"/>
      <c r="V131" s="89"/>
      <c r="W131" s="89"/>
      <c r="X131" s="89"/>
      <c r="Y131" s="89"/>
      <c r="AA131" t="s">
        <v>726</v>
      </c>
    </row>
    <row r="132" spans="3:27" x14ac:dyDescent="0.3">
      <c r="C132" s="88"/>
      <c r="E132" s="29"/>
      <c r="F132" s="23" t="s">
        <v>189</v>
      </c>
      <c r="G132" s="23" t="s">
        <v>270</v>
      </c>
      <c r="H132" s="23"/>
      <c r="I132" s="23"/>
      <c r="J132" s="126">
        <f t="shared" ref="J132:K132" si="145">IF(J$129 = 0, 0, J100 / J$129)</f>
        <v>0</v>
      </c>
      <c r="K132" s="126">
        <f t="shared" si="145"/>
        <v>0</v>
      </c>
      <c r="L132" s="126">
        <f t="shared" ref="L132:M132" si="146">IF(L$129 = 0, 0, L100 / L$129)</f>
        <v>0</v>
      </c>
      <c r="M132" s="126">
        <f t="shared" si="146"/>
        <v>0</v>
      </c>
      <c r="N132" s="126">
        <f t="shared" ref="N132:P132" si="147">IF(N$129 = 0, 0, N100 / N$129)</f>
        <v>0</v>
      </c>
      <c r="O132" s="126">
        <f t="shared" si="147"/>
        <v>0</v>
      </c>
      <c r="P132" s="126">
        <f t="shared" si="147"/>
        <v>0</v>
      </c>
      <c r="Q132" s="126">
        <f t="shared" ref="Q132:S132" si="148">IF(Q$129 = 0, 0, Q100 / Q$129)</f>
        <v>0</v>
      </c>
      <c r="R132" s="126">
        <f t="shared" si="148"/>
        <v>0</v>
      </c>
      <c r="S132" s="126">
        <f t="shared" si="148"/>
        <v>0</v>
      </c>
      <c r="T132" s="126">
        <f t="shared" ref="T132:U132" si="149">IF(T$129 = 0, 0, T100 / T$129)</f>
        <v>0</v>
      </c>
      <c r="U132" s="126">
        <f t="shared" si="149"/>
        <v>0</v>
      </c>
      <c r="V132" s="126">
        <f t="shared" ref="V132:W132" si="150">IF(V$129 = 0, 0, V100 / V$129)</f>
        <v>0</v>
      </c>
      <c r="W132" s="126">
        <f t="shared" si="150"/>
        <v>0</v>
      </c>
      <c r="X132" s="126">
        <f t="shared" ref="X132:Y132" si="151">IF(X$129 = 0, 0, X100 / X$129)</f>
        <v>0</v>
      </c>
      <c r="Y132" s="126">
        <f t="shared" si="151"/>
        <v>0</v>
      </c>
    </row>
    <row r="133" spans="3:27" x14ac:dyDescent="0.3">
      <c r="C133" s="88"/>
      <c r="E133" s="29"/>
      <c r="F133" t="s">
        <v>191</v>
      </c>
      <c r="G133" t="s">
        <v>270</v>
      </c>
      <c r="J133" s="98">
        <f t="shared" ref="J133:K133" si="152">IF(J$129 = 0, 0, J101 / J$129)</f>
        <v>0</v>
      </c>
      <c r="K133" s="98">
        <f t="shared" si="152"/>
        <v>0</v>
      </c>
      <c r="L133" s="98">
        <f t="shared" ref="L133:M133" si="153">IF(L$129 = 0, 0, L101 / L$129)</f>
        <v>0</v>
      </c>
      <c r="M133" s="98">
        <f t="shared" si="153"/>
        <v>0</v>
      </c>
      <c r="N133" s="98">
        <f t="shared" ref="N133:P133" si="154">IF(N$129 = 0, 0, N101 / N$129)</f>
        <v>0</v>
      </c>
      <c r="O133" s="98">
        <f t="shared" si="154"/>
        <v>0</v>
      </c>
      <c r="P133" s="98">
        <f t="shared" si="154"/>
        <v>0</v>
      </c>
      <c r="Q133" s="98">
        <f t="shared" ref="Q133:S133" si="155">IF(Q$129 = 0, 0, Q101 / Q$129)</f>
        <v>0</v>
      </c>
      <c r="R133" s="98">
        <f t="shared" si="155"/>
        <v>0</v>
      </c>
      <c r="S133" s="98">
        <f t="shared" si="155"/>
        <v>0</v>
      </c>
      <c r="T133" s="98">
        <f t="shared" ref="T133:U133" si="156">IF(T$129 = 0, 0, T101 / T$129)</f>
        <v>0</v>
      </c>
      <c r="U133" s="98">
        <f t="shared" si="156"/>
        <v>0</v>
      </c>
      <c r="V133" s="98">
        <f t="shared" ref="V133:W133" si="157">IF(V$129 = 0, 0, V101 / V$129)</f>
        <v>0</v>
      </c>
      <c r="W133" s="98">
        <f t="shared" si="157"/>
        <v>0</v>
      </c>
      <c r="X133" s="98">
        <f t="shared" ref="X133:Y133" si="158">IF(X$129 = 0, 0, X101 / X$129)</f>
        <v>0</v>
      </c>
      <c r="Y133" s="98">
        <f t="shared" si="158"/>
        <v>0</v>
      </c>
    </row>
    <row r="134" spans="3:27" x14ac:dyDescent="0.3">
      <c r="C134" s="88"/>
      <c r="E134" s="29"/>
      <c r="F134" t="s">
        <v>192</v>
      </c>
      <c r="G134" t="s">
        <v>270</v>
      </c>
      <c r="J134" s="98">
        <f t="shared" ref="J134:K134" si="159">IF(J$129 = 0, 0, J102 / J$129)</f>
        <v>0</v>
      </c>
      <c r="K134" s="98">
        <f t="shared" si="159"/>
        <v>0</v>
      </c>
      <c r="L134" s="98">
        <f t="shared" ref="L134:M134" si="160">IF(L$129 = 0, 0, L102 / L$129)</f>
        <v>0</v>
      </c>
      <c r="M134" s="98">
        <f t="shared" si="160"/>
        <v>0</v>
      </c>
      <c r="N134" s="98">
        <f t="shared" ref="N134:P134" si="161">IF(N$129 = 0, 0, N102 / N$129)</f>
        <v>0</v>
      </c>
      <c r="O134" s="98">
        <f t="shared" si="161"/>
        <v>0</v>
      </c>
      <c r="P134" s="98">
        <f t="shared" si="161"/>
        <v>0</v>
      </c>
      <c r="Q134" s="98">
        <f t="shared" ref="Q134:S134" si="162">IF(Q$129 = 0, 0, Q102 / Q$129)</f>
        <v>0</v>
      </c>
      <c r="R134" s="98">
        <f t="shared" si="162"/>
        <v>0</v>
      </c>
      <c r="S134" s="98">
        <f t="shared" si="162"/>
        <v>0</v>
      </c>
      <c r="T134" s="98">
        <f t="shared" ref="T134:U134" si="163">IF(T$129 = 0, 0, T102 / T$129)</f>
        <v>0</v>
      </c>
      <c r="U134" s="98">
        <f t="shared" si="163"/>
        <v>0</v>
      </c>
      <c r="V134" s="98">
        <f t="shared" ref="V134:W134" si="164">IF(V$129 = 0, 0, V102 / V$129)</f>
        <v>0</v>
      </c>
      <c r="W134" s="98">
        <f t="shared" si="164"/>
        <v>0</v>
      </c>
      <c r="X134" s="98">
        <f t="shared" ref="X134:Y134" si="165">IF(X$129 = 0, 0, X102 / X$129)</f>
        <v>0</v>
      </c>
      <c r="Y134" s="98">
        <f t="shared" si="165"/>
        <v>0</v>
      </c>
    </row>
    <row r="135" spans="3:27" x14ac:dyDescent="0.3">
      <c r="C135" s="88"/>
      <c r="E135" s="29"/>
      <c r="F135" t="s">
        <v>193</v>
      </c>
      <c r="G135" t="s">
        <v>270</v>
      </c>
      <c r="J135" s="98">
        <f t="shared" ref="J135:K135" si="166">IF(J$129 = 0, 0, J103 / J$129)</f>
        <v>0</v>
      </c>
      <c r="K135" s="98">
        <f t="shared" si="166"/>
        <v>0</v>
      </c>
      <c r="L135" s="98">
        <f t="shared" ref="L135:M135" si="167">IF(L$129 = 0, 0, L103 / L$129)</f>
        <v>0</v>
      </c>
      <c r="M135" s="98">
        <f t="shared" si="167"/>
        <v>0</v>
      </c>
      <c r="N135" s="98">
        <f t="shared" ref="N135:P135" si="168">IF(N$129 = 0, 0, N103 / N$129)</f>
        <v>0</v>
      </c>
      <c r="O135" s="98">
        <f t="shared" si="168"/>
        <v>0</v>
      </c>
      <c r="P135" s="98">
        <f t="shared" si="168"/>
        <v>0</v>
      </c>
      <c r="Q135" s="98">
        <f t="shared" ref="Q135:S135" si="169">IF(Q$129 = 0, 0, Q103 / Q$129)</f>
        <v>0</v>
      </c>
      <c r="R135" s="98">
        <f t="shared" si="169"/>
        <v>0</v>
      </c>
      <c r="S135" s="98">
        <f t="shared" si="169"/>
        <v>0</v>
      </c>
      <c r="T135" s="98">
        <f t="shared" ref="T135:U135" si="170">IF(T$129 = 0, 0, T103 / T$129)</f>
        <v>0</v>
      </c>
      <c r="U135" s="98">
        <f t="shared" si="170"/>
        <v>0</v>
      </c>
      <c r="V135" s="98">
        <f t="shared" ref="V135:W135" si="171">IF(V$129 = 0, 0, V103 / V$129)</f>
        <v>0</v>
      </c>
      <c r="W135" s="98">
        <f t="shared" si="171"/>
        <v>0</v>
      </c>
      <c r="X135" s="98">
        <f t="shared" ref="X135:Y135" si="172">IF(X$129 = 0, 0, X103 / X$129)</f>
        <v>0</v>
      </c>
      <c r="Y135" s="98">
        <f t="shared" si="172"/>
        <v>0</v>
      </c>
    </row>
    <row r="136" spans="3:27" x14ac:dyDescent="0.3">
      <c r="C136" s="88"/>
      <c r="E136" s="29"/>
      <c r="F136" t="s">
        <v>194</v>
      </c>
      <c r="G136" t="s">
        <v>270</v>
      </c>
      <c r="J136" s="98">
        <f t="shared" ref="J136:K136" si="173">IF(J$129 = 0, 0, J104 / J$129)</f>
        <v>0</v>
      </c>
      <c r="K136" s="98">
        <f t="shared" si="173"/>
        <v>0</v>
      </c>
      <c r="L136" s="98">
        <f t="shared" ref="L136:M136" si="174">IF(L$129 = 0, 0, L104 / L$129)</f>
        <v>0</v>
      </c>
      <c r="M136" s="98">
        <f t="shared" si="174"/>
        <v>0</v>
      </c>
      <c r="N136" s="98">
        <f t="shared" ref="N136:P136" si="175">IF(N$129 = 0, 0, N104 / N$129)</f>
        <v>0</v>
      </c>
      <c r="O136" s="98">
        <f t="shared" si="175"/>
        <v>0</v>
      </c>
      <c r="P136" s="98">
        <f t="shared" si="175"/>
        <v>0</v>
      </c>
      <c r="Q136" s="98">
        <f t="shared" ref="Q136:S136" si="176">IF(Q$129 = 0, 0, Q104 / Q$129)</f>
        <v>0</v>
      </c>
      <c r="R136" s="98">
        <f t="shared" si="176"/>
        <v>0</v>
      </c>
      <c r="S136" s="98">
        <f t="shared" si="176"/>
        <v>0</v>
      </c>
      <c r="T136" s="98">
        <f t="shared" ref="T136:U136" si="177">IF(T$129 = 0, 0, T104 / T$129)</f>
        <v>0</v>
      </c>
      <c r="U136" s="98">
        <f t="shared" si="177"/>
        <v>0</v>
      </c>
      <c r="V136" s="98">
        <f t="shared" ref="V136:W136" si="178">IF(V$129 = 0, 0, V104 / V$129)</f>
        <v>0</v>
      </c>
      <c r="W136" s="98">
        <f t="shared" si="178"/>
        <v>0</v>
      </c>
      <c r="X136" s="98">
        <f t="shared" ref="X136:Y136" si="179">IF(X$129 = 0, 0, X104 / X$129)</f>
        <v>0</v>
      </c>
      <c r="Y136" s="98">
        <f t="shared" si="179"/>
        <v>0</v>
      </c>
    </row>
    <row r="137" spans="3:27" x14ac:dyDescent="0.3">
      <c r="C137" s="88"/>
      <c r="E137" s="29"/>
      <c r="F137" t="s">
        <v>195</v>
      </c>
      <c r="G137" t="s">
        <v>270</v>
      </c>
      <c r="J137" s="98">
        <f t="shared" ref="J137:K137" si="180">IF(J$129 = 0, 0, J105 / J$129)</f>
        <v>0</v>
      </c>
      <c r="K137" s="98">
        <f t="shared" si="180"/>
        <v>0</v>
      </c>
      <c r="L137" s="98">
        <f t="shared" ref="L137:M137" si="181">IF(L$129 = 0, 0, L105 / L$129)</f>
        <v>0</v>
      </c>
      <c r="M137" s="98">
        <f t="shared" si="181"/>
        <v>0</v>
      </c>
      <c r="N137" s="98">
        <f t="shared" ref="N137:P137" si="182">IF(N$129 = 0, 0, N105 / N$129)</f>
        <v>0</v>
      </c>
      <c r="O137" s="98">
        <f t="shared" si="182"/>
        <v>0</v>
      </c>
      <c r="P137" s="98">
        <f t="shared" si="182"/>
        <v>0</v>
      </c>
      <c r="Q137" s="98">
        <f t="shared" ref="Q137:S137" si="183">IF(Q$129 = 0, 0, Q105 / Q$129)</f>
        <v>0</v>
      </c>
      <c r="R137" s="98">
        <f t="shared" si="183"/>
        <v>0</v>
      </c>
      <c r="S137" s="98">
        <f t="shared" si="183"/>
        <v>0</v>
      </c>
      <c r="T137" s="98">
        <f t="shared" ref="T137:U137" si="184">IF(T$129 = 0, 0, T105 / T$129)</f>
        <v>0</v>
      </c>
      <c r="U137" s="98">
        <f t="shared" si="184"/>
        <v>0</v>
      </c>
      <c r="V137" s="98">
        <f t="shared" ref="V137:W137" si="185">IF(V$129 = 0, 0, V105 / V$129)</f>
        <v>0</v>
      </c>
      <c r="W137" s="98">
        <f t="shared" si="185"/>
        <v>0</v>
      </c>
      <c r="X137" s="98">
        <f t="shared" ref="X137:Y137" si="186">IF(X$129 = 0, 0, X105 / X$129)</f>
        <v>0</v>
      </c>
      <c r="Y137" s="98">
        <f t="shared" si="186"/>
        <v>0</v>
      </c>
    </row>
    <row r="138" spans="3:27" x14ac:dyDescent="0.3">
      <c r="C138" s="88"/>
      <c r="E138" s="29"/>
      <c r="F138" t="s">
        <v>196</v>
      </c>
      <c r="G138" t="s">
        <v>270</v>
      </c>
      <c r="J138" s="98">
        <f t="shared" ref="J138:K138" si="187">IF(J$129 = 0, 0, J106 / J$129)</f>
        <v>0</v>
      </c>
      <c r="K138" s="98">
        <f t="shared" si="187"/>
        <v>0</v>
      </c>
      <c r="L138" s="98">
        <f t="shared" ref="L138:M138" si="188">IF(L$129 = 0, 0, L106 / L$129)</f>
        <v>0</v>
      </c>
      <c r="M138" s="98">
        <f t="shared" si="188"/>
        <v>0</v>
      </c>
      <c r="N138" s="98">
        <f t="shared" ref="N138:P138" si="189">IF(N$129 = 0, 0, N106 / N$129)</f>
        <v>0</v>
      </c>
      <c r="O138" s="98">
        <f t="shared" si="189"/>
        <v>0</v>
      </c>
      <c r="P138" s="98">
        <f t="shared" si="189"/>
        <v>0</v>
      </c>
      <c r="Q138" s="98">
        <f t="shared" ref="Q138:S138" si="190">IF(Q$129 = 0, 0, Q106 / Q$129)</f>
        <v>0</v>
      </c>
      <c r="R138" s="98">
        <f t="shared" si="190"/>
        <v>0</v>
      </c>
      <c r="S138" s="98">
        <f t="shared" si="190"/>
        <v>0</v>
      </c>
      <c r="T138" s="98">
        <f t="shared" ref="T138:U138" si="191">IF(T$129 = 0, 0, T106 / T$129)</f>
        <v>0</v>
      </c>
      <c r="U138" s="98">
        <f t="shared" si="191"/>
        <v>0</v>
      </c>
      <c r="V138" s="98">
        <f t="shared" ref="V138:W138" si="192">IF(V$129 = 0, 0, V106 / V$129)</f>
        <v>0</v>
      </c>
      <c r="W138" s="98">
        <f t="shared" si="192"/>
        <v>0</v>
      </c>
      <c r="X138" s="98">
        <f t="shared" ref="X138:Y138" si="193">IF(X$129 = 0, 0, X106 / X$129)</f>
        <v>0</v>
      </c>
      <c r="Y138" s="98">
        <f t="shared" si="193"/>
        <v>0</v>
      </c>
    </row>
    <row r="139" spans="3:27" x14ac:dyDescent="0.3">
      <c r="C139" s="88"/>
      <c r="E139" s="29"/>
      <c r="F139" t="s">
        <v>197</v>
      </c>
      <c r="G139" t="s">
        <v>270</v>
      </c>
      <c r="J139" s="98">
        <f t="shared" ref="J139:K139" si="194">IF(J$129 = 0, 0, J107 / J$129)</f>
        <v>0</v>
      </c>
      <c r="K139" s="98">
        <f t="shared" si="194"/>
        <v>0</v>
      </c>
      <c r="L139" s="98">
        <f t="shared" ref="L139:M139" si="195">IF(L$129 = 0, 0, L107 / L$129)</f>
        <v>0</v>
      </c>
      <c r="M139" s="98">
        <f t="shared" si="195"/>
        <v>0</v>
      </c>
      <c r="N139" s="98">
        <f t="shared" ref="N139:P139" si="196">IF(N$129 = 0, 0, N107 / N$129)</f>
        <v>0</v>
      </c>
      <c r="O139" s="98">
        <f t="shared" si="196"/>
        <v>0</v>
      </c>
      <c r="P139" s="98">
        <f t="shared" si="196"/>
        <v>0</v>
      </c>
      <c r="Q139" s="98">
        <f t="shared" ref="Q139:S139" si="197">IF(Q$129 = 0, 0, Q107 / Q$129)</f>
        <v>0</v>
      </c>
      <c r="R139" s="98">
        <f t="shared" si="197"/>
        <v>0</v>
      </c>
      <c r="S139" s="98">
        <f t="shared" si="197"/>
        <v>0</v>
      </c>
      <c r="T139" s="98">
        <f t="shared" ref="T139:U139" si="198">IF(T$129 = 0, 0, T107 / T$129)</f>
        <v>0</v>
      </c>
      <c r="U139" s="98">
        <f t="shared" si="198"/>
        <v>0</v>
      </c>
      <c r="V139" s="98">
        <f t="shared" ref="V139:W139" si="199">IF(V$129 = 0, 0, V107 / V$129)</f>
        <v>0</v>
      </c>
      <c r="W139" s="98">
        <f t="shared" si="199"/>
        <v>0</v>
      </c>
      <c r="X139" s="98">
        <f t="shared" ref="X139:Y139" si="200">IF(X$129 = 0, 0, X107 / X$129)</f>
        <v>0</v>
      </c>
      <c r="Y139" s="98">
        <f t="shared" si="200"/>
        <v>0</v>
      </c>
    </row>
    <row r="140" spans="3:27" x14ac:dyDescent="0.3">
      <c r="C140" s="88"/>
      <c r="E140" s="29"/>
      <c r="F140" t="s">
        <v>198</v>
      </c>
      <c r="G140" t="s">
        <v>270</v>
      </c>
      <c r="J140" s="98">
        <f t="shared" ref="J140:K140" si="201">IF(J$129 = 0, 0, J108 / J$129)</f>
        <v>0</v>
      </c>
      <c r="K140" s="98">
        <f t="shared" si="201"/>
        <v>0</v>
      </c>
      <c r="L140" s="98">
        <f t="shared" ref="L140:M140" si="202">IF(L$129 = 0, 0, L108 / L$129)</f>
        <v>0</v>
      </c>
      <c r="M140" s="98">
        <f t="shared" si="202"/>
        <v>0</v>
      </c>
      <c r="N140" s="98">
        <f t="shared" ref="N140:P140" si="203">IF(N$129 = 0, 0, N108 / N$129)</f>
        <v>0</v>
      </c>
      <c r="O140" s="98">
        <f t="shared" si="203"/>
        <v>0</v>
      </c>
      <c r="P140" s="98">
        <f t="shared" si="203"/>
        <v>0</v>
      </c>
      <c r="Q140" s="98">
        <f t="shared" ref="Q140:S140" si="204">IF(Q$129 = 0, 0, Q108 / Q$129)</f>
        <v>0</v>
      </c>
      <c r="R140" s="98">
        <f t="shared" si="204"/>
        <v>0</v>
      </c>
      <c r="S140" s="98">
        <f t="shared" si="204"/>
        <v>0</v>
      </c>
      <c r="T140" s="98">
        <f t="shared" ref="T140:U140" si="205">IF(T$129 = 0, 0, T108 / T$129)</f>
        <v>0</v>
      </c>
      <c r="U140" s="98">
        <f t="shared" si="205"/>
        <v>0</v>
      </c>
      <c r="V140" s="98">
        <f t="shared" ref="V140:W140" si="206">IF(V$129 = 0, 0, V108 / V$129)</f>
        <v>0</v>
      </c>
      <c r="W140" s="98">
        <f t="shared" si="206"/>
        <v>0</v>
      </c>
      <c r="X140" s="98">
        <f t="shared" ref="X140:Y140" si="207">IF(X$129 = 0, 0, X108 / X$129)</f>
        <v>0</v>
      </c>
      <c r="Y140" s="98">
        <f t="shared" si="207"/>
        <v>0</v>
      </c>
    </row>
    <row r="141" spans="3:27" x14ac:dyDescent="0.3">
      <c r="C141" s="88"/>
      <c r="E141" s="29"/>
      <c r="F141" t="s">
        <v>199</v>
      </c>
      <c r="G141" t="s">
        <v>270</v>
      </c>
      <c r="J141" s="98">
        <f t="shared" ref="J141:K141" si="208">IF(J$129 = 0, 0, J109 / J$129)</f>
        <v>0.3346406295299757</v>
      </c>
      <c r="K141" s="98">
        <f t="shared" si="208"/>
        <v>0</v>
      </c>
      <c r="L141" s="98">
        <f t="shared" ref="L141:M141" si="209">IF(L$129 = 0, 0, L109 / L$129)</f>
        <v>0.3346406295299757</v>
      </c>
      <c r="M141" s="98">
        <f t="shared" si="209"/>
        <v>0</v>
      </c>
      <c r="N141" s="98">
        <f t="shared" ref="N141:P141" si="210">IF(N$129 = 0, 0, N109 / N$129)</f>
        <v>0</v>
      </c>
      <c r="O141" s="98">
        <f t="shared" si="210"/>
        <v>0</v>
      </c>
      <c r="P141" s="98">
        <f t="shared" si="210"/>
        <v>0</v>
      </c>
      <c r="Q141" s="98">
        <f t="shared" ref="Q141:S141" si="211">IF(Q$129 = 0, 0, Q109 / Q$129)</f>
        <v>0</v>
      </c>
      <c r="R141" s="98">
        <f t="shared" si="211"/>
        <v>0</v>
      </c>
      <c r="S141" s="98">
        <f t="shared" si="211"/>
        <v>0</v>
      </c>
      <c r="T141" s="98">
        <f t="shared" ref="T141:U141" si="212">IF(T$129 = 0, 0, T109 / T$129)</f>
        <v>0</v>
      </c>
      <c r="U141" s="98">
        <f t="shared" si="212"/>
        <v>0</v>
      </c>
      <c r="V141" s="98">
        <f t="shared" ref="V141:W141" si="213">IF(V$129 = 0, 0, V109 / V$129)</f>
        <v>0</v>
      </c>
      <c r="W141" s="98">
        <f t="shared" si="213"/>
        <v>0</v>
      </c>
      <c r="X141" s="98">
        <f t="shared" ref="X141:Y141" si="214">IF(X$129 = 0, 0, X109 / X$129)</f>
        <v>0</v>
      </c>
      <c r="Y141" s="98">
        <f t="shared" si="214"/>
        <v>0</v>
      </c>
    </row>
    <row r="142" spans="3:27" x14ac:dyDescent="0.3">
      <c r="C142" s="88"/>
      <c r="E142" s="29"/>
      <c r="F142" s="23" t="s">
        <v>376</v>
      </c>
      <c r="G142" s="23" t="s">
        <v>270</v>
      </c>
      <c r="H142" s="23"/>
      <c r="I142" s="23"/>
      <c r="J142" s="83"/>
      <c r="K142" s="83"/>
      <c r="L142" s="83"/>
      <c r="M142" s="83"/>
      <c r="N142" s="83"/>
      <c r="O142" s="83"/>
      <c r="P142" s="83"/>
      <c r="Q142" s="83"/>
      <c r="R142" s="83"/>
      <c r="S142" s="83"/>
      <c r="T142" s="83"/>
      <c r="U142" s="83"/>
      <c r="V142" s="83"/>
      <c r="W142" s="83"/>
      <c r="X142" s="83"/>
      <c r="Y142" s="83"/>
    </row>
    <row r="143" spans="3:27" x14ac:dyDescent="0.3">
      <c r="C143" s="88"/>
      <c r="E143" s="29"/>
      <c r="F143" s="37" t="s">
        <v>377</v>
      </c>
      <c r="G143" s="37" t="s">
        <v>270</v>
      </c>
      <c r="H143" s="37"/>
      <c r="I143" s="37"/>
      <c r="J143" s="81"/>
      <c r="K143" s="81"/>
      <c r="L143" s="81"/>
      <c r="M143" s="81"/>
      <c r="N143" s="81"/>
      <c r="O143" s="81"/>
      <c r="P143" s="81"/>
      <c r="Q143" s="81"/>
      <c r="R143" s="81"/>
      <c r="S143" s="81"/>
      <c r="T143" s="81"/>
      <c r="U143" s="81"/>
      <c r="V143" s="81"/>
      <c r="W143" s="81"/>
      <c r="X143" s="81"/>
      <c r="Y143" s="81"/>
    </row>
    <row r="144" spans="3:27" x14ac:dyDescent="0.3">
      <c r="C144" s="88"/>
      <c r="D144"/>
      <c r="E144" s="29"/>
      <c r="J144" s="89"/>
      <c r="K144" s="89"/>
      <c r="L144" s="89"/>
      <c r="M144" s="89"/>
      <c r="N144" s="89"/>
      <c r="O144" s="89"/>
      <c r="P144" s="89"/>
      <c r="Q144" s="89"/>
      <c r="R144" s="89"/>
      <c r="S144" s="89"/>
      <c r="T144" s="89"/>
      <c r="U144" s="89"/>
      <c r="V144" s="89"/>
      <c r="W144" s="89"/>
      <c r="X144" s="89"/>
      <c r="Y144" s="89"/>
    </row>
    <row r="145" spans="3:27" x14ac:dyDescent="0.3">
      <c r="C145" s="88"/>
      <c r="E145" s="32" t="s">
        <v>622</v>
      </c>
      <c r="J145" s="89"/>
      <c r="K145" s="89"/>
      <c r="L145" s="89"/>
      <c r="M145" s="89"/>
      <c r="N145" s="89"/>
      <c r="O145" s="89"/>
      <c r="P145" s="89"/>
      <c r="Q145" s="89"/>
      <c r="R145" s="89"/>
      <c r="S145" s="89"/>
      <c r="T145" s="89"/>
      <c r="U145" s="89"/>
      <c r="V145" s="89"/>
      <c r="W145" s="89"/>
      <c r="X145" s="89"/>
      <c r="Y145" s="89"/>
    </row>
    <row r="146" spans="3:27" x14ac:dyDescent="0.3">
      <c r="C146" s="88"/>
      <c r="F146" s="23" t="s">
        <v>189</v>
      </c>
      <c r="G146" s="23" t="s">
        <v>270</v>
      </c>
      <c r="H146" s="23"/>
      <c r="I146" s="23"/>
      <c r="J146" s="126">
        <f t="shared" ref="J146:K146" si="215">IF(J$129 = 0, 0, J114 / J$129)</f>
        <v>0</v>
      </c>
      <c r="K146" s="126">
        <f t="shared" si="215"/>
        <v>0</v>
      </c>
      <c r="L146" s="126">
        <f t="shared" ref="L146:M146" si="216">IF(L$129 = 0, 0, L114 / L$129)</f>
        <v>0</v>
      </c>
      <c r="M146" s="126">
        <f t="shared" si="216"/>
        <v>0</v>
      </c>
      <c r="N146" s="126">
        <f t="shared" ref="N146:P146" si="217">IF(N$129 = 0, 0, N114 / N$129)</f>
        <v>0</v>
      </c>
      <c r="O146" s="126">
        <f t="shared" si="217"/>
        <v>0</v>
      </c>
      <c r="P146" s="126">
        <f t="shared" si="217"/>
        <v>0</v>
      </c>
      <c r="Q146" s="126">
        <f t="shared" ref="Q146:S146" si="218">IF(Q$129 = 0, 0, Q114 / Q$129)</f>
        <v>0</v>
      </c>
      <c r="R146" s="126">
        <f t="shared" si="218"/>
        <v>0</v>
      </c>
      <c r="S146" s="126">
        <f t="shared" si="218"/>
        <v>0</v>
      </c>
      <c r="T146" s="126">
        <f t="shared" ref="T146:U146" si="219">IF(T$129 = 0, 0, T114 / T$129)</f>
        <v>0</v>
      </c>
      <c r="U146" s="126">
        <f t="shared" si="219"/>
        <v>0</v>
      </c>
      <c r="V146" s="126">
        <f t="shared" ref="V146:W146" si="220">IF(V$129 = 0, 0, V114 / V$129)</f>
        <v>0</v>
      </c>
      <c r="W146" s="126">
        <f t="shared" si="220"/>
        <v>0</v>
      </c>
      <c r="X146" s="126">
        <f t="shared" ref="X146:Y146" si="221">IF(X$129 = 0, 0, X114 / X$129)</f>
        <v>0</v>
      </c>
      <c r="Y146" s="126">
        <f t="shared" si="221"/>
        <v>0</v>
      </c>
    </row>
    <row r="147" spans="3:27" x14ac:dyDescent="0.3">
      <c r="C147" s="88"/>
      <c r="F147" t="s">
        <v>191</v>
      </c>
      <c r="G147" t="s">
        <v>270</v>
      </c>
      <c r="J147" s="98">
        <f t="shared" ref="J147:K147" si="222">IF(J$129 = 0, 0, J115 / J$129)</f>
        <v>0</v>
      </c>
      <c r="K147" s="98">
        <f t="shared" si="222"/>
        <v>0</v>
      </c>
      <c r="L147" s="98">
        <f t="shared" ref="L147:M147" si="223">IF(L$129 = 0, 0, L115 / L$129)</f>
        <v>0</v>
      </c>
      <c r="M147" s="98">
        <f t="shared" si="223"/>
        <v>0</v>
      </c>
      <c r="N147" s="98">
        <f t="shared" ref="N147:P147" si="224">IF(N$129 = 0, 0, N115 / N$129)</f>
        <v>0</v>
      </c>
      <c r="O147" s="98">
        <f t="shared" si="224"/>
        <v>0</v>
      </c>
      <c r="P147" s="98">
        <f t="shared" si="224"/>
        <v>0</v>
      </c>
      <c r="Q147" s="98">
        <f t="shared" ref="Q147:S147" si="225">IF(Q$129 = 0, 0, Q115 / Q$129)</f>
        <v>0</v>
      </c>
      <c r="R147" s="98">
        <f t="shared" si="225"/>
        <v>0</v>
      </c>
      <c r="S147" s="98">
        <f t="shared" si="225"/>
        <v>0</v>
      </c>
      <c r="T147" s="98">
        <f t="shared" ref="T147:U147" si="226">IF(T$129 = 0, 0, T115 / T$129)</f>
        <v>0</v>
      </c>
      <c r="U147" s="98">
        <f t="shared" si="226"/>
        <v>0</v>
      </c>
      <c r="V147" s="98">
        <f t="shared" ref="V147:W147" si="227">IF(V$129 = 0, 0, V115 / V$129)</f>
        <v>0</v>
      </c>
      <c r="W147" s="98">
        <f t="shared" si="227"/>
        <v>0</v>
      </c>
      <c r="X147" s="98">
        <f t="shared" ref="X147:Y147" si="228">IF(X$129 = 0, 0, X115 / X$129)</f>
        <v>0</v>
      </c>
      <c r="Y147" s="98">
        <f t="shared" si="228"/>
        <v>0</v>
      </c>
    </row>
    <row r="148" spans="3:27" x14ac:dyDescent="0.3">
      <c r="C148" s="88"/>
      <c r="F148" t="s">
        <v>192</v>
      </c>
      <c r="G148" t="s">
        <v>270</v>
      </c>
      <c r="J148" s="98">
        <f t="shared" ref="J148:K148" si="229">IF(J$129 = 0, 0, J116 / J$129)</f>
        <v>0</v>
      </c>
      <c r="K148" s="98">
        <f t="shared" si="229"/>
        <v>0</v>
      </c>
      <c r="L148" s="98">
        <f t="shared" ref="L148:M148" si="230">IF(L$129 = 0, 0, L116 / L$129)</f>
        <v>0</v>
      </c>
      <c r="M148" s="98">
        <f t="shared" si="230"/>
        <v>0</v>
      </c>
      <c r="N148" s="98">
        <f t="shared" ref="N148:P148" si="231">IF(N$129 = 0, 0, N116 / N$129)</f>
        <v>0</v>
      </c>
      <c r="O148" s="98">
        <f t="shared" si="231"/>
        <v>0</v>
      </c>
      <c r="P148" s="98">
        <f t="shared" si="231"/>
        <v>0</v>
      </c>
      <c r="Q148" s="98">
        <f t="shared" ref="Q148:S148" si="232">IF(Q$129 = 0, 0, Q116 / Q$129)</f>
        <v>0</v>
      </c>
      <c r="R148" s="98">
        <f t="shared" si="232"/>
        <v>0</v>
      </c>
      <c r="S148" s="98">
        <f t="shared" si="232"/>
        <v>0</v>
      </c>
      <c r="T148" s="98">
        <f t="shared" ref="T148:U148" si="233">IF(T$129 = 0, 0, T116 / T$129)</f>
        <v>0</v>
      </c>
      <c r="U148" s="98">
        <f t="shared" si="233"/>
        <v>0</v>
      </c>
      <c r="V148" s="98">
        <f t="shared" ref="V148:W148" si="234">IF(V$129 = 0, 0, V116 / V$129)</f>
        <v>0</v>
      </c>
      <c r="W148" s="98">
        <f t="shared" si="234"/>
        <v>0</v>
      </c>
      <c r="X148" s="98">
        <f t="shared" ref="X148:Y148" si="235">IF(X$129 = 0, 0, X116 / X$129)</f>
        <v>0</v>
      </c>
      <c r="Y148" s="98">
        <f t="shared" si="235"/>
        <v>0</v>
      </c>
    </row>
    <row r="149" spans="3:27" x14ac:dyDescent="0.3">
      <c r="C149" s="88"/>
      <c r="F149" t="s">
        <v>193</v>
      </c>
      <c r="G149" t="s">
        <v>270</v>
      </c>
      <c r="J149" s="98">
        <f t="shared" ref="J149:K149" si="236">IF(J$129 = 0, 0, J117 / J$129)</f>
        <v>0</v>
      </c>
      <c r="K149" s="98">
        <f t="shared" si="236"/>
        <v>0</v>
      </c>
      <c r="L149" s="98">
        <f t="shared" ref="L149:M149" si="237">IF(L$129 = 0, 0, L117 / L$129)</f>
        <v>0</v>
      </c>
      <c r="M149" s="98">
        <f t="shared" si="237"/>
        <v>0</v>
      </c>
      <c r="N149" s="98">
        <f t="shared" ref="N149:P149" si="238">IF(N$129 = 0, 0, N117 / N$129)</f>
        <v>0</v>
      </c>
      <c r="O149" s="98">
        <f t="shared" si="238"/>
        <v>0</v>
      </c>
      <c r="P149" s="98">
        <f t="shared" si="238"/>
        <v>0</v>
      </c>
      <c r="Q149" s="98">
        <f t="shared" ref="Q149:S149" si="239">IF(Q$129 = 0, 0, Q117 / Q$129)</f>
        <v>0</v>
      </c>
      <c r="R149" s="98">
        <f t="shared" si="239"/>
        <v>0</v>
      </c>
      <c r="S149" s="98">
        <f t="shared" si="239"/>
        <v>0</v>
      </c>
      <c r="T149" s="98">
        <f t="shared" ref="T149:U149" si="240">IF(T$129 = 0, 0, T117 / T$129)</f>
        <v>0</v>
      </c>
      <c r="U149" s="98">
        <f t="shared" si="240"/>
        <v>0</v>
      </c>
      <c r="V149" s="98">
        <f t="shared" ref="V149:W149" si="241">IF(V$129 = 0, 0, V117 / V$129)</f>
        <v>0</v>
      </c>
      <c r="W149" s="98">
        <f t="shared" si="241"/>
        <v>0</v>
      </c>
      <c r="X149" s="98">
        <f t="shared" ref="X149:Y149" si="242">IF(X$129 = 0, 0, X117 / X$129)</f>
        <v>0</v>
      </c>
      <c r="Y149" s="98">
        <f t="shared" si="242"/>
        <v>0</v>
      </c>
    </row>
    <row r="150" spans="3:27" x14ac:dyDescent="0.3">
      <c r="C150" s="88"/>
      <c r="F150" t="s">
        <v>194</v>
      </c>
      <c r="G150" t="s">
        <v>270</v>
      </c>
      <c r="J150" s="98">
        <f t="shared" ref="J150:K150" si="243">IF(J$129 = 0, 0, J118 / J$129)</f>
        <v>0</v>
      </c>
      <c r="K150" s="98">
        <f t="shared" si="243"/>
        <v>0</v>
      </c>
      <c r="L150" s="98">
        <f t="shared" ref="L150:M150" si="244">IF(L$129 = 0, 0, L118 / L$129)</f>
        <v>0</v>
      </c>
      <c r="M150" s="98">
        <f t="shared" si="244"/>
        <v>0</v>
      </c>
      <c r="N150" s="98">
        <f t="shared" ref="N150:P150" si="245">IF(N$129 = 0, 0, N118 / N$129)</f>
        <v>0</v>
      </c>
      <c r="O150" s="98">
        <f t="shared" si="245"/>
        <v>0</v>
      </c>
      <c r="P150" s="98">
        <f t="shared" si="245"/>
        <v>0</v>
      </c>
      <c r="Q150" s="98">
        <f t="shared" ref="Q150:S150" si="246">IF(Q$129 = 0, 0, Q118 / Q$129)</f>
        <v>0</v>
      </c>
      <c r="R150" s="98">
        <f t="shared" si="246"/>
        <v>0</v>
      </c>
      <c r="S150" s="98">
        <f t="shared" si="246"/>
        <v>0</v>
      </c>
      <c r="T150" s="98">
        <f t="shared" ref="T150:U150" si="247">IF(T$129 = 0, 0, T118 / T$129)</f>
        <v>0</v>
      </c>
      <c r="U150" s="98">
        <f t="shared" si="247"/>
        <v>0</v>
      </c>
      <c r="V150" s="98">
        <f t="shared" ref="V150:W150" si="248">IF(V$129 = 0, 0, V118 / V$129)</f>
        <v>0</v>
      </c>
      <c r="W150" s="98">
        <f t="shared" si="248"/>
        <v>0</v>
      </c>
      <c r="X150" s="98">
        <f t="shared" ref="X150:Y150" si="249">IF(X$129 = 0, 0, X118 / X$129)</f>
        <v>0</v>
      </c>
      <c r="Y150" s="98">
        <f t="shared" si="249"/>
        <v>0</v>
      </c>
    </row>
    <row r="151" spans="3:27" x14ac:dyDescent="0.3">
      <c r="C151" s="88"/>
      <c r="F151" t="s">
        <v>195</v>
      </c>
      <c r="G151" t="s">
        <v>270</v>
      </c>
      <c r="J151" s="98">
        <f t="shared" ref="J151:K151" si="250">IF(J$129 = 0, 0, J119 / J$129)</f>
        <v>0</v>
      </c>
      <c r="K151" s="98">
        <f t="shared" si="250"/>
        <v>0</v>
      </c>
      <c r="L151" s="98">
        <f t="shared" ref="L151:M151" si="251">IF(L$129 = 0, 0, L119 / L$129)</f>
        <v>0</v>
      </c>
      <c r="M151" s="98">
        <f t="shared" si="251"/>
        <v>0</v>
      </c>
      <c r="N151" s="98">
        <f t="shared" ref="N151:P151" si="252">IF(N$129 = 0, 0, N119 / N$129)</f>
        <v>0</v>
      </c>
      <c r="O151" s="98">
        <f t="shared" si="252"/>
        <v>0</v>
      </c>
      <c r="P151" s="98">
        <f t="shared" si="252"/>
        <v>0</v>
      </c>
      <c r="Q151" s="98">
        <f t="shared" ref="Q151:S151" si="253">IF(Q$129 = 0, 0, Q119 / Q$129)</f>
        <v>0</v>
      </c>
      <c r="R151" s="98">
        <f t="shared" si="253"/>
        <v>0</v>
      </c>
      <c r="S151" s="98">
        <f t="shared" si="253"/>
        <v>0</v>
      </c>
      <c r="T151" s="98">
        <f t="shared" ref="T151:U151" si="254">IF(T$129 = 0, 0, T119 / T$129)</f>
        <v>0</v>
      </c>
      <c r="U151" s="98">
        <f t="shared" si="254"/>
        <v>0</v>
      </c>
      <c r="V151" s="98">
        <f t="shared" ref="V151:W151" si="255">IF(V$129 = 0, 0, V119 / V$129)</f>
        <v>0</v>
      </c>
      <c r="W151" s="98">
        <f t="shared" si="255"/>
        <v>0</v>
      </c>
      <c r="X151" s="98">
        <f t="shared" ref="X151:Y151" si="256">IF(X$129 = 0, 0, X119 / X$129)</f>
        <v>0</v>
      </c>
      <c r="Y151" s="98">
        <f t="shared" si="256"/>
        <v>0</v>
      </c>
    </row>
    <row r="152" spans="3:27" x14ac:dyDescent="0.3">
      <c r="C152" s="88"/>
      <c r="F152" t="s">
        <v>196</v>
      </c>
      <c r="G152" t="s">
        <v>270</v>
      </c>
      <c r="J152" s="98">
        <f t="shared" ref="J152:K152" si="257">IF(J$129 = 0, 0, J120 / J$129)</f>
        <v>0</v>
      </c>
      <c r="K152" s="98">
        <f t="shared" si="257"/>
        <v>0</v>
      </c>
      <c r="L152" s="98">
        <f t="shared" ref="L152:M152" si="258">IF(L$129 = 0, 0, L120 / L$129)</f>
        <v>0</v>
      </c>
      <c r="M152" s="98">
        <f t="shared" si="258"/>
        <v>0</v>
      </c>
      <c r="N152" s="98">
        <f t="shared" ref="N152:P152" si="259">IF(N$129 = 0, 0, N120 / N$129)</f>
        <v>0</v>
      </c>
      <c r="O152" s="98">
        <f t="shared" si="259"/>
        <v>0</v>
      </c>
      <c r="P152" s="98">
        <f t="shared" si="259"/>
        <v>0</v>
      </c>
      <c r="Q152" s="98">
        <f t="shared" ref="Q152:S152" si="260">IF(Q$129 = 0, 0, Q120 / Q$129)</f>
        <v>0</v>
      </c>
      <c r="R152" s="98">
        <f t="shared" si="260"/>
        <v>0</v>
      </c>
      <c r="S152" s="98">
        <f t="shared" si="260"/>
        <v>0</v>
      </c>
      <c r="T152" s="98">
        <f t="shared" ref="T152:U152" si="261">IF(T$129 = 0, 0, T120 / T$129)</f>
        <v>0</v>
      </c>
      <c r="U152" s="98">
        <f t="shared" si="261"/>
        <v>0</v>
      </c>
      <c r="V152" s="98">
        <f t="shared" ref="V152:W152" si="262">IF(V$129 = 0, 0, V120 / V$129)</f>
        <v>0</v>
      </c>
      <c r="W152" s="98">
        <f t="shared" si="262"/>
        <v>0</v>
      </c>
      <c r="X152" s="98">
        <f t="shared" ref="X152:Y152" si="263">IF(X$129 = 0, 0, X120 / X$129)</f>
        <v>0</v>
      </c>
      <c r="Y152" s="98">
        <f t="shared" si="263"/>
        <v>0</v>
      </c>
    </row>
    <row r="153" spans="3:27" x14ac:dyDescent="0.3">
      <c r="C153" s="88"/>
      <c r="F153" t="s">
        <v>197</v>
      </c>
      <c r="G153" t="s">
        <v>270</v>
      </c>
      <c r="J153" s="98">
        <f t="shared" ref="J153:K153" si="264">IF(J$129 = 0, 0, J121 / J$129)</f>
        <v>0</v>
      </c>
      <c r="K153" s="98">
        <f t="shared" si="264"/>
        <v>0</v>
      </c>
      <c r="L153" s="98">
        <f t="shared" ref="L153:M153" si="265">IF(L$129 = 0, 0, L121 / L$129)</f>
        <v>0</v>
      </c>
      <c r="M153" s="98">
        <f t="shared" si="265"/>
        <v>0</v>
      </c>
      <c r="N153" s="98">
        <f t="shared" ref="N153:P153" si="266">IF(N$129 = 0, 0, N121 / N$129)</f>
        <v>0</v>
      </c>
      <c r="O153" s="98">
        <f t="shared" si="266"/>
        <v>0</v>
      </c>
      <c r="P153" s="98">
        <f t="shared" si="266"/>
        <v>0</v>
      </c>
      <c r="Q153" s="98">
        <f t="shared" ref="Q153:S153" si="267">IF(Q$129 = 0, 0, Q121 / Q$129)</f>
        <v>0</v>
      </c>
      <c r="R153" s="98">
        <f t="shared" si="267"/>
        <v>0</v>
      </c>
      <c r="S153" s="98">
        <f t="shared" si="267"/>
        <v>0</v>
      </c>
      <c r="T153" s="98">
        <f t="shared" ref="T153:U153" si="268">IF(T$129 = 0, 0, T121 / T$129)</f>
        <v>0</v>
      </c>
      <c r="U153" s="98">
        <f t="shared" si="268"/>
        <v>0</v>
      </c>
      <c r="V153" s="98">
        <f t="shared" ref="V153:W153" si="269">IF(V$129 = 0, 0, V121 / V$129)</f>
        <v>0</v>
      </c>
      <c r="W153" s="98">
        <f t="shared" si="269"/>
        <v>0</v>
      </c>
      <c r="X153" s="98">
        <f t="shared" ref="X153:Y153" si="270">IF(X$129 = 0, 0, X121 / X$129)</f>
        <v>0</v>
      </c>
      <c r="Y153" s="98">
        <f t="shared" si="270"/>
        <v>0</v>
      </c>
    </row>
    <row r="154" spans="3:27" x14ac:dyDescent="0.3">
      <c r="C154" s="88"/>
      <c r="F154" t="s">
        <v>198</v>
      </c>
      <c r="G154" t="s">
        <v>270</v>
      </c>
      <c r="J154" s="98">
        <f t="shared" ref="J154:K154" si="271">IF(J$129 = 0, 0, J122 / J$129)</f>
        <v>0</v>
      </c>
      <c r="K154" s="98">
        <f t="shared" si="271"/>
        <v>0</v>
      </c>
      <c r="L154" s="98">
        <f t="shared" ref="L154:M154" si="272">IF(L$129 = 0, 0, L122 / L$129)</f>
        <v>0</v>
      </c>
      <c r="M154" s="98">
        <f t="shared" si="272"/>
        <v>0</v>
      </c>
      <c r="N154" s="98">
        <f t="shared" ref="N154:P154" si="273">IF(N$129 = 0, 0, N122 / N$129)</f>
        <v>0</v>
      </c>
      <c r="O154" s="98">
        <f t="shared" si="273"/>
        <v>0</v>
      </c>
      <c r="P154" s="98">
        <f t="shared" si="273"/>
        <v>0</v>
      </c>
      <c r="Q154" s="98">
        <f t="shared" ref="Q154:S154" si="274">IF(Q$129 = 0, 0, Q122 / Q$129)</f>
        <v>0</v>
      </c>
      <c r="R154" s="98">
        <f t="shared" si="274"/>
        <v>0</v>
      </c>
      <c r="S154" s="98">
        <f t="shared" si="274"/>
        <v>0</v>
      </c>
      <c r="T154" s="98">
        <f t="shared" ref="T154:U154" si="275">IF(T$129 = 0, 0, T122 / T$129)</f>
        <v>0</v>
      </c>
      <c r="U154" s="98">
        <f t="shared" si="275"/>
        <v>0</v>
      </c>
      <c r="V154" s="98">
        <f t="shared" ref="V154:W154" si="276">IF(V$129 = 0, 0, V122 / V$129)</f>
        <v>0</v>
      </c>
      <c r="W154" s="98">
        <f t="shared" si="276"/>
        <v>0</v>
      </c>
      <c r="X154" s="98">
        <f t="shared" ref="X154:Y154" si="277">IF(X$129 = 0, 0, X122 / X$129)</f>
        <v>0</v>
      </c>
      <c r="Y154" s="98">
        <f t="shared" si="277"/>
        <v>0</v>
      </c>
    </row>
    <row r="155" spans="3:27" x14ac:dyDescent="0.3">
      <c r="C155" s="88"/>
      <c r="F155" t="s">
        <v>199</v>
      </c>
      <c r="G155" t="s">
        <v>270</v>
      </c>
      <c r="J155" s="98">
        <f t="shared" ref="J155:K155" si="278">IF(J$129 = 0, 0, J123 / J$129)</f>
        <v>2.2515386148277829</v>
      </c>
      <c r="K155" s="98">
        <f t="shared" si="278"/>
        <v>0</v>
      </c>
      <c r="L155" s="98">
        <f t="shared" ref="L155:M155" si="279">IF(L$129 = 0, 0, L123 / L$129)</f>
        <v>2.2515386148277829</v>
      </c>
      <c r="M155" s="98">
        <f t="shared" si="279"/>
        <v>0</v>
      </c>
      <c r="N155" s="98">
        <f t="shared" ref="N155:P155" si="280">IF(N$129 = 0, 0, N123 / N$129)</f>
        <v>0</v>
      </c>
      <c r="O155" s="98">
        <f t="shared" si="280"/>
        <v>0</v>
      </c>
      <c r="P155" s="98">
        <f t="shared" si="280"/>
        <v>0</v>
      </c>
      <c r="Q155" s="98">
        <f t="shared" ref="Q155:S155" si="281">IF(Q$129 = 0, 0, Q123 / Q$129)</f>
        <v>0</v>
      </c>
      <c r="R155" s="98">
        <f t="shared" si="281"/>
        <v>0</v>
      </c>
      <c r="S155" s="98">
        <f t="shared" si="281"/>
        <v>0</v>
      </c>
      <c r="T155" s="98">
        <f t="shared" ref="T155:U155" si="282">IF(T$129 = 0, 0, T123 / T$129)</f>
        <v>0</v>
      </c>
      <c r="U155" s="98">
        <f t="shared" si="282"/>
        <v>0</v>
      </c>
      <c r="V155" s="98">
        <f t="shared" ref="V155:W155" si="283">IF(V$129 = 0, 0, V123 / V$129)</f>
        <v>0</v>
      </c>
      <c r="W155" s="98">
        <f t="shared" si="283"/>
        <v>0</v>
      </c>
      <c r="X155" s="98">
        <f t="shared" ref="X155:Y155" si="284">IF(X$129 = 0, 0, X123 / X$129)</f>
        <v>0</v>
      </c>
      <c r="Y155" s="98">
        <f t="shared" si="284"/>
        <v>0</v>
      </c>
    </row>
    <row r="156" spans="3:27" x14ac:dyDescent="0.3">
      <c r="C156" s="88"/>
      <c r="D156"/>
      <c r="F156" s="23" t="s">
        <v>376</v>
      </c>
      <c r="G156" s="23" t="s">
        <v>270</v>
      </c>
      <c r="H156" s="23"/>
      <c r="I156" s="23"/>
      <c r="J156" s="126">
        <f t="shared" ref="J156:K156" si="285">J55</f>
        <v>2.1347370422324241</v>
      </c>
      <c r="K156" s="126">
        <f t="shared" si="285"/>
        <v>0</v>
      </c>
      <c r="L156" s="126">
        <f t="shared" ref="L156:M156" si="286">L55</f>
        <v>6.2593399282875648</v>
      </c>
      <c r="M156" s="126">
        <f t="shared" si="286"/>
        <v>0</v>
      </c>
      <c r="N156" s="126">
        <f t="shared" ref="N156:P156" si="287">N55</f>
        <v>12.488244880854381</v>
      </c>
      <c r="O156" s="126">
        <f t="shared" si="287"/>
        <v>9.7484171632986918</v>
      </c>
      <c r="P156" s="126">
        <f t="shared" si="287"/>
        <v>0</v>
      </c>
      <c r="Q156" s="126">
        <f t="shared" ref="Q156:S156" si="288">Q55</f>
        <v>0</v>
      </c>
      <c r="R156" s="126">
        <f t="shared" si="288"/>
        <v>0</v>
      </c>
      <c r="S156" s="126">
        <f t="shared" si="288"/>
        <v>0</v>
      </c>
      <c r="T156" s="126">
        <f t="shared" ref="T156:U156" si="289">T55</f>
        <v>0</v>
      </c>
      <c r="U156" s="126">
        <f t="shared" si="289"/>
        <v>0</v>
      </c>
      <c r="V156" s="126">
        <f t="shared" ref="V156:W156" si="290">V55</f>
        <v>0</v>
      </c>
      <c r="W156" s="126">
        <f t="shared" si="290"/>
        <v>0</v>
      </c>
      <c r="X156" s="126">
        <f t="shared" ref="X156:Y156" si="291">X55</f>
        <v>0</v>
      </c>
      <c r="Y156" s="126">
        <f t="shared" si="291"/>
        <v>0</v>
      </c>
    </row>
    <row r="157" spans="3:27" x14ac:dyDescent="0.3">
      <c r="C157" s="88"/>
      <c r="D157"/>
      <c r="F157" s="37" t="s">
        <v>377</v>
      </c>
      <c r="G157" s="37" t="s">
        <v>270</v>
      </c>
      <c r="H157" s="37"/>
      <c r="I157" s="37"/>
      <c r="J157" s="100">
        <f t="shared" ref="J157:K157" si="292">J56</f>
        <v>0</v>
      </c>
      <c r="K157" s="100">
        <f t="shared" si="292"/>
        <v>0</v>
      </c>
      <c r="L157" s="100">
        <f t="shared" ref="L157:M157" si="293">L56</f>
        <v>0</v>
      </c>
      <c r="M157" s="100">
        <f t="shared" si="293"/>
        <v>0</v>
      </c>
      <c r="N157" s="100">
        <f t="shared" ref="N157:P157" si="294">N56</f>
        <v>0</v>
      </c>
      <c r="O157" s="100">
        <f t="shared" si="294"/>
        <v>0</v>
      </c>
      <c r="P157" s="100">
        <f t="shared" si="294"/>
        <v>89.995785082794086</v>
      </c>
      <c r="Q157" s="100">
        <f t="shared" ref="Q157:S157" si="295">Q56</f>
        <v>0</v>
      </c>
      <c r="R157" s="100">
        <f t="shared" si="295"/>
        <v>0</v>
      </c>
      <c r="S157" s="100">
        <f t="shared" si="295"/>
        <v>0</v>
      </c>
      <c r="T157" s="100">
        <f t="shared" ref="T157:U157" si="296">T56</f>
        <v>0</v>
      </c>
      <c r="U157" s="100">
        <f t="shared" si="296"/>
        <v>0</v>
      </c>
      <c r="V157" s="100">
        <f t="shared" ref="V157:W157" si="297">V56</f>
        <v>0</v>
      </c>
      <c r="W157" s="100">
        <f t="shared" si="297"/>
        <v>0</v>
      </c>
      <c r="X157" s="100">
        <f t="shared" ref="X157:Y157" si="298">X56</f>
        <v>56.323203629083082</v>
      </c>
      <c r="Y157" s="100">
        <f t="shared" si="298"/>
        <v>56.323203629083082</v>
      </c>
    </row>
    <row r="158" spans="3:27" x14ac:dyDescent="0.3">
      <c r="C158" s="88"/>
      <c r="J158" s="89"/>
      <c r="K158" s="89"/>
      <c r="L158" s="89"/>
      <c r="M158" s="89"/>
      <c r="N158" s="89"/>
      <c r="O158" s="89"/>
      <c r="P158" s="89"/>
      <c r="Q158" s="89"/>
      <c r="R158" s="89"/>
      <c r="S158" s="89"/>
      <c r="T158" s="89"/>
      <c r="U158" s="89"/>
      <c r="V158" s="89"/>
      <c r="W158" s="89"/>
      <c r="X158" s="89"/>
      <c r="Y158" s="89"/>
    </row>
    <row r="159" spans="3:27" x14ac:dyDescent="0.3">
      <c r="C159" s="31" t="str">
        <f ca="1">INDEX('Version control'!$H$34:$H$57,MATCH($A$1,'Version control'!$F$34:$F$57,0),1)&amp;"-H: Aggregated fixed charges"</f>
        <v>Section 114-H: Aggregated fixed charges</v>
      </c>
      <c r="D159" s="31"/>
      <c r="E159" s="31"/>
      <c r="F159" s="31"/>
      <c r="G159" s="31"/>
      <c r="H159" s="31"/>
      <c r="I159" s="31"/>
      <c r="J159" s="90"/>
      <c r="K159" s="90"/>
      <c r="L159" s="90"/>
      <c r="M159" s="90"/>
      <c r="N159" s="90"/>
      <c r="O159" s="90"/>
      <c r="P159" s="90"/>
      <c r="Q159" s="90"/>
      <c r="R159" s="90"/>
      <c r="S159" s="90"/>
      <c r="T159" s="90"/>
      <c r="U159" s="90"/>
      <c r="V159" s="90"/>
      <c r="W159" s="90"/>
      <c r="X159" s="90"/>
      <c r="Y159" s="90"/>
      <c r="Z159" s="31"/>
      <c r="AA159" s="31"/>
    </row>
    <row r="160" spans="3:27" x14ac:dyDescent="0.3">
      <c r="C160" s="88"/>
      <c r="J160" s="89"/>
      <c r="K160" s="89"/>
      <c r="L160" s="89"/>
      <c r="M160" s="89"/>
      <c r="N160" s="89"/>
      <c r="O160" s="89"/>
      <c r="P160" s="89"/>
      <c r="Q160" s="89"/>
      <c r="R160" s="89"/>
      <c r="S160" s="89"/>
      <c r="T160" s="89"/>
      <c r="U160" s="89"/>
      <c r="V160" s="89"/>
      <c r="W160" s="89"/>
      <c r="X160" s="89"/>
      <c r="Y160" s="89"/>
    </row>
    <row r="161" spans="2:27" x14ac:dyDescent="0.3">
      <c r="E161" t="s">
        <v>159</v>
      </c>
      <c r="G161" t="s">
        <v>270</v>
      </c>
      <c r="J161" s="121">
        <f t="shared" ref="J161:K161" si="299">SUM(J132:J143,J146:J157)</f>
        <v>4.7209162865901826</v>
      </c>
      <c r="K161" s="121">
        <f t="shared" si="299"/>
        <v>0</v>
      </c>
      <c r="L161" s="121">
        <f t="shared" ref="L161:M161" si="300">SUM(L132:L143,L146:L157)</f>
        <v>8.8455191726453233</v>
      </c>
      <c r="M161" s="121">
        <f t="shared" si="300"/>
        <v>0</v>
      </c>
      <c r="N161" s="121">
        <f t="shared" ref="N161:P161" si="301">SUM(N132:N143,N146:N157)</f>
        <v>12.488244880854381</v>
      </c>
      <c r="O161" s="121">
        <f t="shared" si="301"/>
        <v>9.7484171632986918</v>
      </c>
      <c r="P161" s="121">
        <f t="shared" si="301"/>
        <v>89.995785082794086</v>
      </c>
      <c r="Q161" s="121">
        <f t="shared" ref="Q161:S161" si="302">SUM(Q132:Q143,Q146:Q157)</f>
        <v>0</v>
      </c>
      <c r="R161" s="121">
        <f t="shared" si="302"/>
        <v>0</v>
      </c>
      <c r="S161" s="121">
        <f t="shared" si="302"/>
        <v>0</v>
      </c>
      <c r="T161" s="121">
        <f t="shared" ref="T161:U161" si="303">SUM(T132:T143,T146:T157)</f>
        <v>0</v>
      </c>
      <c r="U161" s="121">
        <f t="shared" si="303"/>
        <v>0</v>
      </c>
      <c r="V161" s="121">
        <f t="shared" ref="V161:W161" si="304">SUM(V132:V143,V146:V157)</f>
        <v>0</v>
      </c>
      <c r="W161" s="121">
        <f t="shared" si="304"/>
        <v>0</v>
      </c>
      <c r="X161" s="121">
        <f t="shared" ref="X161" si="305">SUM(X132:X143,X146:X157)</f>
        <v>56.323203629083082</v>
      </c>
      <c r="Y161" s="121">
        <f>SUM(Y132:Y143,Y146:Y157)</f>
        <v>56.323203629083082</v>
      </c>
    </row>
    <row r="163" spans="2:27" x14ac:dyDescent="0.3">
      <c r="B163" s="30" t="s">
        <v>231</v>
      </c>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row>
    <row r="165" spans="2:27" x14ac:dyDescent="0.3">
      <c r="C165" s="88"/>
      <c r="E165" t="s">
        <v>232</v>
      </c>
      <c r="G165" s="6" t="s">
        <v>55</v>
      </c>
      <c r="H165" s="103">
        <f t="array" ref="H165">SUM(IF(ISERROR(H18:Y161), 1))</f>
        <v>0</v>
      </c>
    </row>
    <row r="167" spans="2:27" x14ac:dyDescent="0.3">
      <c r="B167" s="30" t="s">
        <v>106</v>
      </c>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row>
    <row r="169" spans="2:27" x14ac:dyDescent="0.3">
      <c r="C169" s="88"/>
    </row>
  </sheetData>
  <sheetProtection sheet="1" objects="1" formatCells="0" formatColumns="0" formatRows="0" sort="0" autoFilter="0"/>
  <conditionalFormatting sqref="A4:I4 Z4:XFD4">
    <cfRule type="expression" dxfId="49" priority="10">
      <formula>LEFT($A$4,1) &lt;&gt; "0"</formula>
    </cfRule>
  </conditionalFormatting>
  <conditionalFormatting sqref="N4:P4">
    <cfRule type="expression" dxfId="48" priority="9">
      <formula>LEFT($A$4,1) &lt;&gt; "0"</formula>
    </cfRule>
  </conditionalFormatting>
  <conditionalFormatting sqref="L4:M4">
    <cfRule type="expression" dxfId="47" priority="8">
      <formula>LEFT($A$4,1) &lt;&gt; "0"</formula>
    </cfRule>
  </conditionalFormatting>
  <conditionalFormatting sqref="J4:K4">
    <cfRule type="expression" dxfId="46" priority="7">
      <formula>LEFT($A$4,1) &lt;&gt; "0"</formula>
    </cfRule>
  </conditionalFormatting>
  <conditionalFormatting sqref="Q4">
    <cfRule type="expression" dxfId="45" priority="6">
      <formula>LEFT($A$4,1) &lt;&gt; "0"</formula>
    </cfRule>
  </conditionalFormatting>
  <conditionalFormatting sqref="R4:S4">
    <cfRule type="expression" dxfId="44" priority="5">
      <formula>LEFT($A$4,1) &lt;&gt; "0"</formula>
    </cfRule>
  </conditionalFormatting>
  <conditionalFormatting sqref="T4:U4">
    <cfRule type="expression" dxfId="43" priority="4">
      <formula>LEFT($A$4,1) &lt;&gt; "0"</formula>
    </cfRule>
  </conditionalFormatting>
  <conditionalFormatting sqref="V4:W4">
    <cfRule type="expression" dxfId="42" priority="3">
      <formula>LEFT($A$4,1) &lt;&gt; "0"</formula>
    </cfRule>
  </conditionalFormatting>
  <conditionalFormatting sqref="X4:Y4">
    <cfRule type="expression" dxfId="41" priority="2">
      <formula>LEFT($A$4,1) &lt;&gt; "0"</formula>
    </cfRule>
  </conditionalFormatting>
  <conditionalFormatting sqref="H165">
    <cfRule type="cellIs" dxfId="4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KR7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04" width="24.5546875" hidden="1" customWidth="1"/>
    <col min="305" max="16384" width="8.5546875" hidden="1"/>
  </cols>
  <sheetData>
    <row r="1" spans="1:27" s="1" customFormat="1" x14ac:dyDescent="0.3">
      <c r="A1" s="1" t="str">
        <f ca="1">MID(CELL("filename",A1),FIND("]",CELL("filename",A1))+1,255)</f>
        <v>SoLR &amp; bad debt adders</v>
      </c>
    </row>
    <row r="2" spans="1:27" s="1" customFormat="1" x14ac:dyDescent="0.3">
      <c r="A2" s="1" t="str">
        <f>Cover!D21&amp;" - "&amp;Cover!D23</f>
        <v>WPD Mid West - April 22 Pricing</v>
      </c>
    </row>
    <row r="3" spans="1:27" s="5" customFormat="1" x14ac:dyDescent="0.3">
      <c r="A3" s="5" t="str">
        <f>Cover!D2&amp;" - "&amp;Cover!D8&amp;" v"&amp;Cover!D10&amp;" - "&amp;Cover!D19</f>
        <v>CDCM charging model - Release for charge setting v7 - 2022/23</v>
      </c>
    </row>
    <row r="4" spans="1:27" x14ac:dyDescent="0.3">
      <c r="A4" s="12" t="str">
        <f>H66 &amp; IF(H66 = 1, " issue", " issues") &amp;" identified in checks on this sheet"</f>
        <v>0 issues identified in checks on this sheet</v>
      </c>
      <c r="B4" s="13"/>
      <c r="C4" s="13"/>
      <c r="D4" s="13"/>
      <c r="E4" s="13"/>
      <c r="F4" s="13"/>
      <c r="G4" s="13"/>
      <c r="H4" s="14"/>
      <c r="I4" s="14"/>
      <c r="J4" s="13"/>
    </row>
    <row r="5" spans="1:27" ht="43.2" x14ac:dyDescent="0.3">
      <c r="B5" s="59" t="s">
        <v>142</v>
      </c>
      <c r="C5" s="60"/>
      <c r="D5" s="60"/>
      <c r="E5" s="60"/>
      <c r="F5" s="60"/>
      <c r="G5" s="61" t="s">
        <v>143</v>
      </c>
      <c r="H5" s="62" t="s">
        <v>144</v>
      </c>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866</v>
      </c>
      <c r="E9"/>
    </row>
    <row r="10" spans="1:27" x14ac:dyDescent="0.3">
      <c r="C10" s="29" t="s">
        <v>867</v>
      </c>
      <c r="E10"/>
    </row>
    <row r="12" spans="1:27" x14ac:dyDescent="0.3">
      <c r="B12" s="30" t="s">
        <v>868</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row>
    <row r="14" spans="1:27" x14ac:dyDescent="0.3">
      <c r="C14" s="29" t="s">
        <v>869</v>
      </c>
    </row>
    <row r="16" spans="1:27" x14ac:dyDescent="0.3">
      <c r="C16" s="31" t="str">
        <f ca="1">INDEX('Version control'!$H$34:$H$58,MATCH($A$1,'Version control'!$F$34:$F$58,0),1)&amp;"-A: Inputs for fixed tariff adjustments"</f>
        <v>Section 115-A: Inputs for fixed tariff adjustments</v>
      </c>
      <c r="D16" s="31"/>
      <c r="E16" s="31"/>
      <c r="F16" s="31"/>
      <c r="G16" s="31"/>
      <c r="H16" s="31"/>
      <c r="I16" s="31"/>
      <c r="J16" s="31"/>
      <c r="K16" s="31"/>
      <c r="L16" s="31"/>
      <c r="M16" s="31"/>
      <c r="N16" s="31"/>
      <c r="O16" s="31"/>
      <c r="P16" s="31"/>
      <c r="Q16" s="31"/>
      <c r="R16" s="31"/>
      <c r="S16" s="31"/>
      <c r="T16" s="31"/>
      <c r="U16" s="31"/>
      <c r="V16" s="31"/>
      <c r="W16" s="31"/>
      <c r="X16" s="31"/>
      <c r="Y16" s="31"/>
      <c r="Z16" s="31"/>
      <c r="AA16" s="31"/>
    </row>
    <row r="18" spans="3:27" x14ac:dyDescent="0.3">
      <c r="E18" s="88" t="s">
        <v>212</v>
      </c>
      <c r="F18" s="32"/>
    </row>
    <row r="19" spans="3:27" x14ac:dyDescent="0.3">
      <c r="E19" s="29" t="s">
        <v>870</v>
      </c>
      <c r="F19" s="2"/>
    </row>
    <row r="20" spans="3:27" x14ac:dyDescent="0.3">
      <c r="C20" s="88"/>
      <c r="F20" s="23" t="s">
        <v>447</v>
      </c>
      <c r="G20" s="23" t="s">
        <v>212</v>
      </c>
      <c r="H20" s="278"/>
      <c r="I20" s="266"/>
      <c r="J20" s="278">
        <f>'Volume adjustments'!J202</f>
        <v>2316983.3909131573</v>
      </c>
      <c r="K20" s="278">
        <f>'Volume adjustments'!K202</f>
        <v>0</v>
      </c>
      <c r="L20" s="278">
        <f>'Volume adjustments'!L202</f>
        <v>185735.31122140857</v>
      </c>
      <c r="M20" s="278">
        <f>'Volume adjustments'!M202</f>
        <v>0</v>
      </c>
      <c r="N20" s="278">
        <f>'Volume adjustments'!N202</f>
        <v>14657.633911072935</v>
      </c>
      <c r="O20" s="278">
        <f>'Volume adjustments'!O202</f>
        <v>381.28905051971287</v>
      </c>
      <c r="P20" s="278">
        <f>'Volume adjustments'!P202</f>
        <v>4090.2236564655227</v>
      </c>
      <c r="Q20" s="278">
        <f>'Volume adjustments'!Q202</f>
        <v>29.475632524712577</v>
      </c>
      <c r="R20" s="278">
        <f>'Volume adjustments'!R202</f>
        <v>0</v>
      </c>
      <c r="S20" s="278">
        <f>'Volume adjustments'!S202</f>
        <v>0</v>
      </c>
      <c r="T20" s="278">
        <f>'Volume adjustments'!T202</f>
        <v>654.93140614185506</v>
      </c>
      <c r="U20" s="278">
        <f>'Volume adjustments'!U202</f>
        <v>0</v>
      </c>
      <c r="V20" s="278">
        <f>'Volume adjustments'!V202</f>
        <v>27.058064434890188</v>
      </c>
      <c r="W20" s="278">
        <f>'Volume adjustments'!W202</f>
        <v>0</v>
      </c>
      <c r="X20" s="278">
        <f>'Volume adjustments'!X202</f>
        <v>316.31557457887271</v>
      </c>
      <c r="Y20" s="278">
        <f>'Volume adjustments'!Y202</f>
        <v>0</v>
      </c>
      <c r="Z20" s="267"/>
      <c r="AA20" s="267"/>
    </row>
    <row r="21" spans="3:27" x14ac:dyDescent="0.3">
      <c r="C21" s="88"/>
      <c r="F21" t="s">
        <v>448</v>
      </c>
      <c r="G21" t="s">
        <v>212</v>
      </c>
      <c r="H21" s="279"/>
      <c r="I21" s="267"/>
      <c r="J21" s="279">
        <f>'Volume adjustments'!J211</f>
        <v>30904.405938754266</v>
      </c>
      <c r="K21" s="279">
        <f>'Volume adjustments'!K211</f>
        <v>0</v>
      </c>
      <c r="L21" s="279">
        <f>'Volume adjustments'!L211</f>
        <v>517.59086196476539</v>
      </c>
      <c r="M21" s="279">
        <f>'Volume adjustments'!M211</f>
        <v>0</v>
      </c>
      <c r="N21" s="279">
        <f>'Volume adjustments'!N211</f>
        <v>88.647495414199938</v>
      </c>
      <c r="O21" s="279">
        <f>'Volume adjustments'!O211</f>
        <v>0</v>
      </c>
      <c r="P21" s="279">
        <f>'Volume adjustments'!P211</f>
        <v>0</v>
      </c>
      <c r="Q21" s="279">
        <f>'Volume adjustments'!Q211</f>
        <v>0</v>
      </c>
      <c r="R21" s="279">
        <f>'Volume adjustments'!R211</f>
        <v>0</v>
      </c>
      <c r="S21" s="279">
        <f>'Volume adjustments'!S211</f>
        <v>0</v>
      </c>
      <c r="T21" s="279">
        <f>'Volume adjustments'!T211</f>
        <v>0</v>
      </c>
      <c r="U21" s="279">
        <f>'Volume adjustments'!U211</f>
        <v>0</v>
      </c>
      <c r="V21" s="279">
        <f>'Volume adjustments'!V211</f>
        <v>0</v>
      </c>
      <c r="W21" s="279">
        <f>'Volume adjustments'!W211</f>
        <v>0</v>
      </c>
      <c r="X21" s="279">
        <f>'Volume adjustments'!X211</f>
        <v>0</v>
      </c>
      <c r="Y21" s="279">
        <f>'Volume adjustments'!Y211</f>
        <v>0</v>
      </c>
      <c r="Z21" s="267"/>
      <c r="AA21" s="267"/>
    </row>
    <row r="22" spans="3:27" x14ac:dyDescent="0.3">
      <c r="C22" s="88"/>
      <c r="F22" t="s">
        <v>449</v>
      </c>
      <c r="G22" t="s">
        <v>212</v>
      </c>
      <c r="H22" s="279"/>
      <c r="I22" s="267"/>
      <c r="J22" s="279">
        <f>'Volume adjustments'!J220</f>
        <v>65699.326539455738</v>
      </c>
      <c r="K22" s="279">
        <f>'Volume adjustments'!K220</f>
        <v>0</v>
      </c>
      <c r="L22" s="279">
        <f>'Volume adjustments'!L220</f>
        <v>1709.8942582011603</v>
      </c>
      <c r="M22" s="279">
        <f>'Volume adjustments'!M220</f>
        <v>0</v>
      </c>
      <c r="N22" s="279">
        <f>'Volume adjustments'!N220</f>
        <v>632.79269192292668</v>
      </c>
      <c r="O22" s="279">
        <f>'Volume adjustments'!O220</f>
        <v>23.144144429161461</v>
      </c>
      <c r="P22" s="279">
        <f>'Volume adjustments'!P220</f>
        <v>49.853163328679244</v>
      </c>
      <c r="Q22" s="279">
        <f>'Volume adjustments'!Q220</f>
        <v>0</v>
      </c>
      <c r="R22" s="279">
        <f>'Volume adjustments'!R220</f>
        <v>0</v>
      </c>
      <c r="S22" s="279">
        <f>'Volume adjustments'!S220</f>
        <v>0</v>
      </c>
      <c r="T22" s="279">
        <f>'Volume adjustments'!T220</f>
        <v>2.7440506140904959</v>
      </c>
      <c r="U22" s="279">
        <f>'Volume adjustments'!U220</f>
        <v>0</v>
      </c>
      <c r="V22" s="279">
        <f>'Volume adjustments'!V220</f>
        <v>0</v>
      </c>
      <c r="W22" s="279">
        <f>'Volume adjustments'!W220</f>
        <v>0</v>
      </c>
      <c r="X22" s="279">
        <f>'Volume adjustments'!X220</f>
        <v>0.33569155719989663</v>
      </c>
      <c r="Y22" s="279">
        <f>'Volume adjustments'!Y220</f>
        <v>0</v>
      </c>
      <c r="Z22" s="267"/>
      <c r="AA22" s="267"/>
    </row>
    <row r="23" spans="3:27" x14ac:dyDescent="0.3">
      <c r="C23" s="88"/>
      <c r="F23" s="37" t="s">
        <v>871</v>
      </c>
      <c r="G23" s="37" t="s">
        <v>212</v>
      </c>
      <c r="H23" s="211"/>
      <c r="I23" s="37"/>
      <c r="J23" s="125">
        <f>'Inputs by customer type'!J161</f>
        <v>4299.1452360111598</v>
      </c>
      <c r="K23" s="125">
        <f>'Inputs by customer type'!K161</f>
        <v>0</v>
      </c>
      <c r="L23" s="125">
        <f>'Inputs by customer type'!L161</f>
        <v>5.193117118193495</v>
      </c>
      <c r="M23" s="125">
        <f>'Inputs by customer type'!M161</f>
        <v>0</v>
      </c>
      <c r="N23" s="125">
        <f>'Inputs by customer type'!N161</f>
        <v>1.4132195480163814</v>
      </c>
      <c r="O23" s="125">
        <f>'Inputs by customer type'!O161</f>
        <v>0</v>
      </c>
      <c r="P23" s="125">
        <f>'Inputs by customer type'!P161</f>
        <v>1.3720253070452479</v>
      </c>
      <c r="Q23" s="125">
        <f>'Inputs by customer type'!Q161</f>
        <v>0</v>
      </c>
      <c r="R23" s="125">
        <f>'Inputs by customer type'!R161</f>
        <v>0</v>
      </c>
      <c r="S23" s="125">
        <f>'Inputs by customer type'!S161</f>
        <v>0</v>
      </c>
      <c r="T23" s="125">
        <f>'Inputs by customer type'!T161</f>
        <v>0</v>
      </c>
      <c r="U23" s="125">
        <f>'Inputs by customer type'!U161</f>
        <v>0</v>
      </c>
      <c r="V23" s="125">
        <f>'Inputs by customer type'!V161</f>
        <v>0</v>
      </c>
      <c r="W23" s="125">
        <f>'Inputs by customer type'!W161</f>
        <v>0</v>
      </c>
      <c r="X23" s="125">
        <f>'Inputs by customer type'!X161</f>
        <v>0</v>
      </c>
      <c r="Y23" s="125">
        <f>'Inputs by customer type'!Y161</f>
        <v>0</v>
      </c>
    </row>
    <row r="24" spans="3:27" x14ac:dyDescent="0.3">
      <c r="C24" s="88"/>
      <c r="E24"/>
      <c r="J24" s="89"/>
      <c r="K24" s="89"/>
      <c r="L24" s="89"/>
      <c r="M24" s="89"/>
      <c r="N24" s="89"/>
      <c r="O24" s="89"/>
      <c r="P24" s="89"/>
      <c r="Q24" s="89"/>
      <c r="R24" s="89"/>
      <c r="S24" s="89"/>
      <c r="T24" s="89"/>
      <c r="U24" s="89"/>
      <c r="V24" s="89"/>
      <c r="W24" s="89"/>
      <c r="X24" s="89"/>
      <c r="Y24" s="89"/>
    </row>
    <row r="25" spans="3:27" x14ac:dyDescent="0.3">
      <c r="C25" s="88"/>
      <c r="E25" s="32" t="s">
        <v>872</v>
      </c>
      <c r="J25" s="89"/>
      <c r="K25" s="89"/>
      <c r="L25" s="89"/>
      <c r="M25" s="89"/>
      <c r="N25" s="89"/>
      <c r="O25" s="89"/>
      <c r="P25" s="89"/>
      <c r="Q25" s="89"/>
      <c r="R25" s="89"/>
      <c r="S25" s="89"/>
      <c r="T25" s="89"/>
      <c r="U25" s="89"/>
      <c r="V25" s="89"/>
      <c r="W25" s="89"/>
      <c r="X25" s="89"/>
      <c r="Y25" s="89"/>
    </row>
    <row r="26" spans="3:27" x14ac:dyDescent="0.3">
      <c r="C26" s="88"/>
      <c r="E26"/>
      <c r="F26" s="23" t="s">
        <v>873</v>
      </c>
      <c r="G26" s="23" t="s">
        <v>176</v>
      </c>
      <c r="H26" s="23"/>
      <c r="I26" s="23"/>
      <c r="J26" s="174">
        <f>'Fixed inputs'!J158</f>
        <v>1</v>
      </c>
      <c r="K26" s="174">
        <f>'Fixed inputs'!K158</f>
        <v>0</v>
      </c>
      <c r="L26" s="174">
        <f>'Fixed inputs'!L158</f>
        <v>0</v>
      </c>
      <c r="M26" s="174">
        <f>'Fixed inputs'!M158</f>
        <v>0</v>
      </c>
      <c r="N26" s="174">
        <f>'Fixed inputs'!N158</f>
        <v>0</v>
      </c>
      <c r="O26" s="174">
        <f>'Fixed inputs'!O158</f>
        <v>0</v>
      </c>
      <c r="P26" s="174">
        <f>'Fixed inputs'!P158</f>
        <v>0</v>
      </c>
      <c r="Q26" s="174">
        <f>'Fixed inputs'!Q158</f>
        <v>0</v>
      </c>
      <c r="R26" s="174">
        <f>'Fixed inputs'!R158</f>
        <v>0</v>
      </c>
      <c r="S26" s="174">
        <f>'Fixed inputs'!S158</f>
        <v>0</v>
      </c>
      <c r="T26" s="174">
        <f>'Fixed inputs'!T158</f>
        <v>0</v>
      </c>
      <c r="U26" s="174">
        <f>'Fixed inputs'!U158</f>
        <v>0</v>
      </c>
      <c r="V26" s="174">
        <f>'Fixed inputs'!V158</f>
        <v>0</v>
      </c>
      <c r="W26" s="174">
        <f>'Fixed inputs'!W158</f>
        <v>0</v>
      </c>
      <c r="X26" s="174">
        <f>'Fixed inputs'!X158</f>
        <v>0</v>
      </c>
      <c r="Y26" s="174">
        <f>'Fixed inputs'!Y158</f>
        <v>0</v>
      </c>
    </row>
    <row r="27" spans="3:27" x14ac:dyDescent="0.3">
      <c r="C27" s="88"/>
      <c r="E27"/>
      <c r="F27" s="37" t="s">
        <v>874</v>
      </c>
      <c r="G27" s="37" t="s">
        <v>176</v>
      </c>
      <c r="H27" s="37"/>
      <c r="I27" s="37"/>
      <c r="J27" s="211">
        <f>'Fixed inputs'!J159</f>
        <v>1</v>
      </c>
      <c r="K27" s="211">
        <f>'Fixed inputs'!K159</f>
        <v>0</v>
      </c>
      <c r="L27" s="211">
        <f>'Fixed inputs'!L159</f>
        <v>1</v>
      </c>
      <c r="M27" s="211">
        <f>'Fixed inputs'!M159</f>
        <v>0</v>
      </c>
      <c r="N27" s="211">
        <f>'Fixed inputs'!N159</f>
        <v>1</v>
      </c>
      <c r="O27" s="211">
        <f>'Fixed inputs'!O159</f>
        <v>1</v>
      </c>
      <c r="P27" s="211">
        <f>'Fixed inputs'!P159</f>
        <v>1</v>
      </c>
      <c r="Q27" s="211">
        <f>'Fixed inputs'!Q159</f>
        <v>0</v>
      </c>
      <c r="R27" s="211">
        <f>'Fixed inputs'!R159</f>
        <v>0</v>
      </c>
      <c r="S27" s="211">
        <f>'Fixed inputs'!S159</f>
        <v>0</v>
      </c>
      <c r="T27" s="211">
        <f>'Fixed inputs'!T159</f>
        <v>0</v>
      </c>
      <c r="U27" s="211">
        <f>'Fixed inputs'!U159</f>
        <v>0</v>
      </c>
      <c r="V27" s="211">
        <f>'Fixed inputs'!V159</f>
        <v>0</v>
      </c>
      <c r="W27" s="211">
        <f>'Fixed inputs'!W159</f>
        <v>0</v>
      </c>
      <c r="X27" s="211">
        <f>'Fixed inputs'!X159</f>
        <v>0</v>
      </c>
      <c r="Y27" s="211">
        <f>'Fixed inputs'!Y159</f>
        <v>0</v>
      </c>
    </row>
    <row r="28" spans="3:27" x14ac:dyDescent="0.3">
      <c r="C28" s="88"/>
      <c r="E28"/>
      <c r="J28" s="89"/>
      <c r="K28" s="89"/>
      <c r="L28" s="89"/>
      <c r="M28" s="89"/>
      <c r="N28" s="89"/>
      <c r="O28" s="89"/>
      <c r="P28" s="89"/>
      <c r="Q28" s="89"/>
      <c r="R28" s="89"/>
      <c r="S28" s="89"/>
      <c r="T28" s="89"/>
      <c r="U28" s="89"/>
      <c r="V28" s="89"/>
      <c r="W28" s="89"/>
      <c r="X28" s="89"/>
      <c r="Y28" s="89"/>
    </row>
    <row r="29" spans="3:27" x14ac:dyDescent="0.3">
      <c r="C29" s="88"/>
      <c r="E29" s="32" t="s">
        <v>875</v>
      </c>
      <c r="J29" s="89"/>
      <c r="K29" s="89"/>
      <c r="L29" s="89"/>
      <c r="M29" s="89"/>
      <c r="N29" s="89"/>
      <c r="O29" s="89"/>
      <c r="P29" s="89"/>
      <c r="Q29" s="89"/>
      <c r="R29" s="89"/>
      <c r="S29" s="89"/>
      <c r="T29" s="89"/>
      <c r="U29" s="89"/>
      <c r="V29" s="89"/>
      <c r="W29" s="89"/>
      <c r="X29" s="89"/>
      <c r="Y29" s="89"/>
    </row>
    <row r="30" spans="3:27" x14ac:dyDescent="0.3">
      <c r="C30" s="88"/>
      <c r="E30"/>
      <c r="F30" s="23" t="s">
        <v>873</v>
      </c>
      <c r="G30" s="23" t="s">
        <v>277</v>
      </c>
      <c r="H30" s="124">
        <f>'General inputs'!H53</f>
        <v>82527885.807858631</v>
      </c>
      <c r="J30" s="120"/>
      <c r="K30" s="120"/>
      <c r="L30" s="120"/>
      <c r="M30" s="120"/>
      <c r="N30" s="120"/>
      <c r="O30" s="120"/>
      <c r="P30" s="120"/>
      <c r="Q30" s="120"/>
      <c r="R30" s="120"/>
      <c r="S30" s="120"/>
      <c r="T30" s="120"/>
      <c r="U30" s="120"/>
      <c r="V30" s="120"/>
      <c r="W30" s="120"/>
      <c r="X30" s="120"/>
      <c r="Y30" s="120"/>
    </row>
    <row r="31" spans="3:27" x14ac:dyDescent="0.3">
      <c r="C31" s="88"/>
      <c r="E31"/>
      <c r="F31" s="37" t="s">
        <v>874</v>
      </c>
      <c r="G31" s="37" t="s">
        <v>277</v>
      </c>
      <c r="H31" s="125">
        <f>'General inputs'!H54</f>
        <v>644138.06191657891</v>
      </c>
      <c r="J31" s="120"/>
      <c r="K31" s="120"/>
      <c r="L31" s="120"/>
      <c r="M31" s="120"/>
      <c r="N31" s="120"/>
      <c r="O31" s="120"/>
      <c r="P31" s="120"/>
      <c r="Q31" s="120"/>
      <c r="R31" s="120"/>
      <c r="S31" s="120"/>
      <c r="T31" s="120"/>
      <c r="U31" s="120"/>
      <c r="V31" s="120"/>
      <c r="W31" s="120"/>
      <c r="X31" s="120"/>
      <c r="Y31" s="120"/>
    </row>
    <row r="33" spans="3:27" x14ac:dyDescent="0.3">
      <c r="C33" s="31" t="str">
        <f ca="1">INDEX('Version control'!$H$34:$H$58,MATCH($A$1,'Version control'!$F$34:$F$58,0),1)&amp;"-B: Calculation of fixed tariff adjustments"</f>
        <v>Section 115-B: Calculation of fixed tariff adjustments</v>
      </c>
      <c r="D33" s="31"/>
      <c r="E33" s="31"/>
      <c r="F33" s="31"/>
      <c r="G33" s="31"/>
      <c r="H33" s="31"/>
      <c r="I33" s="31"/>
      <c r="J33" s="31"/>
      <c r="K33" s="31"/>
      <c r="L33" s="31"/>
      <c r="M33" s="31"/>
      <c r="N33" s="31"/>
      <c r="O33" s="31"/>
      <c r="P33" s="31"/>
      <c r="Q33" s="31"/>
      <c r="R33" s="31"/>
      <c r="S33" s="31"/>
      <c r="T33" s="31"/>
      <c r="U33" s="31"/>
      <c r="V33" s="31"/>
      <c r="W33" s="31"/>
      <c r="X33" s="31"/>
      <c r="Y33" s="31"/>
      <c r="Z33" s="31"/>
      <c r="AA33" s="31"/>
    </row>
    <row r="34" spans="3:27" x14ac:dyDescent="0.3">
      <c r="C34" s="88"/>
      <c r="E34"/>
      <c r="J34" s="89"/>
      <c r="K34" s="89"/>
      <c r="L34" s="89"/>
      <c r="M34" s="89"/>
      <c r="N34" s="89"/>
      <c r="O34" s="89"/>
      <c r="P34" s="89"/>
      <c r="Q34" s="89"/>
      <c r="R34" s="89"/>
      <c r="S34" s="89"/>
      <c r="T34" s="89"/>
      <c r="U34" s="89"/>
      <c r="V34" s="89"/>
      <c r="W34" s="89"/>
      <c r="X34" s="89"/>
      <c r="Y34" s="89"/>
    </row>
    <row r="35" spans="3:27" x14ac:dyDescent="0.3">
      <c r="C35" s="88"/>
      <c r="E35" s="32" t="s">
        <v>876</v>
      </c>
      <c r="J35" s="89"/>
      <c r="K35" s="89"/>
      <c r="L35" s="89"/>
      <c r="M35" s="89"/>
      <c r="N35" s="89"/>
      <c r="O35" s="89"/>
      <c r="P35" s="89"/>
      <c r="Q35" s="89"/>
      <c r="R35" s="89"/>
      <c r="S35" s="89"/>
      <c r="T35" s="89"/>
      <c r="U35" s="89"/>
      <c r="V35" s="89"/>
      <c r="W35" s="89"/>
      <c r="X35" s="89"/>
      <c r="Y35" s="89"/>
    </row>
    <row r="36" spans="3:27" x14ac:dyDescent="0.3">
      <c r="F36" s="23" t="s">
        <v>873</v>
      </c>
      <c r="G36" s="23" t="s">
        <v>212</v>
      </c>
      <c r="H36" s="23"/>
      <c r="I36" s="23"/>
      <c r="J36" s="158">
        <f>SUM( J$20:J$23 ) * J26</f>
        <v>2417886.2686273786</v>
      </c>
      <c r="K36" s="158">
        <f t="shared" ref="K36:Y36" si="0">SUM( K$20:K$23 ) * K26</f>
        <v>0</v>
      </c>
      <c r="L36" s="158">
        <f t="shared" si="0"/>
        <v>0</v>
      </c>
      <c r="M36" s="158">
        <f t="shared" si="0"/>
        <v>0</v>
      </c>
      <c r="N36" s="158">
        <f t="shared" si="0"/>
        <v>0</v>
      </c>
      <c r="O36" s="158">
        <f t="shared" si="0"/>
        <v>0</v>
      </c>
      <c r="P36" s="158">
        <f t="shared" si="0"/>
        <v>0</v>
      </c>
      <c r="Q36" s="158">
        <f t="shared" si="0"/>
        <v>0</v>
      </c>
      <c r="R36" s="158">
        <f t="shared" si="0"/>
        <v>0</v>
      </c>
      <c r="S36" s="158">
        <f t="shared" si="0"/>
        <v>0</v>
      </c>
      <c r="T36" s="158">
        <f t="shared" si="0"/>
        <v>0</v>
      </c>
      <c r="U36" s="158">
        <f t="shared" si="0"/>
        <v>0</v>
      </c>
      <c r="V36" s="158">
        <f t="shared" si="0"/>
        <v>0</v>
      </c>
      <c r="W36" s="158">
        <f t="shared" si="0"/>
        <v>0</v>
      </c>
      <c r="X36" s="158">
        <f t="shared" si="0"/>
        <v>0</v>
      </c>
      <c r="Y36" s="158">
        <f t="shared" si="0"/>
        <v>0</v>
      </c>
    </row>
    <row r="37" spans="3:27" x14ac:dyDescent="0.3">
      <c r="F37" s="37" t="s">
        <v>874</v>
      </c>
      <c r="G37" s="37" t="s">
        <v>212</v>
      </c>
      <c r="H37" s="37"/>
      <c r="I37" s="37"/>
      <c r="J37" s="82">
        <f t="shared" ref="J37:Y37" si="1">SUM( J$20:J$23 ) * J27</f>
        <v>2417886.2686273786</v>
      </c>
      <c r="K37" s="82">
        <f t="shared" si="1"/>
        <v>0</v>
      </c>
      <c r="L37" s="82">
        <f t="shared" si="1"/>
        <v>187967.9894586927</v>
      </c>
      <c r="M37" s="82">
        <f t="shared" si="1"/>
        <v>0</v>
      </c>
      <c r="N37" s="82">
        <f t="shared" si="1"/>
        <v>15380.487317958077</v>
      </c>
      <c r="O37" s="82">
        <f t="shared" si="1"/>
        <v>404.43319494887436</v>
      </c>
      <c r="P37" s="82">
        <f t="shared" si="1"/>
        <v>4141.4488451012467</v>
      </c>
      <c r="Q37" s="82">
        <f t="shared" si="1"/>
        <v>0</v>
      </c>
      <c r="R37" s="82">
        <f t="shared" si="1"/>
        <v>0</v>
      </c>
      <c r="S37" s="82">
        <f t="shared" si="1"/>
        <v>0</v>
      </c>
      <c r="T37" s="82">
        <f t="shared" si="1"/>
        <v>0</v>
      </c>
      <c r="U37" s="82">
        <f t="shared" si="1"/>
        <v>0</v>
      </c>
      <c r="V37" s="82">
        <f t="shared" si="1"/>
        <v>0</v>
      </c>
      <c r="W37" s="82">
        <f t="shared" si="1"/>
        <v>0</v>
      </c>
      <c r="X37" s="82">
        <f t="shared" si="1"/>
        <v>0</v>
      </c>
      <c r="Y37" s="82">
        <f t="shared" si="1"/>
        <v>0</v>
      </c>
    </row>
    <row r="38" spans="3:27" x14ac:dyDescent="0.3">
      <c r="C38" s="88"/>
      <c r="E38"/>
      <c r="J38" s="89"/>
      <c r="K38" s="89"/>
      <c r="L38" s="89"/>
      <c r="M38" s="89"/>
      <c r="N38" s="89"/>
      <c r="O38" s="89"/>
      <c r="P38" s="89"/>
      <c r="Q38" s="89"/>
      <c r="R38" s="89"/>
      <c r="S38" s="89"/>
      <c r="T38" s="89"/>
      <c r="U38" s="89"/>
      <c r="V38" s="89"/>
      <c r="W38" s="89"/>
      <c r="X38" s="89"/>
      <c r="Y38" s="89"/>
    </row>
    <row r="39" spans="3:27" x14ac:dyDescent="0.3">
      <c r="C39" s="88"/>
      <c r="E39" s="32" t="s">
        <v>877</v>
      </c>
      <c r="I39" t="s">
        <v>154</v>
      </c>
      <c r="J39" s="89"/>
      <c r="K39" s="89"/>
      <c r="L39" s="89"/>
      <c r="M39" s="89"/>
      <c r="N39" s="89"/>
      <c r="O39" s="89"/>
      <c r="P39" s="89"/>
      <c r="Q39" s="89"/>
      <c r="R39" s="89"/>
      <c r="S39" s="89"/>
      <c r="T39" s="89"/>
      <c r="U39" s="89"/>
      <c r="V39" s="89"/>
      <c r="W39" s="89"/>
      <c r="X39" s="89"/>
      <c r="Y39" s="89"/>
      <c r="AA39" t="s">
        <v>906</v>
      </c>
    </row>
    <row r="40" spans="3:27" x14ac:dyDescent="0.3">
      <c r="C40" s="88"/>
      <c r="E40"/>
      <c r="F40" s="23" t="s">
        <v>873</v>
      </c>
      <c r="G40" s="23" t="s">
        <v>270</v>
      </c>
      <c r="H40" s="322">
        <f>H30 / SUM( J36:Y36 ) * hundred / days_in_year</f>
        <v>9.3512999212414236</v>
      </c>
      <c r="I40" s="14"/>
      <c r="J40" s="194"/>
      <c r="K40" s="194"/>
      <c r="L40" s="194"/>
      <c r="M40" s="194"/>
      <c r="N40" s="194"/>
      <c r="O40" s="194"/>
      <c r="P40" s="194"/>
      <c r="Q40" s="194"/>
      <c r="R40" s="194"/>
      <c r="S40" s="194"/>
      <c r="T40" s="194"/>
      <c r="U40" s="194"/>
      <c r="V40" s="194"/>
      <c r="W40" s="194"/>
      <c r="X40" s="194"/>
      <c r="Y40" s="194"/>
    </row>
    <row r="41" spans="3:27" x14ac:dyDescent="0.3">
      <c r="C41" s="88"/>
      <c r="E41"/>
      <c r="F41" s="37" t="s">
        <v>874</v>
      </c>
      <c r="G41" s="37" t="s">
        <v>270</v>
      </c>
      <c r="H41" s="323">
        <f>H31 / SUM( J37:Y37 ) * hundred / days_in_year</f>
        <v>6.7209034716197477E-2</v>
      </c>
      <c r="I41" s="14"/>
      <c r="J41" s="194"/>
      <c r="K41" s="194"/>
      <c r="L41" s="194"/>
      <c r="M41" s="194"/>
      <c r="N41" s="194"/>
      <c r="O41" s="194"/>
      <c r="P41" s="194"/>
      <c r="Q41" s="194"/>
      <c r="R41" s="194"/>
      <c r="S41" s="194"/>
      <c r="T41" s="194"/>
      <c r="U41" s="194"/>
      <c r="V41" s="194"/>
      <c r="W41" s="194"/>
      <c r="X41" s="194"/>
      <c r="Y41" s="194"/>
    </row>
    <row r="42" spans="3:27" x14ac:dyDescent="0.3">
      <c r="C42" s="88"/>
      <c r="E42"/>
      <c r="H42" s="14"/>
      <c r="I42" s="14"/>
      <c r="J42" s="163"/>
      <c r="K42" s="163"/>
      <c r="L42" s="163"/>
      <c r="M42" s="163"/>
      <c r="N42" s="163"/>
      <c r="O42" s="163"/>
      <c r="P42" s="163"/>
      <c r="Q42" s="163"/>
      <c r="R42" s="163"/>
      <c r="S42" s="163"/>
      <c r="T42" s="163"/>
      <c r="U42" s="163"/>
      <c r="V42" s="163"/>
      <c r="W42" s="163"/>
      <c r="X42" s="163"/>
      <c r="Y42" s="163"/>
    </row>
    <row r="43" spans="3:27" x14ac:dyDescent="0.3">
      <c r="C43" s="88"/>
      <c r="E43" s="32" t="s">
        <v>878</v>
      </c>
      <c r="H43" s="14"/>
      <c r="I43" s="14"/>
      <c r="J43" s="163"/>
      <c r="K43" s="163"/>
      <c r="L43" s="163"/>
      <c r="M43" s="163"/>
      <c r="N43" s="163"/>
      <c r="O43" s="163"/>
      <c r="P43" s="163"/>
      <c r="Q43" s="163"/>
      <c r="R43" s="163"/>
      <c r="S43" s="163"/>
      <c r="T43" s="163"/>
      <c r="U43" s="163"/>
      <c r="V43" s="163"/>
      <c r="W43" s="163"/>
      <c r="X43" s="163"/>
      <c r="Y43" s="163"/>
    </row>
    <row r="44" spans="3:27" x14ac:dyDescent="0.3">
      <c r="C44" s="88"/>
      <c r="E44"/>
      <c r="F44" s="23" t="s">
        <v>873</v>
      </c>
      <c r="G44" s="23" t="s">
        <v>270</v>
      </c>
      <c r="H44" s="322"/>
      <c r="I44" s="322"/>
      <c r="J44" s="322">
        <f>IF( J26 = 1, $H40, 0)</f>
        <v>9.3512999212414236</v>
      </c>
      <c r="K44" s="322">
        <f t="shared" ref="K44:Y44" si="2">IF( K26 = 1, $H40, 0)</f>
        <v>0</v>
      </c>
      <c r="L44" s="322">
        <f t="shared" si="2"/>
        <v>0</v>
      </c>
      <c r="M44" s="322">
        <f t="shared" si="2"/>
        <v>0</v>
      </c>
      <c r="N44" s="322">
        <f t="shared" si="2"/>
        <v>0</v>
      </c>
      <c r="O44" s="322">
        <f t="shared" si="2"/>
        <v>0</v>
      </c>
      <c r="P44" s="322">
        <f t="shared" si="2"/>
        <v>0</v>
      </c>
      <c r="Q44" s="322">
        <f t="shared" si="2"/>
        <v>0</v>
      </c>
      <c r="R44" s="322">
        <f t="shared" si="2"/>
        <v>0</v>
      </c>
      <c r="S44" s="322">
        <f t="shared" si="2"/>
        <v>0</v>
      </c>
      <c r="T44" s="322">
        <f t="shared" si="2"/>
        <v>0</v>
      </c>
      <c r="U44" s="322">
        <f t="shared" si="2"/>
        <v>0</v>
      </c>
      <c r="V44" s="322">
        <f t="shared" si="2"/>
        <v>0</v>
      </c>
      <c r="W44" s="322">
        <f t="shared" si="2"/>
        <v>0</v>
      </c>
      <c r="X44" s="322">
        <f t="shared" si="2"/>
        <v>0</v>
      </c>
      <c r="Y44" s="322">
        <f t="shared" si="2"/>
        <v>0</v>
      </c>
    </row>
    <row r="45" spans="3:27" x14ac:dyDescent="0.3">
      <c r="C45" s="88"/>
      <c r="E45"/>
      <c r="F45" s="37" t="s">
        <v>874</v>
      </c>
      <c r="G45" s="37" t="s">
        <v>270</v>
      </c>
      <c r="H45" s="323"/>
      <c r="I45" s="323"/>
      <c r="J45" s="323">
        <f t="shared" ref="J45:Y45" si="3">IF( J27 = 1, $H41, 0)</f>
        <v>6.7209034716197477E-2</v>
      </c>
      <c r="K45" s="323">
        <f t="shared" si="3"/>
        <v>0</v>
      </c>
      <c r="L45" s="323">
        <f t="shared" si="3"/>
        <v>6.7209034716197477E-2</v>
      </c>
      <c r="M45" s="323">
        <f t="shared" si="3"/>
        <v>0</v>
      </c>
      <c r="N45" s="323">
        <f t="shared" si="3"/>
        <v>6.7209034716197477E-2</v>
      </c>
      <c r="O45" s="323">
        <f t="shared" si="3"/>
        <v>6.7209034716197477E-2</v>
      </c>
      <c r="P45" s="323">
        <f t="shared" si="3"/>
        <v>6.7209034716197477E-2</v>
      </c>
      <c r="Q45" s="323">
        <f t="shared" si="3"/>
        <v>0</v>
      </c>
      <c r="R45" s="323">
        <f t="shared" si="3"/>
        <v>0</v>
      </c>
      <c r="S45" s="323">
        <f t="shared" si="3"/>
        <v>0</v>
      </c>
      <c r="T45" s="323">
        <f t="shared" si="3"/>
        <v>0</v>
      </c>
      <c r="U45" s="323">
        <f t="shared" si="3"/>
        <v>0</v>
      </c>
      <c r="V45" s="323">
        <f t="shared" si="3"/>
        <v>0</v>
      </c>
      <c r="W45" s="323">
        <f t="shared" si="3"/>
        <v>0</v>
      </c>
      <c r="X45" s="323">
        <f t="shared" si="3"/>
        <v>0</v>
      </c>
      <c r="Y45" s="323">
        <f t="shared" si="3"/>
        <v>0</v>
      </c>
    </row>
    <row r="46" spans="3:27" x14ac:dyDescent="0.3">
      <c r="C46" s="88"/>
      <c r="E46"/>
      <c r="F46" s="108" t="s">
        <v>545</v>
      </c>
      <c r="G46" s="108" t="s">
        <v>270</v>
      </c>
      <c r="H46" s="216"/>
      <c r="I46" s="216"/>
      <c r="J46" s="324">
        <f xml:space="preserve"> J44 + J45</f>
        <v>9.4185089559576216</v>
      </c>
      <c r="K46" s="324">
        <f t="shared" ref="K46:Y46" si="4" xml:space="preserve"> K44 + K45</f>
        <v>0</v>
      </c>
      <c r="L46" s="324">
        <f t="shared" si="4"/>
        <v>6.7209034716197477E-2</v>
      </c>
      <c r="M46" s="324">
        <f t="shared" si="4"/>
        <v>0</v>
      </c>
      <c r="N46" s="324">
        <f t="shared" si="4"/>
        <v>6.7209034716197477E-2</v>
      </c>
      <c r="O46" s="324">
        <f t="shared" si="4"/>
        <v>6.7209034716197477E-2</v>
      </c>
      <c r="P46" s="324">
        <f t="shared" si="4"/>
        <v>6.7209034716197477E-2</v>
      </c>
      <c r="Q46" s="324">
        <f t="shared" si="4"/>
        <v>0</v>
      </c>
      <c r="R46" s="324">
        <f t="shared" si="4"/>
        <v>0</v>
      </c>
      <c r="S46" s="324">
        <f t="shared" si="4"/>
        <v>0</v>
      </c>
      <c r="T46" s="324">
        <f t="shared" si="4"/>
        <v>0</v>
      </c>
      <c r="U46" s="324">
        <f t="shared" si="4"/>
        <v>0</v>
      </c>
      <c r="V46" s="324">
        <f t="shared" si="4"/>
        <v>0</v>
      </c>
      <c r="W46" s="324">
        <f t="shared" si="4"/>
        <v>0</v>
      </c>
      <c r="X46" s="324">
        <f t="shared" si="4"/>
        <v>0</v>
      </c>
      <c r="Y46" s="324">
        <f t="shared" si="4"/>
        <v>0</v>
      </c>
    </row>
    <row r="47" spans="3:27" x14ac:dyDescent="0.3">
      <c r="C47" s="88"/>
      <c r="H47" s="14"/>
      <c r="I47" s="14"/>
      <c r="J47" s="14"/>
      <c r="K47" s="14"/>
      <c r="L47" s="14"/>
      <c r="M47" s="14"/>
      <c r="N47" s="14"/>
      <c r="O47" s="14"/>
      <c r="P47" s="14"/>
      <c r="Q47" s="14"/>
      <c r="R47" s="14"/>
      <c r="S47" s="14"/>
      <c r="T47" s="14"/>
      <c r="U47" s="14"/>
      <c r="V47" s="14"/>
      <c r="W47" s="14"/>
      <c r="X47" s="14"/>
      <c r="Y47" s="14"/>
    </row>
    <row r="48" spans="3:27" x14ac:dyDescent="0.3">
      <c r="C48" s="31" t="str">
        <f ca="1">INDEX('Version control'!$H$34:$H$58,MATCH($A$1,'Version control'!$F$34:$F$58,0),1)&amp;"-C: Calculation of fixed charge adder revenue"</f>
        <v>Section 115-C: Calculation of fixed charge adder revenue</v>
      </c>
      <c r="D48" s="31"/>
      <c r="E48" s="31"/>
      <c r="F48" s="31"/>
      <c r="G48" s="31"/>
      <c r="H48" s="31"/>
      <c r="I48" s="31"/>
      <c r="J48" s="31"/>
      <c r="K48" s="31"/>
      <c r="L48" s="31"/>
      <c r="M48" s="31"/>
      <c r="N48" s="31"/>
      <c r="O48" s="31"/>
      <c r="P48" s="31"/>
      <c r="Q48" s="31"/>
      <c r="R48" s="31"/>
      <c r="S48" s="31"/>
      <c r="T48" s="31"/>
      <c r="U48" s="31"/>
      <c r="V48" s="31"/>
      <c r="W48" s="31"/>
      <c r="X48" s="31"/>
      <c r="Y48" s="31"/>
      <c r="Z48" s="31"/>
      <c r="AA48" s="31"/>
    </row>
    <row r="49" spans="2:27" x14ac:dyDescent="0.3">
      <c r="C49" s="88"/>
      <c r="E49"/>
      <c r="J49" s="89"/>
      <c r="K49" s="89"/>
      <c r="L49" s="89"/>
      <c r="M49" s="89"/>
      <c r="N49" s="89"/>
      <c r="O49" s="89"/>
      <c r="P49" s="89"/>
      <c r="Q49" s="89"/>
      <c r="R49" s="89"/>
      <c r="S49" s="89"/>
      <c r="T49" s="89"/>
      <c r="U49" s="89"/>
      <c r="V49" s="89"/>
      <c r="W49" s="89"/>
      <c r="X49" s="89"/>
      <c r="Y49" s="89"/>
    </row>
    <row r="50" spans="2:27" x14ac:dyDescent="0.3">
      <c r="E50" t="s">
        <v>879</v>
      </c>
      <c r="G50" s="6" t="s">
        <v>277</v>
      </c>
      <c r="H50" s="215"/>
      <c r="I50" s="14"/>
      <c r="J50" s="215">
        <f t="shared" ref="J50:Y50" si="5">J46 / hundred * days_in_year * SUM( J20:J22 )</f>
        <v>82973230.572406396</v>
      </c>
      <c r="K50" s="215">
        <f t="shared" si="5"/>
        <v>0</v>
      </c>
      <c r="L50" s="215">
        <f t="shared" si="5"/>
        <v>46109.713082061695</v>
      </c>
      <c r="M50" s="215">
        <f t="shared" si="5"/>
        <v>0</v>
      </c>
      <c r="N50" s="215">
        <f t="shared" si="5"/>
        <v>3772.6864461880059</v>
      </c>
      <c r="O50" s="215">
        <f t="shared" si="5"/>
        <v>99.212710934910703</v>
      </c>
      <c r="P50" s="215">
        <f t="shared" si="5"/>
        <v>1015.6145684888463</v>
      </c>
      <c r="Q50" s="215">
        <f t="shared" si="5"/>
        <v>0</v>
      </c>
      <c r="R50" s="215">
        <f t="shared" si="5"/>
        <v>0</v>
      </c>
      <c r="S50" s="215">
        <f t="shared" si="5"/>
        <v>0</v>
      </c>
      <c r="T50" s="215">
        <f t="shared" si="5"/>
        <v>0</v>
      </c>
      <c r="U50" s="215">
        <f t="shared" si="5"/>
        <v>0</v>
      </c>
      <c r="V50" s="215">
        <f t="shared" si="5"/>
        <v>0</v>
      </c>
      <c r="W50" s="215">
        <f t="shared" si="5"/>
        <v>0</v>
      </c>
      <c r="X50" s="215">
        <f t="shared" si="5"/>
        <v>0</v>
      </c>
      <c r="Y50" s="215">
        <f t="shared" si="5"/>
        <v>0</v>
      </c>
    </row>
    <row r="51" spans="2:27" x14ac:dyDescent="0.3">
      <c r="H51" s="14"/>
      <c r="I51" s="14"/>
      <c r="J51" s="14"/>
      <c r="K51" s="14"/>
      <c r="L51" s="14"/>
      <c r="M51" s="14"/>
      <c r="N51" s="14"/>
      <c r="O51" s="14"/>
      <c r="P51" s="14"/>
      <c r="Q51" s="14"/>
      <c r="R51" s="14"/>
      <c r="S51" s="14"/>
      <c r="T51" s="14"/>
      <c r="U51" s="14"/>
      <c r="V51" s="14"/>
      <c r="W51" s="14"/>
      <c r="X51" s="14"/>
      <c r="Y51" s="14"/>
    </row>
    <row r="52" spans="2:27" x14ac:dyDescent="0.3">
      <c r="E52" t="s">
        <v>880</v>
      </c>
      <c r="G52" s="6" t="s">
        <v>277</v>
      </c>
      <c r="H52" s="199">
        <f>SUM( J50:Y50 )</f>
        <v>83024227.799214065</v>
      </c>
      <c r="I52" s="14"/>
      <c r="J52" s="14"/>
      <c r="K52" s="14"/>
      <c r="L52" s="14"/>
      <c r="M52" s="14"/>
      <c r="N52" s="14"/>
      <c r="O52" s="14"/>
      <c r="P52" s="14"/>
      <c r="Q52" s="14"/>
      <c r="R52" s="14"/>
      <c r="S52" s="14"/>
      <c r="T52" s="14"/>
      <c r="U52" s="14"/>
      <c r="V52" s="14"/>
      <c r="W52" s="14"/>
      <c r="X52" s="14"/>
      <c r="Y52" s="14"/>
    </row>
    <row r="53" spans="2:27" x14ac:dyDescent="0.3">
      <c r="H53" s="14"/>
      <c r="I53" s="14"/>
      <c r="J53" s="14"/>
      <c r="K53" s="14"/>
      <c r="L53" s="14"/>
      <c r="M53" s="14"/>
      <c r="N53" s="14"/>
      <c r="O53" s="14"/>
      <c r="P53" s="14"/>
      <c r="Q53" s="14"/>
      <c r="R53" s="14"/>
      <c r="S53" s="14"/>
      <c r="T53" s="14"/>
      <c r="U53" s="14"/>
      <c r="V53" s="14"/>
      <c r="W53" s="14"/>
      <c r="X53" s="14"/>
      <c r="Y53" s="14"/>
    </row>
    <row r="54" spans="2:27" x14ac:dyDescent="0.3">
      <c r="E54" t="s">
        <v>881</v>
      </c>
      <c r="G54" s="6" t="s">
        <v>277</v>
      </c>
      <c r="H54" s="215"/>
      <c r="I54" s="14"/>
      <c r="J54" s="215">
        <f t="shared" ref="J54:Y54" si="6">J46 / hundred * days_in_year * J23</f>
        <v>147794.11336541784</v>
      </c>
      <c r="K54" s="215">
        <f t="shared" si="6"/>
        <v>0</v>
      </c>
      <c r="L54" s="215">
        <f t="shared" si="6"/>
        <v>1.2739390186891031</v>
      </c>
      <c r="M54" s="215">
        <f t="shared" si="6"/>
        <v>0</v>
      </c>
      <c r="N54" s="215">
        <f t="shared" si="6"/>
        <v>0.34668109407448289</v>
      </c>
      <c r="O54" s="215">
        <f t="shared" si="6"/>
        <v>0</v>
      </c>
      <c r="P54" s="215">
        <f t="shared" si="6"/>
        <v>0.33657561219837534</v>
      </c>
      <c r="Q54" s="215">
        <f t="shared" si="6"/>
        <v>0</v>
      </c>
      <c r="R54" s="215">
        <f t="shared" si="6"/>
        <v>0</v>
      </c>
      <c r="S54" s="215">
        <f t="shared" si="6"/>
        <v>0</v>
      </c>
      <c r="T54" s="215">
        <f t="shared" si="6"/>
        <v>0</v>
      </c>
      <c r="U54" s="215">
        <f t="shared" si="6"/>
        <v>0</v>
      </c>
      <c r="V54" s="215">
        <f t="shared" si="6"/>
        <v>0</v>
      </c>
      <c r="W54" s="215">
        <f t="shared" si="6"/>
        <v>0</v>
      </c>
      <c r="X54" s="215">
        <f t="shared" si="6"/>
        <v>0</v>
      </c>
      <c r="Y54" s="215">
        <f t="shared" si="6"/>
        <v>0</v>
      </c>
    </row>
    <row r="55" spans="2:27" x14ac:dyDescent="0.3">
      <c r="H55" s="14"/>
      <c r="I55" s="14"/>
      <c r="J55" s="14"/>
      <c r="K55" s="14"/>
      <c r="L55" s="14"/>
      <c r="M55" s="14"/>
      <c r="N55" s="14"/>
      <c r="O55" s="14"/>
      <c r="P55" s="14"/>
      <c r="Q55" s="14"/>
      <c r="R55" s="14"/>
      <c r="S55" s="14"/>
      <c r="T55" s="14"/>
      <c r="U55" s="14"/>
      <c r="V55" s="14"/>
      <c r="W55" s="14"/>
      <c r="X55" s="14"/>
      <c r="Y55" s="14"/>
    </row>
    <row r="56" spans="2:27" x14ac:dyDescent="0.3">
      <c r="E56" t="s">
        <v>882</v>
      </c>
      <c r="G56" s="6" t="s">
        <v>277</v>
      </c>
      <c r="H56" s="199">
        <f>SUM( J54:Y54 )</f>
        <v>147796.07056114281</v>
      </c>
      <c r="I56" s="14"/>
      <c r="J56" s="14"/>
      <c r="K56" s="14"/>
      <c r="L56" s="14"/>
      <c r="M56" s="14"/>
      <c r="N56" s="14"/>
      <c r="O56" s="14"/>
      <c r="P56" s="14"/>
      <c r="Q56" s="14"/>
      <c r="R56" s="14"/>
      <c r="S56" s="14"/>
      <c r="T56" s="14"/>
      <c r="U56" s="14"/>
      <c r="V56" s="14"/>
      <c r="W56" s="14"/>
      <c r="X56" s="14"/>
      <c r="Y56" s="14"/>
    </row>
    <row r="57" spans="2:27" x14ac:dyDescent="0.3">
      <c r="H57" s="14"/>
      <c r="I57" s="14"/>
      <c r="J57" s="14"/>
      <c r="K57" s="14"/>
      <c r="L57" s="14"/>
      <c r="M57" s="14"/>
      <c r="N57" s="14"/>
      <c r="O57" s="14"/>
      <c r="P57" s="14"/>
      <c r="Q57" s="14"/>
      <c r="R57" s="14"/>
      <c r="S57" s="14"/>
      <c r="T57" s="14"/>
      <c r="U57" s="14"/>
      <c r="V57" s="14"/>
      <c r="W57" s="14"/>
      <c r="X57" s="14"/>
      <c r="Y57" s="14"/>
    </row>
    <row r="58" spans="2:27" x14ac:dyDescent="0.3">
      <c r="B58" s="30" t="s">
        <v>231</v>
      </c>
      <c r="C58" s="30"/>
      <c r="D58" s="30"/>
      <c r="E58" s="30"/>
      <c r="F58" s="30"/>
      <c r="G58" s="30"/>
      <c r="H58" s="200"/>
      <c r="I58" s="200"/>
      <c r="J58" s="200"/>
      <c r="K58" s="200"/>
      <c r="L58" s="200"/>
      <c r="M58" s="200"/>
      <c r="N58" s="200"/>
      <c r="O58" s="200"/>
      <c r="P58" s="200"/>
      <c r="Q58" s="200"/>
      <c r="R58" s="200"/>
      <c r="S58" s="200"/>
      <c r="T58" s="200"/>
      <c r="U58" s="200"/>
      <c r="V58" s="200"/>
      <c r="W58" s="200"/>
      <c r="X58" s="200"/>
      <c r="Y58" s="200"/>
      <c r="Z58" s="30"/>
      <c r="AA58" s="30"/>
    </row>
    <row r="59" spans="2:27" x14ac:dyDescent="0.3">
      <c r="H59" s="14"/>
      <c r="I59" s="14"/>
      <c r="J59" s="14"/>
      <c r="K59" s="14"/>
      <c r="L59" s="14"/>
      <c r="M59" s="14"/>
      <c r="N59" s="14"/>
      <c r="O59" s="14"/>
      <c r="P59" s="14"/>
      <c r="Q59" s="14"/>
      <c r="R59" s="14"/>
      <c r="S59" s="14"/>
      <c r="T59" s="14"/>
      <c r="U59" s="14"/>
      <c r="V59" s="14"/>
      <c r="W59" s="14"/>
      <c r="X59" s="14"/>
      <c r="Y59" s="14"/>
    </row>
    <row r="60" spans="2:27" x14ac:dyDescent="0.3">
      <c r="E60" t="s">
        <v>883</v>
      </c>
      <c r="G60" s="6" t="s">
        <v>277</v>
      </c>
      <c r="H60" s="215"/>
      <c r="I60" s="14"/>
      <c r="J60" s="215">
        <f xml:space="preserve"> J50 + J54</f>
        <v>83121024.685771808</v>
      </c>
      <c r="K60" s="215">
        <f t="shared" ref="K60:Y60" si="7" xml:space="preserve"> K50 + K54</f>
        <v>0</v>
      </c>
      <c r="L60" s="215">
        <f t="shared" si="7"/>
        <v>46110.987021080386</v>
      </c>
      <c r="M60" s="215">
        <f t="shared" si="7"/>
        <v>0</v>
      </c>
      <c r="N60" s="215">
        <f t="shared" si="7"/>
        <v>3773.0331272820804</v>
      </c>
      <c r="O60" s="215">
        <f t="shared" si="7"/>
        <v>99.212710934910703</v>
      </c>
      <c r="P60" s="215">
        <f t="shared" si="7"/>
        <v>1015.9511441010447</v>
      </c>
      <c r="Q60" s="215">
        <f t="shared" si="7"/>
        <v>0</v>
      </c>
      <c r="R60" s="215">
        <f t="shared" si="7"/>
        <v>0</v>
      </c>
      <c r="S60" s="215">
        <f t="shared" si="7"/>
        <v>0</v>
      </c>
      <c r="T60" s="215">
        <f t="shared" si="7"/>
        <v>0</v>
      </c>
      <c r="U60" s="215">
        <f t="shared" si="7"/>
        <v>0</v>
      </c>
      <c r="V60" s="215">
        <f t="shared" si="7"/>
        <v>0</v>
      </c>
      <c r="W60" s="215">
        <f t="shared" si="7"/>
        <v>0</v>
      </c>
      <c r="X60" s="215">
        <f t="shared" si="7"/>
        <v>0</v>
      </c>
      <c r="Y60" s="215">
        <f t="shared" si="7"/>
        <v>0</v>
      </c>
    </row>
    <row r="61" spans="2:27" x14ac:dyDescent="0.3">
      <c r="H61" s="14"/>
      <c r="I61" s="14"/>
      <c r="J61" s="14"/>
      <c r="K61" s="14"/>
      <c r="L61" s="14"/>
      <c r="M61" s="14"/>
      <c r="N61" s="14"/>
      <c r="O61" s="14"/>
      <c r="P61" s="14"/>
      <c r="Q61" s="14"/>
      <c r="R61" s="14"/>
      <c r="S61" s="14"/>
      <c r="T61" s="14"/>
      <c r="U61" s="14"/>
      <c r="V61" s="14"/>
      <c r="W61" s="14"/>
      <c r="X61" s="14"/>
      <c r="Y61" s="14"/>
    </row>
    <row r="62" spans="2:27" x14ac:dyDescent="0.3">
      <c r="E62" t="s">
        <v>884</v>
      </c>
      <c r="G62" s="6" t="s">
        <v>277</v>
      </c>
      <c r="H62" s="89">
        <f>SUM( J60:Y60 )</f>
        <v>83172023.869775191</v>
      </c>
      <c r="I62" s="14"/>
      <c r="J62" s="14"/>
      <c r="K62" s="14"/>
      <c r="L62" s="14"/>
      <c r="M62" s="14"/>
      <c r="N62" s="14"/>
      <c r="O62" s="14"/>
      <c r="P62" s="14"/>
      <c r="Q62" s="14"/>
      <c r="R62" s="14"/>
      <c r="S62" s="14"/>
      <c r="T62" s="14"/>
      <c r="U62" s="14"/>
      <c r="V62" s="14"/>
      <c r="W62" s="14"/>
      <c r="X62" s="14"/>
      <c r="Y62" s="14"/>
    </row>
    <row r="63" spans="2:27" x14ac:dyDescent="0.3">
      <c r="H63" s="14"/>
      <c r="I63" s="14"/>
      <c r="J63" s="14"/>
      <c r="K63" s="14"/>
      <c r="L63" s="14"/>
      <c r="M63" s="14"/>
      <c r="N63" s="14"/>
      <c r="O63" s="14"/>
      <c r="P63" s="14"/>
      <c r="Q63" s="14"/>
      <c r="R63" s="14"/>
      <c r="S63" s="14"/>
      <c r="T63" s="14"/>
      <c r="U63" s="14"/>
      <c r="V63" s="14"/>
      <c r="W63" s="14"/>
      <c r="X63" s="14"/>
      <c r="Y63" s="14"/>
    </row>
    <row r="64" spans="2:27" x14ac:dyDescent="0.3">
      <c r="E64" t="s">
        <v>885</v>
      </c>
      <c r="G64" s="6" t="s">
        <v>55</v>
      </c>
      <c r="H64" s="201">
        <f>IF( ABS( IFERROR( H62, 0 ) - ( H30 + H31 ) ) &lt; 10^-check_decimals, 0, 1)</f>
        <v>0</v>
      </c>
      <c r="I64" s="14"/>
      <c r="J64" s="14"/>
      <c r="K64" s="14"/>
      <c r="L64" s="14"/>
      <c r="M64" s="14"/>
      <c r="N64" s="14"/>
      <c r="O64" s="14"/>
      <c r="P64" s="14"/>
      <c r="Q64" s="14"/>
      <c r="R64" s="14"/>
      <c r="S64" s="14"/>
      <c r="T64" s="14"/>
      <c r="U64" s="14"/>
      <c r="V64" s="14"/>
      <c r="W64" s="14"/>
      <c r="X64" s="14"/>
      <c r="Y64" s="14"/>
    </row>
    <row r="65" spans="2:27" x14ac:dyDescent="0.3">
      <c r="H65" s="14"/>
      <c r="I65" s="14"/>
      <c r="J65" s="14"/>
      <c r="K65" s="14"/>
      <c r="L65" s="14"/>
      <c r="M65" s="14"/>
      <c r="N65" s="14"/>
      <c r="O65" s="14"/>
      <c r="P65" s="14"/>
      <c r="Q65" s="14"/>
      <c r="R65" s="14"/>
      <c r="S65" s="14"/>
      <c r="T65" s="14"/>
      <c r="U65" s="14"/>
      <c r="V65" s="14"/>
      <c r="W65" s="14"/>
      <c r="X65" s="14"/>
      <c r="Y65" s="14"/>
    </row>
    <row r="66" spans="2:27" x14ac:dyDescent="0.3">
      <c r="E66" t="s">
        <v>232</v>
      </c>
      <c r="G66" s="6" t="s">
        <v>55</v>
      </c>
      <c r="H66" s="103">
        <f t="array" ref="H66">SUM( IF( ISERROR( H20:Y57 ), 1 )) + H64</f>
        <v>0</v>
      </c>
      <c r="I66" s="14"/>
      <c r="J66" s="14"/>
      <c r="K66" s="14"/>
      <c r="L66" s="14"/>
      <c r="M66" s="14"/>
      <c r="N66" s="14"/>
      <c r="O66" s="14"/>
      <c r="P66" s="14"/>
      <c r="Q66" s="14"/>
      <c r="R66" s="14"/>
      <c r="S66" s="14"/>
      <c r="T66" s="14"/>
      <c r="U66" s="14"/>
      <c r="V66" s="14"/>
      <c r="W66" s="14"/>
      <c r="X66" s="14"/>
      <c r="Y66" s="14"/>
    </row>
    <row r="67" spans="2:27" x14ac:dyDescent="0.3">
      <c r="H67" s="14"/>
      <c r="I67" s="14"/>
      <c r="J67" s="14"/>
      <c r="K67" s="14"/>
      <c r="L67" s="14"/>
      <c r="M67" s="14"/>
      <c r="N67" s="14"/>
      <c r="O67" s="14"/>
      <c r="P67" s="14"/>
      <c r="Q67" s="14"/>
      <c r="R67" s="14"/>
      <c r="S67" s="14"/>
      <c r="T67" s="14"/>
      <c r="U67" s="14"/>
      <c r="V67" s="14"/>
      <c r="W67" s="14"/>
      <c r="X67" s="14"/>
      <c r="Y67" s="14"/>
    </row>
    <row r="68" spans="2:27" x14ac:dyDescent="0.3">
      <c r="B68" s="30" t="s">
        <v>106</v>
      </c>
      <c r="C68" s="30"/>
      <c r="D68" s="30"/>
      <c r="E68" s="30"/>
      <c r="F68" s="30"/>
      <c r="G68" s="30"/>
      <c r="H68" s="200"/>
      <c r="I68" s="200"/>
      <c r="J68" s="200"/>
      <c r="K68" s="200"/>
      <c r="L68" s="200"/>
      <c r="M68" s="200"/>
      <c r="N68" s="200"/>
      <c r="O68" s="200"/>
      <c r="P68" s="200"/>
      <c r="Q68" s="200"/>
      <c r="R68" s="200"/>
      <c r="S68" s="200"/>
      <c r="T68" s="200"/>
      <c r="U68" s="200"/>
      <c r="V68" s="200"/>
      <c r="W68" s="200"/>
      <c r="X68" s="200"/>
      <c r="Y68" s="200"/>
      <c r="Z68" s="30"/>
      <c r="AA68" s="30"/>
    </row>
    <row r="69" spans="2:27" x14ac:dyDescent="0.3">
      <c r="H69" s="14"/>
      <c r="I69" s="14"/>
      <c r="J69" s="14"/>
      <c r="K69" s="14"/>
      <c r="L69" s="14"/>
      <c r="M69" s="14"/>
      <c r="N69" s="14"/>
      <c r="O69" s="14"/>
      <c r="P69" s="14"/>
      <c r="Q69" s="14"/>
      <c r="R69" s="14"/>
      <c r="S69" s="14"/>
      <c r="T69" s="14"/>
      <c r="U69" s="14"/>
      <c r="V69" s="14"/>
      <c r="W69" s="14"/>
      <c r="X69" s="14"/>
      <c r="Y69" s="14"/>
    </row>
    <row r="70" spans="2:27" x14ac:dyDescent="0.3">
      <c r="H70" s="14"/>
      <c r="I70" s="14"/>
      <c r="J70" s="14"/>
      <c r="K70" s="14"/>
      <c r="L70" s="14"/>
      <c r="M70" s="14"/>
      <c r="N70" s="14"/>
      <c r="O70" s="14"/>
      <c r="P70" s="14"/>
      <c r="Q70" s="14"/>
      <c r="R70" s="14"/>
      <c r="S70" s="14"/>
      <c r="T70" s="14"/>
      <c r="U70" s="14"/>
      <c r="V70" s="14"/>
      <c r="W70" s="14"/>
      <c r="X70" s="14"/>
      <c r="Y70" s="14"/>
    </row>
    <row r="71" spans="2:27" x14ac:dyDescent="0.3">
      <c r="H71" s="14"/>
      <c r="I71" s="14"/>
      <c r="J71" s="14"/>
      <c r="K71" s="14"/>
      <c r="L71" s="14"/>
      <c r="M71" s="14"/>
      <c r="N71" s="14"/>
      <c r="O71" s="14"/>
      <c r="P71" s="14"/>
      <c r="Q71" s="14"/>
      <c r="R71" s="14"/>
      <c r="S71" s="14"/>
      <c r="T71" s="14"/>
      <c r="U71" s="14"/>
      <c r="V71" s="14"/>
      <c r="W71" s="14"/>
      <c r="X71" s="14"/>
      <c r="Y71" s="14"/>
    </row>
    <row r="72" spans="2:27" x14ac:dyDescent="0.3">
      <c r="H72" s="14"/>
      <c r="I72" s="14"/>
      <c r="J72" s="14"/>
      <c r="K72" s="14"/>
      <c r="L72" s="14"/>
      <c r="M72" s="14"/>
      <c r="N72" s="14"/>
      <c r="O72" s="14"/>
      <c r="P72" s="14"/>
      <c r="Q72" s="14"/>
      <c r="R72" s="14"/>
      <c r="S72" s="14"/>
      <c r="T72" s="14"/>
      <c r="U72" s="14"/>
      <c r="V72" s="14"/>
      <c r="W72" s="14"/>
      <c r="X72" s="14"/>
      <c r="Y72" s="14"/>
    </row>
    <row r="73" spans="2:27" x14ac:dyDescent="0.3">
      <c r="H73" s="14"/>
      <c r="I73" s="14"/>
      <c r="J73" s="14"/>
      <c r="K73" s="14"/>
      <c r="L73" s="14"/>
      <c r="M73" s="14"/>
      <c r="N73" s="14"/>
      <c r="O73" s="14"/>
      <c r="P73" s="14"/>
      <c r="Q73" s="14"/>
      <c r="R73" s="14"/>
      <c r="S73" s="14"/>
      <c r="T73" s="14"/>
      <c r="U73" s="14"/>
      <c r="V73" s="14"/>
      <c r="W73" s="14"/>
      <c r="X73" s="14"/>
      <c r="Y73" s="14"/>
    </row>
    <row r="74" spans="2:27" x14ac:dyDescent="0.3">
      <c r="H74" s="14"/>
      <c r="I74" s="14"/>
      <c r="J74" s="14"/>
      <c r="K74" s="14"/>
      <c r="L74" s="14"/>
      <c r="M74" s="14"/>
      <c r="N74" s="14"/>
      <c r="O74" s="14"/>
      <c r="P74" s="14"/>
      <c r="Q74" s="14"/>
      <c r="R74" s="14"/>
      <c r="S74" s="14"/>
      <c r="T74" s="14"/>
      <c r="U74" s="14"/>
      <c r="V74" s="14"/>
      <c r="W74" s="14"/>
      <c r="X74" s="14"/>
      <c r="Y74" s="14"/>
    </row>
    <row r="75" spans="2:27" x14ac:dyDescent="0.3">
      <c r="H75" s="14"/>
      <c r="I75" s="14"/>
      <c r="J75" s="14"/>
      <c r="K75" s="14"/>
      <c r="L75" s="14"/>
      <c r="M75" s="14"/>
      <c r="N75" s="14"/>
      <c r="O75" s="14"/>
      <c r="P75" s="14"/>
      <c r="Q75" s="14"/>
      <c r="R75" s="14"/>
      <c r="S75" s="14"/>
      <c r="T75" s="14"/>
      <c r="U75" s="14"/>
      <c r="V75" s="14"/>
      <c r="W75" s="14"/>
      <c r="X75" s="14"/>
      <c r="Y75" s="14"/>
    </row>
    <row r="76" spans="2:27" x14ac:dyDescent="0.3">
      <c r="H76" s="14"/>
      <c r="I76" s="14"/>
      <c r="J76" s="14"/>
      <c r="K76" s="14"/>
      <c r="L76" s="14"/>
      <c r="M76" s="14"/>
      <c r="N76" s="14"/>
      <c r="O76" s="14"/>
      <c r="P76" s="14"/>
      <c r="Q76" s="14"/>
      <c r="R76" s="14"/>
      <c r="S76" s="14"/>
      <c r="T76" s="14"/>
      <c r="U76" s="14"/>
      <c r="V76" s="14"/>
      <c r="W76" s="14"/>
      <c r="X76" s="14"/>
      <c r="Y76" s="14"/>
    </row>
  </sheetData>
  <sheetProtection sheet="1" objects="1" formatCells="0" formatColumns="0" formatRows="0" sort="0" autoFilter="0"/>
  <conditionalFormatting sqref="A4:XFD4">
    <cfRule type="expression" dxfId="39" priority="3">
      <formula>LEFT($A$4,1) &lt;&gt; "0"</formula>
    </cfRule>
  </conditionalFormatting>
  <conditionalFormatting sqref="H64">
    <cfRule type="cellIs" dxfId="38" priority="2" operator="greaterThan">
      <formula>0</formula>
    </cfRule>
  </conditionalFormatting>
  <conditionalFormatting sqref="H66">
    <cfRule type="cellIs" dxfId="37"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PM434"/>
  <sheetViews>
    <sheetView showGridLines="0" zoomScale="80" zoomScaleNormal="80" zoomScaleSheetLayoutView="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45" width="24.5546875" hidden="1" customWidth="1"/>
    <col min="46" max="46" width="3.5546875" hidden="1" customWidth="1"/>
    <col min="47" max="47" width="15.44140625" hidden="1" customWidth="1"/>
    <col min="48" max="429" width="24.5546875" hidden="1" customWidth="1"/>
    <col min="430" max="16384" width="8.5546875" hidden="1"/>
  </cols>
  <sheetData>
    <row r="1" spans="1:43" s="1" customFormat="1" x14ac:dyDescent="0.3">
      <c r="A1" s="1" t="str">
        <f ca="1">MID(CELL("filename",A1),FIND("]",CELL("filename",A1))+1,255)</f>
        <v>Revenue matching</v>
      </c>
    </row>
    <row r="2" spans="1:43" s="1" customFormat="1" x14ac:dyDescent="0.3">
      <c r="A2" s="1" t="str">
        <f>Cover!D21&amp;" - "&amp;Cover!D23</f>
        <v>WPD Mid West - April 22 Pricing</v>
      </c>
    </row>
    <row r="3" spans="1:43" s="5" customFormat="1" x14ac:dyDescent="0.3">
      <c r="A3" s="5" t="str">
        <f>Cover!D2&amp;" - "&amp;Cover!D8&amp;" v"&amp;Cover!D10&amp;" - "&amp;Cover!D19</f>
        <v>CDCM charging model - Release for charge setting v7 - 2022/23</v>
      </c>
    </row>
    <row r="4" spans="1:43" x14ac:dyDescent="0.3">
      <c r="A4" s="12" t="str">
        <f>H432 &amp; IF(H432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0" t="s">
        <v>143</v>
      </c>
      <c r="H5" s="114" t="s">
        <v>144</v>
      </c>
      <c r="J5" s="114" t="s">
        <v>913</v>
      </c>
      <c r="K5" s="114" t="s">
        <v>831</v>
      </c>
      <c r="L5" s="114" t="s">
        <v>914</v>
      </c>
      <c r="M5" s="114" t="s">
        <v>915</v>
      </c>
      <c r="N5" s="114" t="s">
        <v>916</v>
      </c>
      <c r="O5" s="114" t="s">
        <v>917</v>
      </c>
      <c r="P5" s="114" t="s">
        <v>918</v>
      </c>
      <c r="Q5" s="114" t="s">
        <v>832</v>
      </c>
      <c r="R5" s="114" t="s">
        <v>919</v>
      </c>
      <c r="S5" s="114" t="s">
        <v>920</v>
      </c>
      <c r="T5" s="114" t="s">
        <v>921</v>
      </c>
      <c r="U5" s="114" t="s">
        <v>922</v>
      </c>
      <c r="V5" s="114" t="s">
        <v>923</v>
      </c>
      <c r="W5" s="114" t="s">
        <v>924</v>
      </c>
      <c r="X5" s="114" t="s">
        <v>925</v>
      </c>
      <c r="Y5" s="114" t="s">
        <v>926</v>
      </c>
      <c r="Z5" s="114" t="s">
        <v>927</v>
      </c>
      <c r="AA5" s="114" t="s">
        <v>928</v>
      </c>
      <c r="AB5" s="114" t="s">
        <v>929</v>
      </c>
      <c r="AC5" s="114" t="s">
        <v>930</v>
      </c>
      <c r="AD5" s="114" t="s">
        <v>931</v>
      </c>
      <c r="AE5" s="114" t="s">
        <v>932</v>
      </c>
      <c r="AF5" s="114" t="s">
        <v>933</v>
      </c>
      <c r="AG5" s="114" t="s">
        <v>841</v>
      </c>
      <c r="AH5" s="114" t="s">
        <v>833</v>
      </c>
      <c r="AI5" s="114" t="s">
        <v>834</v>
      </c>
      <c r="AJ5" s="114" t="s">
        <v>835</v>
      </c>
      <c r="AK5" s="114" t="s">
        <v>844</v>
      </c>
      <c r="AL5" s="114" t="s">
        <v>836</v>
      </c>
      <c r="AM5" s="114" t="s">
        <v>843</v>
      </c>
      <c r="AN5" s="114" t="s">
        <v>837</v>
      </c>
      <c r="AO5" s="114" t="s">
        <v>842</v>
      </c>
      <c r="AQ5" s="61" t="s">
        <v>145</v>
      </c>
    </row>
    <row r="6" spans="1:43" x14ac:dyDescent="0.3">
      <c r="C6" s="88"/>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105"/>
      <c r="AQ7" s="105"/>
    </row>
    <row r="9" spans="1:43" x14ac:dyDescent="0.3">
      <c r="D9" s="29" t="s">
        <v>730</v>
      </c>
      <c r="J9" s="181"/>
      <c r="K9" s="181"/>
      <c r="L9" s="181"/>
      <c r="M9" s="181"/>
      <c r="N9" s="181"/>
      <c r="O9" s="181"/>
      <c r="P9" s="181"/>
      <c r="Q9" s="181"/>
      <c r="R9" s="181"/>
      <c r="S9" s="181"/>
      <c r="T9" s="181"/>
      <c r="U9" s="181"/>
      <c r="V9" s="181"/>
      <c r="W9" s="181"/>
      <c r="X9" s="181"/>
      <c r="Y9" s="181"/>
      <c r="Z9" s="181"/>
      <c r="AA9" s="181"/>
      <c r="AB9" s="181"/>
      <c r="AC9" s="181"/>
      <c r="AD9" s="181"/>
      <c r="AE9" s="181"/>
      <c r="AF9" s="181"/>
      <c r="AG9" s="181"/>
      <c r="AH9" s="181"/>
      <c r="AI9" s="181"/>
      <c r="AJ9" s="181"/>
      <c r="AK9" s="181"/>
      <c r="AL9" s="181"/>
      <c r="AM9" s="181"/>
      <c r="AO9" s="181"/>
    </row>
    <row r="10" spans="1:43" x14ac:dyDescent="0.3">
      <c r="D10" s="29" t="s">
        <v>731</v>
      </c>
      <c r="E10"/>
    </row>
    <row r="11" spans="1:43" x14ac:dyDescent="0.3">
      <c r="D11" s="29" t="s">
        <v>732</v>
      </c>
    </row>
    <row r="13" spans="1:43" x14ac:dyDescent="0.3">
      <c r="B13" s="30" t="s">
        <v>733</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105"/>
      <c r="AQ13" s="105"/>
    </row>
    <row r="14" spans="1:43" x14ac:dyDescent="0.3">
      <c r="C14" s="88"/>
    </row>
    <row r="15" spans="1:43" x14ac:dyDescent="0.3">
      <c r="C15" s="31" t="str">
        <f ca="1">INDEX('Version control'!$H$34:$H$57,MATCH($A$1,'Version control'!$F$34:$F$57,0),1)&amp;"-A: Inputs to revenue matching"</f>
        <v>Section 116-A: Inputs to revenue matching</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row>
    <row r="16" spans="1:43" x14ac:dyDescent="0.3">
      <c r="C16" s="29"/>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row>
    <row r="17" spans="1:43" x14ac:dyDescent="0.3">
      <c r="D17" s="29" t="s">
        <v>1033</v>
      </c>
      <c r="F17" s="2"/>
    </row>
    <row r="18" spans="1:43" x14ac:dyDescent="0.3">
      <c r="D18" s="88"/>
      <c r="F18" s="2"/>
    </row>
    <row r="19" spans="1:43" ht="43.2" x14ac:dyDescent="0.3">
      <c r="D19"/>
      <c r="E19" s="32" t="s">
        <v>734</v>
      </c>
      <c r="F19" s="32"/>
      <c r="J19" s="236" t="s">
        <v>829</v>
      </c>
      <c r="K19" s="236" t="s">
        <v>831</v>
      </c>
      <c r="L19" s="236" t="s">
        <v>830</v>
      </c>
      <c r="M19" s="236" t="s">
        <v>832</v>
      </c>
      <c r="N19" s="236" t="s">
        <v>838</v>
      </c>
      <c r="O19" s="236" t="s">
        <v>839</v>
      </c>
      <c r="P19" s="236" t="s">
        <v>840</v>
      </c>
      <c r="Q19" s="236" t="s">
        <v>841</v>
      </c>
      <c r="R19" s="236" t="s">
        <v>833</v>
      </c>
      <c r="S19" s="236" t="s">
        <v>834</v>
      </c>
      <c r="T19" s="236" t="s">
        <v>835</v>
      </c>
      <c r="U19" s="236" t="s">
        <v>844</v>
      </c>
      <c r="V19" s="236" t="s">
        <v>836</v>
      </c>
      <c r="W19" s="236" t="s">
        <v>843</v>
      </c>
      <c r="X19" s="236" t="s">
        <v>837</v>
      </c>
      <c r="Y19" s="236" t="s">
        <v>842</v>
      </c>
      <c r="Z19" s="163"/>
      <c r="AA19" s="163"/>
      <c r="AB19" s="163"/>
      <c r="AC19" s="163"/>
      <c r="AD19" s="163"/>
      <c r="AE19" s="163"/>
      <c r="AF19" s="163"/>
      <c r="AG19" s="163"/>
      <c r="AH19" s="163"/>
      <c r="AI19" s="163"/>
      <c r="AJ19" s="163"/>
      <c r="AK19" s="163"/>
      <c r="AL19" s="163"/>
      <c r="AM19" s="163"/>
      <c r="AN19" s="163"/>
      <c r="AO19" s="163"/>
    </row>
    <row r="20" spans="1:43" x14ac:dyDescent="0.3">
      <c r="D20"/>
      <c r="E20" s="88"/>
      <c r="F20" s="23" t="s">
        <v>156</v>
      </c>
      <c r="G20" s="23" t="s">
        <v>269</v>
      </c>
      <c r="H20" s="266"/>
      <c r="I20" s="266"/>
      <c r="J20" s="278">
        <f>'Unit rate charges'!J217</f>
        <v>6.0221483582302726</v>
      </c>
      <c r="K20" s="278">
        <f>'Unit rate charges'!K217</f>
        <v>6.0221483582302726</v>
      </c>
      <c r="L20" s="278">
        <f>'Unit rate charges'!L217</f>
        <v>6.8556231914876227</v>
      </c>
      <c r="M20" s="278">
        <f>'Unit rate charges'!M217</f>
        <v>6.8556231914876227</v>
      </c>
      <c r="N20" s="278">
        <f>'Unit rate charges'!N217</f>
        <v>4.2652239720587968</v>
      </c>
      <c r="O20" s="278">
        <f>'Unit rate charges'!O217</f>
        <v>1.887205166199178</v>
      </c>
      <c r="P20" s="278">
        <f>'Unit rate charges'!P217</f>
        <v>1.2836091007228583</v>
      </c>
      <c r="Q20" s="278">
        <f>'Unit rate charges'!Q217</f>
        <v>16.113495743027269</v>
      </c>
      <c r="R20" s="278">
        <f>'Unit rate charges'!R217</f>
        <v>-4.2026893264145153</v>
      </c>
      <c r="S20" s="278">
        <f>'Unit rate charges'!S217</f>
        <v>-3.4961132793592773</v>
      </c>
      <c r="T20" s="278">
        <f>'Unit rate charges'!T217</f>
        <v>-4.2026893264145153</v>
      </c>
      <c r="U20" s="278">
        <f>'Unit rate charges'!U217</f>
        <v>-4.2026893264145153</v>
      </c>
      <c r="V20" s="278">
        <f>'Unit rate charges'!V217</f>
        <v>-3.4961132793592773</v>
      </c>
      <c r="W20" s="278">
        <f>'Unit rate charges'!W217</f>
        <v>-3.4961132793592773</v>
      </c>
      <c r="X20" s="278">
        <f>'Unit rate charges'!X217</f>
        <v>-1.7998280217679377</v>
      </c>
      <c r="Y20" s="278">
        <f>'Unit rate charges'!Y217</f>
        <v>-1.7998280217679377</v>
      </c>
      <c r="Z20" s="163"/>
      <c r="AA20" s="163"/>
      <c r="AB20" s="163"/>
      <c r="AC20" s="163"/>
      <c r="AD20" s="163"/>
      <c r="AE20" s="163"/>
      <c r="AF20" s="163"/>
      <c r="AG20" s="163"/>
      <c r="AH20" s="163"/>
      <c r="AI20" s="163"/>
      <c r="AJ20" s="163"/>
      <c r="AK20" s="163"/>
      <c r="AL20" s="163"/>
      <c r="AM20" s="163"/>
      <c r="AN20" s="163"/>
      <c r="AO20" s="163"/>
      <c r="AP20" s="267"/>
      <c r="AQ20" s="267"/>
    </row>
    <row r="21" spans="1:43" x14ac:dyDescent="0.3">
      <c r="D21"/>
      <c r="E21" s="88"/>
      <c r="F21" t="s">
        <v>157</v>
      </c>
      <c r="G21" t="s">
        <v>269</v>
      </c>
      <c r="H21" s="267"/>
      <c r="I21" s="267"/>
      <c r="J21" s="342">
        <f>'Unit rate charges'!J218</f>
        <v>0.95141599957884027</v>
      </c>
      <c r="K21" s="342">
        <f>'Unit rate charges'!K218</f>
        <v>0.95141599957884027</v>
      </c>
      <c r="L21" s="342">
        <f>'Unit rate charges'!L218</f>
        <v>1.0830934748644838</v>
      </c>
      <c r="M21" s="342">
        <f>'Unit rate charges'!M218</f>
        <v>1.0830934748644838</v>
      </c>
      <c r="N21" s="342">
        <f>'Unit rate charges'!N218</f>
        <v>0.69123793373055742</v>
      </c>
      <c r="O21" s="342">
        <f>'Unit rate charges'!O218</f>
        <v>0.32804937533032308</v>
      </c>
      <c r="P21" s="342">
        <f>'Unit rate charges'!P218</f>
        <v>0.22373534796604991</v>
      </c>
      <c r="Q21" s="342">
        <f>'Unit rate charges'!Q218</f>
        <v>1.596605920411839</v>
      </c>
      <c r="R21" s="342">
        <f>'Unit rate charges'!R218</f>
        <v>-0.66396668241249179</v>
      </c>
      <c r="S21" s="342">
        <f>'Unit rate charges'!S218</f>
        <v>-0.56093505629734508</v>
      </c>
      <c r="T21" s="342">
        <f>'Unit rate charges'!T218</f>
        <v>-0.66396668241249179</v>
      </c>
      <c r="U21" s="342">
        <f>'Unit rate charges'!U218</f>
        <v>-0.66396668241249179</v>
      </c>
      <c r="V21" s="342">
        <f>'Unit rate charges'!V218</f>
        <v>-0.56093505629734508</v>
      </c>
      <c r="W21" s="342">
        <f>'Unit rate charges'!W218</f>
        <v>-0.56093505629734508</v>
      </c>
      <c r="X21" s="342">
        <f>'Unit rate charges'!X218</f>
        <v>-0.31311949231288227</v>
      </c>
      <c r="Y21" s="342">
        <f>'Unit rate charges'!Y218</f>
        <v>-0.31311949231288227</v>
      </c>
      <c r="Z21" s="163"/>
      <c r="AA21" s="163"/>
      <c r="AB21" s="163"/>
      <c r="AC21" s="163"/>
      <c r="AD21" s="163"/>
      <c r="AE21" s="163"/>
      <c r="AF21" s="163"/>
      <c r="AG21" s="163"/>
      <c r="AH21" s="163"/>
      <c r="AI21" s="163"/>
      <c r="AJ21" s="163"/>
      <c r="AK21" s="163"/>
      <c r="AL21" s="163"/>
      <c r="AM21" s="163"/>
      <c r="AN21" s="163"/>
      <c r="AO21" s="163"/>
      <c r="AP21" s="267"/>
      <c r="AQ21" s="267"/>
    </row>
    <row r="22" spans="1:43" x14ac:dyDescent="0.3">
      <c r="D22"/>
      <c r="E22" s="88"/>
      <c r="F22" t="s">
        <v>158</v>
      </c>
      <c r="G22" t="s">
        <v>269</v>
      </c>
      <c r="H22" s="267"/>
      <c r="I22" s="267"/>
      <c r="J22" s="342">
        <f>'Unit rate charges'!J219</f>
        <v>8.964018638578318E-2</v>
      </c>
      <c r="K22" s="342">
        <f>'Unit rate charges'!K219</f>
        <v>8.964018638578318E-2</v>
      </c>
      <c r="L22" s="342">
        <f>'Unit rate charges'!L219</f>
        <v>0.10204652959699627</v>
      </c>
      <c r="M22" s="342">
        <f>'Unit rate charges'!M219</f>
        <v>0.10204652959699627</v>
      </c>
      <c r="N22" s="342">
        <f>'Unit rate charges'!N219</f>
        <v>5.7596045435720597E-2</v>
      </c>
      <c r="O22" s="342">
        <f>'Unit rate charges'!O219</f>
        <v>1.7962266911247374E-2</v>
      </c>
      <c r="P22" s="342">
        <f>'Unit rate charges'!P219</f>
        <v>9.0275222938815628E-3</v>
      </c>
      <c r="Q22" s="342">
        <f>'Unit rate charges'!Q219</f>
        <v>0.96311671094885565</v>
      </c>
      <c r="R22" s="342">
        <f>'Unit rate charges'!R219</f>
        <v>-6.2557385194018711E-2</v>
      </c>
      <c r="S22" s="342">
        <f>'Unit rate charges'!S219</f>
        <v>-4.9127131689069681E-2</v>
      </c>
      <c r="T22" s="342">
        <f>'Unit rate charges'!T219</f>
        <v>-6.2557385194018711E-2</v>
      </c>
      <c r="U22" s="342">
        <f>'Unit rate charges'!U219</f>
        <v>-6.2557385194018711E-2</v>
      </c>
      <c r="V22" s="342">
        <f>'Unit rate charges'!V219</f>
        <v>-4.9127131689069681E-2</v>
      </c>
      <c r="W22" s="342">
        <f>'Unit rate charges'!W219</f>
        <v>-4.9127131689069681E-2</v>
      </c>
      <c r="X22" s="342">
        <f>'Unit rate charges'!X219</f>
        <v>-1.6727759883072124E-2</v>
      </c>
      <c r="Y22" s="342">
        <f>'Unit rate charges'!Y219</f>
        <v>-1.6727759883072124E-2</v>
      </c>
      <c r="Z22" s="163"/>
      <c r="AA22" s="163"/>
      <c r="AB22" s="163"/>
      <c r="AC22" s="163"/>
      <c r="AD22" s="163"/>
      <c r="AE22" s="163"/>
      <c r="AF22" s="163"/>
      <c r="AG22" s="163"/>
      <c r="AH22" s="163"/>
      <c r="AI22" s="163"/>
      <c r="AJ22" s="163"/>
      <c r="AK22" s="163"/>
      <c r="AL22" s="163"/>
      <c r="AM22" s="163"/>
      <c r="AN22" s="163"/>
      <c r="AO22" s="163"/>
      <c r="AP22" s="267"/>
      <c r="AQ22" s="267"/>
    </row>
    <row r="23" spans="1:43" x14ac:dyDescent="0.3">
      <c r="D23"/>
      <c r="E23" s="88"/>
      <c r="F23" t="s">
        <v>159</v>
      </c>
      <c r="G23" t="s">
        <v>270</v>
      </c>
      <c r="J23" s="124">
        <f>'Fixed charges'!J161</f>
        <v>4.7209162865901826</v>
      </c>
      <c r="K23" s="124">
        <f>'Fixed charges'!K161</f>
        <v>0</v>
      </c>
      <c r="L23" s="124">
        <f>'Fixed charges'!L161</f>
        <v>8.8455191726453233</v>
      </c>
      <c r="M23" s="124">
        <f>'Fixed charges'!M161</f>
        <v>0</v>
      </c>
      <c r="N23" s="124">
        <f>'Fixed charges'!N161</f>
        <v>12.488244880854381</v>
      </c>
      <c r="O23" s="124">
        <f>'Fixed charges'!O161</f>
        <v>9.7484171632986918</v>
      </c>
      <c r="P23" s="124">
        <f>'Fixed charges'!P161</f>
        <v>89.995785082794086</v>
      </c>
      <c r="Q23" s="124">
        <f>'Fixed charges'!Q161</f>
        <v>0</v>
      </c>
      <c r="R23" s="124">
        <f>'Fixed charges'!R161</f>
        <v>0</v>
      </c>
      <c r="S23" s="124">
        <f>'Fixed charges'!S161</f>
        <v>0</v>
      </c>
      <c r="T23" s="124">
        <f>'Fixed charges'!T161</f>
        <v>0</v>
      </c>
      <c r="U23" s="124">
        <f>'Fixed charges'!U161</f>
        <v>0</v>
      </c>
      <c r="V23" s="124">
        <f>'Fixed charges'!V161</f>
        <v>0</v>
      </c>
      <c r="W23" s="124">
        <f>'Fixed charges'!W161</f>
        <v>0</v>
      </c>
      <c r="X23" s="124">
        <f>'Fixed charges'!X161</f>
        <v>56.323203629083082</v>
      </c>
      <c r="Y23" s="124">
        <f>'Fixed charges'!Y161</f>
        <v>56.323203629083082</v>
      </c>
      <c r="Z23" s="163"/>
      <c r="AA23" s="163"/>
      <c r="AB23" s="163"/>
      <c r="AC23" s="163"/>
      <c r="AD23" s="163"/>
      <c r="AE23" s="163"/>
      <c r="AF23" s="163"/>
      <c r="AG23" s="163"/>
      <c r="AH23" s="163"/>
      <c r="AI23" s="163"/>
      <c r="AJ23" s="163"/>
      <c r="AK23" s="163"/>
      <c r="AL23" s="163"/>
      <c r="AM23" s="163"/>
      <c r="AN23" s="163"/>
      <c r="AO23" s="163"/>
    </row>
    <row r="24" spans="1:43" x14ac:dyDescent="0.3">
      <c r="D24"/>
      <c r="E24" s="88"/>
      <c r="F24" t="s">
        <v>160</v>
      </c>
      <c r="G24" t="s">
        <v>271</v>
      </c>
      <c r="J24" s="124">
        <f>'Capacity charges'!J256</f>
        <v>0</v>
      </c>
      <c r="K24" s="124">
        <f>'Capacity charges'!K256</f>
        <v>0</v>
      </c>
      <c r="L24" s="124">
        <f>'Capacity charges'!L256</f>
        <v>0</v>
      </c>
      <c r="M24" s="124">
        <f>'Capacity charges'!M256</f>
        <v>0</v>
      </c>
      <c r="N24" s="124">
        <f>'Capacity charges'!N256</f>
        <v>4.3379810793048295</v>
      </c>
      <c r="O24" s="124">
        <f>'Capacity charges'!O256</f>
        <v>4.8971441833049472</v>
      </c>
      <c r="P24" s="124">
        <f>'Capacity charges'!P256</f>
        <v>5.1847879034973312</v>
      </c>
      <c r="Q24" s="124">
        <f>'Capacity charges'!Q256</f>
        <v>0</v>
      </c>
      <c r="R24" s="124">
        <f>'Capacity charges'!R256</f>
        <v>0</v>
      </c>
      <c r="S24" s="124">
        <f>'Capacity charges'!S256</f>
        <v>0</v>
      </c>
      <c r="T24" s="124">
        <f>'Capacity charges'!T256</f>
        <v>0</v>
      </c>
      <c r="U24" s="124">
        <f>'Capacity charges'!U256</f>
        <v>0</v>
      </c>
      <c r="V24" s="124">
        <f>'Capacity charges'!V256</f>
        <v>0</v>
      </c>
      <c r="W24" s="124">
        <f>'Capacity charges'!W256</f>
        <v>0</v>
      </c>
      <c r="X24" s="124">
        <f>'Capacity charges'!X256</f>
        <v>0</v>
      </c>
      <c r="Y24" s="124">
        <f>'Capacity charges'!Y256</f>
        <v>0</v>
      </c>
      <c r="Z24" s="163"/>
      <c r="AA24" s="163"/>
      <c r="AB24" s="163"/>
      <c r="AC24" s="163"/>
      <c r="AD24" s="163"/>
      <c r="AE24" s="163"/>
      <c r="AF24" s="163"/>
      <c r="AG24" s="163"/>
      <c r="AH24" s="163"/>
      <c r="AI24" s="163"/>
      <c r="AJ24" s="163"/>
      <c r="AK24" s="163"/>
      <c r="AL24" s="163"/>
      <c r="AM24" s="163"/>
      <c r="AN24" s="163"/>
      <c r="AO24" s="163"/>
    </row>
    <row r="25" spans="1:43" x14ac:dyDescent="0.3">
      <c r="D25"/>
      <c r="E25" s="88"/>
      <c r="F25" t="s">
        <v>161</v>
      </c>
      <c r="G25" t="s">
        <v>271</v>
      </c>
      <c r="J25" s="125">
        <f>'Capacity charges'!J257</f>
        <v>0</v>
      </c>
      <c r="K25" s="125">
        <f>'Capacity charges'!K257</f>
        <v>0</v>
      </c>
      <c r="L25" s="125">
        <f>'Capacity charges'!L257</f>
        <v>0</v>
      </c>
      <c r="M25" s="125">
        <f>'Capacity charges'!M257</f>
        <v>0</v>
      </c>
      <c r="N25" s="125">
        <f>'Capacity charges'!N257</f>
        <v>7.8549236543849785</v>
      </c>
      <c r="O25" s="125">
        <f>'Capacity charges'!O257</f>
        <v>6.7662485707310376</v>
      </c>
      <c r="P25" s="125">
        <f>'Capacity charges'!P257</f>
        <v>6.840016635421688</v>
      </c>
      <c r="Q25" s="125">
        <f>'Capacity charges'!Q257</f>
        <v>0</v>
      </c>
      <c r="R25" s="125">
        <f>'Capacity charges'!R257</f>
        <v>0</v>
      </c>
      <c r="S25" s="125">
        <f>'Capacity charges'!S257</f>
        <v>0</v>
      </c>
      <c r="T25" s="125">
        <f>'Capacity charges'!T257</f>
        <v>0</v>
      </c>
      <c r="U25" s="125">
        <f>'Capacity charges'!U257</f>
        <v>0</v>
      </c>
      <c r="V25" s="125">
        <f>'Capacity charges'!V257</f>
        <v>0</v>
      </c>
      <c r="W25" s="125">
        <f>'Capacity charges'!W257</f>
        <v>0</v>
      </c>
      <c r="X25" s="125">
        <f>'Capacity charges'!X257</f>
        <v>0</v>
      </c>
      <c r="Y25" s="125">
        <f>'Capacity charges'!Y257</f>
        <v>0</v>
      </c>
      <c r="Z25" s="163"/>
      <c r="AA25" s="163"/>
      <c r="AB25" s="163"/>
      <c r="AC25" s="163"/>
      <c r="AD25" s="163"/>
      <c r="AE25" s="163"/>
      <c r="AF25" s="163"/>
      <c r="AG25" s="163"/>
      <c r="AH25" s="163"/>
      <c r="AI25" s="163"/>
      <c r="AJ25" s="163"/>
      <c r="AK25" s="163"/>
      <c r="AL25" s="163"/>
      <c r="AM25" s="163"/>
      <c r="AN25" s="163"/>
      <c r="AO25" s="163"/>
    </row>
    <row r="26" spans="1:43" x14ac:dyDescent="0.3">
      <c r="D26"/>
      <c r="E26" s="88"/>
      <c r="F26" s="37" t="s">
        <v>162</v>
      </c>
      <c r="G26" s="37" t="s">
        <v>272</v>
      </c>
      <c r="H26" s="269"/>
      <c r="I26" s="269"/>
      <c r="J26" s="283">
        <f>'Reactive power charges'!J250</f>
        <v>0</v>
      </c>
      <c r="K26" s="283">
        <f>'Reactive power charges'!K250</f>
        <v>0</v>
      </c>
      <c r="L26" s="283">
        <f>'Reactive power charges'!L250</f>
        <v>0</v>
      </c>
      <c r="M26" s="283">
        <f>'Reactive power charges'!M250</f>
        <v>0</v>
      </c>
      <c r="N26" s="283">
        <f>'Reactive power charges'!N250</f>
        <v>0.21808178761874586</v>
      </c>
      <c r="O26" s="283">
        <f>'Reactive power charges'!O250</f>
        <v>0.13269223171545519</v>
      </c>
      <c r="P26" s="283">
        <f>'Reactive power charges'!P250</f>
        <v>5.8701869092401909E-2</v>
      </c>
      <c r="Q26" s="283">
        <f>'Reactive power charges'!Q250</f>
        <v>0</v>
      </c>
      <c r="R26" s="283">
        <f>'Reactive power charges'!R250</f>
        <v>0</v>
      </c>
      <c r="S26" s="283">
        <f>'Reactive power charges'!S250</f>
        <v>0</v>
      </c>
      <c r="T26" s="283">
        <f>'Reactive power charges'!T250</f>
        <v>0.21538700524373391</v>
      </c>
      <c r="U26" s="283">
        <f>'Reactive power charges'!U250</f>
        <v>0</v>
      </c>
      <c r="V26" s="283">
        <f>'Reactive power charges'!V250</f>
        <v>0.16741946552320405</v>
      </c>
      <c r="W26" s="283">
        <f>'Reactive power charges'!W250</f>
        <v>0</v>
      </c>
      <c r="X26" s="283">
        <f>'Reactive power charges'!X250</f>
        <v>0.13034882474051146</v>
      </c>
      <c r="Y26" s="283">
        <f>'Reactive power charges'!Y250</f>
        <v>0</v>
      </c>
      <c r="Z26" s="163"/>
      <c r="AA26" s="163"/>
      <c r="AB26" s="163"/>
      <c r="AC26" s="163"/>
      <c r="AD26" s="163"/>
      <c r="AE26" s="163"/>
      <c r="AF26" s="163"/>
      <c r="AG26" s="163"/>
      <c r="AH26" s="163"/>
      <c r="AI26" s="163"/>
      <c r="AJ26" s="163"/>
      <c r="AK26" s="163"/>
      <c r="AL26" s="163"/>
      <c r="AM26" s="163"/>
      <c r="AN26" s="163"/>
      <c r="AO26" s="163"/>
      <c r="AP26" s="267"/>
      <c r="AQ26" s="267"/>
    </row>
    <row r="27" spans="1:43" x14ac:dyDescent="0.3">
      <c r="D27"/>
      <c r="E27" s="88"/>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3"/>
      <c r="AL27" s="163"/>
      <c r="AM27" s="163"/>
      <c r="AN27" s="163"/>
      <c r="AO27" s="163"/>
    </row>
    <row r="28" spans="1:43" ht="43.2" x14ac:dyDescent="0.3">
      <c r="D28"/>
      <c r="E28" s="88"/>
      <c r="J28" s="236" t="s">
        <v>829</v>
      </c>
      <c r="K28" s="236" t="s">
        <v>831</v>
      </c>
      <c r="L28" s="236" t="s">
        <v>830</v>
      </c>
      <c r="M28" s="236" t="s">
        <v>832</v>
      </c>
      <c r="N28" s="236" t="s">
        <v>838</v>
      </c>
      <c r="O28" s="236" t="s">
        <v>839</v>
      </c>
      <c r="P28" s="236" t="s">
        <v>840</v>
      </c>
      <c r="Q28" s="236" t="s">
        <v>841</v>
      </c>
      <c r="R28" s="236" t="s">
        <v>833</v>
      </c>
      <c r="S28" s="236" t="s">
        <v>834</v>
      </c>
      <c r="T28" s="236" t="s">
        <v>835</v>
      </c>
      <c r="U28" s="236" t="s">
        <v>844</v>
      </c>
      <c r="V28" s="236" t="s">
        <v>836</v>
      </c>
      <c r="W28" s="236" t="s">
        <v>843</v>
      </c>
      <c r="X28" s="236" t="s">
        <v>837</v>
      </c>
      <c r="Y28" s="236" t="s">
        <v>842</v>
      </c>
      <c r="Z28" s="163"/>
      <c r="AA28" s="163"/>
      <c r="AB28" s="163"/>
      <c r="AC28" s="163"/>
      <c r="AD28" s="163"/>
      <c r="AE28" s="163"/>
      <c r="AF28" s="163"/>
      <c r="AG28" s="163"/>
      <c r="AH28" s="163"/>
      <c r="AI28" s="163"/>
      <c r="AJ28" s="163"/>
      <c r="AK28" s="163"/>
      <c r="AL28" s="163"/>
      <c r="AM28" s="163"/>
      <c r="AN28" s="163"/>
      <c r="AO28" s="163"/>
    </row>
    <row r="29" spans="1:43" x14ac:dyDescent="0.3">
      <c r="D29"/>
      <c r="E29" s="28" t="s">
        <v>877</v>
      </c>
      <c r="F29" s="333"/>
      <c r="G29" t="s">
        <v>270</v>
      </c>
      <c r="J29" s="339">
        <f>'SoLR &amp; bad debt adders'!J46</f>
        <v>9.4185089559576216</v>
      </c>
      <c r="K29" s="339">
        <f>'SoLR &amp; bad debt adders'!K46</f>
        <v>0</v>
      </c>
      <c r="L29" s="339">
        <f>'SoLR &amp; bad debt adders'!L46</f>
        <v>6.7209034716197477E-2</v>
      </c>
      <c r="M29" s="339">
        <f>'SoLR &amp; bad debt adders'!M46</f>
        <v>0</v>
      </c>
      <c r="N29" s="339">
        <f>'SoLR &amp; bad debt adders'!N46</f>
        <v>6.7209034716197477E-2</v>
      </c>
      <c r="O29" s="339">
        <f>'SoLR &amp; bad debt adders'!O46</f>
        <v>6.7209034716197477E-2</v>
      </c>
      <c r="P29" s="339">
        <f>'SoLR &amp; bad debt adders'!P46</f>
        <v>6.7209034716197477E-2</v>
      </c>
      <c r="Q29" s="339">
        <f>'SoLR &amp; bad debt adders'!Q46</f>
        <v>0</v>
      </c>
      <c r="R29" s="339">
        <f>'SoLR &amp; bad debt adders'!R46</f>
        <v>0</v>
      </c>
      <c r="S29" s="339">
        <f>'SoLR &amp; bad debt adders'!S46</f>
        <v>0</v>
      </c>
      <c r="T29" s="339">
        <f>'SoLR &amp; bad debt adders'!T46</f>
        <v>0</v>
      </c>
      <c r="U29" s="339">
        <f>'SoLR &amp; bad debt adders'!U46</f>
        <v>0</v>
      </c>
      <c r="V29" s="339">
        <f>'SoLR &amp; bad debt adders'!V46</f>
        <v>0</v>
      </c>
      <c r="W29" s="339">
        <f>'SoLR &amp; bad debt adders'!W46</f>
        <v>0</v>
      </c>
      <c r="X29" s="339">
        <f>'SoLR &amp; bad debt adders'!X46</f>
        <v>0</v>
      </c>
      <c r="Y29" s="339">
        <f>'SoLR &amp; bad debt adders'!Y46</f>
        <v>0</v>
      </c>
      <c r="Z29" s="163"/>
      <c r="AA29" s="163"/>
      <c r="AB29" s="163"/>
      <c r="AC29" s="163"/>
      <c r="AD29" s="163"/>
      <c r="AE29" s="163"/>
      <c r="AF29" s="163"/>
      <c r="AG29" s="163"/>
      <c r="AH29" s="163"/>
      <c r="AI29" s="163"/>
      <c r="AJ29" s="163"/>
      <c r="AK29" s="163"/>
      <c r="AL29" s="163"/>
      <c r="AM29" s="163"/>
      <c r="AN29" s="163"/>
      <c r="AO29" s="163"/>
    </row>
    <row r="30" spans="1:43" x14ac:dyDescent="0.3">
      <c r="D30"/>
      <c r="E30" s="88"/>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3"/>
      <c r="AL30" s="163"/>
      <c r="AM30" s="163"/>
      <c r="AN30" s="163"/>
      <c r="AO30" s="163"/>
    </row>
    <row r="31" spans="1:43" x14ac:dyDescent="0.3">
      <c r="A31" s="320"/>
      <c r="D31"/>
      <c r="E31" s="379" t="str">
        <f>'Fixed inputs'!E163</f>
        <v>Flags for calculation of revenue matching</v>
      </c>
    </row>
    <row r="32" spans="1:43" x14ac:dyDescent="0.3">
      <c r="A32" s="320"/>
      <c r="C32" s="29"/>
      <c r="F32" s="431" t="s">
        <v>935</v>
      </c>
      <c r="G32" s="23" t="s">
        <v>912</v>
      </c>
      <c r="H32" s="23"/>
      <c r="I32" s="23"/>
      <c r="J32" s="147" t="b">
        <f>'Fixed inputs'!J164</f>
        <v>1</v>
      </c>
      <c r="K32" s="147" t="b">
        <f>'Fixed inputs'!K164</f>
        <v>0</v>
      </c>
      <c r="L32" s="147" t="b">
        <f>'Fixed inputs'!L164</f>
        <v>0</v>
      </c>
      <c r="M32" s="147" t="b">
        <f>'Fixed inputs'!M164</f>
        <v>1</v>
      </c>
      <c r="N32" s="147" t="b">
        <f>'Fixed inputs'!N164</f>
        <v>1</v>
      </c>
      <c r="O32" s="147" t="b">
        <f>'Fixed inputs'!O164</f>
        <v>1</v>
      </c>
      <c r="P32" s="147" t="b">
        <f>'Fixed inputs'!P164</f>
        <v>1</v>
      </c>
      <c r="Q32" s="147" t="b">
        <f>'Fixed inputs'!Q164</f>
        <v>0</v>
      </c>
      <c r="R32" s="147" t="b">
        <f>'Fixed inputs'!R164</f>
        <v>0</v>
      </c>
      <c r="S32" s="147" t="b">
        <f>'Fixed inputs'!S164</f>
        <v>1</v>
      </c>
      <c r="T32" s="147" t="b">
        <f>'Fixed inputs'!T164</f>
        <v>1</v>
      </c>
      <c r="U32" s="147" t="b">
        <f>'Fixed inputs'!U164</f>
        <v>1</v>
      </c>
      <c r="V32" s="147" t="b">
        <f>'Fixed inputs'!V164</f>
        <v>1</v>
      </c>
      <c r="W32" s="147" t="b">
        <f>'Fixed inputs'!W164</f>
        <v>0</v>
      </c>
      <c r="X32" s="147" t="b">
        <f>'Fixed inputs'!X164</f>
        <v>1</v>
      </c>
      <c r="Y32" s="147" t="b">
        <f>'Fixed inputs'!Y164</f>
        <v>1</v>
      </c>
      <c r="Z32" s="147" t="b">
        <f>'Fixed inputs'!Z164</f>
        <v>1</v>
      </c>
      <c r="AA32" s="147" t="b">
        <f>'Fixed inputs'!AA164</f>
        <v>1</v>
      </c>
      <c r="AB32" s="147" t="b">
        <f>'Fixed inputs'!AB164</f>
        <v>0</v>
      </c>
      <c r="AC32" s="147" t="b">
        <f>'Fixed inputs'!AC164</f>
        <v>1</v>
      </c>
      <c r="AD32" s="147" t="b">
        <f>'Fixed inputs'!AD164</f>
        <v>1</v>
      </c>
      <c r="AE32" s="147" t="b">
        <f>'Fixed inputs'!AE164</f>
        <v>1</v>
      </c>
      <c r="AF32" s="147" t="b">
        <f>'Fixed inputs'!AF164</f>
        <v>1</v>
      </c>
      <c r="AG32" s="147" t="b">
        <f>'Fixed inputs'!AG164</f>
        <v>1</v>
      </c>
      <c r="AH32" s="147" t="b">
        <f>'Fixed inputs'!AH164</f>
        <v>0</v>
      </c>
      <c r="AI32" s="147" t="b">
        <f>'Fixed inputs'!AI164</f>
        <v>0</v>
      </c>
      <c r="AJ32" s="147" t="b">
        <f>'Fixed inputs'!AJ164</f>
        <v>0</v>
      </c>
      <c r="AK32" s="147" t="b">
        <f>'Fixed inputs'!AK164</f>
        <v>0</v>
      </c>
      <c r="AL32" s="147" t="b">
        <f>'Fixed inputs'!AL164</f>
        <v>0</v>
      </c>
      <c r="AM32" s="147" t="b">
        <f>'Fixed inputs'!AM164</f>
        <v>0</v>
      </c>
      <c r="AN32" s="147" t="b">
        <f>'Fixed inputs'!AN164</f>
        <v>0</v>
      </c>
      <c r="AO32" s="147" t="b">
        <f>'Fixed inputs'!AO164</f>
        <v>0</v>
      </c>
    </row>
    <row r="33" spans="1:43" x14ac:dyDescent="0.3">
      <c r="B33" s="320"/>
      <c r="C33" s="29"/>
      <c r="D33"/>
      <c r="F33" s="311" t="s">
        <v>947</v>
      </c>
      <c r="G33" s="311" t="s">
        <v>912</v>
      </c>
      <c r="H33" s="311"/>
      <c r="I33" s="311"/>
      <c r="J33" s="314" t="b">
        <f>'Fixed inputs'!J165</f>
        <v>1</v>
      </c>
      <c r="K33" s="371"/>
      <c r="L33" s="371"/>
      <c r="M33" s="314" t="b">
        <f>'Fixed inputs'!M165</f>
        <v>1</v>
      </c>
      <c r="N33" s="314" t="b">
        <f>'Fixed inputs'!N165</f>
        <v>1</v>
      </c>
      <c r="O33" s="314" t="b">
        <f>'Fixed inputs'!O165</f>
        <v>1</v>
      </c>
      <c r="P33" s="314" t="b">
        <f>'Fixed inputs'!P165</f>
        <v>1</v>
      </c>
      <c r="Q33" s="371"/>
      <c r="R33" s="371"/>
      <c r="S33" s="314" t="b">
        <f>'Fixed inputs'!S165</f>
        <v>1</v>
      </c>
      <c r="T33" s="314" t="b">
        <f>'Fixed inputs'!T165</f>
        <v>1</v>
      </c>
      <c r="U33" s="314" t="b">
        <f>'Fixed inputs'!U165</f>
        <v>1</v>
      </c>
      <c r="V33" s="314" t="b">
        <f>'Fixed inputs'!V165</f>
        <v>1</v>
      </c>
      <c r="W33" s="371"/>
      <c r="X33" s="314" t="b">
        <f>'Fixed inputs'!X165</f>
        <v>1</v>
      </c>
      <c r="Y33" s="314" t="b">
        <f>'Fixed inputs'!Y165</f>
        <v>1</v>
      </c>
      <c r="Z33" s="314" t="b">
        <f>'Fixed inputs'!Z165</f>
        <v>1</v>
      </c>
      <c r="AA33" s="314" t="b">
        <f>'Fixed inputs'!AA165</f>
        <v>1</v>
      </c>
      <c r="AB33" s="371"/>
      <c r="AC33" s="314" t="b">
        <f>'Fixed inputs'!AC165</f>
        <v>1</v>
      </c>
      <c r="AD33" s="314" t="b">
        <f>'Fixed inputs'!AD165</f>
        <v>1</v>
      </c>
      <c r="AE33" s="314" t="b">
        <f>'Fixed inputs'!AE165</f>
        <v>1</v>
      </c>
      <c r="AF33" s="314" t="b">
        <f>'Fixed inputs'!AF165</f>
        <v>1</v>
      </c>
      <c r="AG33" s="314" t="b">
        <f>'Fixed inputs'!AG165</f>
        <v>0</v>
      </c>
      <c r="AH33" s="371"/>
      <c r="AI33" s="371"/>
      <c r="AJ33" s="371"/>
      <c r="AK33" s="371"/>
      <c r="AL33" s="371"/>
      <c r="AM33" s="371"/>
      <c r="AN33" s="371"/>
      <c r="AO33" s="371"/>
    </row>
    <row r="34" spans="1:43" x14ac:dyDescent="0.3">
      <c r="B34" s="320"/>
      <c r="C34" s="29"/>
      <c r="D34"/>
      <c r="F34" s="311" t="s">
        <v>948</v>
      </c>
      <c r="G34" s="311" t="s">
        <v>912</v>
      </c>
      <c r="H34" s="311"/>
      <c r="I34" s="311"/>
      <c r="J34" s="314" t="b">
        <f>'Fixed inputs'!J166</f>
        <v>0</v>
      </c>
      <c r="K34" s="371"/>
      <c r="L34" s="371"/>
      <c r="M34" s="314" t="b">
        <f>'Fixed inputs'!M166</f>
        <v>0</v>
      </c>
      <c r="N34" s="314" t="b">
        <f>'Fixed inputs'!N166</f>
        <v>0</v>
      </c>
      <c r="O34" s="314" t="b">
        <f>'Fixed inputs'!O166</f>
        <v>0</v>
      </c>
      <c r="P34" s="314" t="b">
        <f>'Fixed inputs'!P166</f>
        <v>0</v>
      </c>
      <c r="Q34" s="371"/>
      <c r="R34" s="371"/>
      <c r="S34" s="314" t="b">
        <f>'Fixed inputs'!S166</f>
        <v>0</v>
      </c>
      <c r="T34" s="314" t="b">
        <f>'Fixed inputs'!T166</f>
        <v>0</v>
      </c>
      <c r="U34" s="314" t="b">
        <f>'Fixed inputs'!U166</f>
        <v>0</v>
      </c>
      <c r="V34" s="314" t="b">
        <f>'Fixed inputs'!V166</f>
        <v>0</v>
      </c>
      <c r="W34" s="371"/>
      <c r="X34" s="314" t="b">
        <f>'Fixed inputs'!X166</f>
        <v>0</v>
      </c>
      <c r="Y34" s="314" t="b">
        <f>'Fixed inputs'!Y166</f>
        <v>0</v>
      </c>
      <c r="Z34" s="314" t="b">
        <f>'Fixed inputs'!Z166</f>
        <v>0</v>
      </c>
      <c r="AA34" s="314" t="b">
        <f>'Fixed inputs'!AA166</f>
        <v>0</v>
      </c>
      <c r="AB34" s="371"/>
      <c r="AC34" s="314" t="b">
        <f>'Fixed inputs'!AC166</f>
        <v>0</v>
      </c>
      <c r="AD34" s="314" t="b">
        <f>'Fixed inputs'!AD166</f>
        <v>0</v>
      </c>
      <c r="AE34" s="314" t="b">
        <f>'Fixed inputs'!AE166</f>
        <v>0</v>
      </c>
      <c r="AF34" s="314" t="b">
        <f>'Fixed inputs'!AF166</f>
        <v>0</v>
      </c>
      <c r="AG34" s="314" t="b">
        <f>'Fixed inputs'!AG166</f>
        <v>1</v>
      </c>
      <c r="AH34" s="371"/>
      <c r="AI34" s="371"/>
      <c r="AJ34" s="371"/>
      <c r="AK34" s="371"/>
      <c r="AL34" s="371"/>
      <c r="AM34" s="371"/>
      <c r="AN34" s="371"/>
      <c r="AO34" s="371"/>
    </row>
    <row r="35" spans="1:43" x14ac:dyDescent="0.3">
      <c r="A35" s="320"/>
      <c r="F35" s="432" t="s">
        <v>945</v>
      </c>
      <c r="G35" s="311" t="s">
        <v>149</v>
      </c>
      <c r="H35" s="311"/>
      <c r="I35" s="311"/>
      <c r="J35" s="314">
        <f>'Fixed inputs'!J167</f>
        <v>1</v>
      </c>
      <c r="K35" s="371"/>
      <c r="L35" s="371"/>
      <c r="M35" s="314">
        <f>'Fixed inputs'!M167</f>
        <v>2</v>
      </c>
      <c r="N35" s="314">
        <f>'Fixed inputs'!N167</f>
        <v>2</v>
      </c>
      <c r="O35" s="314">
        <f>'Fixed inputs'!O167</f>
        <v>2</v>
      </c>
      <c r="P35" s="314">
        <f>'Fixed inputs'!P167</f>
        <v>2</v>
      </c>
      <c r="Q35" s="371"/>
      <c r="R35" s="371"/>
      <c r="S35" s="314">
        <f>'Fixed inputs'!S167</f>
        <v>3</v>
      </c>
      <c r="T35" s="314">
        <f>'Fixed inputs'!T167</f>
        <v>3</v>
      </c>
      <c r="U35" s="314">
        <f>'Fixed inputs'!U167</f>
        <v>3</v>
      </c>
      <c r="V35" s="314">
        <f>'Fixed inputs'!V167</f>
        <v>3</v>
      </c>
      <c r="W35" s="371"/>
      <c r="X35" s="314">
        <f>'Fixed inputs'!X167</f>
        <v>3</v>
      </c>
      <c r="Y35" s="314">
        <f>'Fixed inputs'!Y167</f>
        <v>3</v>
      </c>
      <c r="Z35" s="314">
        <f>'Fixed inputs'!Z167</f>
        <v>3</v>
      </c>
      <c r="AA35" s="314">
        <f>'Fixed inputs'!AA167</f>
        <v>3</v>
      </c>
      <c r="AB35" s="371"/>
      <c r="AC35" s="314">
        <f>'Fixed inputs'!AC167</f>
        <v>4</v>
      </c>
      <c r="AD35" s="314">
        <f>'Fixed inputs'!AD167</f>
        <v>4</v>
      </c>
      <c r="AE35" s="314">
        <f>'Fixed inputs'!AE167</f>
        <v>4</v>
      </c>
      <c r="AF35" s="314">
        <f>'Fixed inputs'!AF167</f>
        <v>4</v>
      </c>
      <c r="AG35" s="314">
        <f>'Fixed inputs'!AG167</f>
        <v>5</v>
      </c>
      <c r="AH35" s="371"/>
      <c r="AI35" s="371"/>
      <c r="AJ35" s="371"/>
      <c r="AK35" s="371"/>
      <c r="AL35" s="371"/>
      <c r="AM35" s="371"/>
      <c r="AN35" s="371"/>
      <c r="AO35" s="371"/>
    </row>
    <row r="36" spans="1:43" x14ac:dyDescent="0.3">
      <c r="A36" s="320"/>
      <c r="B36" s="320"/>
      <c r="C36" s="29"/>
      <c r="F36" s="432" t="s">
        <v>944</v>
      </c>
      <c r="G36" s="311" t="s">
        <v>149</v>
      </c>
      <c r="H36" s="311"/>
      <c r="I36" s="311"/>
      <c r="J36" s="314">
        <f>'Fixed inputs'!J168</f>
        <v>1</v>
      </c>
      <c r="K36" s="371"/>
      <c r="L36" s="371"/>
      <c r="M36" s="314">
        <f>'Fixed inputs'!M168</f>
        <v>1</v>
      </c>
      <c r="N36" s="314">
        <f>'Fixed inputs'!N168</f>
        <v>2</v>
      </c>
      <c r="O36" s="314">
        <f>'Fixed inputs'!O168</f>
        <v>3</v>
      </c>
      <c r="P36" s="314">
        <f>'Fixed inputs'!P168</f>
        <v>4</v>
      </c>
      <c r="Q36" s="371"/>
      <c r="R36" s="371"/>
      <c r="S36" s="314">
        <f>'Fixed inputs'!S168</f>
        <v>1</v>
      </c>
      <c r="T36" s="314">
        <f>'Fixed inputs'!T168</f>
        <v>2</v>
      </c>
      <c r="U36" s="314">
        <f>'Fixed inputs'!U168</f>
        <v>3</v>
      </c>
      <c r="V36" s="314">
        <f>'Fixed inputs'!V168</f>
        <v>4</v>
      </c>
      <c r="W36" s="371"/>
      <c r="X36" s="314">
        <f>'Fixed inputs'!X168</f>
        <v>1</v>
      </c>
      <c r="Y36" s="314">
        <f>'Fixed inputs'!Y168</f>
        <v>2</v>
      </c>
      <c r="Z36" s="314">
        <f>'Fixed inputs'!Z168</f>
        <v>3</v>
      </c>
      <c r="AA36" s="314">
        <f>'Fixed inputs'!AA168</f>
        <v>4</v>
      </c>
      <c r="AB36" s="371"/>
      <c r="AC36" s="314">
        <f>'Fixed inputs'!AC168</f>
        <v>1</v>
      </c>
      <c r="AD36" s="314">
        <f>'Fixed inputs'!AD168</f>
        <v>2</v>
      </c>
      <c r="AE36" s="314">
        <f>'Fixed inputs'!AE168</f>
        <v>3</v>
      </c>
      <c r="AF36" s="314">
        <f>'Fixed inputs'!AF168</f>
        <v>4</v>
      </c>
      <c r="AG36" s="314">
        <f>'Fixed inputs'!AG168</f>
        <v>1</v>
      </c>
      <c r="AH36" s="371"/>
      <c r="AI36" s="371"/>
      <c r="AJ36" s="371"/>
      <c r="AK36" s="371"/>
      <c r="AL36" s="371"/>
      <c r="AM36" s="371"/>
      <c r="AN36" s="371"/>
      <c r="AO36" s="371"/>
    </row>
    <row r="37" spans="1:43" x14ac:dyDescent="0.3">
      <c r="D37" s="88"/>
      <c r="F37" s="67" t="s">
        <v>946</v>
      </c>
      <c r="G37" s="37" t="s">
        <v>149</v>
      </c>
      <c r="H37" s="37"/>
      <c r="I37" s="37"/>
      <c r="J37" s="211">
        <f>'Fixed inputs'!J169</f>
        <v>1</v>
      </c>
      <c r="K37" s="211">
        <f>'Fixed inputs'!K169</f>
        <v>2</v>
      </c>
      <c r="L37" s="211">
        <f>'Fixed inputs'!L169</f>
        <v>3</v>
      </c>
      <c r="M37" s="211">
        <f>'Fixed inputs'!M169</f>
        <v>3</v>
      </c>
      <c r="N37" s="211">
        <f>'Fixed inputs'!N169</f>
        <v>3</v>
      </c>
      <c r="O37" s="211">
        <f>'Fixed inputs'!O169</f>
        <v>3</v>
      </c>
      <c r="P37" s="211">
        <f>'Fixed inputs'!P169</f>
        <v>3</v>
      </c>
      <c r="Q37" s="211">
        <f>'Fixed inputs'!Q169</f>
        <v>4</v>
      </c>
      <c r="R37" s="211">
        <f>'Fixed inputs'!R169</f>
        <v>5</v>
      </c>
      <c r="S37" s="211">
        <f>'Fixed inputs'!S169</f>
        <v>5</v>
      </c>
      <c r="T37" s="211">
        <f>'Fixed inputs'!T169</f>
        <v>5</v>
      </c>
      <c r="U37" s="211">
        <f>'Fixed inputs'!U169</f>
        <v>5</v>
      </c>
      <c r="V37" s="211">
        <f>'Fixed inputs'!V169</f>
        <v>5</v>
      </c>
      <c r="W37" s="211">
        <f>'Fixed inputs'!W169</f>
        <v>6</v>
      </c>
      <c r="X37" s="211">
        <f>'Fixed inputs'!X169</f>
        <v>6</v>
      </c>
      <c r="Y37" s="211">
        <f>'Fixed inputs'!Y169</f>
        <v>6</v>
      </c>
      <c r="Z37" s="211">
        <f>'Fixed inputs'!Z169</f>
        <v>6</v>
      </c>
      <c r="AA37" s="211">
        <f>'Fixed inputs'!AA169</f>
        <v>6</v>
      </c>
      <c r="AB37" s="211">
        <f>'Fixed inputs'!AB169</f>
        <v>7</v>
      </c>
      <c r="AC37" s="211">
        <f>'Fixed inputs'!AC169</f>
        <v>7</v>
      </c>
      <c r="AD37" s="211">
        <f>'Fixed inputs'!AD169</f>
        <v>7</v>
      </c>
      <c r="AE37" s="211">
        <f>'Fixed inputs'!AE169</f>
        <v>7</v>
      </c>
      <c r="AF37" s="211">
        <f>'Fixed inputs'!AF169</f>
        <v>7</v>
      </c>
      <c r="AG37" s="211">
        <f>'Fixed inputs'!AG169</f>
        <v>8</v>
      </c>
      <c r="AH37" s="211">
        <f>'Fixed inputs'!AH169</f>
        <v>9</v>
      </c>
      <c r="AI37" s="211">
        <f>'Fixed inputs'!AI169</f>
        <v>10</v>
      </c>
      <c r="AJ37" s="211">
        <f>'Fixed inputs'!AJ169</f>
        <v>11</v>
      </c>
      <c r="AK37" s="211">
        <f>'Fixed inputs'!AK169</f>
        <v>12</v>
      </c>
      <c r="AL37" s="211">
        <f>'Fixed inputs'!AL169</f>
        <v>13</v>
      </c>
      <c r="AM37" s="211">
        <f>'Fixed inputs'!AM169</f>
        <v>14</v>
      </c>
      <c r="AN37" s="211">
        <f>'Fixed inputs'!AN169</f>
        <v>15</v>
      </c>
      <c r="AO37" s="211">
        <f>'Fixed inputs'!AO169</f>
        <v>16</v>
      </c>
    </row>
    <row r="38" spans="1:43" x14ac:dyDescent="0.3">
      <c r="A38" s="320"/>
      <c r="B38" s="320"/>
      <c r="C38" s="29"/>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c r="AG38" s="169"/>
      <c r="AH38" s="169"/>
      <c r="AI38" s="169"/>
      <c r="AJ38" s="169"/>
      <c r="AK38" s="169"/>
      <c r="AL38" s="169"/>
      <c r="AM38" s="169"/>
      <c r="AN38" s="169"/>
      <c r="AO38" s="169"/>
    </row>
    <row r="39" spans="1:43" x14ac:dyDescent="0.3">
      <c r="D39"/>
      <c r="E39" s="32" t="s">
        <v>734</v>
      </c>
      <c r="F39" s="32"/>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row>
    <row r="40" spans="1:43" x14ac:dyDescent="0.3">
      <c r="D40"/>
      <c r="E40" s="88"/>
      <c r="F40" s="23" t="s">
        <v>156</v>
      </c>
      <c r="G40" s="23" t="s">
        <v>269</v>
      </c>
      <c r="H40" s="266"/>
      <c r="I40" s="266"/>
      <c r="J40" s="274">
        <f t="shared" ref="J40:AO40" si="0">INDEX($J20:$Y20,J$37)</f>
        <v>6.0221483582302726</v>
      </c>
      <c r="K40" s="274">
        <f t="shared" si="0"/>
        <v>6.0221483582302726</v>
      </c>
      <c r="L40" s="274">
        <f t="shared" si="0"/>
        <v>6.8556231914876227</v>
      </c>
      <c r="M40" s="274">
        <f t="shared" si="0"/>
        <v>6.8556231914876227</v>
      </c>
      <c r="N40" s="274">
        <f t="shared" si="0"/>
        <v>6.8556231914876227</v>
      </c>
      <c r="O40" s="274">
        <f t="shared" si="0"/>
        <v>6.8556231914876227</v>
      </c>
      <c r="P40" s="274">
        <f t="shared" si="0"/>
        <v>6.8556231914876227</v>
      </c>
      <c r="Q40" s="274">
        <f t="shared" si="0"/>
        <v>6.8556231914876227</v>
      </c>
      <c r="R40" s="274">
        <f t="shared" si="0"/>
        <v>4.2652239720587968</v>
      </c>
      <c r="S40" s="274">
        <f t="shared" si="0"/>
        <v>4.2652239720587968</v>
      </c>
      <c r="T40" s="274">
        <f t="shared" si="0"/>
        <v>4.2652239720587968</v>
      </c>
      <c r="U40" s="274">
        <f t="shared" si="0"/>
        <v>4.2652239720587968</v>
      </c>
      <c r="V40" s="274">
        <f t="shared" si="0"/>
        <v>4.2652239720587968</v>
      </c>
      <c r="W40" s="274">
        <f t="shared" si="0"/>
        <v>1.887205166199178</v>
      </c>
      <c r="X40" s="274">
        <f t="shared" si="0"/>
        <v>1.887205166199178</v>
      </c>
      <c r="Y40" s="274">
        <f t="shared" si="0"/>
        <v>1.887205166199178</v>
      </c>
      <c r="Z40" s="274">
        <f t="shared" si="0"/>
        <v>1.887205166199178</v>
      </c>
      <c r="AA40" s="274">
        <f t="shared" si="0"/>
        <v>1.887205166199178</v>
      </c>
      <c r="AB40" s="274">
        <f t="shared" si="0"/>
        <v>1.2836091007228583</v>
      </c>
      <c r="AC40" s="274">
        <f t="shared" si="0"/>
        <v>1.2836091007228583</v>
      </c>
      <c r="AD40" s="274">
        <f t="shared" si="0"/>
        <v>1.2836091007228583</v>
      </c>
      <c r="AE40" s="274">
        <f t="shared" si="0"/>
        <v>1.2836091007228583</v>
      </c>
      <c r="AF40" s="274">
        <f t="shared" si="0"/>
        <v>1.2836091007228583</v>
      </c>
      <c r="AG40" s="274">
        <f t="shared" si="0"/>
        <v>16.113495743027269</v>
      </c>
      <c r="AH40" s="274">
        <f t="shared" si="0"/>
        <v>-4.2026893264145153</v>
      </c>
      <c r="AI40" s="274">
        <f t="shared" si="0"/>
        <v>-3.4961132793592773</v>
      </c>
      <c r="AJ40" s="274">
        <f t="shared" si="0"/>
        <v>-4.2026893264145153</v>
      </c>
      <c r="AK40" s="274">
        <f t="shared" si="0"/>
        <v>-4.2026893264145153</v>
      </c>
      <c r="AL40" s="274">
        <f t="shared" si="0"/>
        <v>-3.4961132793592773</v>
      </c>
      <c r="AM40" s="274">
        <f t="shared" si="0"/>
        <v>-3.4961132793592773</v>
      </c>
      <c r="AN40" s="274">
        <f t="shared" si="0"/>
        <v>-1.7998280217679377</v>
      </c>
      <c r="AO40" s="274">
        <f t="shared" si="0"/>
        <v>-1.7998280217679377</v>
      </c>
      <c r="AP40" s="267"/>
      <c r="AQ40" s="267"/>
    </row>
    <row r="41" spans="1:43" x14ac:dyDescent="0.3">
      <c r="D41"/>
      <c r="E41" s="88"/>
      <c r="F41" t="s">
        <v>157</v>
      </c>
      <c r="G41" t="s">
        <v>269</v>
      </c>
      <c r="H41" s="267"/>
      <c r="I41" s="267"/>
      <c r="J41" s="275">
        <f t="shared" ref="J41:AO41" si="1">INDEX($J21:$Y21,J$37)</f>
        <v>0.95141599957884027</v>
      </c>
      <c r="K41" s="275">
        <f t="shared" si="1"/>
        <v>0.95141599957884027</v>
      </c>
      <c r="L41" s="275">
        <f t="shared" si="1"/>
        <v>1.0830934748644838</v>
      </c>
      <c r="M41" s="275">
        <f t="shared" si="1"/>
        <v>1.0830934748644838</v>
      </c>
      <c r="N41" s="275">
        <f t="shared" si="1"/>
        <v>1.0830934748644838</v>
      </c>
      <c r="O41" s="275">
        <f t="shared" si="1"/>
        <v>1.0830934748644838</v>
      </c>
      <c r="P41" s="275">
        <f t="shared" si="1"/>
        <v>1.0830934748644838</v>
      </c>
      <c r="Q41" s="275">
        <f t="shared" si="1"/>
        <v>1.0830934748644838</v>
      </c>
      <c r="R41" s="275">
        <f t="shared" si="1"/>
        <v>0.69123793373055742</v>
      </c>
      <c r="S41" s="275">
        <f t="shared" si="1"/>
        <v>0.69123793373055742</v>
      </c>
      <c r="T41" s="275">
        <f t="shared" si="1"/>
        <v>0.69123793373055742</v>
      </c>
      <c r="U41" s="275">
        <f t="shared" si="1"/>
        <v>0.69123793373055742</v>
      </c>
      <c r="V41" s="275">
        <f t="shared" si="1"/>
        <v>0.69123793373055742</v>
      </c>
      <c r="W41" s="275">
        <f t="shared" si="1"/>
        <v>0.32804937533032308</v>
      </c>
      <c r="X41" s="275">
        <f t="shared" si="1"/>
        <v>0.32804937533032308</v>
      </c>
      <c r="Y41" s="275">
        <f t="shared" si="1"/>
        <v>0.32804937533032308</v>
      </c>
      <c r="Z41" s="275">
        <f t="shared" si="1"/>
        <v>0.32804937533032308</v>
      </c>
      <c r="AA41" s="275">
        <f t="shared" si="1"/>
        <v>0.32804937533032308</v>
      </c>
      <c r="AB41" s="275">
        <f t="shared" si="1"/>
        <v>0.22373534796604991</v>
      </c>
      <c r="AC41" s="275">
        <f t="shared" si="1"/>
        <v>0.22373534796604991</v>
      </c>
      <c r="AD41" s="275">
        <f t="shared" si="1"/>
        <v>0.22373534796604991</v>
      </c>
      <c r="AE41" s="275">
        <f t="shared" si="1"/>
        <v>0.22373534796604991</v>
      </c>
      <c r="AF41" s="275">
        <f t="shared" si="1"/>
        <v>0.22373534796604991</v>
      </c>
      <c r="AG41" s="275">
        <f t="shared" si="1"/>
        <v>1.596605920411839</v>
      </c>
      <c r="AH41" s="275">
        <f t="shared" si="1"/>
        <v>-0.66396668241249179</v>
      </c>
      <c r="AI41" s="275">
        <f t="shared" si="1"/>
        <v>-0.56093505629734508</v>
      </c>
      <c r="AJ41" s="275">
        <f t="shared" si="1"/>
        <v>-0.66396668241249179</v>
      </c>
      <c r="AK41" s="275">
        <f t="shared" si="1"/>
        <v>-0.66396668241249179</v>
      </c>
      <c r="AL41" s="275">
        <f t="shared" si="1"/>
        <v>-0.56093505629734508</v>
      </c>
      <c r="AM41" s="275">
        <f t="shared" si="1"/>
        <v>-0.56093505629734508</v>
      </c>
      <c r="AN41" s="275">
        <f t="shared" si="1"/>
        <v>-0.31311949231288227</v>
      </c>
      <c r="AO41" s="275">
        <f t="shared" si="1"/>
        <v>-0.31311949231288227</v>
      </c>
      <c r="AP41" s="267"/>
      <c r="AQ41" s="267"/>
    </row>
    <row r="42" spans="1:43" x14ac:dyDescent="0.3">
      <c r="D42"/>
      <c r="E42" s="88"/>
      <c r="F42" t="s">
        <v>158</v>
      </c>
      <c r="G42" t="s">
        <v>269</v>
      </c>
      <c r="H42" s="267"/>
      <c r="I42" s="267"/>
      <c r="J42" s="275">
        <f t="shared" ref="J42:AO42" si="2">INDEX($J22:$Y22,J$37)</f>
        <v>8.964018638578318E-2</v>
      </c>
      <c r="K42" s="275">
        <f t="shared" si="2"/>
        <v>8.964018638578318E-2</v>
      </c>
      <c r="L42" s="275">
        <f t="shared" si="2"/>
        <v>0.10204652959699627</v>
      </c>
      <c r="M42" s="275">
        <f t="shared" si="2"/>
        <v>0.10204652959699627</v>
      </c>
      <c r="N42" s="275">
        <f t="shared" si="2"/>
        <v>0.10204652959699627</v>
      </c>
      <c r="O42" s="275">
        <f t="shared" si="2"/>
        <v>0.10204652959699627</v>
      </c>
      <c r="P42" s="275">
        <f t="shared" si="2"/>
        <v>0.10204652959699627</v>
      </c>
      <c r="Q42" s="275">
        <f t="shared" si="2"/>
        <v>0.10204652959699627</v>
      </c>
      <c r="R42" s="275">
        <f t="shared" si="2"/>
        <v>5.7596045435720597E-2</v>
      </c>
      <c r="S42" s="275">
        <f t="shared" si="2"/>
        <v>5.7596045435720597E-2</v>
      </c>
      <c r="T42" s="275">
        <f t="shared" si="2"/>
        <v>5.7596045435720597E-2</v>
      </c>
      <c r="U42" s="275">
        <f t="shared" si="2"/>
        <v>5.7596045435720597E-2</v>
      </c>
      <c r="V42" s="275">
        <f t="shared" si="2"/>
        <v>5.7596045435720597E-2</v>
      </c>
      <c r="W42" s="275">
        <f t="shared" si="2"/>
        <v>1.7962266911247374E-2</v>
      </c>
      <c r="X42" s="275">
        <f t="shared" si="2"/>
        <v>1.7962266911247374E-2</v>
      </c>
      <c r="Y42" s="275">
        <f t="shared" si="2"/>
        <v>1.7962266911247374E-2</v>
      </c>
      <c r="Z42" s="275">
        <f t="shared" si="2"/>
        <v>1.7962266911247374E-2</v>
      </c>
      <c r="AA42" s="275">
        <f t="shared" si="2"/>
        <v>1.7962266911247374E-2</v>
      </c>
      <c r="AB42" s="275">
        <f t="shared" si="2"/>
        <v>9.0275222938815628E-3</v>
      </c>
      <c r="AC42" s="275">
        <f t="shared" si="2"/>
        <v>9.0275222938815628E-3</v>
      </c>
      <c r="AD42" s="275">
        <f t="shared" si="2"/>
        <v>9.0275222938815628E-3</v>
      </c>
      <c r="AE42" s="275">
        <f t="shared" si="2"/>
        <v>9.0275222938815628E-3</v>
      </c>
      <c r="AF42" s="275">
        <f t="shared" si="2"/>
        <v>9.0275222938815628E-3</v>
      </c>
      <c r="AG42" s="275">
        <f t="shared" si="2"/>
        <v>0.96311671094885565</v>
      </c>
      <c r="AH42" s="275">
        <f t="shared" si="2"/>
        <v>-6.2557385194018711E-2</v>
      </c>
      <c r="AI42" s="275">
        <f t="shared" si="2"/>
        <v>-4.9127131689069681E-2</v>
      </c>
      <c r="AJ42" s="275">
        <f t="shared" si="2"/>
        <v>-6.2557385194018711E-2</v>
      </c>
      <c r="AK42" s="275">
        <f t="shared" si="2"/>
        <v>-6.2557385194018711E-2</v>
      </c>
      <c r="AL42" s="275">
        <f t="shared" si="2"/>
        <v>-4.9127131689069681E-2</v>
      </c>
      <c r="AM42" s="275">
        <f t="shared" si="2"/>
        <v>-4.9127131689069681E-2</v>
      </c>
      <c r="AN42" s="275">
        <f t="shared" si="2"/>
        <v>-1.6727759883072124E-2</v>
      </c>
      <c r="AO42" s="275">
        <f t="shared" si="2"/>
        <v>-1.6727759883072124E-2</v>
      </c>
      <c r="AP42" s="267"/>
      <c r="AQ42" s="267"/>
    </row>
    <row r="43" spans="1:43" x14ac:dyDescent="0.3">
      <c r="D43"/>
      <c r="E43" s="88"/>
      <c r="F43" t="s">
        <v>159</v>
      </c>
      <c r="G43" t="s">
        <v>270</v>
      </c>
      <c r="J43" s="199">
        <f t="shared" ref="J43:AO43" si="3">INDEX($J23:$Y23,J$37)</f>
        <v>4.7209162865901826</v>
      </c>
      <c r="K43" s="199">
        <f t="shared" si="3"/>
        <v>0</v>
      </c>
      <c r="L43" s="199">
        <f t="shared" si="3"/>
        <v>8.8455191726453233</v>
      </c>
      <c r="M43" s="199">
        <f t="shared" si="3"/>
        <v>8.8455191726453233</v>
      </c>
      <c r="N43" s="199">
        <f t="shared" si="3"/>
        <v>8.8455191726453233</v>
      </c>
      <c r="O43" s="199">
        <f t="shared" si="3"/>
        <v>8.8455191726453233</v>
      </c>
      <c r="P43" s="199">
        <f t="shared" si="3"/>
        <v>8.8455191726453233</v>
      </c>
      <c r="Q43" s="199">
        <f t="shared" si="3"/>
        <v>0</v>
      </c>
      <c r="R43" s="199">
        <f t="shared" si="3"/>
        <v>12.488244880854381</v>
      </c>
      <c r="S43" s="199">
        <f t="shared" si="3"/>
        <v>12.488244880854381</v>
      </c>
      <c r="T43" s="199">
        <f t="shared" si="3"/>
        <v>12.488244880854381</v>
      </c>
      <c r="U43" s="199">
        <f t="shared" si="3"/>
        <v>12.488244880854381</v>
      </c>
      <c r="V43" s="199">
        <f t="shared" si="3"/>
        <v>12.488244880854381</v>
      </c>
      <c r="W43" s="199">
        <f t="shared" si="3"/>
        <v>9.7484171632986918</v>
      </c>
      <c r="X43" s="199">
        <f t="shared" si="3"/>
        <v>9.7484171632986918</v>
      </c>
      <c r="Y43" s="199">
        <f t="shared" si="3"/>
        <v>9.7484171632986918</v>
      </c>
      <c r="Z43" s="199">
        <f t="shared" si="3"/>
        <v>9.7484171632986918</v>
      </c>
      <c r="AA43" s="199">
        <f t="shared" si="3"/>
        <v>9.7484171632986918</v>
      </c>
      <c r="AB43" s="199">
        <f t="shared" si="3"/>
        <v>89.995785082794086</v>
      </c>
      <c r="AC43" s="199">
        <f t="shared" si="3"/>
        <v>89.995785082794086</v>
      </c>
      <c r="AD43" s="199">
        <f t="shared" si="3"/>
        <v>89.995785082794086</v>
      </c>
      <c r="AE43" s="199">
        <f t="shared" si="3"/>
        <v>89.995785082794086</v>
      </c>
      <c r="AF43" s="199">
        <f t="shared" si="3"/>
        <v>89.995785082794086</v>
      </c>
      <c r="AG43" s="199">
        <f t="shared" si="3"/>
        <v>0</v>
      </c>
      <c r="AH43" s="199">
        <f t="shared" si="3"/>
        <v>0</v>
      </c>
      <c r="AI43" s="199">
        <f t="shared" si="3"/>
        <v>0</v>
      </c>
      <c r="AJ43" s="199">
        <f t="shared" si="3"/>
        <v>0</v>
      </c>
      <c r="AK43" s="199">
        <f t="shared" si="3"/>
        <v>0</v>
      </c>
      <c r="AL43" s="199">
        <f t="shared" si="3"/>
        <v>0</v>
      </c>
      <c r="AM43" s="199">
        <f t="shared" si="3"/>
        <v>0</v>
      </c>
      <c r="AN43" s="199">
        <f t="shared" si="3"/>
        <v>56.323203629083082</v>
      </c>
      <c r="AO43" s="199">
        <f t="shared" si="3"/>
        <v>56.323203629083082</v>
      </c>
    </row>
    <row r="44" spans="1:43" x14ac:dyDescent="0.3">
      <c r="D44"/>
      <c r="E44" s="88"/>
      <c r="F44" t="s">
        <v>160</v>
      </c>
      <c r="G44" t="s">
        <v>271</v>
      </c>
      <c r="J44" s="199">
        <f t="shared" ref="J44:AO44" si="4">INDEX($J24:$Y24,J$37)</f>
        <v>0</v>
      </c>
      <c r="K44" s="199">
        <f t="shared" si="4"/>
        <v>0</v>
      </c>
      <c r="L44" s="199">
        <f t="shared" si="4"/>
        <v>0</v>
      </c>
      <c r="M44" s="199">
        <f t="shared" si="4"/>
        <v>0</v>
      </c>
      <c r="N44" s="199">
        <f t="shared" si="4"/>
        <v>0</v>
      </c>
      <c r="O44" s="199">
        <f t="shared" si="4"/>
        <v>0</v>
      </c>
      <c r="P44" s="199">
        <f t="shared" si="4"/>
        <v>0</v>
      </c>
      <c r="Q44" s="199">
        <f t="shared" si="4"/>
        <v>0</v>
      </c>
      <c r="R44" s="199">
        <f t="shared" si="4"/>
        <v>4.3379810793048295</v>
      </c>
      <c r="S44" s="199">
        <f t="shared" si="4"/>
        <v>4.3379810793048295</v>
      </c>
      <c r="T44" s="199">
        <f t="shared" si="4"/>
        <v>4.3379810793048295</v>
      </c>
      <c r="U44" s="199">
        <f t="shared" si="4"/>
        <v>4.3379810793048295</v>
      </c>
      <c r="V44" s="199">
        <f t="shared" si="4"/>
        <v>4.3379810793048295</v>
      </c>
      <c r="W44" s="199">
        <f t="shared" si="4"/>
        <v>4.8971441833049472</v>
      </c>
      <c r="X44" s="199">
        <f t="shared" si="4"/>
        <v>4.8971441833049472</v>
      </c>
      <c r="Y44" s="199">
        <f t="shared" si="4"/>
        <v>4.8971441833049472</v>
      </c>
      <c r="Z44" s="199">
        <f t="shared" si="4"/>
        <v>4.8971441833049472</v>
      </c>
      <c r="AA44" s="199">
        <f t="shared" si="4"/>
        <v>4.8971441833049472</v>
      </c>
      <c r="AB44" s="199">
        <f t="shared" si="4"/>
        <v>5.1847879034973312</v>
      </c>
      <c r="AC44" s="199">
        <f t="shared" si="4"/>
        <v>5.1847879034973312</v>
      </c>
      <c r="AD44" s="199">
        <f t="shared" si="4"/>
        <v>5.1847879034973312</v>
      </c>
      <c r="AE44" s="199">
        <f t="shared" si="4"/>
        <v>5.1847879034973312</v>
      </c>
      <c r="AF44" s="199">
        <f t="shared" si="4"/>
        <v>5.1847879034973312</v>
      </c>
      <c r="AG44" s="199">
        <f t="shared" si="4"/>
        <v>0</v>
      </c>
      <c r="AH44" s="199">
        <f t="shared" si="4"/>
        <v>0</v>
      </c>
      <c r="AI44" s="199">
        <f t="shared" si="4"/>
        <v>0</v>
      </c>
      <c r="AJ44" s="199">
        <f t="shared" si="4"/>
        <v>0</v>
      </c>
      <c r="AK44" s="199">
        <f t="shared" si="4"/>
        <v>0</v>
      </c>
      <c r="AL44" s="199">
        <f t="shared" si="4"/>
        <v>0</v>
      </c>
      <c r="AM44" s="199">
        <f t="shared" si="4"/>
        <v>0</v>
      </c>
      <c r="AN44" s="199">
        <f t="shared" si="4"/>
        <v>0</v>
      </c>
      <c r="AO44" s="199">
        <f t="shared" si="4"/>
        <v>0</v>
      </c>
    </row>
    <row r="45" spans="1:43" x14ac:dyDescent="0.3">
      <c r="D45"/>
      <c r="E45" s="88"/>
      <c r="F45" t="s">
        <v>161</v>
      </c>
      <c r="G45" t="s">
        <v>271</v>
      </c>
      <c r="J45" s="199">
        <f t="shared" ref="J45:AO45" si="5">INDEX($J25:$Y25,J$37)</f>
        <v>0</v>
      </c>
      <c r="K45" s="199">
        <f t="shared" si="5"/>
        <v>0</v>
      </c>
      <c r="L45" s="199">
        <f t="shared" si="5"/>
        <v>0</v>
      </c>
      <c r="M45" s="199">
        <f t="shared" si="5"/>
        <v>0</v>
      </c>
      <c r="N45" s="199">
        <f t="shared" si="5"/>
        <v>0</v>
      </c>
      <c r="O45" s="199">
        <f t="shared" si="5"/>
        <v>0</v>
      </c>
      <c r="P45" s="199">
        <f t="shared" si="5"/>
        <v>0</v>
      </c>
      <c r="Q45" s="199">
        <f t="shared" si="5"/>
        <v>0</v>
      </c>
      <c r="R45" s="199">
        <f t="shared" si="5"/>
        <v>7.8549236543849785</v>
      </c>
      <c r="S45" s="199">
        <f t="shared" si="5"/>
        <v>7.8549236543849785</v>
      </c>
      <c r="T45" s="199">
        <f t="shared" si="5"/>
        <v>7.8549236543849785</v>
      </c>
      <c r="U45" s="199">
        <f t="shared" si="5"/>
        <v>7.8549236543849785</v>
      </c>
      <c r="V45" s="199">
        <f t="shared" si="5"/>
        <v>7.8549236543849785</v>
      </c>
      <c r="W45" s="199">
        <f t="shared" si="5"/>
        <v>6.7662485707310376</v>
      </c>
      <c r="X45" s="199">
        <f t="shared" si="5"/>
        <v>6.7662485707310376</v>
      </c>
      <c r="Y45" s="199">
        <f t="shared" si="5"/>
        <v>6.7662485707310376</v>
      </c>
      <c r="Z45" s="199">
        <f t="shared" si="5"/>
        <v>6.7662485707310376</v>
      </c>
      <c r="AA45" s="199">
        <f t="shared" si="5"/>
        <v>6.7662485707310376</v>
      </c>
      <c r="AB45" s="199">
        <f t="shared" si="5"/>
        <v>6.840016635421688</v>
      </c>
      <c r="AC45" s="199">
        <f t="shared" si="5"/>
        <v>6.840016635421688</v>
      </c>
      <c r="AD45" s="199">
        <f t="shared" si="5"/>
        <v>6.840016635421688</v>
      </c>
      <c r="AE45" s="199">
        <f t="shared" si="5"/>
        <v>6.840016635421688</v>
      </c>
      <c r="AF45" s="199">
        <f t="shared" si="5"/>
        <v>6.840016635421688</v>
      </c>
      <c r="AG45" s="199">
        <f t="shared" si="5"/>
        <v>0</v>
      </c>
      <c r="AH45" s="199">
        <f t="shared" si="5"/>
        <v>0</v>
      </c>
      <c r="AI45" s="199">
        <f t="shared" si="5"/>
        <v>0</v>
      </c>
      <c r="AJ45" s="199">
        <f t="shared" si="5"/>
        <v>0</v>
      </c>
      <c r="AK45" s="199">
        <f t="shared" si="5"/>
        <v>0</v>
      </c>
      <c r="AL45" s="199">
        <f t="shared" si="5"/>
        <v>0</v>
      </c>
      <c r="AM45" s="199">
        <f t="shared" si="5"/>
        <v>0</v>
      </c>
      <c r="AN45" s="199">
        <f t="shared" si="5"/>
        <v>0</v>
      </c>
      <c r="AO45" s="199">
        <f t="shared" si="5"/>
        <v>0</v>
      </c>
    </row>
    <row r="46" spans="1:43" x14ac:dyDescent="0.3">
      <c r="D46"/>
      <c r="E46" s="88"/>
      <c r="F46" s="37" t="s">
        <v>162</v>
      </c>
      <c r="G46" s="37" t="s">
        <v>272</v>
      </c>
      <c r="H46" s="269"/>
      <c r="I46" s="269"/>
      <c r="J46" s="276">
        <f t="shared" ref="J46:AO46" si="6">INDEX($J26:$Y26,J$37)</f>
        <v>0</v>
      </c>
      <c r="K46" s="276">
        <f t="shared" si="6"/>
        <v>0</v>
      </c>
      <c r="L46" s="276">
        <f t="shared" si="6"/>
        <v>0</v>
      </c>
      <c r="M46" s="276">
        <f t="shared" si="6"/>
        <v>0</v>
      </c>
      <c r="N46" s="276">
        <f t="shared" si="6"/>
        <v>0</v>
      </c>
      <c r="O46" s="276">
        <f t="shared" si="6"/>
        <v>0</v>
      </c>
      <c r="P46" s="276">
        <f t="shared" si="6"/>
        <v>0</v>
      </c>
      <c r="Q46" s="276">
        <f t="shared" si="6"/>
        <v>0</v>
      </c>
      <c r="R46" s="276">
        <f t="shared" si="6"/>
        <v>0.21808178761874586</v>
      </c>
      <c r="S46" s="276">
        <f t="shared" si="6"/>
        <v>0.21808178761874586</v>
      </c>
      <c r="T46" s="276">
        <f t="shared" si="6"/>
        <v>0.21808178761874586</v>
      </c>
      <c r="U46" s="276">
        <f t="shared" si="6"/>
        <v>0.21808178761874586</v>
      </c>
      <c r="V46" s="276">
        <f t="shared" si="6"/>
        <v>0.21808178761874586</v>
      </c>
      <c r="W46" s="276">
        <f t="shared" si="6"/>
        <v>0.13269223171545519</v>
      </c>
      <c r="X46" s="276">
        <f t="shared" si="6"/>
        <v>0.13269223171545519</v>
      </c>
      <c r="Y46" s="276">
        <f t="shared" si="6"/>
        <v>0.13269223171545519</v>
      </c>
      <c r="Z46" s="276">
        <f t="shared" si="6"/>
        <v>0.13269223171545519</v>
      </c>
      <c r="AA46" s="276">
        <f t="shared" si="6"/>
        <v>0.13269223171545519</v>
      </c>
      <c r="AB46" s="276">
        <f t="shared" si="6"/>
        <v>5.8701869092401909E-2</v>
      </c>
      <c r="AC46" s="276">
        <f t="shared" si="6"/>
        <v>5.8701869092401909E-2</v>
      </c>
      <c r="AD46" s="276">
        <f t="shared" si="6"/>
        <v>5.8701869092401909E-2</v>
      </c>
      <c r="AE46" s="276">
        <f t="shared" si="6"/>
        <v>5.8701869092401909E-2</v>
      </c>
      <c r="AF46" s="276">
        <f t="shared" si="6"/>
        <v>5.8701869092401909E-2</v>
      </c>
      <c r="AG46" s="276">
        <f t="shared" si="6"/>
        <v>0</v>
      </c>
      <c r="AH46" s="276">
        <f t="shared" si="6"/>
        <v>0</v>
      </c>
      <c r="AI46" s="276">
        <f t="shared" si="6"/>
        <v>0</v>
      </c>
      <c r="AJ46" s="276">
        <f t="shared" si="6"/>
        <v>0.21538700524373391</v>
      </c>
      <c r="AK46" s="276">
        <f t="shared" si="6"/>
        <v>0</v>
      </c>
      <c r="AL46" s="276">
        <f t="shared" si="6"/>
        <v>0.16741946552320405</v>
      </c>
      <c r="AM46" s="276">
        <f t="shared" si="6"/>
        <v>0</v>
      </c>
      <c r="AN46" s="276">
        <f t="shared" si="6"/>
        <v>0.13034882474051146</v>
      </c>
      <c r="AO46" s="276">
        <f t="shared" si="6"/>
        <v>0</v>
      </c>
      <c r="AP46" s="267"/>
      <c r="AQ46" s="267"/>
    </row>
    <row r="47" spans="1:43" x14ac:dyDescent="0.3">
      <c r="D47"/>
      <c r="E47" s="88"/>
      <c r="J47" s="163"/>
      <c r="K47" s="163"/>
      <c r="L47" s="163"/>
      <c r="M47" s="163"/>
      <c r="N47" s="163"/>
      <c r="O47" s="163"/>
      <c r="P47" s="163"/>
      <c r="Q47" s="163"/>
      <c r="R47" s="163"/>
      <c r="S47" s="163"/>
      <c r="T47" s="163"/>
      <c r="U47" s="163"/>
      <c r="V47" s="163"/>
      <c r="W47" s="163"/>
      <c r="X47" s="163"/>
      <c r="Y47" s="163"/>
      <c r="Z47" s="163"/>
      <c r="AA47" s="163"/>
      <c r="AB47" s="163"/>
      <c r="AC47" s="163"/>
      <c r="AD47" s="163"/>
      <c r="AE47" s="163"/>
      <c r="AF47" s="163"/>
      <c r="AG47" s="163"/>
      <c r="AH47" s="163"/>
      <c r="AI47" s="163"/>
      <c r="AJ47" s="163"/>
      <c r="AK47" s="163"/>
      <c r="AL47" s="163"/>
      <c r="AM47" s="163"/>
      <c r="AN47" s="163"/>
      <c r="AO47" s="163"/>
    </row>
    <row r="48" spans="1:43" x14ac:dyDescent="0.3">
      <c r="D48"/>
      <c r="E48" s="28" t="s">
        <v>877</v>
      </c>
      <c r="F48" s="333"/>
      <c r="G48" t="s">
        <v>270</v>
      </c>
      <c r="J48" s="199">
        <f t="shared" ref="J48:AO48" si="7">INDEX($J29:$Y29,J$37)</f>
        <v>9.4185089559576216</v>
      </c>
      <c r="K48" s="199">
        <f t="shared" si="7"/>
        <v>0</v>
      </c>
      <c r="L48" s="199">
        <f t="shared" si="7"/>
        <v>6.7209034716197477E-2</v>
      </c>
      <c r="M48" s="199">
        <f t="shared" si="7"/>
        <v>6.7209034716197477E-2</v>
      </c>
      <c r="N48" s="199">
        <f t="shared" si="7"/>
        <v>6.7209034716197477E-2</v>
      </c>
      <c r="O48" s="199">
        <f t="shared" si="7"/>
        <v>6.7209034716197477E-2</v>
      </c>
      <c r="P48" s="199">
        <f t="shared" si="7"/>
        <v>6.7209034716197477E-2</v>
      </c>
      <c r="Q48" s="199">
        <f t="shared" si="7"/>
        <v>0</v>
      </c>
      <c r="R48" s="199">
        <f t="shared" si="7"/>
        <v>6.7209034716197477E-2</v>
      </c>
      <c r="S48" s="199">
        <f t="shared" si="7"/>
        <v>6.7209034716197477E-2</v>
      </c>
      <c r="T48" s="199">
        <f t="shared" si="7"/>
        <v>6.7209034716197477E-2</v>
      </c>
      <c r="U48" s="199">
        <f t="shared" si="7"/>
        <v>6.7209034716197477E-2</v>
      </c>
      <c r="V48" s="199">
        <f t="shared" si="7"/>
        <v>6.7209034716197477E-2</v>
      </c>
      <c r="W48" s="199">
        <f t="shared" si="7"/>
        <v>6.7209034716197477E-2</v>
      </c>
      <c r="X48" s="199">
        <f t="shared" si="7"/>
        <v>6.7209034716197477E-2</v>
      </c>
      <c r="Y48" s="199">
        <f t="shared" si="7"/>
        <v>6.7209034716197477E-2</v>
      </c>
      <c r="Z48" s="199">
        <f t="shared" si="7"/>
        <v>6.7209034716197477E-2</v>
      </c>
      <c r="AA48" s="199">
        <f t="shared" si="7"/>
        <v>6.7209034716197477E-2</v>
      </c>
      <c r="AB48" s="199">
        <f t="shared" si="7"/>
        <v>6.7209034716197477E-2</v>
      </c>
      <c r="AC48" s="199">
        <f t="shared" si="7"/>
        <v>6.7209034716197477E-2</v>
      </c>
      <c r="AD48" s="199">
        <f t="shared" si="7"/>
        <v>6.7209034716197477E-2</v>
      </c>
      <c r="AE48" s="199">
        <f t="shared" si="7"/>
        <v>6.7209034716197477E-2</v>
      </c>
      <c r="AF48" s="199">
        <f t="shared" si="7"/>
        <v>6.7209034716197477E-2</v>
      </c>
      <c r="AG48" s="199">
        <f t="shared" si="7"/>
        <v>0</v>
      </c>
      <c r="AH48" s="199">
        <f t="shared" si="7"/>
        <v>0</v>
      </c>
      <c r="AI48" s="199">
        <f t="shared" si="7"/>
        <v>0</v>
      </c>
      <c r="AJ48" s="199">
        <f t="shared" si="7"/>
        <v>0</v>
      </c>
      <c r="AK48" s="199">
        <f t="shared" si="7"/>
        <v>0</v>
      </c>
      <c r="AL48" s="199">
        <f t="shared" si="7"/>
        <v>0</v>
      </c>
      <c r="AM48" s="199">
        <f t="shared" si="7"/>
        <v>0</v>
      </c>
      <c r="AN48" s="199">
        <f t="shared" si="7"/>
        <v>0</v>
      </c>
      <c r="AO48" s="199">
        <f t="shared" si="7"/>
        <v>0</v>
      </c>
    </row>
    <row r="49" spans="4:41" x14ac:dyDescent="0.3">
      <c r="D49"/>
      <c r="E49" s="88"/>
      <c r="J49" s="163"/>
      <c r="K49" s="163"/>
      <c r="L49" s="163"/>
      <c r="M49" s="163"/>
      <c r="N49" s="163"/>
      <c r="O49" s="163"/>
      <c r="P49" s="163"/>
      <c r="Q49" s="163"/>
      <c r="R49" s="163"/>
      <c r="S49" s="163"/>
      <c r="T49" s="163"/>
      <c r="U49" s="163"/>
      <c r="V49" s="163"/>
      <c r="W49" s="163"/>
      <c r="X49" s="163"/>
      <c r="Y49" s="163"/>
      <c r="Z49" s="163"/>
      <c r="AA49" s="163"/>
      <c r="AB49" s="163"/>
      <c r="AC49" s="163"/>
      <c r="AD49" s="163"/>
      <c r="AE49" s="163"/>
      <c r="AF49" s="163"/>
      <c r="AG49" s="163"/>
      <c r="AH49" s="163"/>
      <c r="AI49" s="163"/>
      <c r="AJ49" s="163"/>
      <c r="AK49" s="163"/>
      <c r="AL49" s="163"/>
      <c r="AM49" s="163"/>
      <c r="AN49" s="163"/>
      <c r="AO49" s="163"/>
    </row>
    <row r="50" spans="4:41" x14ac:dyDescent="0.3">
      <c r="D50"/>
      <c r="E50" s="32" t="s">
        <v>735</v>
      </c>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row>
    <row r="51" spans="4:41" x14ac:dyDescent="0.3">
      <c r="D51"/>
      <c r="E51" s="32"/>
      <c r="F51" s="29" t="s">
        <v>1039</v>
      </c>
      <c r="J51" s="163"/>
      <c r="K51" s="163"/>
      <c r="L51" s="163"/>
      <c r="M51" s="163"/>
      <c r="N51" s="163"/>
      <c r="O51" s="163"/>
      <c r="P51" s="163"/>
      <c r="Q51" s="163"/>
      <c r="R51" s="163"/>
      <c r="S51" s="163"/>
      <c r="T51" s="163"/>
      <c r="U51" s="163"/>
      <c r="V51" s="163"/>
      <c r="W51" s="163"/>
      <c r="X51" s="163"/>
      <c r="Y51" s="163"/>
      <c r="Z51" s="163"/>
      <c r="AA51" s="163"/>
      <c r="AB51" s="163"/>
      <c r="AC51" s="163"/>
      <c r="AD51" s="163"/>
      <c r="AE51" s="163"/>
      <c r="AF51" s="163"/>
      <c r="AG51" s="163"/>
      <c r="AH51" s="163"/>
      <c r="AI51" s="163"/>
      <c r="AJ51" s="163"/>
      <c r="AK51" s="163"/>
      <c r="AL51" s="163"/>
      <c r="AM51" s="163"/>
      <c r="AN51" s="163"/>
      <c r="AO51" s="163"/>
    </row>
    <row r="52" spans="4:41" x14ac:dyDescent="0.3">
      <c r="D52"/>
      <c r="E52" s="32"/>
      <c r="F52" s="29" t="s">
        <v>1035</v>
      </c>
      <c r="J52" s="163"/>
      <c r="K52" s="163"/>
      <c r="L52" s="163"/>
      <c r="M52" s="163"/>
      <c r="N52" s="163"/>
      <c r="O52" s="163"/>
      <c r="P52" s="163"/>
      <c r="Q52" s="163"/>
      <c r="R52" s="163"/>
      <c r="S52" s="163"/>
      <c r="T52" s="163"/>
      <c r="U52" s="163"/>
      <c r="V52" s="163"/>
      <c r="W52" s="163"/>
      <c r="X52" s="163"/>
      <c r="Y52" s="163"/>
      <c r="Z52" s="163"/>
      <c r="AA52" s="163"/>
      <c r="AB52" s="163"/>
      <c r="AC52" s="163"/>
      <c r="AD52" s="163"/>
      <c r="AE52" s="163"/>
      <c r="AF52" s="163"/>
      <c r="AG52" s="163"/>
      <c r="AH52" s="163"/>
      <c r="AI52" s="163"/>
      <c r="AJ52" s="163"/>
      <c r="AK52" s="163"/>
      <c r="AL52" s="163"/>
      <c r="AM52" s="163"/>
      <c r="AN52" s="163"/>
      <c r="AO52" s="163"/>
    </row>
    <row r="53" spans="4:41" x14ac:dyDescent="0.3">
      <c r="D53" s="88"/>
      <c r="F53" s="23" t="s">
        <v>156</v>
      </c>
      <c r="G53" s="23" t="s">
        <v>207</v>
      </c>
      <c r="H53" s="325">
        <v>0</v>
      </c>
      <c r="I53" s="23"/>
      <c r="J53" s="193">
        <f>INDEX('Volume adjustments'!$J$481:$Y$521, J$36 + 1 + $H53*$H$59, J$37)</f>
        <v>927789.68137948948</v>
      </c>
      <c r="K53" s="193">
        <f>INDEX('Volume adjustments'!$J$481:$Y$521, K$36 + 1 + $H53*$H$59, K$37)</f>
        <v>79.092618502232185</v>
      </c>
      <c r="L53" s="193">
        <f>INDEX('Volume adjustments'!$J$481:$Y$521, L$36 + 1 + $H53*$H$59, L$37)</f>
        <v>0</v>
      </c>
      <c r="M53" s="193">
        <f>INDEX('Volume adjustments'!$J$481:$Y$521, M$36 + 1 + $H53*$H$59, M$37)</f>
        <v>10628.491564396461</v>
      </c>
      <c r="N53" s="193">
        <f>INDEX('Volume adjustments'!$J$481:$Y$521, N$36 + 1 + $H53*$H$59, N$37)</f>
        <v>44610.641266249244</v>
      </c>
      <c r="O53" s="193">
        <f>INDEX('Volume adjustments'!$J$481:$Y$521, O$36 + 1 + $H53*$H$59, O$37)</f>
        <v>56597.081764218514</v>
      </c>
      <c r="P53" s="193">
        <f>INDEX('Volume adjustments'!$J$481:$Y$521, P$36 + 1 + $H53*$H$59, P$37)</f>
        <v>182451.52555120768</v>
      </c>
      <c r="Q53" s="193">
        <f>INDEX('Volume adjustments'!$J$481:$Y$521, Q$36 + 1 + $H53*$H$59, Q$37)</f>
        <v>127.63198085068298</v>
      </c>
      <c r="R53" s="193">
        <f>INDEX('Volume adjustments'!$J$481:$Y$521, R$36 + 1 + $H53*$H$59, R$37)</f>
        <v>0</v>
      </c>
      <c r="S53" s="193">
        <f>INDEX('Volume adjustments'!$J$481:$Y$521, S$36 + 1 + $H53*$H$59, S$37)</f>
        <v>65016.690041693946</v>
      </c>
      <c r="T53" s="193">
        <f>INDEX('Volume adjustments'!$J$481:$Y$521, T$36 + 1 + $H53*$H$59, T$37)</f>
        <v>97159.393824174054</v>
      </c>
      <c r="U53" s="193">
        <f>INDEX('Volume adjustments'!$J$481:$Y$521, U$36 + 1 + $H53*$H$59, U$37)</f>
        <v>52458.57918381846</v>
      </c>
      <c r="V53" s="193">
        <f>INDEX('Volume adjustments'!$J$481:$Y$521, V$36 + 1 + $H53*$H$59, V$37)</f>
        <v>51598.100592298375</v>
      </c>
      <c r="W53" s="193">
        <f>INDEX('Volume adjustments'!$J$481:$Y$521, W$36 + 1 + $H53*$H$59, W$37)</f>
        <v>0</v>
      </c>
      <c r="X53" s="193">
        <f>INDEX('Volume adjustments'!$J$481:$Y$521, X$36 + 1 + $H53*$H$59, X$37)</f>
        <v>174.48189821436509</v>
      </c>
      <c r="Y53" s="193">
        <f>INDEX('Volume adjustments'!$J$481:$Y$521, Y$36 + 1 + $H53*$H$59, Y$37)</f>
        <v>895.69025899367671</v>
      </c>
      <c r="Z53" s="193">
        <f>INDEX('Volume adjustments'!$J$481:$Y$521, Z$36 + 1 + $H53*$H$59, Z$37)</f>
        <v>1614.7827948687102</v>
      </c>
      <c r="AA53" s="193">
        <f>INDEX('Volume adjustments'!$J$481:$Y$521, AA$36 + 1 + $H53*$H$59, AA$37)</f>
        <v>18576.162108855999</v>
      </c>
      <c r="AB53" s="193">
        <f>INDEX('Volume adjustments'!$J$481:$Y$521, AB$36 + 1 + $H53*$H$59, AB$37)</f>
        <v>0</v>
      </c>
      <c r="AC53" s="193">
        <f>INDEX('Volume adjustments'!$J$481:$Y$521, AC$36 + 1 + $H53*$H$59, AC$37)</f>
        <v>97103.179297242372</v>
      </c>
      <c r="AD53" s="193">
        <f>INDEX('Volume adjustments'!$J$481:$Y$521, AD$36 + 1 + $H53*$H$59, AD$37)</f>
        <v>173218.17547994421</v>
      </c>
      <c r="AE53" s="193">
        <f>INDEX('Volume adjustments'!$J$481:$Y$521, AE$36 + 1 + $H53*$H$59, AE$37)</f>
        <v>94770.736397336776</v>
      </c>
      <c r="AF53" s="193">
        <f>INDEX('Volume adjustments'!$J$481:$Y$521, AF$36 + 1 + $H53*$H$59, AF$37)</f>
        <v>301235.11835419229</v>
      </c>
      <c r="AG53" s="193">
        <f>INDEX('Volume adjustments'!$J$481:$Y$521, AG$36 + 1 + $H53*$H$59, AG$37)</f>
        <v>9663.5075463692192</v>
      </c>
      <c r="AH53" s="193">
        <f>INDEX('Volume adjustments'!$J$481:$Y$521, AH$36 + 1 + $H53*$H$59, AH$37)</f>
        <v>125.45917108391521</v>
      </c>
      <c r="AI53" s="193">
        <f>INDEX('Volume adjustments'!$J$481:$Y$521, AI$36 + 1 + $H53*$H$59, AI$37)</f>
        <v>0</v>
      </c>
      <c r="AJ53" s="193">
        <f>INDEX('Volume adjustments'!$J$481:$Y$521, AJ$36 + 1 + $H53*$H$59, AJ$37)</f>
        <v>4280.342572253674</v>
      </c>
      <c r="AK53" s="193">
        <f>INDEX('Volume adjustments'!$J$481:$Y$521, AK$36 + 1 + $H53*$H$59, AK$37)</f>
        <v>0</v>
      </c>
      <c r="AL53" s="193">
        <f>INDEX('Volume adjustments'!$J$481:$Y$521, AL$36 + 1 + $H53*$H$59, AL$37)</f>
        <v>907.20921076491038</v>
      </c>
      <c r="AM53" s="193">
        <f>INDEX('Volume adjustments'!$J$481:$Y$521, AM$36 + 1 + $H53*$H$59, AM$37)</f>
        <v>0</v>
      </c>
      <c r="AN53" s="193">
        <f>INDEX('Volume adjustments'!$J$481:$Y$521, AN$36 + 1 + $H53*$H$59, AN$37)</f>
        <v>81192.371997792652</v>
      </c>
      <c r="AO53" s="193">
        <f>INDEX('Volume adjustments'!$J$481:$Y$521, AO$36 + 1 + $H53*$H$59, AO$37)</f>
        <v>0</v>
      </c>
    </row>
    <row r="54" spans="4:41" x14ac:dyDescent="0.3">
      <c r="D54" s="88"/>
      <c r="F54" t="s">
        <v>157</v>
      </c>
      <c r="G54" t="s">
        <v>207</v>
      </c>
      <c r="H54" s="376">
        <v>1</v>
      </c>
      <c r="J54" s="339">
        <f>INDEX('Volume adjustments'!$J$481:$Y$521, J$36 + 1 + $H54*$H$59, J$37)</f>
        <v>2756277.0104804309</v>
      </c>
      <c r="K54" s="339">
        <f>INDEX('Volume adjustments'!$J$481:$Y$521, K$36 + 1 + $H54*$H$59, K$37)</f>
        <v>3392.6048671577928</v>
      </c>
      <c r="L54" s="339">
        <f>INDEX('Volume adjustments'!$J$481:$Y$521, L$36 + 1 + $H54*$H$59, L$37)</f>
        <v>0</v>
      </c>
      <c r="M54" s="339">
        <f>INDEX('Volume adjustments'!$J$481:$Y$521, M$36 + 1 + $H54*$H$59, M$37)</f>
        <v>43638.727900142738</v>
      </c>
      <c r="N54" s="339">
        <f>INDEX('Volume adjustments'!$J$481:$Y$521, N$36 + 1 + $H54*$H$59, N$37)</f>
        <v>183163.49256840907</v>
      </c>
      <c r="O54" s="339">
        <f>INDEX('Volume adjustments'!$J$481:$Y$521, O$36 + 1 + $H54*$H$59, O$37)</f>
        <v>232377.72134329309</v>
      </c>
      <c r="P54" s="339">
        <f>INDEX('Volume adjustments'!$J$481:$Y$521, P$36 + 1 + $H54*$H$59, P$37)</f>
        <v>749114.06103630015</v>
      </c>
      <c r="Q54" s="339">
        <f>INDEX('Volume adjustments'!$J$481:$Y$521, Q$36 + 1 + $H54*$H$59, Q$37)</f>
        <v>959.76246317801258</v>
      </c>
      <c r="R54" s="339">
        <f>INDEX('Volume adjustments'!$J$481:$Y$521, R$36 + 1 + $H54*$H$59, R$37)</f>
        <v>0</v>
      </c>
      <c r="S54" s="339">
        <f>INDEX('Volume adjustments'!$J$481:$Y$521, S$36 + 1 + $H54*$H$59, S$37)</f>
        <v>248718.97600158816</v>
      </c>
      <c r="T54" s="339">
        <f>INDEX('Volume adjustments'!$J$481:$Y$521, T$36 + 1 + $H54*$H$59, T$37)</f>
        <v>371679.71678328759</v>
      </c>
      <c r="U54" s="339">
        <f>INDEX('Volume adjustments'!$J$481:$Y$521, U$36 + 1 + $H54*$H$59, U$37)</f>
        <v>200678.38102386455</v>
      </c>
      <c r="V54" s="339">
        <f>INDEX('Volume adjustments'!$J$481:$Y$521, V$36 + 1 + $H54*$H$59, V$37)</f>
        <v>197386.65156152315</v>
      </c>
      <c r="W54" s="339">
        <f>INDEX('Volume adjustments'!$J$481:$Y$521, W$36 + 1 + $H54*$H$59, W$37)</f>
        <v>0</v>
      </c>
      <c r="X54" s="339">
        <f>INDEX('Volume adjustments'!$J$481:$Y$521, X$36 + 1 + $H54*$H$59, X$37)</f>
        <v>471.4221611178811</v>
      </c>
      <c r="Y54" s="339">
        <f>INDEX('Volume adjustments'!$J$481:$Y$521, Y$36 + 1 + $H54*$H$59, Y$37)</f>
        <v>2420.0117141565461</v>
      </c>
      <c r="Z54" s="339">
        <f>INDEX('Volume adjustments'!$J$481:$Y$521, Z$36 + 1 + $H54*$H$59, Z$37)</f>
        <v>4362.8846469662385</v>
      </c>
      <c r="AA54" s="339">
        <f>INDEX('Volume adjustments'!$J$481:$Y$521, AA$36 + 1 + $H54*$H$59, AA$37)</f>
        <v>50189.816687310711</v>
      </c>
      <c r="AB54" s="339">
        <f>INDEX('Volume adjustments'!$J$481:$Y$521, AB$36 + 1 + $H54*$H$59, AB$37)</f>
        <v>0</v>
      </c>
      <c r="AC54" s="339">
        <f>INDEX('Volume adjustments'!$J$481:$Y$521, AC$36 + 1 + $H54*$H$59, AC$37)</f>
        <v>375955.18180575204</v>
      </c>
      <c r="AD54" s="339">
        <f>INDEX('Volume adjustments'!$J$481:$Y$521, AD$36 + 1 + $H54*$H$59, AD$37)</f>
        <v>670650.24158763571</v>
      </c>
      <c r="AE54" s="339">
        <f>INDEX('Volume adjustments'!$J$481:$Y$521, AE$36 + 1 + $H54*$H$59, AE$37)</f>
        <v>366924.64335343958</v>
      </c>
      <c r="AF54" s="339">
        <f>INDEX('Volume adjustments'!$J$481:$Y$521, AF$36 + 1 + $H54*$H$59, AF$37)</f>
        <v>1166294.4973249072</v>
      </c>
      <c r="AG54" s="339">
        <f>INDEX('Volume adjustments'!$J$481:$Y$521, AG$36 + 1 + $H54*$H$59, AG$37)</f>
        <v>49161.271548488345</v>
      </c>
      <c r="AH54" s="339">
        <f>INDEX('Volume adjustments'!$J$481:$Y$521, AH$36 + 1 + $H54*$H$59, AH$37)</f>
        <v>675.10681480787537</v>
      </c>
      <c r="AI54" s="339">
        <f>INDEX('Volume adjustments'!$J$481:$Y$521, AI$36 + 1 + $H54*$H$59, AI$37)</f>
        <v>0</v>
      </c>
      <c r="AJ54" s="339">
        <f>INDEX('Volume adjustments'!$J$481:$Y$521, AJ$36 + 1 + $H54*$H$59, AJ$37)</f>
        <v>21435.880022591529</v>
      </c>
      <c r="AK54" s="339">
        <f>INDEX('Volume adjustments'!$J$481:$Y$521, AK$36 + 1 + $H54*$H$59, AK$37)</f>
        <v>0</v>
      </c>
      <c r="AL54" s="339">
        <f>INDEX('Volume adjustments'!$J$481:$Y$521, AL$36 + 1 + $H54*$H$59, AL$37)</f>
        <v>3604.4281560365216</v>
      </c>
      <c r="AM54" s="339">
        <f>INDEX('Volume adjustments'!$J$481:$Y$521, AM$36 + 1 + $H54*$H$59, AM$37)</f>
        <v>0</v>
      </c>
      <c r="AN54" s="339">
        <f>INDEX('Volume adjustments'!$J$481:$Y$521, AN$36 + 1 + $H54*$H$59, AN$37)</f>
        <v>281566.92770225758</v>
      </c>
      <c r="AO54" s="339">
        <f>INDEX('Volume adjustments'!$J$481:$Y$521, AO$36 + 1 + $H54*$H$59, AO$37)</f>
        <v>0</v>
      </c>
    </row>
    <row r="55" spans="4:41" x14ac:dyDescent="0.3">
      <c r="D55" s="88"/>
      <c r="F55" t="s">
        <v>158</v>
      </c>
      <c r="G55" t="s">
        <v>207</v>
      </c>
      <c r="H55" s="376">
        <v>2</v>
      </c>
      <c r="J55" s="339">
        <f>INDEX('Volume adjustments'!$J$481:$Y$521, J$36 + 1 + $H55*$H$59, J$37)</f>
        <v>4559037.4253185689</v>
      </c>
      <c r="K55" s="339">
        <f>INDEX('Volume adjustments'!$J$481:$Y$521, K$36 + 1 + $H55*$H$59, K$37)</f>
        <v>13095.75106613846</v>
      </c>
      <c r="L55" s="339">
        <f>INDEX('Volume adjustments'!$J$481:$Y$521, L$36 + 1 + $H55*$H$59, L$37)</f>
        <v>0</v>
      </c>
      <c r="M55" s="339">
        <f>INDEX('Volume adjustments'!$J$481:$Y$521, M$36 + 1 + $H55*$H$59, M$37)</f>
        <v>44681.021133725983</v>
      </c>
      <c r="N55" s="339">
        <f>INDEX('Volume adjustments'!$J$481:$Y$521, N$36 + 1 + $H55*$H$59, N$37)</f>
        <v>187538.27795125486</v>
      </c>
      <c r="O55" s="339">
        <f>INDEX('Volume adjustments'!$J$481:$Y$521, O$36 + 1 + $H55*$H$59, O$37)</f>
        <v>237927.96852615874</v>
      </c>
      <c r="P55" s="339">
        <f>INDEX('Volume adjustments'!$J$481:$Y$521, P$36 + 1 + $H55*$H$59, P$37)</f>
        <v>767006.34512823971</v>
      </c>
      <c r="Q55" s="339">
        <f>INDEX('Volume adjustments'!$J$481:$Y$521, Q$36 + 1 + $H55*$H$59, Q$37)</f>
        <v>2930.5689204763953</v>
      </c>
      <c r="R55" s="339">
        <f>INDEX('Volume adjustments'!$J$481:$Y$521, R$36 + 1 + $H55*$H$59, R$37)</f>
        <v>0</v>
      </c>
      <c r="S55" s="339">
        <f>INDEX('Volume adjustments'!$J$481:$Y$521, S$36 + 1 + $H55*$H$59, S$37)</f>
        <v>266963.24764430261</v>
      </c>
      <c r="T55" s="339">
        <f>INDEX('Volume adjustments'!$J$481:$Y$521, T$36 + 1 + $H55*$H$59, T$37)</f>
        <v>398943.52200673043</v>
      </c>
      <c r="U55" s="339">
        <f>INDEX('Volume adjustments'!$J$481:$Y$521, U$36 + 1 + $H55*$H$59, U$37)</f>
        <v>215398.73310587116</v>
      </c>
      <c r="V55" s="339">
        <f>INDEX('Volume adjustments'!$J$481:$Y$521, V$36 + 1 + $H55*$H$59, V$37)</f>
        <v>211865.54556320657</v>
      </c>
      <c r="W55" s="339">
        <f>INDEX('Volume adjustments'!$J$481:$Y$521, W$36 + 1 + $H55*$H$59, W$37)</f>
        <v>0</v>
      </c>
      <c r="X55" s="339">
        <f>INDEX('Volume adjustments'!$J$481:$Y$521, X$36 + 1 + $H55*$H$59, X$37)</f>
        <v>497.27854215017703</v>
      </c>
      <c r="Y55" s="339">
        <f>INDEX('Volume adjustments'!$J$481:$Y$521, Y$36 + 1 + $H55*$H$59, Y$37)</f>
        <v>2552.7435841124961</v>
      </c>
      <c r="Z55" s="339">
        <f>INDEX('Volume adjustments'!$J$481:$Y$521, Z$36 + 1 + $H55*$H$59, Z$37)</f>
        <v>4602.1784628624009</v>
      </c>
      <c r="AA55" s="339">
        <f>INDEX('Volume adjustments'!$J$481:$Y$521, AA$36 + 1 + $H55*$H$59, AA$37)</f>
        <v>52942.608412525537</v>
      </c>
      <c r="AB55" s="339">
        <f>INDEX('Volume adjustments'!$J$481:$Y$521, AB$36 + 1 + $H55*$H$59, AB$37)</f>
        <v>0</v>
      </c>
      <c r="AC55" s="339">
        <f>INDEX('Volume adjustments'!$J$481:$Y$521, AC$36 + 1 + $H55*$H$59, AC$37)</f>
        <v>496340.30087724945</v>
      </c>
      <c r="AD55" s="339">
        <f>INDEX('Volume adjustments'!$J$481:$Y$521, AD$36 + 1 + $H55*$H$59, AD$37)</f>
        <v>885400.06575835485</v>
      </c>
      <c r="AE55" s="339">
        <f>INDEX('Volume adjustments'!$J$481:$Y$521, AE$36 + 1 + $H55*$H$59, AE$37)</f>
        <v>484418.08144945558</v>
      </c>
      <c r="AF55" s="339">
        <f>INDEX('Volume adjustments'!$J$481:$Y$521, AF$36 + 1 + $H55*$H$59, AF$37)</f>
        <v>1539755.2413915633</v>
      </c>
      <c r="AG55" s="339">
        <f>INDEX('Volume adjustments'!$J$481:$Y$521, AG$36 + 1 + $H55*$H$59, AG$37)</f>
        <v>187842.48249019182</v>
      </c>
      <c r="AH55" s="339">
        <f>INDEX('Volume adjustments'!$J$481:$Y$521, AH$36 + 1 + $H55*$H$59, AH$37)</f>
        <v>332.99565387439389</v>
      </c>
      <c r="AI55" s="339">
        <f>INDEX('Volume adjustments'!$J$481:$Y$521, AI$36 + 1 + $H55*$H$59, AI$37)</f>
        <v>0</v>
      </c>
      <c r="AJ55" s="339">
        <f>INDEX('Volume adjustments'!$J$481:$Y$521, AJ$36 + 1 + $H55*$H$59, AJ$37)</f>
        <v>21484.220834211559</v>
      </c>
      <c r="AK55" s="339">
        <f>INDEX('Volume adjustments'!$J$481:$Y$521, AK$36 + 1 + $H55*$H$59, AK$37)</f>
        <v>0</v>
      </c>
      <c r="AL55" s="339">
        <f>INDEX('Volume adjustments'!$J$481:$Y$521, AL$36 + 1 + $H55*$H$59, AL$37)</f>
        <v>5426.3333985064392</v>
      </c>
      <c r="AM55" s="339">
        <f>INDEX('Volume adjustments'!$J$481:$Y$521, AM$36 + 1 + $H55*$H$59, AM$37)</f>
        <v>0</v>
      </c>
      <c r="AN55" s="339">
        <f>INDEX('Volume adjustments'!$J$481:$Y$521, AN$36 + 1 + $H55*$H$59, AN$37)</f>
        <v>341773.46231736481</v>
      </c>
      <c r="AO55" s="339">
        <f>INDEX('Volume adjustments'!$J$481:$Y$521, AO$36 + 1 + $H55*$H$59, AO$37)</f>
        <v>0</v>
      </c>
    </row>
    <row r="56" spans="4:41" x14ac:dyDescent="0.3">
      <c r="D56" s="88"/>
      <c r="F56" t="s">
        <v>212</v>
      </c>
      <c r="G56" t="s">
        <v>212</v>
      </c>
      <c r="H56" s="376">
        <v>3</v>
      </c>
      <c r="J56" s="339">
        <f>INDEX('Volume adjustments'!$J$481:$Y$521, J$36 + 1 + $H56*$H$59, J$37)</f>
        <v>2371479.4191347011</v>
      </c>
      <c r="K56" s="339">
        <f>INDEX('Volume adjustments'!$J$481:$Y$521, K$36 + 1 + $H56*$H$59, K$37)</f>
        <v>0</v>
      </c>
      <c r="L56" s="339">
        <f>INDEX('Volume adjustments'!$J$481:$Y$521, L$36 + 1 + $H56*$H$59, L$37)</f>
        <v>0</v>
      </c>
      <c r="M56" s="339">
        <f>INDEX('Volume adjustments'!$J$481:$Y$521, M$36 + 1 + $H56*$H$59, M$37)</f>
        <v>73738.726119001571</v>
      </c>
      <c r="N56" s="339">
        <f>INDEX('Volume adjustments'!$J$481:$Y$521, N$36 + 1 + $H56*$H$59, N$37)</f>
        <v>55649.7548420495</v>
      </c>
      <c r="O56" s="339">
        <f>INDEX('Volume adjustments'!$J$481:$Y$521, O$36 + 1 + $H56*$H$59, O$37)</f>
        <v>28791.724999743532</v>
      </c>
      <c r="P56" s="339">
        <f>INDEX('Volume adjustments'!$J$481:$Y$521, P$36 + 1 + $H56*$H$59, P$37)</f>
        <v>28783.425878896152</v>
      </c>
      <c r="Q56" s="339">
        <f>INDEX('Volume adjustments'!$J$481:$Y$521, Q$36 + 1 + $H56*$H$59, Q$37)</f>
        <v>0</v>
      </c>
      <c r="R56" s="339">
        <f>INDEX('Volume adjustments'!$J$481:$Y$521, R$36 + 1 + $H56*$H$59, R$37)</f>
        <v>0</v>
      </c>
      <c r="S56" s="339">
        <f>INDEX('Volume adjustments'!$J$481:$Y$521, S$36 + 1 + $H56*$H$59, S$37)</f>
        <v>6631.7065906174585</v>
      </c>
      <c r="T56" s="339">
        <f>INDEX('Volume adjustments'!$J$481:$Y$521, T$36 + 1 + $H56*$H$59, T$37)</f>
        <v>5364.0829559077765</v>
      </c>
      <c r="U56" s="339">
        <f>INDEX('Volume adjustments'!$J$481:$Y$521, U$36 + 1 + $H56*$H$59, U$37)</f>
        <v>1869.638872598561</v>
      </c>
      <c r="V56" s="339">
        <f>INDEX('Volume adjustments'!$J$481:$Y$521, V$36 + 1 + $H56*$H$59, V$37)</f>
        <v>1178.5932122049885</v>
      </c>
      <c r="W56" s="339">
        <f>INDEX('Volume adjustments'!$J$481:$Y$521, W$36 + 1 + $H56*$H$59, W$37)</f>
        <v>0</v>
      </c>
      <c r="X56" s="339">
        <f>INDEX('Volume adjustments'!$J$481:$Y$521, X$36 + 1 + $H56*$H$59, X$37)</f>
        <v>14.920218031526492</v>
      </c>
      <c r="Y56" s="339">
        <f>INDEX('Volume adjustments'!$J$481:$Y$521, Y$36 + 1 + $H56*$H$59, Y$37)</f>
        <v>35.808523275663582</v>
      </c>
      <c r="Z56" s="339">
        <f>INDEX('Volume adjustments'!$J$481:$Y$521, Z$36 + 1 + $H56*$H$59, Z$37)</f>
        <v>40.284588685121527</v>
      </c>
      <c r="AA56" s="339">
        <f>INDEX('Volume adjustments'!$J$481:$Y$521, AA$36 + 1 + $H56*$H$59, AA$37)</f>
        <v>308.84851325259831</v>
      </c>
      <c r="AB56" s="339">
        <f>INDEX('Volume adjustments'!$J$481:$Y$521, AB$36 + 1 + $H56*$H$59, AB$37)</f>
        <v>0</v>
      </c>
      <c r="AC56" s="339">
        <f>INDEX('Volume adjustments'!$J$481:$Y$521, AC$36 + 1 + $H56*$H$59, AC$37)</f>
        <v>2286.6045369155877</v>
      </c>
      <c r="AD56" s="339">
        <f>INDEX('Volume adjustments'!$J$481:$Y$521, AD$36 + 1 + $H56*$H$59, AD$37)</f>
        <v>1234.3979729275734</v>
      </c>
      <c r="AE56" s="339">
        <f>INDEX('Volume adjustments'!$J$481:$Y$521, AE$36 + 1 + $H56*$H$59, AE$37)</f>
        <v>302.96998340510919</v>
      </c>
      <c r="AF56" s="339">
        <f>INDEX('Volume adjustments'!$J$481:$Y$521, AF$36 + 1 + $H56*$H$59, AF$37)</f>
        <v>312.1819085762105</v>
      </c>
      <c r="AG56" s="339">
        <f>INDEX('Volume adjustments'!$J$481:$Y$521, AG$36 + 1 + $H56*$H$59, AG$37)</f>
        <v>29.475632524712577</v>
      </c>
      <c r="AH56" s="339">
        <f>INDEX('Volume adjustments'!$J$481:$Y$521, AH$36 + 1 + $H56*$H$59, AH$37)</f>
        <v>0</v>
      </c>
      <c r="AI56" s="339">
        <f>INDEX('Volume adjustments'!$J$481:$Y$521, AI$36 + 1 + $H56*$H$59, AI$37)</f>
        <v>0</v>
      </c>
      <c r="AJ56" s="339">
        <f>INDEX('Volume adjustments'!$J$481:$Y$521, AJ$36 + 1 + $H56*$H$59, AJ$37)</f>
        <v>654.93140614185506</v>
      </c>
      <c r="AK56" s="339">
        <f>INDEX('Volume adjustments'!$J$481:$Y$521, AK$36 + 1 + $H56*$H$59, AK$37)</f>
        <v>0</v>
      </c>
      <c r="AL56" s="339">
        <f>INDEX('Volume adjustments'!$J$481:$Y$521, AL$36 + 1 + $H56*$H$59, AL$37)</f>
        <v>27.058064434890188</v>
      </c>
      <c r="AM56" s="339">
        <f>INDEX('Volume adjustments'!$J$481:$Y$521, AM$36 + 1 + $H56*$H$59, AM$37)</f>
        <v>0</v>
      </c>
      <c r="AN56" s="339">
        <f>INDEX('Volume adjustments'!$J$481:$Y$521, AN$36 + 1 + $H56*$H$59, AN$37)</f>
        <v>316.31557457887271</v>
      </c>
      <c r="AO56" s="339">
        <f>INDEX('Volume adjustments'!$J$481:$Y$521, AO$36 + 1 + $H56*$H$59, AO$37)</f>
        <v>0</v>
      </c>
    </row>
    <row r="57" spans="4:41" x14ac:dyDescent="0.3">
      <c r="D57" s="88"/>
      <c r="F57" t="s">
        <v>736</v>
      </c>
      <c r="G57" t="s">
        <v>251</v>
      </c>
      <c r="H57" s="376">
        <v>4</v>
      </c>
      <c r="J57" s="339">
        <f>INDEX('Volume adjustments'!$J$481:$Y$521, J$36 + 1 + $H57*$H$59, J$37)</f>
        <v>0</v>
      </c>
      <c r="K57" s="339">
        <f>INDEX('Volume adjustments'!$J$481:$Y$521, K$36 + 1 + $H57*$H$59, K$37)</f>
        <v>0</v>
      </c>
      <c r="L57" s="339">
        <f>INDEX('Volume adjustments'!$J$481:$Y$521, L$36 + 1 + $H57*$H$59, L$37)</f>
        <v>0</v>
      </c>
      <c r="M57" s="339">
        <f>INDEX('Volume adjustments'!$J$481:$Y$521, M$36 + 1 + $H57*$H$59, M$37)</f>
        <v>0</v>
      </c>
      <c r="N57" s="339">
        <f>INDEX('Volume adjustments'!$J$481:$Y$521, N$36 + 1 + $H57*$H$59, N$37)</f>
        <v>0</v>
      </c>
      <c r="O57" s="339">
        <f>INDEX('Volume adjustments'!$J$481:$Y$521, O$36 + 1 + $H57*$H$59, O$37)</f>
        <v>0</v>
      </c>
      <c r="P57" s="339">
        <f>INDEX('Volume adjustments'!$J$481:$Y$521, P$36 + 1 + $H57*$H$59, P$37)</f>
        <v>0</v>
      </c>
      <c r="Q57" s="339">
        <f>INDEX('Volume adjustments'!$J$481:$Y$521, Q$36 + 1 + $H57*$H$59, Q$37)</f>
        <v>0</v>
      </c>
      <c r="R57" s="339">
        <f>INDEX('Volume adjustments'!$J$481:$Y$521, R$36 + 1 + $H57*$H$59, R$37)</f>
        <v>0</v>
      </c>
      <c r="S57" s="339">
        <f>INDEX('Volume adjustments'!$J$481:$Y$521, S$36 + 1 + $H57*$H$59, S$37)</f>
        <v>294530.9448941829</v>
      </c>
      <c r="T57" s="339">
        <f>INDEX('Volume adjustments'!$J$481:$Y$521, T$36 + 1 + $H57*$H$59, T$37)</f>
        <v>621178.55083053815</v>
      </c>
      <c r="U57" s="339">
        <f>INDEX('Volume adjustments'!$J$481:$Y$521, U$36 + 1 + $H57*$H$59, U$37)</f>
        <v>345145.04414668586</v>
      </c>
      <c r="V57" s="339">
        <f>INDEX('Volume adjustments'!$J$481:$Y$521, V$36 + 1 + $H57*$H$59, V$37)</f>
        <v>354174.77784546284</v>
      </c>
      <c r="W57" s="339">
        <f>INDEX('Volume adjustments'!$J$481:$Y$521, W$36 + 1 + $H57*$H$59, W$37)</f>
        <v>0</v>
      </c>
      <c r="X57" s="339">
        <f>INDEX('Volume adjustments'!$J$481:$Y$521, X$36 + 1 + $H57*$H$59, X$37)</f>
        <v>469.33755147255357</v>
      </c>
      <c r="Y57" s="339">
        <f>INDEX('Volume adjustments'!$J$481:$Y$521, Y$36 + 1 + $H57*$H$59, Y$37)</f>
        <v>4674.4000380747439</v>
      </c>
      <c r="Z57" s="339">
        <f>INDEX('Volume adjustments'!$J$481:$Y$521, Z$36 + 1 + $H57*$H$59, Z$37)</f>
        <v>8538.1510538982639</v>
      </c>
      <c r="AA57" s="339">
        <f>INDEX('Volume adjustments'!$J$481:$Y$521, AA$36 + 1 + $H57*$H$59, AA$37)</f>
        <v>162581.60291018331</v>
      </c>
      <c r="AB57" s="339">
        <f>INDEX('Volume adjustments'!$J$481:$Y$521, AB$36 + 1 + $H57*$H$59, AB$37)</f>
        <v>0</v>
      </c>
      <c r="AC57" s="339">
        <f>INDEX('Volume adjustments'!$J$481:$Y$521, AC$36 + 1 + $H57*$H$59, AC$37)</f>
        <v>481830.33404460998</v>
      </c>
      <c r="AD57" s="339">
        <f>INDEX('Volume adjustments'!$J$481:$Y$521, AD$36 + 1 + $H57*$H$59, AD$37)</f>
        <v>797561.04424081987</v>
      </c>
      <c r="AE57" s="339">
        <f>INDEX('Volume adjustments'!$J$481:$Y$521, AE$36 + 1 + $H57*$H$59, AE$37)</f>
        <v>416770.78962934855</v>
      </c>
      <c r="AF57" s="339">
        <f>INDEX('Volume adjustments'!$J$481:$Y$521, AF$36 + 1 + $H57*$H$59, AF$37)</f>
        <v>1269833.0188368834</v>
      </c>
      <c r="AG57" s="339">
        <f>INDEX('Volume adjustments'!$J$481:$Y$521, AG$36 + 1 + $H57*$H$59, AG$37)</f>
        <v>0</v>
      </c>
      <c r="AH57" s="339">
        <f>INDEX('Volume adjustments'!$J$481:$Y$521, AH$36 + 1 + $H57*$H$59, AH$37)</f>
        <v>0</v>
      </c>
      <c r="AI57" s="339">
        <f>INDEX('Volume adjustments'!$J$481:$Y$521, AI$36 + 1 + $H57*$H$59, AI$37)</f>
        <v>0</v>
      </c>
      <c r="AJ57" s="339">
        <f>INDEX('Volume adjustments'!$J$481:$Y$521, AJ$36 + 1 + $H57*$H$59, AJ$37)</f>
        <v>0</v>
      </c>
      <c r="AK57" s="339">
        <f>INDEX('Volume adjustments'!$J$481:$Y$521, AK$36 + 1 + $H57*$H$59, AK$37)</f>
        <v>0</v>
      </c>
      <c r="AL57" s="339">
        <f>INDEX('Volume adjustments'!$J$481:$Y$521, AL$36 + 1 + $H57*$H$59, AL$37)</f>
        <v>0</v>
      </c>
      <c r="AM57" s="339">
        <f>INDEX('Volume adjustments'!$J$481:$Y$521, AM$36 + 1 + $H57*$H$59, AM$37)</f>
        <v>0</v>
      </c>
      <c r="AN57" s="339">
        <f>INDEX('Volume adjustments'!$J$481:$Y$521, AN$36 + 1 + $H57*$H$59, AN$37)</f>
        <v>0</v>
      </c>
      <c r="AO57" s="339">
        <f>INDEX('Volume adjustments'!$J$481:$Y$521, AO$36 + 1 + $H57*$H$59, AO$37)</f>
        <v>0</v>
      </c>
    </row>
    <row r="58" spans="4:41" x14ac:dyDescent="0.3">
      <c r="D58" s="88"/>
      <c r="F58" t="s">
        <v>252</v>
      </c>
      <c r="G58" t="s">
        <v>251</v>
      </c>
      <c r="H58" s="376">
        <v>5</v>
      </c>
      <c r="J58" s="339">
        <f>INDEX('Volume adjustments'!$J$481:$Y$521, J$36 + 1 + $H58*$H$59, J$37)</f>
        <v>0</v>
      </c>
      <c r="K58" s="339">
        <f>INDEX('Volume adjustments'!$J$481:$Y$521, K$36 + 1 + $H58*$H$59, K$37)</f>
        <v>0</v>
      </c>
      <c r="L58" s="339">
        <f>INDEX('Volume adjustments'!$J$481:$Y$521, L$36 + 1 + $H58*$H$59, L$37)</f>
        <v>0</v>
      </c>
      <c r="M58" s="339">
        <f>INDEX('Volume adjustments'!$J$481:$Y$521, M$36 + 1 + $H58*$H$59, M$37)</f>
        <v>0</v>
      </c>
      <c r="N58" s="339">
        <f>INDEX('Volume adjustments'!$J$481:$Y$521, N$36 + 1 + $H58*$H$59, N$37)</f>
        <v>0</v>
      </c>
      <c r="O58" s="339">
        <f>INDEX('Volume adjustments'!$J$481:$Y$521, O$36 + 1 + $H58*$H$59, O$37)</f>
        <v>0</v>
      </c>
      <c r="P58" s="339">
        <f>INDEX('Volume adjustments'!$J$481:$Y$521, P$36 + 1 + $H58*$H$59, P$37)</f>
        <v>0</v>
      </c>
      <c r="Q58" s="339">
        <f>INDEX('Volume adjustments'!$J$481:$Y$521, Q$36 + 1 + $H58*$H$59, Q$37)</f>
        <v>0</v>
      </c>
      <c r="R58" s="339">
        <f>INDEX('Volume adjustments'!$J$481:$Y$521, R$36 + 1 + $H58*$H$59, R$37)</f>
        <v>0</v>
      </c>
      <c r="S58" s="339">
        <f>INDEX('Volume adjustments'!$J$481:$Y$521, S$36 + 1 + $H58*$H$59, S$37)</f>
        <v>5868.4378506896392</v>
      </c>
      <c r="T58" s="339">
        <f>INDEX('Volume adjustments'!$J$481:$Y$521, T$36 + 1 + $H58*$H$59, T$37)</f>
        <v>12376.790225014032</v>
      </c>
      <c r="U58" s="339">
        <f>INDEX('Volume adjustments'!$J$481:$Y$521, U$36 + 1 + $H58*$H$59, U$37)</f>
        <v>6876.9081013747209</v>
      </c>
      <c r="V58" s="339">
        <f>INDEX('Volume adjustments'!$J$481:$Y$521, V$36 + 1 + $H58*$H$59, V$37)</f>
        <v>7056.8227485048856</v>
      </c>
      <c r="W58" s="339">
        <f>INDEX('Volume adjustments'!$J$481:$Y$521, W$36 + 1 + $H58*$H$59, W$37)</f>
        <v>0</v>
      </c>
      <c r="X58" s="339">
        <f>INDEX('Volume adjustments'!$J$481:$Y$521, X$36 + 1 + $H58*$H$59, X$37)</f>
        <v>0.84134381716200657</v>
      </c>
      <c r="Y58" s="339">
        <f>INDEX('Volume adjustments'!$J$481:$Y$521, Y$36 + 1 + $H58*$H$59, Y$37)</f>
        <v>8.3794223552683675</v>
      </c>
      <c r="Z58" s="339">
        <f>INDEX('Volume adjustments'!$J$481:$Y$521, Z$36 + 1 + $H58*$H$59, Z$37)</f>
        <v>15.305659171430394</v>
      </c>
      <c r="AA58" s="339">
        <f>INDEX('Volume adjustments'!$J$481:$Y$521, AA$36 + 1 + $H58*$H$59, AA$37)</f>
        <v>291.44701071456973</v>
      </c>
      <c r="AB58" s="339">
        <f>INDEX('Volume adjustments'!$J$481:$Y$521, AB$36 + 1 + $H58*$H$59, AB$37)</f>
        <v>0</v>
      </c>
      <c r="AC58" s="339">
        <f>INDEX('Volume adjustments'!$J$481:$Y$521, AC$36 + 1 + $H58*$H$59, AC$37)</f>
        <v>6229.5798176982598</v>
      </c>
      <c r="AD58" s="339">
        <f>INDEX('Volume adjustments'!$J$481:$Y$521, AD$36 + 1 + $H58*$H$59, AD$37)</f>
        <v>10311.65917446152</v>
      </c>
      <c r="AE58" s="339">
        <f>INDEX('Volume adjustments'!$J$481:$Y$521, AE$36 + 1 + $H58*$H$59, AE$37)</f>
        <v>5388.425585178662</v>
      </c>
      <c r="AF58" s="339">
        <f>INDEX('Volume adjustments'!$J$481:$Y$521, AF$36 + 1 + $H58*$H$59, AF$37)</f>
        <v>16417.659053530475</v>
      </c>
      <c r="AG58" s="339">
        <f>INDEX('Volume adjustments'!$J$481:$Y$521, AG$36 + 1 + $H58*$H$59, AG$37)</f>
        <v>0</v>
      </c>
      <c r="AH58" s="339">
        <f>INDEX('Volume adjustments'!$J$481:$Y$521, AH$36 + 1 + $H58*$H$59, AH$37)</f>
        <v>0</v>
      </c>
      <c r="AI58" s="339">
        <f>INDEX('Volume adjustments'!$J$481:$Y$521, AI$36 + 1 + $H58*$H$59, AI$37)</f>
        <v>0</v>
      </c>
      <c r="AJ58" s="339">
        <f>INDEX('Volume adjustments'!$J$481:$Y$521, AJ$36 + 1 + $H58*$H$59, AJ$37)</f>
        <v>0</v>
      </c>
      <c r="AK58" s="339">
        <f>INDEX('Volume adjustments'!$J$481:$Y$521, AK$36 + 1 + $H58*$H$59, AK$37)</f>
        <v>0</v>
      </c>
      <c r="AL58" s="339">
        <f>INDEX('Volume adjustments'!$J$481:$Y$521, AL$36 + 1 + $H58*$H$59, AL$37)</f>
        <v>0</v>
      </c>
      <c r="AM58" s="339">
        <f>INDEX('Volume adjustments'!$J$481:$Y$521, AM$36 + 1 + $H58*$H$59, AM$37)</f>
        <v>0</v>
      </c>
      <c r="AN58" s="339">
        <f>INDEX('Volume adjustments'!$J$481:$Y$521, AN$36 + 1 + $H58*$H$59, AN$37)</f>
        <v>0</v>
      </c>
      <c r="AO58" s="339">
        <f>INDEX('Volume adjustments'!$J$481:$Y$521, AO$36 + 1 + $H58*$H$59, AO$37)</f>
        <v>0</v>
      </c>
    </row>
    <row r="59" spans="4:41" x14ac:dyDescent="0.3">
      <c r="D59" s="88"/>
      <c r="F59" s="37" t="s">
        <v>215</v>
      </c>
      <c r="G59" s="67" t="s">
        <v>254</v>
      </c>
      <c r="H59" s="326">
        <v>6</v>
      </c>
      <c r="I59" s="37"/>
      <c r="J59" s="195">
        <f>INDEX('Volume adjustments'!$J$481:$Y$521, J$36 + 1 + $H59*$H$59, J$37)</f>
        <v>0</v>
      </c>
      <c r="K59" s="195">
        <f>INDEX('Volume adjustments'!$J$481:$Y$521, K$36 + 1 + $H59*$H$59, K$37)</f>
        <v>0</v>
      </c>
      <c r="L59" s="195">
        <f>INDEX('Volume adjustments'!$J$481:$Y$521, L$36 + 1 + $H59*$H$59, L$37)</f>
        <v>0</v>
      </c>
      <c r="M59" s="195">
        <f>INDEX('Volume adjustments'!$J$481:$Y$521, M$36 + 1 + $H59*$H$59, M$37)</f>
        <v>0</v>
      </c>
      <c r="N59" s="195">
        <f>INDEX('Volume adjustments'!$J$481:$Y$521, N$36 + 1 + $H59*$H$59, N$37)</f>
        <v>0</v>
      </c>
      <c r="O59" s="195">
        <f>INDEX('Volume adjustments'!$J$481:$Y$521, O$36 + 1 + $H59*$H$59, O$37)</f>
        <v>0</v>
      </c>
      <c r="P59" s="195">
        <f>INDEX('Volume adjustments'!$J$481:$Y$521, P$36 + 1 + $H59*$H$59, P$37)</f>
        <v>0</v>
      </c>
      <c r="Q59" s="195">
        <f>INDEX('Volume adjustments'!$J$481:$Y$521, Q$36 + 1 + $H59*$H$59, Q$37)</f>
        <v>0</v>
      </c>
      <c r="R59" s="195">
        <f>INDEX('Volume adjustments'!$J$481:$Y$521, R$36 + 1 + $H59*$H$59, R$37)</f>
        <v>0</v>
      </c>
      <c r="S59" s="195">
        <f>INDEX('Volume adjustments'!$J$481:$Y$521, S$36 + 1 + $H59*$H$59, S$37)</f>
        <v>71937.439803234665</v>
      </c>
      <c r="T59" s="195">
        <f>INDEX('Volume adjustments'!$J$481:$Y$521, T$36 + 1 + $H59*$H$59, T$37)</f>
        <v>107501.59751385565</v>
      </c>
      <c r="U59" s="195">
        <f>INDEX('Volume adjustments'!$J$481:$Y$521, U$36 + 1 + $H59*$H$59, U$37)</f>
        <v>58042.571527082284</v>
      </c>
      <c r="V59" s="195">
        <f>INDEX('Volume adjustments'!$J$481:$Y$521, V$36 + 1 + $H59*$H$59, V$37)</f>
        <v>57090.498654105315</v>
      </c>
      <c r="W59" s="195">
        <f>INDEX('Volume adjustments'!$J$481:$Y$521, W$36 + 1 + $H59*$H$59, W$37)</f>
        <v>0</v>
      </c>
      <c r="X59" s="195">
        <f>INDEX('Volume adjustments'!$J$481:$Y$521, X$36 + 1 + $H59*$H$59, X$37)</f>
        <v>131.77756588864506</v>
      </c>
      <c r="Y59" s="195">
        <f>INDEX('Volume adjustments'!$J$481:$Y$521, Y$36 + 1 + $H59*$H$59, Y$37)</f>
        <v>676.4706443951286</v>
      </c>
      <c r="Z59" s="195">
        <f>INDEX('Volume adjustments'!$J$481:$Y$521, Z$36 + 1 + $H59*$H$59, Z$37)</f>
        <v>1219.5657447813273</v>
      </c>
      <c r="AA59" s="195">
        <f>INDEX('Volume adjustments'!$J$481:$Y$521, AA$36 + 1 + $H59*$H$59, AA$37)</f>
        <v>14029.658384679276</v>
      </c>
      <c r="AB59" s="195">
        <f>INDEX('Volume adjustments'!$J$481:$Y$521, AB$36 + 1 + $H59*$H$59, AB$37)</f>
        <v>0</v>
      </c>
      <c r="AC59" s="195">
        <f>INDEX('Volume adjustments'!$J$481:$Y$521, AC$36 + 1 + $H59*$H$59, AC$37)</f>
        <v>106399.08143127071</v>
      </c>
      <c r="AD59" s="195">
        <f>INDEX('Volume adjustments'!$J$481:$Y$521, AD$36 + 1 + $H59*$H$59, AD$37)</f>
        <v>189800.73455524977</v>
      </c>
      <c r="AE59" s="195">
        <f>INDEX('Volume adjustments'!$J$481:$Y$521, AE$36 + 1 + $H59*$H$59, AE$37)</f>
        <v>103843.34861348962</v>
      </c>
      <c r="AF59" s="195">
        <f>INDEX('Volume adjustments'!$J$481:$Y$521, AF$36 + 1 + $H59*$H$59, AF$37)</f>
        <v>330073.02252807282</v>
      </c>
      <c r="AG59" s="195">
        <f>INDEX('Volume adjustments'!$J$481:$Y$521, AG$36 + 1 + $H59*$H$59, AG$37)</f>
        <v>0</v>
      </c>
      <c r="AH59" s="195">
        <f>INDEX('Volume adjustments'!$J$481:$Y$521, AH$36 + 1 + $H59*$H$59, AH$37)</f>
        <v>0</v>
      </c>
      <c r="AI59" s="195">
        <f>INDEX('Volume adjustments'!$J$481:$Y$521, AI$36 + 1 + $H59*$H$59, AI$37)</f>
        <v>0</v>
      </c>
      <c r="AJ59" s="195">
        <f>INDEX('Volume adjustments'!$J$481:$Y$521, AJ$36 + 1 + $H59*$H$59, AJ$37)</f>
        <v>3611.1971062068542</v>
      </c>
      <c r="AK59" s="195">
        <f>INDEX('Volume adjustments'!$J$481:$Y$521, AK$36 + 1 + $H59*$H$59, AK$37)</f>
        <v>0</v>
      </c>
      <c r="AL59" s="195">
        <f>INDEX('Volume adjustments'!$J$481:$Y$521, AL$36 + 1 + $H59*$H$59, AL$37)</f>
        <v>199.32917063675237</v>
      </c>
      <c r="AM59" s="195">
        <f>INDEX('Volume adjustments'!$J$481:$Y$521, AM$36 + 1 + $H59*$H$59, AM$37)</f>
        <v>0</v>
      </c>
      <c r="AN59" s="195">
        <f>INDEX('Volume adjustments'!$J$481:$Y$521, AN$36 + 1 + $H59*$H$59, AN$37)</f>
        <v>26108.090584296038</v>
      </c>
      <c r="AO59" s="195">
        <f>INDEX('Volume adjustments'!$J$481:$Y$521, AO$36 + 1 + $H59*$H$59, AO$37)</f>
        <v>0</v>
      </c>
    </row>
    <row r="60" spans="4:41" x14ac:dyDescent="0.3">
      <c r="D60" s="88"/>
      <c r="F60" s="2"/>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row>
    <row r="61" spans="4:41" x14ac:dyDescent="0.3">
      <c r="D61" s="88"/>
      <c r="E61" t="s">
        <v>737</v>
      </c>
      <c r="G61" t="s">
        <v>277</v>
      </c>
      <c r="H61" s="120">
        <f>'General inputs'!$H$87</f>
        <v>624163225.95598495</v>
      </c>
      <c r="J61" s="164"/>
      <c r="K61" s="164"/>
      <c r="L61" s="164"/>
      <c r="M61" s="164"/>
      <c r="N61" s="164"/>
      <c r="O61" s="164"/>
      <c r="P61" s="164"/>
      <c r="Q61" s="164"/>
      <c r="R61" s="164"/>
      <c r="S61" s="164"/>
      <c r="T61" s="164"/>
      <c r="U61" s="164"/>
      <c r="V61" s="164"/>
      <c r="W61" s="164"/>
      <c r="X61" s="164"/>
      <c r="Y61" s="164"/>
      <c r="Z61" s="164"/>
      <c r="AA61" s="164"/>
      <c r="AB61" s="164"/>
      <c r="AC61" s="164"/>
      <c r="AD61" s="164"/>
      <c r="AE61" s="164"/>
      <c r="AF61" s="164"/>
      <c r="AG61" s="164"/>
      <c r="AH61" s="164"/>
      <c r="AI61" s="164"/>
      <c r="AJ61" s="164"/>
      <c r="AK61" s="164"/>
      <c r="AL61" s="164"/>
      <c r="AM61" s="164"/>
      <c r="AN61" s="164"/>
      <c r="AO61" s="164"/>
    </row>
    <row r="62" spans="4:41" x14ac:dyDescent="0.3">
      <c r="D62" s="88"/>
      <c r="E62"/>
      <c r="H62" s="120"/>
      <c r="J62" s="164"/>
      <c r="K62" s="164"/>
      <c r="L62" s="164"/>
      <c r="M62" s="164"/>
      <c r="N62" s="164"/>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row>
    <row r="63" spans="4:41" x14ac:dyDescent="0.3">
      <c r="D63" s="88"/>
      <c r="E63" s="32" t="s">
        <v>875</v>
      </c>
      <c r="H63" s="120"/>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row>
    <row r="64" spans="4:41" x14ac:dyDescent="0.3">
      <c r="D64" s="88"/>
      <c r="F64" s="23" t="s">
        <v>873</v>
      </c>
      <c r="G64" s="23" t="s">
        <v>277</v>
      </c>
      <c r="H64" s="124">
        <f>'General inputs'!$H$53</f>
        <v>82527885.807858631</v>
      </c>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row>
    <row r="65" spans="2:43" x14ac:dyDescent="0.3">
      <c r="C65" s="88"/>
      <c r="F65" s="37" t="s">
        <v>874</v>
      </c>
      <c r="G65" s="37" t="s">
        <v>277</v>
      </c>
      <c r="H65" s="125">
        <f>'General inputs'!$H$54</f>
        <v>644138.06191657891</v>
      </c>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row>
    <row r="66" spans="2:43" x14ac:dyDescent="0.3">
      <c r="C66" s="88"/>
      <c r="J66" s="164"/>
      <c r="K66" s="164"/>
      <c r="L66" s="164"/>
      <c r="M66" s="164"/>
      <c r="N66" s="164"/>
      <c r="O66" s="164"/>
      <c r="P66" s="164"/>
      <c r="Q66" s="164"/>
      <c r="R66" s="164"/>
      <c r="S66" s="164"/>
      <c r="T66" s="164"/>
      <c r="U66" s="164"/>
      <c r="V66" s="164"/>
      <c r="W66" s="164"/>
      <c r="X66" s="164"/>
      <c r="Y66" s="164"/>
      <c r="Z66" s="164"/>
      <c r="AA66" s="164"/>
      <c r="AB66" s="164"/>
      <c r="AC66" s="164"/>
      <c r="AD66" s="164"/>
      <c r="AE66" s="164"/>
      <c r="AF66" s="164"/>
      <c r="AG66" s="164"/>
      <c r="AH66" s="164"/>
      <c r="AI66" s="164"/>
      <c r="AJ66" s="164"/>
      <c r="AK66" s="164"/>
      <c r="AL66" s="164"/>
      <c r="AM66" s="164"/>
      <c r="AN66" s="164"/>
      <c r="AO66" s="164"/>
    </row>
    <row r="67" spans="2:43" x14ac:dyDescent="0.3">
      <c r="C67" s="88"/>
      <c r="E67" t="s">
        <v>888</v>
      </c>
      <c r="G67" t="s">
        <v>277</v>
      </c>
      <c r="H67" s="98">
        <f>H61 - H64 - H65</f>
        <v>540991202.08620977</v>
      </c>
      <c r="I67" t="s">
        <v>154</v>
      </c>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Q67" t="s">
        <v>898</v>
      </c>
    </row>
    <row r="68" spans="2:43" x14ac:dyDescent="0.3">
      <c r="C68" s="88"/>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row>
    <row r="69" spans="2:43" x14ac:dyDescent="0.3">
      <c r="C69" s="31" t="str">
        <f ca="1">INDEX('Version control'!$H$34:$H$57,MATCH($A$1,'Version control'!$F$34:$F$57,0),1)&amp;"-B: Net revenue before matching"</f>
        <v>Section 116-B: Net revenue before matching</v>
      </c>
      <c r="D69" s="31"/>
      <c r="E69" s="31"/>
      <c r="F69" s="31"/>
      <c r="G69" s="31"/>
      <c r="H69" s="31"/>
      <c r="I69" s="31"/>
      <c r="J69" s="189"/>
      <c r="K69" s="189"/>
      <c r="L69" s="189"/>
      <c r="M69" s="189"/>
      <c r="N69" s="189"/>
      <c r="O69" s="189"/>
      <c r="P69" s="189"/>
      <c r="Q69" s="189"/>
      <c r="R69" s="189"/>
      <c r="S69" s="189"/>
      <c r="T69" s="189"/>
      <c r="U69" s="189"/>
      <c r="V69" s="189"/>
      <c r="W69" s="189"/>
      <c r="X69" s="189"/>
      <c r="Y69" s="189"/>
      <c r="Z69" s="189"/>
      <c r="AA69" s="189"/>
      <c r="AB69" s="189"/>
      <c r="AC69" s="189"/>
      <c r="AD69" s="189"/>
      <c r="AE69" s="189"/>
      <c r="AF69" s="189"/>
      <c r="AG69" s="189"/>
      <c r="AH69" s="189"/>
      <c r="AI69" s="189"/>
      <c r="AJ69" s="189"/>
      <c r="AK69" s="189"/>
      <c r="AL69" s="189"/>
      <c r="AM69" s="189"/>
      <c r="AN69" s="189"/>
      <c r="AO69" s="189"/>
      <c r="AP69" s="31"/>
      <c r="AQ69" s="31"/>
    </row>
    <row r="70" spans="2:43" x14ac:dyDescent="0.3">
      <c r="C70" s="29"/>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row>
    <row r="71" spans="2:43" x14ac:dyDescent="0.3">
      <c r="B71" s="29"/>
      <c r="D71" s="29" t="s">
        <v>738</v>
      </c>
      <c r="F71" s="2"/>
      <c r="J71" s="164"/>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row>
    <row r="72" spans="2:43" x14ac:dyDescent="0.3">
      <c r="D72" s="29" t="s">
        <v>739</v>
      </c>
      <c r="F72" s="2"/>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row>
    <row r="73" spans="2:43" x14ac:dyDescent="0.3">
      <c r="D73" s="29"/>
      <c r="F73" s="2"/>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row>
    <row r="74" spans="2:43" x14ac:dyDescent="0.3">
      <c r="D74"/>
      <c r="E74" s="32" t="s">
        <v>740</v>
      </c>
      <c r="F74" s="32"/>
      <c r="H74" s="128" t="s">
        <v>545</v>
      </c>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row>
    <row r="75" spans="2:43" x14ac:dyDescent="0.3">
      <c r="D75" s="88"/>
      <c r="F75" s="23" t="s">
        <v>156</v>
      </c>
      <c r="G75" s="23" t="s">
        <v>277</v>
      </c>
      <c r="H75" s="158">
        <f t="shared" ref="H75:H82" si="8">SUM(J75:AO75)</f>
        <v>96250270.521748334</v>
      </c>
      <c r="I75" s="129"/>
      <c r="J75" s="322">
        <f t="shared" ref="J75:AO75" si="9">J53 * thousand * J40 / hundred</f>
        <v>55872871.065024808</v>
      </c>
      <c r="K75" s="322">
        <f t="shared" si="9"/>
        <v>4763.0748266135088</v>
      </c>
      <c r="L75" s="322">
        <f t="shared" si="9"/>
        <v>0</v>
      </c>
      <c r="M75" s="322">
        <f t="shared" si="9"/>
        <v>728649.33259406942</v>
      </c>
      <c r="N75" s="322">
        <f t="shared" si="9"/>
        <v>3058337.4685203307</v>
      </c>
      <c r="O75" s="322">
        <f t="shared" si="9"/>
        <v>3880082.6631329767</v>
      </c>
      <c r="P75" s="322">
        <f t="shared" si="9"/>
        <v>12508189.098911559</v>
      </c>
      <c r="Q75" s="322">
        <f t="shared" si="9"/>
        <v>8749.9676789544646</v>
      </c>
      <c r="R75" s="322">
        <f t="shared" si="9"/>
        <v>0</v>
      </c>
      <c r="S75" s="322">
        <f t="shared" si="9"/>
        <v>2773107.4494974948</v>
      </c>
      <c r="T75" s="322">
        <f t="shared" si="9"/>
        <v>4144065.7564956862</v>
      </c>
      <c r="U75" s="322">
        <f t="shared" si="9"/>
        <v>2237475.8947496708</v>
      </c>
      <c r="V75" s="322">
        <f t="shared" si="9"/>
        <v>2200774.555589722</v>
      </c>
      <c r="W75" s="322">
        <f t="shared" si="9"/>
        <v>0</v>
      </c>
      <c r="X75" s="322">
        <f t="shared" si="9"/>
        <v>3292.8313971838897</v>
      </c>
      <c r="Y75" s="322">
        <f t="shared" si="9"/>
        <v>16903.512840871463</v>
      </c>
      <c r="Z75" s="322">
        <f t="shared" si="9"/>
        <v>30474.264327657773</v>
      </c>
      <c r="AA75" s="322">
        <f t="shared" si="9"/>
        <v>350570.29099986464</v>
      </c>
      <c r="AB75" s="322">
        <f t="shared" si="9"/>
        <v>0</v>
      </c>
      <c r="AC75" s="322">
        <f t="shared" si="9"/>
        <v>1246425.2465506375</v>
      </c>
      <c r="AD75" s="322">
        <f t="shared" si="9"/>
        <v>2223444.2645666543</v>
      </c>
      <c r="AE75" s="322">
        <f t="shared" si="9"/>
        <v>1216485.7972182853</v>
      </c>
      <c r="AF75" s="322">
        <f t="shared" si="9"/>
        <v>3866681.3937676861</v>
      </c>
      <c r="AG75" s="322">
        <f t="shared" si="9"/>
        <v>1557128.8771113229</v>
      </c>
      <c r="AH75" s="322">
        <f t="shared" si="9"/>
        <v>-5272.6591921518302</v>
      </c>
      <c r="AI75" s="322">
        <f t="shared" si="9"/>
        <v>0</v>
      </c>
      <c r="AJ75" s="322">
        <f t="shared" si="9"/>
        <v>-179889.5004180817</v>
      </c>
      <c r="AK75" s="322">
        <f t="shared" si="9"/>
        <v>0</v>
      </c>
      <c r="AL75" s="322">
        <f t="shared" si="9"/>
        <v>-31717.061689122525</v>
      </c>
      <c r="AM75" s="322">
        <f t="shared" si="9"/>
        <v>0</v>
      </c>
      <c r="AN75" s="322">
        <f t="shared" si="9"/>
        <v>-1461323.0627543363</v>
      </c>
      <c r="AO75" s="322">
        <f t="shared" si="9"/>
        <v>0</v>
      </c>
    </row>
    <row r="76" spans="2:43" x14ac:dyDescent="0.3">
      <c r="D76" s="88"/>
      <c r="F76" t="s">
        <v>157</v>
      </c>
      <c r="G76" t="s">
        <v>277</v>
      </c>
      <c r="H76" s="89">
        <f t="shared" si="8"/>
        <v>52089961.836367264</v>
      </c>
      <c r="I76" s="63"/>
      <c r="J76" s="215">
        <f t="shared" ref="J76" si="10">J54 * thousand * J41 / hundred</f>
        <v>26223660.470424172</v>
      </c>
      <c r="K76" s="215">
        <f t="shared" ref="K76:AO76" si="11">K54 * thousand * K41 / hundred</f>
        <v>32277.785508629699</v>
      </c>
      <c r="L76" s="215">
        <f t="shared" si="11"/>
        <v>0</v>
      </c>
      <c r="M76" s="215">
        <f t="shared" si="11"/>
        <v>472648.21440031298</v>
      </c>
      <c r="N76" s="215">
        <f t="shared" si="11"/>
        <v>1983831.8363423327</v>
      </c>
      <c r="O76" s="215">
        <f t="shared" si="11"/>
        <v>2516867.9369079806</v>
      </c>
      <c r="P76" s="215">
        <f t="shared" si="11"/>
        <v>8113605.5143765137</v>
      </c>
      <c r="Q76" s="215">
        <f t="shared" si="11"/>
        <v>10395.124612879699</v>
      </c>
      <c r="R76" s="215">
        <f t="shared" si="11"/>
        <v>0</v>
      </c>
      <c r="S76" s="215">
        <f t="shared" si="11"/>
        <v>1719239.9105091789</v>
      </c>
      <c r="T76" s="215">
        <f t="shared" si="11"/>
        <v>2569191.1943883849</v>
      </c>
      <c r="U76" s="215">
        <f t="shared" si="11"/>
        <v>1387165.0944332967</v>
      </c>
      <c r="V76" s="215">
        <f t="shared" si="11"/>
        <v>1364411.4117138076</v>
      </c>
      <c r="W76" s="215">
        <f t="shared" si="11"/>
        <v>0</v>
      </c>
      <c r="X76" s="215">
        <f t="shared" si="11"/>
        <v>1546.4974547159184</v>
      </c>
      <c r="Y76" s="215">
        <f t="shared" si="11"/>
        <v>7938.8333112111932</v>
      </c>
      <c r="Z76" s="215">
        <f t="shared" si="11"/>
        <v>14312.415830755317</v>
      </c>
      <c r="AA76" s="215">
        <f t="shared" si="11"/>
        <v>164647.38012215705</v>
      </c>
      <c r="AB76" s="215">
        <f t="shared" si="11"/>
        <v>0</v>
      </c>
      <c r="AC76" s="215">
        <f t="shared" si="11"/>
        <v>841144.63420949492</v>
      </c>
      <c r="AD76" s="215">
        <f t="shared" si="11"/>
        <v>1500481.6516512514</v>
      </c>
      <c r="AE76" s="215">
        <f t="shared" si="11"/>
        <v>820940.12758000568</v>
      </c>
      <c r="AF76" s="215">
        <f t="shared" si="11"/>
        <v>2609413.0518987738</v>
      </c>
      <c r="AG76" s="215">
        <f t="shared" si="11"/>
        <v>784911.77209290583</v>
      </c>
      <c r="AH76" s="215">
        <f t="shared" si="11"/>
        <v>-4482.4843210204945</v>
      </c>
      <c r="AI76" s="215">
        <f t="shared" si="11"/>
        <v>0</v>
      </c>
      <c r="AJ76" s="215">
        <f t="shared" si="11"/>
        <v>-142327.10143192307</v>
      </c>
      <c r="AK76" s="215">
        <f t="shared" si="11"/>
        <v>0</v>
      </c>
      <c r="AL76" s="215">
        <f t="shared" si="11"/>
        <v>-20218.501106260821</v>
      </c>
      <c r="AM76" s="215">
        <f t="shared" si="11"/>
        <v>0</v>
      </c>
      <c r="AN76" s="215">
        <f t="shared" si="11"/>
        <v>-881640.93454228924</v>
      </c>
      <c r="AO76" s="215">
        <f t="shared" si="11"/>
        <v>0</v>
      </c>
    </row>
    <row r="77" spans="2:43" x14ac:dyDescent="0.3">
      <c r="D77" s="88"/>
      <c r="F77" t="s">
        <v>158</v>
      </c>
      <c r="G77" t="s">
        <v>277</v>
      </c>
      <c r="H77" s="89">
        <f t="shared" si="8"/>
        <v>8047565.8981104391</v>
      </c>
      <c r="I77" s="63"/>
      <c r="J77" s="215">
        <f t="shared" ref="J77" si="12">J55 * thousand * J42 / hundred</f>
        <v>4086729.645453176</v>
      </c>
      <c r="K77" s="215">
        <f t="shared" ref="K77:AO77" si="13">K55 * thousand * K42 / hundred</f>
        <v>11739.055664304704</v>
      </c>
      <c r="L77" s="215">
        <f t="shared" si="13"/>
        <v>0</v>
      </c>
      <c r="M77" s="215">
        <f t="shared" si="13"/>
        <v>45595.431455467849</v>
      </c>
      <c r="N77" s="215">
        <f t="shared" si="13"/>
        <v>191376.30431522441</v>
      </c>
      <c r="O77" s="215">
        <f t="shared" si="13"/>
        <v>242797.23482157858</v>
      </c>
      <c r="P77" s="215">
        <f t="shared" si="13"/>
        <v>782703.35699212854</v>
      </c>
      <c r="Q77" s="215">
        <f t="shared" si="13"/>
        <v>2990.5438807943183</v>
      </c>
      <c r="R77" s="215">
        <f t="shared" si="13"/>
        <v>0</v>
      </c>
      <c r="S77" s="215">
        <f t="shared" si="13"/>
        <v>153760.27340988783</v>
      </c>
      <c r="T77" s="215">
        <f t="shared" si="13"/>
        <v>229775.69219786048</v>
      </c>
      <c r="U77" s="215">
        <f t="shared" si="13"/>
        <v>124061.1521876241</v>
      </c>
      <c r="V77" s="215">
        <f t="shared" si="13"/>
        <v>122026.17588522179</v>
      </c>
      <c r="W77" s="215">
        <f t="shared" si="13"/>
        <v>0</v>
      </c>
      <c r="X77" s="215">
        <f t="shared" si="13"/>
        <v>89.322499033374569</v>
      </c>
      <c r="Y77" s="215">
        <f t="shared" si="13"/>
        <v>458.53061613802913</v>
      </c>
      <c r="Z77" s="215">
        <f t="shared" si="13"/>
        <v>826.65557923128608</v>
      </c>
      <c r="AA77" s="215">
        <f t="shared" si="13"/>
        <v>9509.6926328343416</v>
      </c>
      <c r="AB77" s="215">
        <f t="shared" si="13"/>
        <v>0</v>
      </c>
      <c r="AC77" s="215">
        <f t="shared" si="13"/>
        <v>44807.231315212521</v>
      </c>
      <c r="AD77" s="215">
        <f t="shared" si="13"/>
        <v>79929.688326377509</v>
      </c>
      <c r="AE77" s="215">
        <f t="shared" si="13"/>
        <v>43730.950298442949</v>
      </c>
      <c r="AF77" s="215">
        <f t="shared" si="13"/>
        <v>139001.74768783327</v>
      </c>
      <c r="AG77" s="215">
        <f t="shared" si="13"/>
        <v>1809142.3391242155</v>
      </c>
      <c r="AH77" s="215">
        <f t="shared" si="13"/>
        <v>-208.31337387354588</v>
      </c>
      <c r="AI77" s="215">
        <f t="shared" si="13"/>
        <v>0</v>
      </c>
      <c r="AJ77" s="215">
        <f t="shared" si="13"/>
        <v>-13439.966783191345</v>
      </c>
      <c r="AK77" s="215">
        <f t="shared" si="13"/>
        <v>0</v>
      </c>
      <c r="AL77" s="215">
        <f t="shared" si="13"/>
        <v>-2665.8019545722286</v>
      </c>
      <c r="AM77" s="215">
        <f t="shared" si="13"/>
        <v>0</v>
      </c>
      <c r="AN77" s="215">
        <f t="shared" si="13"/>
        <v>-57171.044120510771</v>
      </c>
      <c r="AO77" s="215">
        <f t="shared" si="13"/>
        <v>0</v>
      </c>
    </row>
    <row r="78" spans="2:43" x14ac:dyDescent="0.3">
      <c r="D78" s="88"/>
      <c r="F78" t="s">
        <v>159</v>
      </c>
      <c r="G78" t="s">
        <v>277</v>
      </c>
      <c r="H78" s="89">
        <f t="shared" si="8"/>
        <v>49023770.567328885</v>
      </c>
      <c r="I78" s="63"/>
      <c r="J78" s="322">
        <f t="shared" ref="J78" si="14">J56 * J43 * days_in_year / hundred</f>
        <v>40863778.717838496</v>
      </c>
      <c r="K78" s="322">
        <f t="shared" ref="K78:AO78" si="15">K56 * K43 * days_in_year / hundred</f>
        <v>0</v>
      </c>
      <c r="L78" s="322">
        <f t="shared" si="15"/>
        <v>0</v>
      </c>
      <c r="M78" s="322">
        <f t="shared" si="15"/>
        <v>2380739.2021300588</v>
      </c>
      <c r="N78" s="322">
        <f t="shared" si="15"/>
        <v>1796716.0529405167</v>
      </c>
      <c r="O78" s="322">
        <f t="shared" si="15"/>
        <v>929573.80757048528</v>
      </c>
      <c r="P78" s="322">
        <f t="shared" si="15"/>
        <v>929305.86095159885</v>
      </c>
      <c r="Q78" s="322">
        <f t="shared" si="15"/>
        <v>0</v>
      </c>
      <c r="R78" s="322">
        <f t="shared" si="15"/>
        <v>0</v>
      </c>
      <c r="S78" s="322">
        <f t="shared" si="15"/>
        <v>302287.07196786458</v>
      </c>
      <c r="T78" s="322">
        <f t="shared" si="15"/>
        <v>244506.13252826637</v>
      </c>
      <c r="U78" s="322">
        <f t="shared" si="15"/>
        <v>85222.054491179981</v>
      </c>
      <c r="V78" s="322">
        <f t="shared" si="15"/>
        <v>53722.746368589644</v>
      </c>
      <c r="W78" s="322">
        <f t="shared" si="15"/>
        <v>0</v>
      </c>
      <c r="X78" s="322">
        <f t="shared" si="15"/>
        <v>530.88705981622388</v>
      </c>
      <c r="Y78" s="322">
        <f t="shared" si="15"/>
        <v>1274.1289435589374</v>
      </c>
      <c r="Z78" s="322">
        <f t="shared" si="15"/>
        <v>1433.3950615038045</v>
      </c>
      <c r="AA78" s="322">
        <f t="shared" si="15"/>
        <v>10989.362138195831</v>
      </c>
      <c r="AB78" s="322">
        <f t="shared" si="15"/>
        <v>0</v>
      </c>
      <c r="AC78" s="322">
        <f t="shared" si="15"/>
        <v>751114.41222862958</v>
      </c>
      <c r="AD78" s="322">
        <f t="shared" si="15"/>
        <v>405480.74357552698</v>
      </c>
      <c r="AE78" s="322">
        <f t="shared" si="15"/>
        <v>99520.978522683232</v>
      </c>
      <c r="AF78" s="322">
        <f t="shared" si="15"/>
        <v>102546.95422100807</v>
      </c>
      <c r="AG78" s="322">
        <f t="shared" si="15"/>
        <v>0</v>
      </c>
      <c r="AH78" s="322">
        <f t="shared" si="15"/>
        <v>0</v>
      </c>
      <c r="AI78" s="322">
        <f t="shared" si="15"/>
        <v>0</v>
      </c>
      <c r="AJ78" s="322">
        <f t="shared" si="15"/>
        <v>0</v>
      </c>
      <c r="AK78" s="322">
        <f t="shared" si="15"/>
        <v>0</v>
      </c>
      <c r="AL78" s="322">
        <f t="shared" si="15"/>
        <v>0</v>
      </c>
      <c r="AM78" s="322">
        <f t="shared" si="15"/>
        <v>0</v>
      </c>
      <c r="AN78" s="322">
        <f t="shared" si="15"/>
        <v>65028.058790905365</v>
      </c>
      <c r="AO78" s="322">
        <f t="shared" si="15"/>
        <v>0</v>
      </c>
    </row>
    <row r="79" spans="2:43" x14ac:dyDescent="0.3">
      <c r="D79" s="88"/>
      <c r="F79" t="s">
        <v>736</v>
      </c>
      <c r="G79" t="s">
        <v>277</v>
      </c>
      <c r="H79" s="89">
        <f t="shared" si="8"/>
        <v>84852317.672637552</v>
      </c>
      <c r="I79" s="63"/>
      <c r="J79" s="401">
        <f t="shared" ref="J79" si="16">J57 * J44 * days_in_year / hundred</f>
        <v>0</v>
      </c>
      <c r="K79" s="401">
        <f t="shared" ref="K79:AO79" si="17">K57 * K44 * days_in_year / hundred</f>
        <v>0</v>
      </c>
      <c r="L79" s="401">
        <f t="shared" si="17"/>
        <v>0</v>
      </c>
      <c r="M79" s="401">
        <f t="shared" si="17"/>
        <v>0</v>
      </c>
      <c r="N79" s="401">
        <f t="shared" si="17"/>
        <v>0</v>
      </c>
      <c r="O79" s="401">
        <f t="shared" si="17"/>
        <v>0</v>
      </c>
      <c r="P79" s="401">
        <f t="shared" si="17"/>
        <v>0</v>
      </c>
      <c r="Q79" s="401">
        <f t="shared" si="17"/>
        <v>0</v>
      </c>
      <c r="R79" s="401">
        <f t="shared" si="17"/>
        <v>0</v>
      </c>
      <c r="S79" s="401">
        <f t="shared" si="17"/>
        <v>4663494.2817056961</v>
      </c>
      <c r="T79" s="401">
        <f t="shared" si="17"/>
        <v>9835511.9213609677</v>
      </c>
      <c r="U79" s="401">
        <f t="shared" si="17"/>
        <v>5464899.2496031597</v>
      </c>
      <c r="V79" s="401">
        <f t="shared" si="17"/>
        <v>5607872.7204712238</v>
      </c>
      <c r="W79" s="401">
        <f t="shared" si="17"/>
        <v>0</v>
      </c>
      <c r="X79" s="401">
        <f t="shared" si="17"/>
        <v>8389.2098597314671</v>
      </c>
      <c r="Y79" s="401">
        <f t="shared" si="17"/>
        <v>83552.91999267826</v>
      </c>
      <c r="Z79" s="401">
        <f t="shared" si="17"/>
        <v>152615.83220968564</v>
      </c>
      <c r="AA79" s="401">
        <f t="shared" si="17"/>
        <v>2906077.2611645954</v>
      </c>
      <c r="AB79" s="401">
        <f t="shared" si="17"/>
        <v>0</v>
      </c>
      <c r="AC79" s="401">
        <f t="shared" si="17"/>
        <v>9118386.5193478875</v>
      </c>
      <c r="AD79" s="401">
        <f t="shared" si="17"/>
        <v>15093424.718853833</v>
      </c>
      <c r="AE79" s="401">
        <f t="shared" si="17"/>
        <v>7887168.7423946615</v>
      </c>
      <c r="AF79" s="401">
        <f t="shared" si="17"/>
        <v>24030924.295673445</v>
      </c>
      <c r="AG79" s="401">
        <f t="shared" si="17"/>
        <v>0</v>
      </c>
      <c r="AH79" s="401">
        <f t="shared" si="17"/>
        <v>0</v>
      </c>
      <c r="AI79" s="401">
        <f t="shared" si="17"/>
        <v>0</v>
      </c>
      <c r="AJ79" s="401">
        <f t="shared" si="17"/>
        <v>0</v>
      </c>
      <c r="AK79" s="401">
        <f t="shared" si="17"/>
        <v>0</v>
      </c>
      <c r="AL79" s="401">
        <f t="shared" si="17"/>
        <v>0</v>
      </c>
      <c r="AM79" s="401">
        <f t="shared" si="17"/>
        <v>0</v>
      </c>
      <c r="AN79" s="401">
        <f t="shared" si="17"/>
        <v>0</v>
      </c>
      <c r="AO79" s="401">
        <f t="shared" si="17"/>
        <v>0</v>
      </c>
    </row>
    <row r="80" spans="2:43" x14ac:dyDescent="0.3">
      <c r="D80" s="88"/>
      <c r="F80" t="s">
        <v>252</v>
      </c>
      <c r="G80" t="s">
        <v>277</v>
      </c>
      <c r="H80" s="89">
        <f t="shared" si="8"/>
        <v>1887771.0648263118</v>
      </c>
      <c r="I80" s="63"/>
      <c r="J80" s="323">
        <f t="shared" ref="J80" si="18">J58 * J45 * days_in_year / hundred</f>
        <v>0</v>
      </c>
      <c r="K80" s="323">
        <f t="shared" ref="K80:AO80" si="19">K58 * K45 * days_in_year / hundred</f>
        <v>0</v>
      </c>
      <c r="L80" s="323">
        <f t="shared" si="19"/>
        <v>0</v>
      </c>
      <c r="M80" s="323">
        <f t="shared" si="19"/>
        <v>0</v>
      </c>
      <c r="N80" s="323">
        <f t="shared" si="19"/>
        <v>0</v>
      </c>
      <c r="O80" s="323">
        <f t="shared" si="19"/>
        <v>0</v>
      </c>
      <c r="P80" s="323">
        <f t="shared" si="19"/>
        <v>0</v>
      </c>
      <c r="Q80" s="323">
        <f t="shared" si="19"/>
        <v>0</v>
      </c>
      <c r="R80" s="323">
        <f t="shared" si="19"/>
        <v>0</v>
      </c>
      <c r="S80" s="323">
        <f t="shared" si="19"/>
        <v>168250.87919999621</v>
      </c>
      <c r="T80" s="323">
        <f t="shared" si="19"/>
        <v>354848.40940895578</v>
      </c>
      <c r="U80" s="323">
        <f t="shared" si="19"/>
        <v>197164.19661799795</v>
      </c>
      <c r="V80" s="323">
        <f t="shared" si="19"/>
        <v>202322.43435192059</v>
      </c>
      <c r="W80" s="323">
        <f t="shared" si="19"/>
        <v>0</v>
      </c>
      <c r="X80" s="323">
        <f t="shared" si="19"/>
        <v>20.77850611133525</v>
      </c>
      <c r="Y80" s="323">
        <f t="shared" si="19"/>
        <v>206.94497905233501</v>
      </c>
      <c r="Z80" s="323">
        <f t="shared" si="19"/>
        <v>378.00091489867367</v>
      </c>
      <c r="AA80" s="323">
        <f t="shared" si="19"/>
        <v>7197.810656873211</v>
      </c>
      <c r="AB80" s="323">
        <f t="shared" si="19"/>
        <v>0</v>
      </c>
      <c r="AC80" s="323">
        <f t="shared" si="19"/>
        <v>155528.06798431306</v>
      </c>
      <c r="AD80" s="323">
        <f t="shared" si="19"/>
        <v>257441.50906622145</v>
      </c>
      <c r="AE80" s="323">
        <f t="shared" si="19"/>
        <v>134527.76034094172</v>
      </c>
      <c r="AF80" s="323">
        <f t="shared" si="19"/>
        <v>409884.27279902925</v>
      </c>
      <c r="AG80" s="323">
        <f t="shared" si="19"/>
        <v>0</v>
      </c>
      <c r="AH80" s="323">
        <f t="shared" si="19"/>
        <v>0</v>
      </c>
      <c r="AI80" s="323">
        <f t="shared" si="19"/>
        <v>0</v>
      </c>
      <c r="AJ80" s="323">
        <f t="shared" si="19"/>
        <v>0</v>
      </c>
      <c r="AK80" s="323">
        <f t="shared" si="19"/>
        <v>0</v>
      </c>
      <c r="AL80" s="323">
        <f t="shared" si="19"/>
        <v>0</v>
      </c>
      <c r="AM80" s="323">
        <f t="shared" si="19"/>
        <v>0</v>
      </c>
      <c r="AN80" s="323">
        <f t="shared" si="19"/>
        <v>0</v>
      </c>
      <c r="AO80" s="323">
        <f t="shared" si="19"/>
        <v>0</v>
      </c>
    </row>
    <row r="81" spans="1:43" x14ac:dyDescent="0.3">
      <c r="D81" s="88"/>
      <c r="F81" s="37" t="s">
        <v>215</v>
      </c>
      <c r="G81" s="67" t="s">
        <v>277</v>
      </c>
      <c r="H81" s="82">
        <f t="shared" si="8"/>
        <v>1134450.3390249575</v>
      </c>
      <c r="I81" s="130"/>
      <c r="J81" s="323">
        <f t="shared" ref="J81" si="20">J59 * thousand * J46 / hundred</f>
        <v>0</v>
      </c>
      <c r="K81" s="323">
        <f t="shared" ref="K81:AO81" si="21">K59 * thousand * K46 / hundred</f>
        <v>0</v>
      </c>
      <c r="L81" s="323">
        <f t="shared" si="21"/>
        <v>0</v>
      </c>
      <c r="M81" s="323">
        <f t="shared" si="21"/>
        <v>0</v>
      </c>
      <c r="N81" s="323">
        <f t="shared" si="21"/>
        <v>0</v>
      </c>
      <c r="O81" s="323">
        <f t="shared" si="21"/>
        <v>0</v>
      </c>
      <c r="P81" s="323">
        <f t="shared" si="21"/>
        <v>0</v>
      </c>
      <c r="Q81" s="323">
        <f t="shared" si="21"/>
        <v>0</v>
      </c>
      <c r="R81" s="323">
        <f t="shared" si="21"/>
        <v>0</v>
      </c>
      <c r="S81" s="323">
        <f t="shared" si="21"/>
        <v>156882.45469005336</v>
      </c>
      <c r="T81" s="323">
        <f t="shared" si="21"/>
        <v>234441.40557692564</v>
      </c>
      <c r="U81" s="323">
        <f t="shared" si="21"/>
        <v>126580.27756615024</v>
      </c>
      <c r="V81" s="323">
        <f t="shared" si="21"/>
        <v>124503.98002532891</v>
      </c>
      <c r="W81" s="323">
        <f t="shared" si="21"/>
        <v>0</v>
      </c>
      <c r="X81" s="323">
        <f t="shared" si="21"/>
        <v>174.85859307794755</v>
      </c>
      <c r="Y81" s="323">
        <f t="shared" si="21"/>
        <v>897.62399494781698</v>
      </c>
      <c r="Z81" s="323">
        <f t="shared" si="21"/>
        <v>1618.2690039875558</v>
      </c>
      <c r="AA81" s="323">
        <f t="shared" si="21"/>
        <v>18616.266812685415</v>
      </c>
      <c r="AB81" s="323">
        <f t="shared" si="21"/>
        <v>0</v>
      </c>
      <c r="AC81" s="323">
        <f t="shared" si="21"/>
        <v>62458.249497302641</v>
      </c>
      <c r="AD81" s="323">
        <f t="shared" si="21"/>
        <v>111416.57873503996</v>
      </c>
      <c r="AE81" s="323">
        <f t="shared" si="21"/>
        <v>60957.98656425724</v>
      </c>
      <c r="AF81" s="323">
        <f t="shared" si="21"/>
        <v>193759.03359376357</v>
      </c>
      <c r="AG81" s="323">
        <f t="shared" si="21"/>
        <v>0</v>
      </c>
      <c r="AH81" s="323">
        <f t="shared" si="21"/>
        <v>0</v>
      </c>
      <c r="AI81" s="323">
        <f t="shared" si="21"/>
        <v>0</v>
      </c>
      <c r="AJ81" s="323">
        <f t="shared" si="21"/>
        <v>7778.0493005073249</v>
      </c>
      <c r="AK81" s="323">
        <f t="shared" si="21"/>
        <v>0</v>
      </c>
      <c r="AL81" s="323">
        <f t="shared" si="21"/>
        <v>333.71583211188619</v>
      </c>
      <c r="AM81" s="323">
        <f t="shared" si="21"/>
        <v>0</v>
      </c>
      <c r="AN81" s="323">
        <f t="shared" si="21"/>
        <v>34031.589238818015</v>
      </c>
      <c r="AO81" s="323">
        <f t="shared" si="21"/>
        <v>0</v>
      </c>
    </row>
    <row r="82" spans="1:43" x14ac:dyDescent="0.3">
      <c r="D82"/>
      <c r="E82" s="29"/>
      <c r="F82" s="108" t="s">
        <v>100</v>
      </c>
      <c r="G82" s="152" t="s">
        <v>277</v>
      </c>
      <c r="H82" s="167">
        <f t="shared" si="8"/>
        <v>293286107.90004373</v>
      </c>
      <c r="I82" s="168"/>
      <c r="J82" s="216">
        <f t="shared" ref="J82" si="22">SUM(J75:J81)</f>
        <v>127047039.89874065</v>
      </c>
      <c r="K82" s="216">
        <f t="shared" ref="K82:AO82" si="23">SUM(K75:K81)</f>
        <v>48779.915999547913</v>
      </c>
      <c r="L82" s="216">
        <f t="shared" si="23"/>
        <v>0</v>
      </c>
      <c r="M82" s="216">
        <f t="shared" si="23"/>
        <v>3627632.1805799091</v>
      </c>
      <c r="N82" s="216">
        <f t="shared" si="23"/>
        <v>7030261.6621184042</v>
      </c>
      <c r="O82" s="216">
        <f t="shared" si="23"/>
        <v>7569321.6424330212</v>
      </c>
      <c r="P82" s="216">
        <f t="shared" si="23"/>
        <v>22333803.831231803</v>
      </c>
      <c r="Q82" s="216">
        <f t="shared" si="23"/>
        <v>22135.636172628481</v>
      </c>
      <c r="R82" s="216">
        <f t="shared" si="23"/>
        <v>0</v>
      </c>
      <c r="S82" s="216">
        <f t="shared" si="23"/>
        <v>9937022.3209801726</v>
      </c>
      <c r="T82" s="216">
        <f t="shared" si="23"/>
        <v>17612340.511957046</v>
      </c>
      <c r="U82" s="216">
        <f t="shared" si="23"/>
        <v>9622567.9196490794</v>
      </c>
      <c r="V82" s="216">
        <f t="shared" si="23"/>
        <v>9675634.0244058147</v>
      </c>
      <c r="W82" s="216">
        <f t="shared" si="23"/>
        <v>0</v>
      </c>
      <c r="X82" s="216">
        <f t="shared" si="23"/>
        <v>14044.385369670157</v>
      </c>
      <c r="Y82" s="216">
        <f t="shared" si="23"/>
        <v>111232.49467845804</v>
      </c>
      <c r="Z82" s="216">
        <f t="shared" si="23"/>
        <v>201658.83292772004</v>
      </c>
      <c r="AA82" s="216">
        <f t="shared" si="23"/>
        <v>3467608.0645272057</v>
      </c>
      <c r="AB82" s="216">
        <f t="shared" si="23"/>
        <v>0</v>
      </c>
      <c r="AC82" s="216">
        <f t="shared" si="23"/>
        <v>12219864.361133477</v>
      </c>
      <c r="AD82" s="216">
        <f t="shared" si="23"/>
        <v>19671619.154774901</v>
      </c>
      <c r="AE82" s="216">
        <f t="shared" si="23"/>
        <v>10263332.342919279</v>
      </c>
      <c r="AF82" s="216">
        <f t="shared" si="23"/>
        <v>31352210.749641541</v>
      </c>
      <c r="AG82" s="216">
        <f t="shared" si="23"/>
        <v>4151182.9883284448</v>
      </c>
      <c r="AH82" s="216">
        <f t="shared" si="23"/>
        <v>-9963.4568870458697</v>
      </c>
      <c r="AI82" s="216">
        <f t="shared" si="23"/>
        <v>0</v>
      </c>
      <c r="AJ82" s="216">
        <f t="shared" si="23"/>
        <v>-327878.51933268877</v>
      </c>
      <c r="AK82" s="216">
        <f t="shared" si="23"/>
        <v>0</v>
      </c>
      <c r="AL82" s="216">
        <f t="shared" si="23"/>
        <v>-54267.64891784369</v>
      </c>
      <c r="AM82" s="216">
        <f t="shared" si="23"/>
        <v>0</v>
      </c>
      <c r="AN82" s="216">
        <f t="shared" si="23"/>
        <v>-2301075.3933874131</v>
      </c>
      <c r="AO82" s="216">
        <f t="shared" si="23"/>
        <v>0</v>
      </c>
      <c r="AP82" s="210"/>
      <c r="AQ82" s="210"/>
    </row>
    <row r="83" spans="1:43" x14ac:dyDescent="0.3">
      <c r="D83"/>
      <c r="E83" s="32"/>
      <c r="F83" s="29"/>
      <c r="H83" s="89"/>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row>
    <row r="84" spans="1:43" x14ac:dyDescent="0.3">
      <c r="D84" s="88"/>
      <c r="E84" t="s">
        <v>741</v>
      </c>
      <c r="G84" t="s">
        <v>277</v>
      </c>
      <c r="H84" s="98">
        <f>H67 - H82</f>
        <v>247705094.18616605</v>
      </c>
      <c r="I84" s="210" t="s">
        <v>154</v>
      </c>
      <c r="J84" s="340"/>
      <c r="K84" s="340"/>
      <c r="L84" s="340"/>
      <c r="M84" s="340"/>
      <c r="N84" s="340"/>
      <c r="O84" s="340"/>
      <c r="P84" s="340"/>
      <c r="Q84" s="340"/>
      <c r="R84" s="340"/>
      <c r="S84" s="340"/>
      <c r="T84" s="340"/>
      <c r="U84" s="340"/>
      <c r="V84" s="340"/>
      <c r="W84" s="340"/>
      <c r="X84" s="340"/>
      <c r="Y84" s="340"/>
      <c r="Z84" s="340"/>
      <c r="AA84" s="340"/>
      <c r="AB84" s="340"/>
      <c r="AC84" s="340"/>
      <c r="AD84" s="340"/>
      <c r="AE84" s="340"/>
      <c r="AF84" s="340"/>
      <c r="AG84" s="340"/>
      <c r="AH84" s="340"/>
      <c r="AI84" s="340"/>
      <c r="AJ84" s="340"/>
      <c r="AK84" s="340"/>
      <c r="AL84" s="340"/>
      <c r="AM84" s="340"/>
      <c r="AN84" s="340"/>
      <c r="AO84" s="340"/>
      <c r="AP84" s="210"/>
      <c r="AQ84" s="210" t="s">
        <v>1153</v>
      </c>
    </row>
    <row r="85" spans="1:43" x14ac:dyDescent="0.3">
      <c r="C85" s="88"/>
      <c r="I85" s="210"/>
      <c r="J85" s="340"/>
      <c r="K85" s="340"/>
      <c r="L85" s="340"/>
      <c r="M85" s="340"/>
      <c r="N85" s="340"/>
      <c r="O85" s="340"/>
      <c r="P85" s="340"/>
      <c r="Q85" s="340"/>
      <c r="R85" s="340"/>
      <c r="S85" s="340"/>
      <c r="T85" s="340"/>
      <c r="U85" s="340"/>
      <c r="V85" s="340"/>
      <c r="W85" s="340"/>
      <c r="X85" s="340"/>
      <c r="Y85" s="340"/>
      <c r="Z85" s="340"/>
      <c r="AA85" s="340"/>
      <c r="AB85" s="340"/>
      <c r="AC85" s="340"/>
      <c r="AD85" s="340"/>
      <c r="AE85" s="340"/>
      <c r="AF85" s="340"/>
      <c r="AG85" s="340"/>
      <c r="AH85" s="340"/>
      <c r="AI85" s="340"/>
      <c r="AJ85" s="340"/>
      <c r="AK85" s="340"/>
      <c r="AL85" s="340"/>
      <c r="AM85" s="340"/>
      <c r="AN85" s="340"/>
      <c r="AO85" s="340"/>
      <c r="AP85" s="210"/>
      <c r="AQ85" s="210"/>
    </row>
    <row r="86" spans="1:43" x14ac:dyDescent="0.3">
      <c r="B86" s="30" t="s">
        <v>941</v>
      </c>
      <c r="C86" s="30"/>
      <c r="D86" s="30"/>
      <c r="E86" s="30"/>
      <c r="F86" s="30"/>
      <c r="G86" s="30"/>
      <c r="H86" s="30"/>
      <c r="I86" s="30"/>
      <c r="J86" s="200"/>
      <c r="K86" s="200"/>
      <c r="L86" s="200"/>
      <c r="M86" s="200"/>
      <c r="N86" s="200"/>
      <c r="O86" s="200"/>
      <c r="P86" s="200"/>
      <c r="Q86" s="200"/>
      <c r="R86" s="200"/>
      <c r="S86" s="200"/>
      <c r="T86" s="200"/>
      <c r="U86" s="200"/>
      <c r="V86" s="200"/>
      <c r="W86" s="200"/>
      <c r="X86" s="200"/>
      <c r="Y86" s="200"/>
      <c r="Z86" s="200"/>
      <c r="AA86" s="200"/>
      <c r="AB86" s="200"/>
      <c r="AC86" s="200"/>
      <c r="AD86" s="200"/>
      <c r="AE86" s="200"/>
      <c r="AF86" s="200"/>
      <c r="AG86" s="200"/>
      <c r="AH86" s="200"/>
      <c r="AI86" s="200"/>
      <c r="AJ86" s="200"/>
      <c r="AK86" s="200"/>
      <c r="AL86" s="200"/>
      <c r="AM86" s="200"/>
      <c r="AN86" s="200"/>
      <c r="AO86" s="200"/>
      <c r="AP86" s="105"/>
      <c r="AQ86" s="105"/>
    </row>
    <row r="87" spans="1:43" x14ac:dyDescent="0.3">
      <c r="C87" s="29"/>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row>
    <row r="88" spans="1:43" x14ac:dyDescent="0.3">
      <c r="C88" s="31" t="str">
        <f ca="1">INDEX('Version control'!$H$34:$H$57,MATCH($A$1,'Version control'!$F$34:$F$57,0),1)&amp;"-C: Grouping of residual bands where a band has insufficient customers"</f>
        <v>Section 116-C: Grouping of residual bands where a band has insufficient customers</v>
      </c>
      <c r="D88" s="31"/>
      <c r="E88" s="31"/>
      <c r="F88" s="31"/>
      <c r="G88" s="31"/>
      <c r="H88" s="31"/>
      <c r="I88" s="31"/>
      <c r="J88" s="189"/>
      <c r="K88" s="189"/>
      <c r="L88" s="189"/>
      <c r="M88" s="189"/>
      <c r="N88" s="189"/>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c r="AM88" s="189"/>
      <c r="AN88" s="189"/>
      <c r="AO88" s="189"/>
    </row>
    <row r="89" spans="1:43" x14ac:dyDescent="0.3">
      <c r="A89" s="320"/>
      <c r="B89" s="320"/>
      <c r="C89" s="29"/>
      <c r="D89"/>
      <c r="E89"/>
      <c r="J89" s="163"/>
      <c r="K89" s="163"/>
      <c r="L89" s="163"/>
      <c r="M89" s="163"/>
      <c r="N89" s="163"/>
      <c r="O89" s="163"/>
      <c r="P89" s="163"/>
      <c r="Q89" s="163"/>
      <c r="R89" s="163"/>
      <c r="S89" s="163"/>
      <c r="T89" s="163"/>
      <c r="U89" s="163"/>
      <c r="V89" s="163"/>
      <c r="W89" s="163"/>
      <c r="X89" s="163"/>
      <c r="Y89" s="163"/>
      <c r="Z89" s="163"/>
      <c r="AA89" s="163"/>
      <c r="AB89" s="163"/>
      <c r="AC89" s="163"/>
      <c r="AD89" s="163"/>
      <c r="AE89" s="163"/>
      <c r="AF89" s="163"/>
      <c r="AG89" s="163"/>
      <c r="AH89" s="163"/>
      <c r="AI89" s="163"/>
      <c r="AJ89" s="163"/>
      <c r="AK89" s="163"/>
      <c r="AL89" s="163"/>
      <c r="AM89" s="163"/>
      <c r="AN89" s="163"/>
      <c r="AO89" s="163"/>
    </row>
    <row r="90" spans="1:43" x14ac:dyDescent="0.3">
      <c r="A90" s="320"/>
      <c r="B90" s="320"/>
      <c r="C90" s="29"/>
      <c r="D90" s="29" t="s">
        <v>1149</v>
      </c>
      <c r="E90"/>
      <c r="I90" t="s">
        <v>154</v>
      </c>
      <c r="J90" s="163"/>
      <c r="K90" s="163"/>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Q90" t="s">
        <v>1147</v>
      </c>
    </row>
    <row r="91" spans="1:43" x14ac:dyDescent="0.3">
      <c r="A91" s="320"/>
      <c r="B91" s="320"/>
      <c r="C91" s="29"/>
      <c r="D91" s="29" t="s">
        <v>1123</v>
      </c>
      <c r="E91"/>
      <c r="J91" s="163"/>
      <c r="K91" s="163"/>
      <c r="L91" s="163"/>
      <c r="M91" s="163"/>
      <c r="N91" s="163"/>
      <c r="O91" s="163"/>
      <c r="P91" s="163"/>
      <c r="Q91" s="163"/>
      <c r="R91" s="163"/>
      <c r="S91" s="163"/>
      <c r="T91" s="163"/>
      <c r="U91" s="163"/>
      <c r="V91" s="163"/>
      <c r="W91" s="163"/>
      <c r="X91" s="163"/>
      <c r="Y91" s="163"/>
      <c r="Z91" s="163"/>
      <c r="AA91" s="163"/>
      <c r="AB91" s="163"/>
      <c r="AC91" s="163"/>
      <c r="AD91" s="163"/>
      <c r="AE91" s="163"/>
      <c r="AF91" s="163"/>
      <c r="AG91" s="163"/>
      <c r="AH91" s="163"/>
      <c r="AI91" s="163"/>
      <c r="AJ91" s="163"/>
      <c r="AK91" s="163"/>
      <c r="AL91" s="163"/>
      <c r="AM91" s="163"/>
      <c r="AN91" s="163"/>
      <c r="AO91" s="163"/>
    </row>
    <row r="92" spans="1:43" x14ac:dyDescent="0.3">
      <c r="A92" s="320"/>
      <c r="B92" s="320"/>
      <c r="C92" s="29"/>
      <c r="D92"/>
      <c r="E92"/>
      <c r="J92" s="163"/>
      <c r="K92" s="163"/>
      <c r="L92" s="163"/>
      <c r="M92" s="163"/>
      <c r="N92" s="163"/>
      <c r="O92" s="163"/>
      <c r="P92" s="163"/>
      <c r="Q92" s="163"/>
      <c r="R92" s="163"/>
      <c r="S92" s="163"/>
      <c r="T92" s="163"/>
      <c r="U92" s="163"/>
      <c r="V92" s="163"/>
      <c r="W92" s="163"/>
      <c r="X92" s="163"/>
      <c r="Y92" s="163"/>
      <c r="Z92" s="163"/>
      <c r="AA92" s="163"/>
      <c r="AB92" s="163"/>
      <c r="AC92" s="163"/>
      <c r="AD92" s="163"/>
      <c r="AE92" s="163"/>
      <c r="AF92" s="163"/>
      <c r="AG92" s="163"/>
      <c r="AH92" s="163"/>
      <c r="AI92" s="163"/>
      <c r="AJ92" s="163"/>
      <c r="AK92" s="163"/>
      <c r="AL92" s="163"/>
      <c r="AM92" s="163"/>
      <c r="AN92" s="163"/>
      <c r="AO92" s="163"/>
    </row>
    <row r="93" spans="1:43" x14ac:dyDescent="0.3">
      <c r="A93" s="320"/>
      <c r="B93" s="320"/>
      <c r="C93" s="29"/>
      <c r="D93"/>
      <c r="E93" s="32" t="s">
        <v>1031</v>
      </c>
      <c r="J93" s="163"/>
      <c r="K93" s="163"/>
      <c r="L93" s="163"/>
      <c r="M93" s="163"/>
      <c r="N93" s="163"/>
      <c r="O93" s="163"/>
      <c r="P93" s="163"/>
      <c r="Q93" s="163"/>
      <c r="R93" s="163"/>
      <c r="S93" s="163"/>
      <c r="T93" s="163"/>
      <c r="U93" s="163"/>
      <c r="V93" s="163"/>
      <c r="W93" s="163"/>
      <c r="X93" s="163"/>
      <c r="Y93" s="163"/>
      <c r="Z93" s="163"/>
      <c r="AA93" s="163"/>
      <c r="AB93" s="163"/>
      <c r="AC93" s="163"/>
      <c r="AD93" s="163"/>
      <c r="AE93" s="163"/>
      <c r="AF93" s="163"/>
      <c r="AG93" s="163"/>
      <c r="AH93" s="163"/>
      <c r="AI93" s="163"/>
      <c r="AJ93" s="163"/>
      <c r="AK93" s="163"/>
      <c r="AL93" s="163"/>
      <c r="AM93" s="163"/>
      <c r="AN93" s="163"/>
      <c r="AO93" s="163"/>
    </row>
    <row r="94" spans="1:43" x14ac:dyDescent="0.3">
      <c r="A94" s="320"/>
      <c r="B94" s="320"/>
      <c r="C94" s="29"/>
      <c r="D94"/>
      <c r="E94"/>
      <c r="F94" s="23" t="s">
        <v>998</v>
      </c>
      <c r="G94" s="23" t="s">
        <v>149</v>
      </c>
      <c r="H94" s="23"/>
      <c r="I94" s="23"/>
      <c r="J94" s="359">
        <f>'Fixed inputs'!J176</f>
        <v>1</v>
      </c>
      <c r="K94" s="360"/>
      <c r="L94" s="360"/>
      <c r="M94" s="359">
        <f>'Fixed inputs'!M176</f>
        <v>1</v>
      </c>
      <c r="N94" s="359">
        <f>'Fixed inputs'!N176</f>
        <v>2</v>
      </c>
      <c r="O94" s="359">
        <f>'Fixed inputs'!O176</f>
        <v>3</v>
      </c>
      <c r="P94" s="359">
        <f>'Fixed inputs'!P176</f>
        <v>4</v>
      </c>
      <c r="Q94" s="360"/>
      <c r="R94" s="360"/>
      <c r="S94" s="359">
        <f>'Fixed inputs'!S176</f>
        <v>1</v>
      </c>
      <c r="T94" s="359">
        <f>'Fixed inputs'!T176</f>
        <v>2</v>
      </c>
      <c r="U94" s="359">
        <f>'Fixed inputs'!U176</f>
        <v>3</v>
      </c>
      <c r="V94" s="359">
        <f>'Fixed inputs'!V176</f>
        <v>4</v>
      </c>
      <c r="W94" s="360"/>
      <c r="X94" s="359">
        <f>'Fixed inputs'!X176</f>
        <v>1</v>
      </c>
      <c r="Y94" s="359">
        <f>'Fixed inputs'!Y176</f>
        <v>2</v>
      </c>
      <c r="Z94" s="359">
        <f>'Fixed inputs'!Z176</f>
        <v>3</v>
      </c>
      <c r="AA94" s="359">
        <f>'Fixed inputs'!AA176</f>
        <v>4</v>
      </c>
      <c r="AB94" s="360"/>
      <c r="AC94" s="359">
        <f>'Fixed inputs'!AC176</f>
        <v>1</v>
      </c>
      <c r="AD94" s="359">
        <f>'Fixed inputs'!AD176</f>
        <v>2</v>
      </c>
      <c r="AE94" s="359">
        <f>'Fixed inputs'!AE176</f>
        <v>3</v>
      </c>
      <c r="AF94" s="359">
        <f>'Fixed inputs'!AF176</f>
        <v>4</v>
      </c>
      <c r="AG94" s="359">
        <f>'Fixed inputs'!AG176</f>
        <v>1</v>
      </c>
      <c r="AH94" s="360"/>
      <c r="AI94" s="360"/>
      <c r="AJ94" s="360"/>
      <c r="AK94" s="360"/>
      <c r="AL94" s="360"/>
      <c r="AM94" s="360"/>
      <c r="AN94" s="360"/>
      <c r="AO94" s="360"/>
    </row>
    <row r="95" spans="1:43" x14ac:dyDescent="0.3">
      <c r="A95" s="320"/>
      <c r="B95" s="320"/>
      <c r="C95" s="29"/>
      <c r="D95"/>
      <c r="E95"/>
      <c r="F95" s="311" t="s">
        <v>999</v>
      </c>
      <c r="G95" s="311" t="s">
        <v>149</v>
      </c>
      <c r="H95" s="311"/>
      <c r="I95" s="311"/>
      <c r="J95" s="355">
        <f>'Fixed inputs'!J177</f>
        <v>1</v>
      </c>
      <c r="K95" s="356"/>
      <c r="L95" s="356"/>
      <c r="M95" s="355">
        <f>'Fixed inputs'!M177</f>
        <v>1</v>
      </c>
      <c r="N95" s="355">
        <f>'Fixed inputs'!N177</f>
        <v>1</v>
      </c>
      <c r="O95" s="355">
        <f>'Fixed inputs'!O177</f>
        <v>2</v>
      </c>
      <c r="P95" s="355">
        <f>'Fixed inputs'!P177</f>
        <v>3</v>
      </c>
      <c r="Q95" s="356"/>
      <c r="R95" s="356"/>
      <c r="S95" s="355">
        <f>'Fixed inputs'!S177</f>
        <v>1</v>
      </c>
      <c r="T95" s="355">
        <f>'Fixed inputs'!T177</f>
        <v>1</v>
      </c>
      <c r="U95" s="355">
        <f>'Fixed inputs'!U177</f>
        <v>2</v>
      </c>
      <c r="V95" s="355">
        <f>'Fixed inputs'!V177</f>
        <v>3</v>
      </c>
      <c r="W95" s="356"/>
      <c r="X95" s="355">
        <f>'Fixed inputs'!X177</f>
        <v>1</v>
      </c>
      <c r="Y95" s="355">
        <f>'Fixed inputs'!Y177</f>
        <v>1</v>
      </c>
      <c r="Z95" s="355">
        <f>'Fixed inputs'!Z177</f>
        <v>2</v>
      </c>
      <c r="AA95" s="355">
        <f>'Fixed inputs'!AA177</f>
        <v>3</v>
      </c>
      <c r="AB95" s="356"/>
      <c r="AC95" s="355">
        <f>'Fixed inputs'!AC177</f>
        <v>1</v>
      </c>
      <c r="AD95" s="355">
        <f>'Fixed inputs'!AD177</f>
        <v>1</v>
      </c>
      <c r="AE95" s="355">
        <f>'Fixed inputs'!AE177</f>
        <v>2</v>
      </c>
      <c r="AF95" s="355">
        <f>'Fixed inputs'!AF177</f>
        <v>3</v>
      </c>
      <c r="AG95" s="355">
        <f>'Fixed inputs'!AG177</f>
        <v>1</v>
      </c>
      <c r="AH95" s="356"/>
      <c r="AI95" s="356"/>
      <c r="AJ95" s="356"/>
      <c r="AK95" s="356"/>
      <c r="AL95" s="356"/>
      <c r="AM95" s="356"/>
      <c r="AN95" s="356"/>
      <c r="AO95" s="356"/>
    </row>
    <row r="96" spans="1:43" x14ac:dyDescent="0.3">
      <c r="A96" s="320"/>
      <c r="B96" s="320"/>
      <c r="C96" s="29"/>
      <c r="D96"/>
      <c r="E96"/>
      <c r="F96" s="311" t="s">
        <v>1000</v>
      </c>
      <c r="G96" s="311" t="s">
        <v>149</v>
      </c>
      <c r="H96" s="311"/>
      <c r="I96" s="311"/>
      <c r="J96" s="355">
        <f>'Fixed inputs'!J178</f>
        <v>1</v>
      </c>
      <c r="K96" s="356"/>
      <c r="L96" s="356"/>
      <c r="M96" s="355">
        <f>'Fixed inputs'!M178</f>
        <v>1</v>
      </c>
      <c r="N96" s="355">
        <f>'Fixed inputs'!N178</f>
        <v>2</v>
      </c>
      <c r="O96" s="355">
        <f>'Fixed inputs'!O178</f>
        <v>2</v>
      </c>
      <c r="P96" s="355">
        <f>'Fixed inputs'!P178</f>
        <v>3</v>
      </c>
      <c r="Q96" s="356"/>
      <c r="R96" s="356"/>
      <c r="S96" s="355">
        <f>'Fixed inputs'!S178</f>
        <v>1</v>
      </c>
      <c r="T96" s="355">
        <f>'Fixed inputs'!T178</f>
        <v>2</v>
      </c>
      <c r="U96" s="355">
        <f>'Fixed inputs'!U178</f>
        <v>2</v>
      </c>
      <c r="V96" s="355">
        <f>'Fixed inputs'!V178</f>
        <v>3</v>
      </c>
      <c r="W96" s="356"/>
      <c r="X96" s="355">
        <f>'Fixed inputs'!X178</f>
        <v>1</v>
      </c>
      <c r="Y96" s="355">
        <f>'Fixed inputs'!Y178</f>
        <v>2</v>
      </c>
      <c r="Z96" s="355">
        <f>'Fixed inputs'!Z178</f>
        <v>2</v>
      </c>
      <c r="AA96" s="355">
        <f>'Fixed inputs'!AA178</f>
        <v>3</v>
      </c>
      <c r="AB96" s="356"/>
      <c r="AC96" s="355">
        <f>'Fixed inputs'!AC178</f>
        <v>1</v>
      </c>
      <c r="AD96" s="355">
        <f>'Fixed inputs'!AD178</f>
        <v>2</v>
      </c>
      <c r="AE96" s="355">
        <f>'Fixed inputs'!AE178</f>
        <v>2</v>
      </c>
      <c r="AF96" s="355">
        <f>'Fixed inputs'!AF178</f>
        <v>3</v>
      </c>
      <c r="AG96" s="355">
        <f>'Fixed inputs'!AG178</f>
        <v>1</v>
      </c>
      <c r="AH96" s="356"/>
      <c r="AI96" s="356"/>
      <c r="AJ96" s="356"/>
      <c r="AK96" s="356"/>
      <c r="AL96" s="356"/>
      <c r="AM96" s="356"/>
      <c r="AN96" s="356"/>
      <c r="AO96" s="356"/>
    </row>
    <row r="97" spans="1:41" x14ac:dyDescent="0.3">
      <c r="A97" s="320"/>
      <c r="B97" s="320"/>
      <c r="C97" s="29"/>
      <c r="D97"/>
      <c r="E97"/>
      <c r="F97" s="311" t="s">
        <v>1001</v>
      </c>
      <c r="G97" s="311" t="s">
        <v>149</v>
      </c>
      <c r="H97" s="311"/>
      <c r="I97" s="311"/>
      <c r="J97" s="355">
        <f>'Fixed inputs'!J179</f>
        <v>1</v>
      </c>
      <c r="K97" s="356"/>
      <c r="L97" s="356"/>
      <c r="M97" s="355">
        <f>'Fixed inputs'!M179</f>
        <v>1</v>
      </c>
      <c r="N97" s="355">
        <f>'Fixed inputs'!N179</f>
        <v>2</v>
      </c>
      <c r="O97" s="355">
        <f>'Fixed inputs'!O179</f>
        <v>3</v>
      </c>
      <c r="P97" s="355">
        <f>'Fixed inputs'!P179</f>
        <v>3</v>
      </c>
      <c r="Q97" s="356"/>
      <c r="R97" s="356"/>
      <c r="S97" s="355">
        <f>'Fixed inputs'!S179</f>
        <v>1</v>
      </c>
      <c r="T97" s="355">
        <f>'Fixed inputs'!T179</f>
        <v>2</v>
      </c>
      <c r="U97" s="355">
        <f>'Fixed inputs'!U179</f>
        <v>3</v>
      </c>
      <c r="V97" s="355">
        <f>'Fixed inputs'!V179</f>
        <v>3</v>
      </c>
      <c r="W97" s="356"/>
      <c r="X97" s="355">
        <f>'Fixed inputs'!X179</f>
        <v>1</v>
      </c>
      <c r="Y97" s="355">
        <f>'Fixed inputs'!Y179</f>
        <v>2</v>
      </c>
      <c r="Z97" s="355">
        <f>'Fixed inputs'!Z179</f>
        <v>3</v>
      </c>
      <c r="AA97" s="355">
        <f>'Fixed inputs'!AA179</f>
        <v>3</v>
      </c>
      <c r="AB97" s="356"/>
      <c r="AC97" s="355">
        <f>'Fixed inputs'!AC179</f>
        <v>1</v>
      </c>
      <c r="AD97" s="355">
        <f>'Fixed inputs'!AD179</f>
        <v>2</v>
      </c>
      <c r="AE97" s="355">
        <f>'Fixed inputs'!AE179</f>
        <v>3</v>
      </c>
      <c r="AF97" s="355">
        <f>'Fixed inputs'!AF179</f>
        <v>3</v>
      </c>
      <c r="AG97" s="355">
        <f>'Fixed inputs'!AG179</f>
        <v>1</v>
      </c>
      <c r="AH97" s="356"/>
      <c r="AI97" s="356"/>
      <c r="AJ97" s="356"/>
      <c r="AK97" s="356"/>
      <c r="AL97" s="356"/>
      <c r="AM97" s="356"/>
      <c r="AN97" s="356"/>
      <c r="AO97" s="356"/>
    </row>
    <row r="98" spans="1:41" x14ac:dyDescent="0.3">
      <c r="A98" s="320"/>
      <c r="B98" s="320"/>
      <c r="C98" s="29"/>
      <c r="D98"/>
      <c r="E98"/>
      <c r="F98" s="311" t="s">
        <v>1002</v>
      </c>
      <c r="G98" s="311" t="s">
        <v>149</v>
      </c>
      <c r="H98" s="311"/>
      <c r="I98" s="311"/>
      <c r="J98" s="355">
        <f>'Fixed inputs'!J180</f>
        <v>1</v>
      </c>
      <c r="K98" s="356"/>
      <c r="L98" s="356"/>
      <c r="M98" s="355">
        <f>'Fixed inputs'!M180</f>
        <v>1</v>
      </c>
      <c r="N98" s="355">
        <f>'Fixed inputs'!N180</f>
        <v>1</v>
      </c>
      <c r="O98" s="355">
        <f>'Fixed inputs'!O180</f>
        <v>2</v>
      </c>
      <c r="P98" s="355">
        <f>'Fixed inputs'!P180</f>
        <v>2</v>
      </c>
      <c r="Q98" s="356"/>
      <c r="R98" s="356"/>
      <c r="S98" s="355">
        <f>'Fixed inputs'!S180</f>
        <v>1</v>
      </c>
      <c r="T98" s="355">
        <f>'Fixed inputs'!T180</f>
        <v>1</v>
      </c>
      <c r="U98" s="355">
        <f>'Fixed inputs'!U180</f>
        <v>2</v>
      </c>
      <c r="V98" s="355">
        <f>'Fixed inputs'!V180</f>
        <v>2</v>
      </c>
      <c r="W98" s="356"/>
      <c r="X98" s="355">
        <f>'Fixed inputs'!X180</f>
        <v>1</v>
      </c>
      <c r="Y98" s="355">
        <f>'Fixed inputs'!Y180</f>
        <v>1</v>
      </c>
      <c r="Z98" s="355">
        <f>'Fixed inputs'!Z180</f>
        <v>2</v>
      </c>
      <c r="AA98" s="355">
        <f>'Fixed inputs'!AA180</f>
        <v>2</v>
      </c>
      <c r="AB98" s="356"/>
      <c r="AC98" s="355">
        <f>'Fixed inputs'!AC180</f>
        <v>1</v>
      </c>
      <c r="AD98" s="355">
        <f>'Fixed inputs'!AD180</f>
        <v>1</v>
      </c>
      <c r="AE98" s="355">
        <f>'Fixed inputs'!AE180</f>
        <v>2</v>
      </c>
      <c r="AF98" s="355">
        <f>'Fixed inputs'!AF180</f>
        <v>2</v>
      </c>
      <c r="AG98" s="355">
        <f>'Fixed inputs'!AG180</f>
        <v>1</v>
      </c>
      <c r="AH98" s="356"/>
      <c r="AI98" s="356"/>
      <c r="AJ98" s="356"/>
      <c r="AK98" s="356"/>
      <c r="AL98" s="356"/>
      <c r="AM98" s="356"/>
      <c r="AN98" s="356"/>
      <c r="AO98" s="356"/>
    </row>
    <row r="99" spans="1:41" x14ac:dyDescent="0.3">
      <c r="A99" s="320"/>
      <c r="B99" s="320"/>
      <c r="C99" s="29"/>
      <c r="D99"/>
      <c r="E99"/>
      <c r="F99" s="311" t="s">
        <v>1003</v>
      </c>
      <c r="G99" s="311" t="s">
        <v>149</v>
      </c>
      <c r="H99" s="311"/>
      <c r="I99" s="311"/>
      <c r="J99" s="355">
        <f>'Fixed inputs'!J181</f>
        <v>1</v>
      </c>
      <c r="K99" s="356"/>
      <c r="L99" s="356"/>
      <c r="M99" s="355">
        <f>'Fixed inputs'!M181</f>
        <v>1</v>
      </c>
      <c r="N99" s="355">
        <f>'Fixed inputs'!N181</f>
        <v>1</v>
      </c>
      <c r="O99" s="355">
        <f>'Fixed inputs'!O181</f>
        <v>1</v>
      </c>
      <c r="P99" s="355">
        <f>'Fixed inputs'!P181</f>
        <v>2</v>
      </c>
      <c r="Q99" s="356"/>
      <c r="R99" s="356"/>
      <c r="S99" s="355">
        <f>'Fixed inputs'!S181</f>
        <v>1</v>
      </c>
      <c r="T99" s="355">
        <f>'Fixed inputs'!T181</f>
        <v>1</v>
      </c>
      <c r="U99" s="355">
        <f>'Fixed inputs'!U181</f>
        <v>1</v>
      </c>
      <c r="V99" s="355">
        <f>'Fixed inputs'!V181</f>
        <v>2</v>
      </c>
      <c r="W99" s="356"/>
      <c r="X99" s="355">
        <f>'Fixed inputs'!X181</f>
        <v>1</v>
      </c>
      <c r="Y99" s="355">
        <f>'Fixed inputs'!Y181</f>
        <v>1</v>
      </c>
      <c r="Z99" s="355">
        <f>'Fixed inputs'!Z181</f>
        <v>1</v>
      </c>
      <c r="AA99" s="355">
        <f>'Fixed inputs'!AA181</f>
        <v>2</v>
      </c>
      <c r="AB99" s="356"/>
      <c r="AC99" s="355">
        <f>'Fixed inputs'!AC181</f>
        <v>1</v>
      </c>
      <c r="AD99" s="355">
        <f>'Fixed inputs'!AD181</f>
        <v>1</v>
      </c>
      <c r="AE99" s="355">
        <f>'Fixed inputs'!AE181</f>
        <v>1</v>
      </c>
      <c r="AF99" s="355">
        <f>'Fixed inputs'!AF181</f>
        <v>2</v>
      </c>
      <c r="AG99" s="355">
        <f>'Fixed inputs'!AG181</f>
        <v>1</v>
      </c>
      <c r="AH99" s="356"/>
      <c r="AI99" s="356"/>
      <c r="AJ99" s="356"/>
      <c r="AK99" s="356"/>
      <c r="AL99" s="356"/>
      <c r="AM99" s="356"/>
      <c r="AN99" s="356"/>
      <c r="AO99" s="356"/>
    </row>
    <row r="100" spans="1:41" x14ac:dyDescent="0.3">
      <c r="A100" s="320"/>
      <c r="B100" s="320"/>
      <c r="C100" s="29"/>
      <c r="D100"/>
      <c r="E100"/>
      <c r="F100" s="311" t="s">
        <v>1004</v>
      </c>
      <c r="G100" s="311" t="s">
        <v>149</v>
      </c>
      <c r="H100" s="311"/>
      <c r="I100" s="311"/>
      <c r="J100" s="355">
        <f>'Fixed inputs'!J182</f>
        <v>1</v>
      </c>
      <c r="K100" s="356"/>
      <c r="L100" s="356"/>
      <c r="M100" s="355">
        <f>'Fixed inputs'!M182</f>
        <v>1</v>
      </c>
      <c r="N100" s="355">
        <f>'Fixed inputs'!N182</f>
        <v>2</v>
      </c>
      <c r="O100" s="355">
        <f>'Fixed inputs'!O182</f>
        <v>2</v>
      </c>
      <c r="P100" s="355">
        <f>'Fixed inputs'!P182</f>
        <v>2</v>
      </c>
      <c r="Q100" s="356"/>
      <c r="R100" s="356"/>
      <c r="S100" s="355">
        <f>'Fixed inputs'!S182</f>
        <v>1</v>
      </c>
      <c r="T100" s="355">
        <f>'Fixed inputs'!T182</f>
        <v>2</v>
      </c>
      <c r="U100" s="355">
        <f>'Fixed inputs'!U182</f>
        <v>2</v>
      </c>
      <c r="V100" s="355">
        <f>'Fixed inputs'!V182</f>
        <v>2</v>
      </c>
      <c r="W100" s="356"/>
      <c r="X100" s="355">
        <f>'Fixed inputs'!X182</f>
        <v>1</v>
      </c>
      <c r="Y100" s="355">
        <f>'Fixed inputs'!Y182</f>
        <v>2</v>
      </c>
      <c r="Z100" s="355">
        <f>'Fixed inputs'!Z182</f>
        <v>2</v>
      </c>
      <c r="AA100" s="355">
        <f>'Fixed inputs'!AA182</f>
        <v>2</v>
      </c>
      <c r="AB100" s="356"/>
      <c r="AC100" s="355">
        <f>'Fixed inputs'!AC182</f>
        <v>1</v>
      </c>
      <c r="AD100" s="355">
        <f>'Fixed inputs'!AD182</f>
        <v>2</v>
      </c>
      <c r="AE100" s="355">
        <f>'Fixed inputs'!AE182</f>
        <v>2</v>
      </c>
      <c r="AF100" s="355">
        <f>'Fixed inputs'!AF182</f>
        <v>2</v>
      </c>
      <c r="AG100" s="355">
        <f>'Fixed inputs'!AG182</f>
        <v>1</v>
      </c>
      <c r="AH100" s="356"/>
      <c r="AI100" s="356"/>
      <c r="AJ100" s="356"/>
      <c r="AK100" s="356"/>
      <c r="AL100" s="356"/>
      <c r="AM100" s="356"/>
      <c r="AN100" s="356"/>
      <c r="AO100" s="356"/>
    </row>
    <row r="101" spans="1:41" x14ac:dyDescent="0.3">
      <c r="A101" s="320"/>
      <c r="B101" s="320"/>
      <c r="C101" s="29"/>
      <c r="D101"/>
      <c r="E101"/>
      <c r="F101" s="37" t="s">
        <v>1005</v>
      </c>
      <c r="G101" s="37" t="s">
        <v>149</v>
      </c>
      <c r="H101" s="37"/>
      <c r="I101" s="37"/>
      <c r="J101" s="357">
        <f>'Fixed inputs'!J183</f>
        <v>1</v>
      </c>
      <c r="K101" s="358"/>
      <c r="L101" s="358"/>
      <c r="M101" s="357">
        <f>'Fixed inputs'!M183</f>
        <v>1</v>
      </c>
      <c r="N101" s="357">
        <f>'Fixed inputs'!N183</f>
        <v>1</v>
      </c>
      <c r="O101" s="357">
        <f>'Fixed inputs'!O183</f>
        <v>1</v>
      </c>
      <c r="P101" s="357">
        <f>'Fixed inputs'!P183</f>
        <v>1</v>
      </c>
      <c r="Q101" s="358"/>
      <c r="R101" s="358"/>
      <c r="S101" s="357">
        <f>'Fixed inputs'!S183</f>
        <v>1</v>
      </c>
      <c r="T101" s="357">
        <f>'Fixed inputs'!T183</f>
        <v>1</v>
      </c>
      <c r="U101" s="357">
        <f>'Fixed inputs'!U183</f>
        <v>1</v>
      </c>
      <c r="V101" s="357">
        <f>'Fixed inputs'!V183</f>
        <v>1</v>
      </c>
      <c r="W101" s="358"/>
      <c r="X101" s="357">
        <f>'Fixed inputs'!X183</f>
        <v>1</v>
      </c>
      <c r="Y101" s="357">
        <f>'Fixed inputs'!Y183</f>
        <v>1</v>
      </c>
      <c r="Z101" s="357">
        <f>'Fixed inputs'!Z183</f>
        <v>1</v>
      </c>
      <c r="AA101" s="357">
        <f>'Fixed inputs'!AA183</f>
        <v>1</v>
      </c>
      <c r="AB101" s="358"/>
      <c r="AC101" s="357">
        <f>'Fixed inputs'!AC183</f>
        <v>1</v>
      </c>
      <c r="AD101" s="357">
        <f>'Fixed inputs'!AD183</f>
        <v>1</v>
      </c>
      <c r="AE101" s="357">
        <f>'Fixed inputs'!AE183</f>
        <v>1</v>
      </c>
      <c r="AF101" s="357">
        <f>'Fixed inputs'!AF183</f>
        <v>1</v>
      </c>
      <c r="AG101" s="357">
        <f>'Fixed inputs'!AG183</f>
        <v>1</v>
      </c>
      <c r="AH101" s="358"/>
      <c r="AI101" s="358"/>
      <c r="AJ101" s="358"/>
      <c r="AK101" s="358"/>
      <c r="AL101" s="358"/>
      <c r="AM101" s="358"/>
      <c r="AN101" s="358"/>
      <c r="AO101" s="358"/>
    </row>
    <row r="102" spans="1:41" x14ac:dyDescent="0.3">
      <c r="A102" s="320"/>
      <c r="B102" s="320"/>
      <c r="C102" s="29"/>
      <c r="D102"/>
      <c r="E102"/>
      <c r="J102" s="163"/>
      <c r="K102" s="163"/>
      <c r="L102" s="163"/>
      <c r="M102" s="163"/>
      <c r="N102" s="163"/>
      <c r="O102" s="163"/>
      <c r="P102" s="163"/>
      <c r="Q102" s="163"/>
      <c r="R102" s="163"/>
      <c r="S102" s="163"/>
      <c r="T102" s="163"/>
      <c r="U102" s="163"/>
      <c r="V102" s="163"/>
      <c r="W102" s="163"/>
      <c r="X102" s="163"/>
      <c r="Y102" s="163"/>
      <c r="Z102" s="163"/>
      <c r="AA102" s="163"/>
      <c r="AB102" s="163"/>
      <c r="AC102" s="163"/>
      <c r="AD102" s="163"/>
      <c r="AE102" s="163"/>
      <c r="AF102" s="163"/>
      <c r="AG102" s="163"/>
      <c r="AH102" s="163"/>
      <c r="AI102" s="163"/>
      <c r="AJ102" s="163"/>
      <c r="AK102" s="163"/>
      <c r="AL102" s="163"/>
      <c r="AM102" s="163"/>
      <c r="AN102" s="163"/>
      <c r="AO102" s="163"/>
    </row>
    <row r="103" spans="1:41" x14ac:dyDescent="0.3">
      <c r="A103" s="320"/>
      <c r="B103" s="320"/>
      <c r="C103" s="29"/>
      <c r="D103"/>
      <c r="E103" s="32" t="s">
        <v>1020</v>
      </c>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row>
    <row r="104" spans="1:41" x14ac:dyDescent="0.3">
      <c r="A104" s="320"/>
      <c r="B104" s="320"/>
      <c r="C104" s="29"/>
      <c r="D104"/>
      <c r="E104"/>
      <c r="F104" s="23" t="s">
        <v>998</v>
      </c>
      <c r="G104" s="23" t="s">
        <v>149</v>
      </c>
      <c r="H104" s="23"/>
      <c r="I104" s="23"/>
      <c r="J104" s="361">
        <f>MAX((J$35-1)*MAX($J$36:$AO$36)+J94,0)</f>
        <v>1</v>
      </c>
      <c r="K104" s="360"/>
      <c r="L104" s="360"/>
      <c r="M104" s="361">
        <f t="shared" ref="M104:P111" si="24">MAX((M$35-1)*MAX($J$36:$AO$36)+M94,0)</f>
        <v>5</v>
      </c>
      <c r="N104" s="361">
        <f t="shared" si="24"/>
        <v>6</v>
      </c>
      <c r="O104" s="361">
        <f t="shared" si="24"/>
        <v>7</v>
      </c>
      <c r="P104" s="361">
        <f t="shared" si="24"/>
        <v>8</v>
      </c>
      <c r="Q104" s="360"/>
      <c r="R104" s="360"/>
      <c r="S104" s="361">
        <f t="shared" ref="S104:V104" si="25">MAX((S$35-1)*MAX($J$36:$AO$36)+S94,0)</f>
        <v>9</v>
      </c>
      <c r="T104" s="361">
        <f t="shared" si="25"/>
        <v>10</v>
      </c>
      <c r="U104" s="361">
        <f t="shared" si="25"/>
        <v>11</v>
      </c>
      <c r="V104" s="361">
        <f t="shared" si="25"/>
        <v>12</v>
      </c>
      <c r="W104" s="360"/>
      <c r="X104" s="361">
        <f t="shared" ref="X104:AA104" si="26">MAX((X$35-1)*MAX($J$36:$AO$36)+X94,0)</f>
        <v>9</v>
      </c>
      <c r="Y104" s="361">
        <f t="shared" si="26"/>
        <v>10</v>
      </c>
      <c r="Z104" s="361">
        <f t="shared" si="26"/>
        <v>11</v>
      </c>
      <c r="AA104" s="361">
        <f t="shared" si="26"/>
        <v>12</v>
      </c>
      <c r="AB104" s="360"/>
      <c r="AC104" s="361">
        <f t="shared" ref="AC104:AG104" si="27">MAX((AC$35-1)*MAX($J$36:$AO$36)+AC94,0)</f>
        <v>13</v>
      </c>
      <c r="AD104" s="361">
        <f t="shared" si="27"/>
        <v>14</v>
      </c>
      <c r="AE104" s="361">
        <f t="shared" si="27"/>
        <v>15</v>
      </c>
      <c r="AF104" s="361">
        <f t="shared" si="27"/>
        <v>16</v>
      </c>
      <c r="AG104" s="361">
        <f t="shared" si="27"/>
        <v>17</v>
      </c>
      <c r="AH104" s="360"/>
      <c r="AI104" s="360"/>
      <c r="AJ104" s="360"/>
      <c r="AK104" s="360"/>
      <c r="AL104" s="360"/>
      <c r="AM104" s="360"/>
      <c r="AN104" s="360"/>
      <c r="AO104" s="360"/>
    </row>
    <row r="105" spans="1:41" x14ac:dyDescent="0.3">
      <c r="A105" s="320"/>
      <c r="B105" s="320"/>
      <c r="C105" s="29"/>
      <c r="D105"/>
      <c r="E105"/>
      <c r="F105" s="311" t="s">
        <v>999</v>
      </c>
      <c r="G105" s="311" t="s">
        <v>149</v>
      </c>
      <c r="H105" s="311"/>
      <c r="I105" s="311"/>
      <c r="J105" s="362">
        <f t="shared" ref="J105:J111" si="28">MAX((J$35-1)*MAX($J$36:$AO$36)+J95,0)</f>
        <v>1</v>
      </c>
      <c r="K105" s="356"/>
      <c r="L105" s="356"/>
      <c r="M105" s="362">
        <f t="shared" si="24"/>
        <v>5</v>
      </c>
      <c r="N105" s="362">
        <f t="shared" si="24"/>
        <v>5</v>
      </c>
      <c r="O105" s="362">
        <f t="shared" si="24"/>
        <v>6</v>
      </c>
      <c r="P105" s="362">
        <f t="shared" si="24"/>
        <v>7</v>
      </c>
      <c r="Q105" s="356"/>
      <c r="R105" s="356"/>
      <c r="S105" s="362">
        <f t="shared" ref="S105:V105" si="29">MAX((S$35-1)*MAX($J$36:$AO$36)+S95,0)</f>
        <v>9</v>
      </c>
      <c r="T105" s="362">
        <f t="shared" si="29"/>
        <v>9</v>
      </c>
      <c r="U105" s="362">
        <f t="shared" si="29"/>
        <v>10</v>
      </c>
      <c r="V105" s="362">
        <f t="shared" si="29"/>
        <v>11</v>
      </c>
      <c r="W105" s="356"/>
      <c r="X105" s="362">
        <f t="shared" ref="X105:AA105" si="30">MAX((X$35-1)*MAX($J$36:$AO$36)+X95,0)</f>
        <v>9</v>
      </c>
      <c r="Y105" s="362">
        <f t="shared" si="30"/>
        <v>9</v>
      </c>
      <c r="Z105" s="362">
        <f t="shared" si="30"/>
        <v>10</v>
      </c>
      <c r="AA105" s="362">
        <f t="shared" si="30"/>
        <v>11</v>
      </c>
      <c r="AB105" s="356"/>
      <c r="AC105" s="362">
        <f t="shared" ref="AC105:AG105" si="31">MAX((AC$35-1)*MAX($J$36:$AO$36)+AC95,0)</f>
        <v>13</v>
      </c>
      <c r="AD105" s="362">
        <f t="shared" si="31"/>
        <v>13</v>
      </c>
      <c r="AE105" s="362">
        <f t="shared" si="31"/>
        <v>14</v>
      </c>
      <c r="AF105" s="362">
        <f t="shared" si="31"/>
        <v>15</v>
      </c>
      <c r="AG105" s="362">
        <f t="shared" si="31"/>
        <v>17</v>
      </c>
      <c r="AH105" s="356"/>
      <c r="AI105" s="356"/>
      <c r="AJ105" s="356"/>
      <c r="AK105" s="356"/>
      <c r="AL105" s="356"/>
      <c r="AM105" s="356"/>
      <c r="AN105" s="356"/>
      <c r="AO105" s="356"/>
    </row>
    <row r="106" spans="1:41" x14ac:dyDescent="0.3">
      <c r="A106" s="320"/>
      <c r="B106" s="320"/>
      <c r="C106" s="29"/>
      <c r="D106"/>
      <c r="E106"/>
      <c r="F106" s="311" t="s">
        <v>1000</v>
      </c>
      <c r="G106" s="311" t="s">
        <v>149</v>
      </c>
      <c r="H106" s="311"/>
      <c r="I106" s="311"/>
      <c r="J106" s="362">
        <f t="shared" si="28"/>
        <v>1</v>
      </c>
      <c r="K106" s="356"/>
      <c r="L106" s="356"/>
      <c r="M106" s="362">
        <f t="shared" si="24"/>
        <v>5</v>
      </c>
      <c r="N106" s="362">
        <f t="shared" si="24"/>
        <v>6</v>
      </c>
      <c r="O106" s="362">
        <f t="shared" si="24"/>
        <v>6</v>
      </c>
      <c r="P106" s="362">
        <f t="shared" si="24"/>
        <v>7</v>
      </c>
      <c r="Q106" s="356"/>
      <c r="R106" s="356"/>
      <c r="S106" s="362">
        <f t="shared" ref="S106:V106" si="32">MAX((S$35-1)*MAX($J$36:$AO$36)+S96,0)</f>
        <v>9</v>
      </c>
      <c r="T106" s="362">
        <f t="shared" si="32"/>
        <v>10</v>
      </c>
      <c r="U106" s="362">
        <f t="shared" si="32"/>
        <v>10</v>
      </c>
      <c r="V106" s="362">
        <f t="shared" si="32"/>
        <v>11</v>
      </c>
      <c r="W106" s="356"/>
      <c r="X106" s="362">
        <f t="shared" ref="X106:AA106" si="33">MAX((X$35-1)*MAX($J$36:$AO$36)+X96,0)</f>
        <v>9</v>
      </c>
      <c r="Y106" s="362">
        <f t="shared" si="33"/>
        <v>10</v>
      </c>
      <c r="Z106" s="362">
        <f t="shared" si="33"/>
        <v>10</v>
      </c>
      <c r="AA106" s="362">
        <f t="shared" si="33"/>
        <v>11</v>
      </c>
      <c r="AB106" s="356"/>
      <c r="AC106" s="362">
        <f t="shared" ref="AC106:AG106" si="34">MAX((AC$35-1)*MAX($J$36:$AO$36)+AC96,0)</f>
        <v>13</v>
      </c>
      <c r="AD106" s="362">
        <f t="shared" si="34"/>
        <v>14</v>
      </c>
      <c r="AE106" s="362">
        <f t="shared" si="34"/>
        <v>14</v>
      </c>
      <c r="AF106" s="362">
        <f t="shared" si="34"/>
        <v>15</v>
      </c>
      <c r="AG106" s="362">
        <f t="shared" si="34"/>
        <v>17</v>
      </c>
      <c r="AH106" s="356"/>
      <c r="AI106" s="356"/>
      <c r="AJ106" s="356"/>
      <c r="AK106" s="356"/>
      <c r="AL106" s="356"/>
      <c r="AM106" s="356"/>
      <c r="AN106" s="356"/>
      <c r="AO106" s="356"/>
    </row>
    <row r="107" spans="1:41" x14ac:dyDescent="0.3">
      <c r="A107" s="320"/>
      <c r="B107" s="320"/>
      <c r="C107" s="29"/>
      <c r="D107"/>
      <c r="E107"/>
      <c r="F107" s="311" t="s">
        <v>1001</v>
      </c>
      <c r="G107" s="311" t="s">
        <v>149</v>
      </c>
      <c r="H107" s="311"/>
      <c r="I107" s="311"/>
      <c r="J107" s="362">
        <f t="shared" si="28"/>
        <v>1</v>
      </c>
      <c r="K107" s="356"/>
      <c r="L107" s="356"/>
      <c r="M107" s="362">
        <f t="shared" si="24"/>
        <v>5</v>
      </c>
      <c r="N107" s="362">
        <f t="shared" si="24"/>
        <v>6</v>
      </c>
      <c r="O107" s="362">
        <f t="shared" si="24"/>
        <v>7</v>
      </c>
      <c r="P107" s="362">
        <f t="shared" si="24"/>
        <v>7</v>
      </c>
      <c r="Q107" s="356"/>
      <c r="R107" s="356"/>
      <c r="S107" s="362">
        <f t="shared" ref="S107:V107" si="35">MAX((S$35-1)*MAX($J$36:$AO$36)+S97,0)</f>
        <v>9</v>
      </c>
      <c r="T107" s="362">
        <f t="shared" si="35"/>
        <v>10</v>
      </c>
      <c r="U107" s="362">
        <f t="shared" si="35"/>
        <v>11</v>
      </c>
      <c r="V107" s="362">
        <f t="shared" si="35"/>
        <v>11</v>
      </c>
      <c r="W107" s="356"/>
      <c r="X107" s="362">
        <f t="shared" ref="X107:AA107" si="36">MAX((X$35-1)*MAX($J$36:$AO$36)+X97,0)</f>
        <v>9</v>
      </c>
      <c r="Y107" s="362">
        <f t="shared" si="36"/>
        <v>10</v>
      </c>
      <c r="Z107" s="362">
        <f t="shared" si="36"/>
        <v>11</v>
      </c>
      <c r="AA107" s="362">
        <f t="shared" si="36"/>
        <v>11</v>
      </c>
      <c r="AB107" s="356"/>
      <c r="AC107" s="362">
        <f t="shared" ref="AC107:AG107" si="37">MAX((AC$35-1)*MAX($J$36:$AO$36)+AC97,0)</f>
        <v>13</v>
      </c>
      <c r="AD107" s="362">
        <f t="shared" si="37"/>
        <v>14</v>
      </c>
      <c r="AE107" s="362">
        <f t="shared" si="37"/>
        <v>15</v>
      </c>
      <c r="AF107" s="362">
        <f t="shared" si="37"/>
        <v>15</v>
      </c>
      <c r="AG107" s="362">
        <f t="shared" si="37"/>
        <v>17</v>
      </c>
      <c r="AH107" s="356"/>
      <c r="AI107" s="356"/>
      <c r="AJ107" s="356"/>
      <c r="AK107" s="356"/>
      <c r="AL107" s="356"/>
      <c r="AM107" s="356"/>
      <c r="AN107" s="356"/>
      <c r="AO107" s="356"/>
    </row>
    <row r="108" spans="1:41" x14ac:dyDescent="0.3">
      <c r="A108" s="320"/>
      <c r="B108" s="320"/>
      <c r="C108" s="29"/>
      <c r="D108"/>
      <c r="E108"/>
      <c r="F108" s="311" t="s">
        <v>1002</v>
      </c>
      <c r="G108" s="311" t="s">
        <v>149</v>
      </c>
      <c r="H108" s="311"/>
      <c r="I108" s="311"/>
      <c r="J108" s="362">
        <f t="shared" si="28"/>
        <v>1</v>
      </c>
      <c r="K108" s="356"/>
      <c r="L108" s="356"/>
      <c r="M108" s="362">
        <f t="shared" si="24"/>
        <v>5</v>
      </c>
      <c r="N108" s="362">
        <f t="shared" si="24"/>
        <v>5</v>
      </c>
      <c r="O108" s="362">
        <f t="shared" si="24"/>
        <v>6</v>
      </c>
      <c r="P108" s="362">
        <f t="shared" si="24"/>
        <v>6</v>
      </c>
      <c r="Q108" s="356"/>
      <c r="R108" s="356"/>
      <c r="S108" s="362">
        <f t="shared" ref="S108:V108" si="38">MAX((S$35-1)*MAX($J$36:$AO$36)+S98,0)</f>
        <v>9</v>
      </c>
      <c r="T108" s="362">
        <f t="shared" si="38"/>
        <v>9</v>
      </c>
      <c r="U108" s="362">
        <f t="shared" si="38"/>
        <v>10</v>
      </c>
      <c r="V108" s="362">
        <f t="shared" si="38"/>
        <v>10</v>
      </c>
      <c r="W108" s="356"/>
      <c r="X108" s="362">
        <f t="shared" ref="X108:AA108" si="39">MAX((X$35-1)*MAX($J$36:$AO$36)+X98,0)</f>
        <v>9</v>
      </c>
      <c r="Y108" s="362">
        <f t="shared" si="39"/>
        <v>9</v>
      </c>
      <c r="Z108" s="362">
        <f t="shared" si="39"/>
        <v>10</v>
      </c>
      <c r="AA108" s="362">
        <f t="shared" si="39"/>
        <v>10</v>
      </c>
      <c r="AB108" s="356"/>
      <c r="AC108" s="362">
        <f t="shared" ref="AC108:AG108" si="40">MAX((AC$35-1)*MAX($J$36:$AO$36)+AC98,0)</f>
        <v>13</v>
      </c>
      <c r="AD108" s="362">
        <f t="shared" si="40"/>
        <v>13</v>
      </c>
      <c r="AE108" s="362">
        <f t="shared" si="40"/>
        <v>14</v>
      </c>
      <c r="AF108" s="362">
        <f t="shared" si="40"/>
        <v>14</v>
      </c>
      <c r="AG108" s="362">
        <f t="shared" si="40"/>
        <v>17</v>
      </c>
      <c r="AH108" s="356"/>
      <c r="AI108" s="356"/>
      <c r="AJ108" s="356"/>
      <c r="AK108" s="356"/>
      <c r="AL108" s="356"/>
      <c r="AM108" s="356"/>
      <c r="AN108" s="356"/>
      <c r="AO108" s="356"/>
    </row>
    <row r="109" spans="1:41" x14ac:dyDescent="0.3">
      <c r="A109" s="320"/>
      <c r="B109" s="320"/>
      <c r="C109" s="29"/>
      <c r="D109"/>
      <c r="E109"/>
      <c r="F109" s="311" t="s">
        <v>1003</v>
      </c>
      <c r="G109" s="311" t="s">
        <v>149</v>
      </c>
      <c r="H109" s="311"/>
      <c r="I109" s="311"/>
      <c r="J109" s="362">
        <f t="shared" si="28"/>
        <v>1</v>
      </c>
      <c r="K109" s="356"/>
      <c r="L109" s="356"/>
      <c r="M109" s="362">
        <f t="shared" si="24"/>
        <v>5</v>
      </c>
      <c r="N109" s="362">
        <f t="shared" si="24"/>
        <v>5</v>
      </c>
      <c r="O109" s="362">
        <f t="shared" si="24"/>
        <v>5</v>
      </c>
      <c r="P109" s="362">
        <f t="shared" si="24"/>
        <v>6</v>
      </c>
      <c r="Q109" s="356"/>
      <c r="R109" s="356"/>
      <c r="S109" s="362">
        <f t="shared" ref="S109:V109" si="41">MAX((S$35-1)*MAX($J$36:$AO$36)+S99,0)</f>
        <v>9</v>
      </c>
      <c r="T109" s="362">
        <f t="shared" si="41"/>
        <v>9</v>
      </c>
      <c r="U109" s="362">
        <f t="shared" si="41"/>
        <v>9</v>
      </c>
      <c r="V109" s="362">
        <f t="shared" si="41"/>
        <v>10</v>
      </c>
      <c r="W109" s="356"/>
      <c r="X109" s="362">
        <f t="shared" ref="X109:AA109" si="42">MAX((X$35-1)*MAX($J$36:$AO$36)+X99,0)</f>
        <v>9</v>
      </c>
      <c r="Y109" s="362">
        <f t="shared" si="42"/>
        <v>9</v>
      </c>
      <c r="Z109" s="362">
        <f t="shared" si="42"/>
        <v>9</v>
      </c>
      <c r="AA109" s="362">
        <f t="shared" si="42"/>
        <v>10</v>
      </c>
      <c r="AB109" s="356"/>
      <c r="AC109" s="362">
        <f t="shared" ref="AC109:AG109" si="43">MAX((AC$35-1)*MAX($J$36:$AO$36)+AC99,0)</f>
        <v>13</v>
      </c>
      <c r="AD109" s="362">
        <f t="shared" si="43"/>
        <v>13</v>
      </c>
      <c r="AE109" s="362">
        <f t="shared" si="43"/>
        <v>13</v>
      </c>
      <c r="AF109" s="362">
        <f t="shared" si="43"/>
        <v>14</v>
      </c>
      <c r="AG109" s="362">
        <f t="shared" si="43"/>
        <v>17</v>
      </c>
      <c r="AH109" s="356"/>
      <c r="AI109" s="356"/>
      <c r="AJ109" s="356"/>
      <c r="AK109" s="356"/>
      <c r="AL109" s="356"/>
      <c r="AM109" s="356"/>
      <c r="AN109" s="356"/>
      <c r="AO109" s="356"/>
    </row>
    <row r="110" spans="1:41" x14ac:dyDescent="0.3">
      <c r="A110" s="320"/>
      <c r="B110" s="320"/>
      <c r="C110" s="29"/>
      <c r="D110"/>
      <c r="E110"/>
      <c r="F110" s="311" t="s">
        <v>1004</v>
      </c>
      <c r="G110" s="311" t="s">
        <v>149</v>
      </c>
      <c r="H110" s="311"/>
      <c r="I110" s="311"/>
      <c r="J110" s="362">
        <f t="shared" si="28"/>
        <v>1</v>
      </c>
      <c r="K110" s="356"/>
      <c r="L110" s="356"/>
      <c r="M110" s="362">
        <f t="shared" si="24"/>
        <v>5</v>
      </c>
      <c r="N110" s="362">
        <f t="shared" si="24"/>
        <v>6</v>
      </c>
      <c r="O110" s="362">
        <f t="shared" si="24"/>
        <v>6</v>
      </c>
      <c r="P110" s="362">
        <f t="shared" si="24"/>
        <v>6</v>
      </c>
      <c r="Q110" s="356"/>
      <c r="R110" s="356"/>
      <c r="S110" s="362">
        <f t="shared" ref="S110:V110" si="44">MAX((S$35-1)*MAX($J$36:$AO$36)+S100,0)</f>
        <v>9</v>
      </c>
      <c r="T110" s="362">
        <f t="shared" si="44"/>
        <v>10</v>
      </c>
      <c r="U110" s="362">
        <f t="shared" si="44"/>
        <v>10</v>
      </c>
      <c r="V110" s="362">
        <f t="shared" si="44"/>
        <v>10</v>
      </c>
      <c r="W110" s="356"/>
      <c r="X110" s="362">
        <f t="shared" ref="X110:AA110" si="45">MAX((X$35-1)*MAX($J$36:$AO$36)+X100,0)</f>
        <v>9</v>
      </c>
      <c r="Y110" s="362">
        <f t="shared" si="45"/>
        <v>10</v>
      </c>
      <c r="Z110" s="362">
        <f t="shared" si="45"/>
        <v>10</v>
      </c>
      <c r="AA110" s="362">
        <f t="shared" si="45"/>
        <v>10</v>
      </c>
      <c r="AB110" s="356"/>
      <c r="AC110" s="362">
        <f t="shared" ref="AC110:AG110" si="46">MAX((AC$35-1)*MAX($J$36:$AO$36)+AC100,0)</f>
        <v>13</v>
      </c>
      <c r="AD110" s="362">
        <f t="shared" si="46"/>
        <v>14</v>
      </c>
      <c r="AE110" s="362">
        <f t="shared" si="46"/>
        <v>14</v>
      </c>
      <c r="AF110" s="362">
        <f t="shared" si="46"/>
        <v>14</v>
      </c>
      <c r="AG110" s="362">
        <f t="shared" si="46"/>
        <v>17</v>
      </c>
      <c r="AH110" s="356"/>
      <c r="AI110" s="356"/>
      <c r="AJ110" s="356"/>
      <c r="AK110" s="356"/>
      <c r="AL110" s="356"/>
      <c r="AM110" s="356"/>
      <c r="AN110" s="356"/>
      <c r="AO110" s="356"/>
    </row>
    <row r="111" spans="1:41" x14ac:dyDescent="0.3">
      <c r="A111" s="320"/>
      <c r="B111" s="320"/>
      <c r="C111" s="29"/>
      <c r="D111"/>
      <c r="E111"/>
      <c r="F111" s="37" t="s">
        <v>1005</v>
      </c>
      <c r="G111" s="37" t="s">
        <v>149</v>
      </c>
      <c r="H111" s="37"/>
      <c r="I111" s="37"/>
      <c r="J111" s="363">
        <f t="shared" si="28"/>
        <v>1</v>
      </c>
      <c r="K111" s="358"/>
      <c r="L111" s="358"/>
      <c r="M111" s="363">
        <f t="shared" si="24"/>
        <v>5</v>
      </c>
      <c r="N111" s="363">
        <f t="shared" si="24"/>
        <v>5</v>
      </c>
      <c r="O111" s="363">
        <f t="shared" si="24"/>
        <v>5</v>
      </c>
      <c r="P111" s="363">
        <f t="shared" si="24"/>
        <v>5</v>
      </c>
      <c r="Q111" s="358"/>
      <c r="R111" s="358"/>
      <c r="S111" s="363">
        <f t="shared" ref="S111:V111" si="47">MAX((S$35-1)*MAX($J$36:$AO$36)+S101,0)</f>
        <v>9</v>
      </c>
      <c r="T111" s="363">
        <f t="shared" si="47"/>
        <v>9</v>
      </c>
      <c r="U111" s="363">
        <f t="shared" si="47"/>
        <v>9</v>
      </c>
      <c r="V111" s="363">
        <f t="shared" si="47"/>
        <v>9</v>
      </c>
      <c r="W111" s="358"/>
      <c r="X111" s="363">
        <f t="shared" ref="X111:AA111" si="48">MAX((X$35-1)*MAX($J$36:$AO$36)+X101,0)</f>
        <v>9</v>
      </c>
      <c r="Y111" s="363">
        <f t="shared" si="48"/>
        <v>9</v>
      </c>
      <c r="Z111" s="363">
        <f t="shared" si="48"/>
        <v>9</v>
      </c>
      <c r="AA111" s="363">
        <f t="shared" si="48"/>
        <v>9</v>
      </c>
      <c r="AB111" s="358"/>
      <c r="AC111" s="363">
        <f t="shared" ref="AC111:AG111" si="49">MAX((AC$35-1)*MAX($J$36:$AO$36)+AC101,0)</f>
        <v>13</v>
      </c>
      <c r="AD111" s="363">
        <f t="shared" si="49"/>
        <v>13</v>
      </c>
      <c r="AE111" s="363">
        <f t="shared" si="49"/>
        <v>13</v>
      </c>
      <c r="AF111" s="363">
        <f t="shared" si="49"/>
        <v>13</v>
      </c>
      <c r="AG111" s="363">
        <f t="shared" si="49"/>
        <v>17</v>
      </c>
      <c r="AH111" s="358"/>
      <c r="AI111" s="358"/>
      <c r="AJ111" s="358"/>
      <c r="AK111" s="358"/>
      <c r="AL111" s="358"/>
      <c r="AM111" s="358"/>
      <c r="AN111" s="358"/>
      <c r="AO111" s="358"/>
    </row>
    <row r="112" spans="1:41" x14ac:dyDescent="0.3">
      <c r="A112" s="320"/>
      <c r="B112" s="320"/>
      <c r="C112" s="29"/>
      <c r="D112"/>
      <c r="E112"/>
      <c r="J112" s="163"/>
      <c r="K112" s="163"/>
      <c r="L112" s="163"/>
      <c r="M112" s="163"/>
      <c r="N112" s="163"/>
      <c r="O112" s="163"/>
      <c r="P112" s="163"/>
      <c r="Q112" s="163"/>
      <c r="R112" s="163"/>
      <c r="S112" s="163"/>
      <c r="T112" s="163"/>
      <c r="U112" s="163"/>
      <c r="V112" s="163"/>
      <c r="W112" s="163"/>
      <c r="X112" s="163"/>
      <c r="Y112" s="163"/>
      <c r="Z112" s="163"/>
      <c r="AA112" s="163"/>
      <c r="AB112" s="163"/>
      <c r="AC112" s="163"/>
      <c r="AD112" s="163"/>
      <c r="AE112" s="163"/>
      <c r="AF112" s="163"/>
      <c r="AG112" s="163"/>
      <c r="AH112" s="163"/>
      <c r="AI112" s="163"/>
      <c r="AJ112" s="163"/>
      <c r="AK112" s="163"/>
      <c r="AL112" s="163"/>
      <c r="AM112" s="163"/>
      <c r="AN112" s="163"/>
      <c r="AO112" s="163"/>
    </row>
    <row r="113" spans="1:41" x14ac:dyDescent="0.3">
      <c r="A113" s="320"/>
      <c r="B113" s="320"/>
      <c r="C113" s="29"/>
      <c r="D113"/>
      <c r="E113" s="32" t="s">
        <v>1021</v>
      </c>
      <c r="J113" s="163"/>
      <c r="K113" s="163"/>
      <c r="L113" s="163"/>
      <c r="M113" s="163"/>
      <c r="N113" s="163"/>
      <c r="O113" s="163"/>
      <c r="P113" s="163"/>
      <c r="Q113" s="163"/>
      <c r="R113" s="163"/>
      <c r="S113" s="163"/>
      <c r="T113" s="163"/>
      <c r="U113" s="163"/>
      <c r="V113" s="163"/>
      <c r="W113" s="163"/>
      <c r="X113" s="163"/>
      <c r="Y113" s="163"/>
      <c r="Z113" s="163"/>
      <c r="AA113" s="163"/>
      <c r="AB113" s="163"/>
      <c r="AC113" s="163"/>
      <c r="AD113" s="163"/>
      <c r="AE113" s="163"/>
      <c r="AF113" s="163"/>
      <c r="AG113" s="163"/>
      <c r="AH113" s="163"/>
      <c r="AI113" s="163"/>
      <c r="AJ113" s="163"/>
      <c r="AK113" s="163"/>
      <c r="AL113" s="163"/>
      <c r="AM113" s="163"/>
      <c r="AN113" s="163"/>
      <c r="AO113" s="163"/>
    </row>
    <row r="114" spans="1:41" x14ac:dyDescent="0.3">
      <c r="A114" s="320"/>
      <c r="B114" s="320"/>
      <c r="C114" s="29"/>
      <c r="D114"/>
      <c r="E114"/>
      <c r="F114" s="23" t="s">
        <v>998</v>
      </c>
      <c r="G114" s="23" t="s">
        <v>212</v>
      </c>
      <c r="H114" s="23"/>
      <c r="I114" s="23"/>
      <c r="J114" s="361">
        <f t="shared" ref="J114:J121" si="50">SUMIF($J104:$AO104, J104, $J$56:$AO$56)</f>
        <v>2371479.4191347011</v>
      </c>
      <c r="K114" s="360"/>
      <c r="L114" s="360"/>
      <c r="M114" s="361">
        <f t="shared" ref="M114:P121" si="51">SUMIF($J104:$AO104, M104, $J$56:$AO$56)</f>
        <v>73738.726119001571</v>
      </c>
      <c r="N114" s="361">
        <f t="shared" si="51"/>
        <v>55649.7548420495</v>
      </c>
      <c r="O114" s="361">
        <f t="shared" si="51"/>
        <v>28791.724999743532</v>
      </c>
      <c r="P114" s="361">
        <f t="shared" si="51"/>
        <v>28783.425878896152</v>
      </c>
      <c r="Q114" s="360"/>
      <c r="R114" s="360"/>
      <c r="S114" s="361">
        <f t="shared" ref="S114:V121" si="52">SUMIF($J104:$AO104, S104, $J$56:$AO$56)</f>
        <v>6646.6268086489854</v>
      </c>
      <c r="T114" s="361">
        <f t="shared" si="52"/>
        <v>5399.8914791834404</v>
      </c>
      <c r="U114" s="361">
        <f t="shared" si="52"/>
        <v>1909.9234612836824</v>
      </c>
      <c r="V114" s="361">
        <f t="shared" si="52"/>
        <v>1487.4417254575869</v>
      </c>
      <c r="W114" s="360"/>
      <c r="X114" s="361">
        <f t="shared" ref="X114:AA121" si="53">SUMIF($J104:$AO104, X104, $J$56:$AO$56)</f>
        <v>6646.6268086489854</v>
      </c>
      <c r="Y114" s="361">
        <f t="shared" si="53"/>
        <v>5399.8914791834404</v>
      </c>
      <c r="Z114" s="361">
        <f t="shared" si="53"/>
        <v>1909.9234612836824</v>
      </c>
      <c r="AA114" s="361">
        <f t="shared" si="53"/>
        <v>1487.4417254575869</v>
      </c>
      <c r="AB114" s="360"/>
      <c r="AC114" s="361">
        <f t="shared" ref="AC114:AG121" si="54">SUMIF($J104:$AO104, AC104, $J$56:$AO$56)</f>
        <v>2286.6045369155877</v>
      </c>
      <c r="AD114" s="361">
        <f t="shared" si="54"/>
        <v>1234.3979729275734</v>
      </c>
      <c r="AE114" s="361">
        <f t="shared" si="54"/>
        <v>302.96998340510919</v>
      </c>
      <c r="AF114" s="361">
        <f t="shared" si="54"/>
        <v>312.1819085762105</v>
      </c>
      <c r="AG114" s="361">
        <f t="shared" si="54"/>
        <v>29.475632524712577</v>
      </c>
      <c r="AH114" s="360"/>
      <c r="AI114" s="360"/>
      <c r="AJ114" s="360"/>
      <c r="AK114" s="360"/>
      <c r="AL114" s="360"/>
      <c r="AM114" s="360"/>
      <c r="AN114" s="360"/>
      <c r="AO114" s="360"/>
    </row>
    <row r="115" spans="1:41" x14ac:dyDescent="0.3">
      <c r="A115" s="320"/>
      <c r="B115" s="320"/>
      <c r="C115" s="29"/>
      <c r="D115"/>
      <c r="E115"/>
      <c r="F115" s="311" t="s">
        <v>999</v>
      </c>
      <c r="G115" s="311" t="s">
        <v>212</v>
      </c>
      <c r="H115" s="311"/>
      <c r="I115" s="311"/>
      <c r="J115" s="362">
        <f t="shared" si="50"/>
        <v>2371479.4191347011</v>
      </c>
      <c r="K115" s="356"/>
      <c r="L115" s="356"/>
      <c r="M115" s="362">
        <f t="shared" si="51"/>
        <v>129388.48096105107</v>
      </c>
      <c r="N115" s="362">
        <f t="shared" si="51"/>
        <v>129388.48096105107</v>
      </c>
      <c r="O115" s="362">
        <f t="shared" si="51"/>
        <v>28791.724999743532</v>
      </c>
      <c r="P115" s="362">
        <f t="shared" si="51"/>
        <v>28783.425878896152</v>
      </c>
      <c r="Q115" s="356"/>
      <c r="R115" s="356"/>
      <c r="S115" s="362">
        <f t="shared" si="52"/>
        <v>12046.518287832425</v>
      </c>
      <c r="T115" s="362">
        <f t="shared" si="52"/>
        <v>12046.518287832425</v>
      </c>
      <c r="U115" s="362">
        <f t="shared" si="52"/>
        <v>1909.9234612836824</v>
      </c>
      <c r="V115" s="362">
        <f t="shared" si="52"/>
        <v>1487.4417254575869</v>
      </c>
      <c r="W115" s="356"/>
      <c r="X115" s="362">
        <f t="shared" si="53"/>
        <v>12046.518287832425</v>
      </c>
      <c r="Y115" s="362">
        <f t="shared" si="53"/>
        <v>12046.518287832425</v>
      </c>
      <c r="Z115" s="362">
        <f t="shared" si="53"/>
        <v>1909.9234612836824</v>
      </c>
      <c r="AA115" s="362">
        <f t="shared" si="53"/>
        <v>1487.4417254575869</v>
      </c>
      <c r="AB115" s="356"/>
      <c r="AC115" s="362">
        <f t="shared" si="54"/>
        <v>3521.0025098431611</v>
      </c>
      <c r="AD115" s="362">
        <f t="shared" si="54"/>
        <v>3521.0025098431611</v>
      </c>
      <c r="AE115" s="362">
        <f t="shared" si="54"/>
        <v>302.96998340510919</v>
      </c>
      <c r="AF115" s="362">
        <f t="shared" si="54"/>
        <v>312.1819085762105</v>
      </c>
      <c r="AG115" s="362">
        <f t="shared" si="54"/>
        <v>29.475632524712577</v>
      </c>
      <c r="AH115" s="356"/>
      <c r="AI115" s="356"/>
      <c r="AJ115" s="356"/>
      <c r="AK115" s="356"/>
      <c r="AL115" s="356"/>
      <c r="AM115" s="356"/>
      <c r="AN115" s="356"/>
      <c r="AO115" s="356"/>
    </row>
    <row r="116" spans="1:41" x14ac:dyDescent="0.3">
      <c r="A116" s="320"/>
      <c r="B116" s="320"/>
      <c r="C116" s="29"/>
      <c r="D116"/>
      <c r="E116"/>
      <c r="F116" s="311" t="s">
        <v>1000</v>
      </c>
      <c r="G116" s="311" t="s">
        <v>212</v>
      </c>
      <c r="H116" s="311"/>
      <c r="I116" s="311"/>
      <c r="J116" s="362">
        <f t="shared" si="50"/>
        <v>2371479.4191347011</v>
      </c>
      <c r="K116" s="356"/>
      <c r="L116" s="356"/>
      <c r="M116" s="362">
        <f t="shared" si="51"/>
        <v>73738.726119001571</v>
      </c>
      <c r="N116" s="362">
        <f t="shared" si="51"/>
        <v>84441.479841793029</v>
      </c>
      <c r="O116" s="362">
        <f t="shared" si="51"/>
        <v>84441.479841793029</v>
      </c>
      <c r="P116" s="362">
        <f t="shared" si="51"/>
        <v>28783.425878896152</v>
      </c>
      <c r="Q116" s="356"/>
      <c r="R116" s="356"/>
      <c r="S116" s="362">
        <f t="shared" si="52"/>
        <v>6646.6268086489854</v>
      </c>
      <c r="T116" s="362">
        <f t="shared" si="52"/>
        <v>7309.8149404671231</v>
      </c>
      <c r="U116" s="362">
        <f t="shared" si="52"/>
        <v>7309.8149404671231</v>
      </c>
      <c r="V116" s="362">
        <f t="shared" si="52"/>
        <v>1487.4417254575869</v>
      </c>
      <c r="W116" s="356"/>
      <c r="X116" s="362">
        <f t="shared" si="53"/>
        <v>6646.6268086489854</v>
      </c>
      <c r="Y116" s="362">
        <f t="shared" si="53"/>
        <v>7309.8149404671231</v>
      </c>
      <c r="Z116" s="362">
        <f t="shared" si="53"/>
        <v>7309.8149404671231</v>
      </c>
      <c r="AA116" s="362">
        <f t="shared" si="53"/>
        <v>1487.4417254575869</v>
      </c>
      <c r="AB116" s="356"/>
      <c r="AC116" s="362">
        <f t="shared" si="54"/>
        <v>2286.6045369155877</v>
      </c>
      <c r="AD116" s="362">
        <f t="shared" si="54"/>
        <v>1537.3679563326825</v>
      </c>
      <c r="AE116" s="362">
        <f t="shared" si="54"/>
        <v>1537.3679563326825</v>
      </c>
      <c r="AF116" s="362">
        <f t="shared" si="54"/>
        <v>312.1819085762105</v>
      </c>
      <c r="AG116" s="362">
        <f t="shared" si="54"/>
        <v>29.475632524712577</v>
      </c>
      <c r="AH116" s="356"/>
      <c r="AI116" s="356"/>
      <c r="AJ116" s="356"/>
      <c r="AK116" s="356"/>
      <c r="AL116" s="356"/>
      <c r="AM116" s="356"/>
      <c r="AN116" s="356"/>
      <c r="AO116" s="356"/>
    </row>
    <row r="117" spans="1:41" x14ac:dyDescent="0.3">
      <c r="A117" s="320"/>
      <c r="B117" s="320"/>
      <c r="C117" s="29"/>
      <c r="D117"/>
      <c r="E117"/>
      <c r="F117" s="311" t="s">
        <v>1001</v>
      </c>
      <c r="G117" s="311" t="s">
        <v>212</v>
      </c>
      <c r="H117" s="311"/>
      <c r="I117" s="311"/>
      <c r="J117" s="362">
        <f t="shared" si="50"/>
        <v>2371479.4191347011</v>
      </c>
      <c r="K117" s="356"/>
      <c r="L117" s="356"/>
      <c r="M117" s="362">
        <f t="shared" si="51"/>
        <v>73738.726119001571</v>
      </c>
      <c r="N117" s="362">
        <f t="shared" si="51"/>
        <v>55649.7548420495</v>
      </c>
      <c r="O117" s="362">
        <f t="shared" si="51"/>
        <v>57575.150878639688</v>
      </c>
      <c r="P117" s="362">
        <f t="shared" si="51"/>
        <v>57575.150878639688</v>
      </c>
      <c r="Q117" s="356"/>
      <c r="R117" s="356"/>
      <c r="S117" s="362">
        <f t="shared" si="52"/>
        <v>6646.6268086489854</v>
      </c>
      <c r="T117" s="362">
        <f t="shared" si="52"/>
        <v>5399.8914791834404</v>
      </c>
      <c r="U117" s="362">
        <f t="shared" si="52"/>
        <v>3397.3651867412696</v>
      </c>
      <c r="V117" s="362">
        <f t="shared" si="52"/>
        <v>3397.3651867412696</v>
      </c>
      <c r="W117" s="356"/>
      <c r="X117" s="362">
        <f t="shared" si="53"/>
        <v>6646.6268086489854</v>
      </c>
      <c r="Y117" s="362">
        <f t="shared" si="53"/>
        <v>5399.8914791834404</v>
      </c>
      <c r="Z117" s="362">
        <f t="shared" si="53"/>
        <v>3397.3651867412696</v>
      </c>
      <c r="AA117" s="362">
        <f t="shared" si="53"/>
        <v>3397.3651867412696</v>
      </c>
      <c r="AB117" s="356"/>
      <c r="AC117" s="362">
        <f t="shared" si="54"/>
        <v>2286.6045369155877</v>
      </c>
      <c r="AD117" s="362">
        <f t="shared" si="54"/>
        <v>1234.3979729275734</v>
      </c>
      <c r="AE117" s="362">
        <f t="shared" si="54"/>
        <v>615.15189198131975</v>
      </c>
      <c r="AF117" s="362">
        <f t="shared" si="54"/>
        <v>615.15189198131975</v>
      </c>
      <c r="AG117" s="362">
        <f t="shared" si="54"/>
        <v>29.475632524712577</v>
      </c>
      <c r="AH117" s="356"/>
      <c r="AI117" s="356"/>
      <c r="AJ117" s="356"/>
      <c r="AK117" s="356"/>
      <c r="AL117" s="356"/>
      <c r="AM117" s="356"/>
      <c r="AN117" s="356"/>
      <c r="AO117" s="356"/>
    </row>
    <row r="118" spans="1:41" x14ac:dyDescent="0.3">
      <c r="A118" s="320"/>
      <c r="B118" s="320"/>
      <c r="C118" s="29"/>
      <c r="D118"/>
      <c r="E118"/>
      <c r="F118" s="311" t="s">
        <v>1002</v>
      </c>
      <c r="G118" s="311" t="s">
        <v>212</v>
      </c>
      <c r="H118" s="311"/>
      <c r="I118" s="311"/>
      <c r="J118" s="362">
        <f t="shared" si="50"/>
        <v>2371479.4191347011</v>
      </c>
      <c r="K118" s="356"/>
      <c r="L118" s="356"/>
      <c r="M118" s="362">
        <f t="shared" si="51"/>
        <v>129388.48096105107</v>
      </c>
      <c r="N118" s="362">
        <f t="shared" si="51"/>
        <v>129388.48096105107</v>
      </c>
      <c r="O118" s="362">
        <f t="shared" si="51"/>
        <v>57575.150878639688</v>
      </c>
      <c r="P118" s="362">
        <f t="shared" si="51"/>
        <v>57575.150878639688</v>
      </c>
      <c r="Q118" s="356"/>
      <c r="R118" s="356"/>
      <c r="S118" s="362">
        <f t="shared" si="52"/>
        <v>12046.518287832425</v>
      </c>
      <c r="T118" s="362">
        <f t="shared" si="52"/>
        <v>12046.518287832425</v>
      </c>
      <c r="U118" s="362">
        <f t="shared" si="52"/>
        <v>3397.3651867412696</v>
      </c>
      <c r="V118" s="362">
        <f t="shared" si="52"/>
        <v>3397.3651867412696</v>
      </c>
      <c r="W118" s="356"/>
      <c r="X118" s="362">
        <f t="shared" si="53"/>
        <v>12046.518287832425</v>
      </c>
      <c r="Y118" s="362">
        <f t="shared" si="53"/>
        <v>12046.518287832425</v>
      </c>
      <c r="Z118" s="362">
        <f t="shared" si="53"/>
        <v>3397.3651867412696</v>
      </c>
      <c r="AA118" s="362">
        <f t="shared" si="53"/>
        <v>3397.3651867412696</v>
      </c>
      <c r="AB118" s="356"/>
      <c r="AC118" s="362">
        <f t="shared" si="54"/>
        <v>3521.0025098431611</v>
      </c>
      <c r="AD118" s="362">
        <f t="shared" si="54"/>
        <v>3521.0025098431611</v>
      </c>
      <c r="AE118" s="362">
        <f t="shared" si="54"/>
        <v>615.15189198131975</v>
      </c>
      <c r="AF118" s="362">
        <f t="shared" si="54"/>
        <v>615.15189198131975</v>
      </c>
      <c r="AG118" s="362">
        <f t="shared" si="54"/>
        <v>29.475632524712577</v>
      </c>
      <c r="AH118" s="356"/>
      <c r="AI118" s="356"/>
      <c r="AJ118" s="356"/>
      <c r="AK118" s="356"/>
      <c r="AL118" s="356"/>
      <c r="AM118" s="356"/>
      <c r="AN118" s="356"/>
      <c r="AO118" s="356"/>
    </row>
    <row r="119" spans="1:41" x14ac:dyDescent="0.3">
      <c r="A119" s="320"/>
      <c r="B119" s="320"/>
      <c r="C119" s="29"/>
      <c r="D119"/>
      <c r="E119"/>
      <c r="F119" s="311" t="s">
        <v>1003</v>
      </c>
      <c r="G119" s="311" t="s">
        <v>212</v>
      </c>
      <c r="H119" s="311"/>
      <c r="I119" s="311"/>
      <c r="J119" s="362">
        <f t="shared" si="50"/>
        <v>2371479.4191347011</v>
      </c>
      <c r="K119" s="356"/>
      <c r="L119" s="356"/>
      <c r="M119" s="362">
        <f t="shared" si="51"/>
        <v>158180.20596079461</v>
      </c>
      <c r="N119" s="362">
        <f t="shared" si="51"/>
        <v>158180.20596079461</v>
      </c>
      <c r="O119" s="362">
        <f t="shared" si="51"/>
        <v>158180.20596079461</v>
      </c>
      <c r="P119" s="362">
        <f t="shared" si="51"/>
        <v>28783.425878896152</v>
      </c>
      <c r="Q119" s="356"/>
      <c r="R119" s="356"/>
      <c r="S119" s="362">
        <f t="shared" si="52"/>
        <v>13956.441749116108</v>
      </c>
      <c r="T119" s="362">
        <f t="shared" si="52"/>
        <v>13956.441749116108</v>
      </c>
      <c r="U119" s="362">
        <f t="shared" si="52"/>
        <v>13956.441749116108</v>
      </c>
      <c r="V119" s="362">
        <f t="shared" si="52"/>
        <v>1487.4417254575869</v>
      </c>
      <c r="W119" s="356"/>
      <c r="X119" s="362">
        <f t="shared" si="53"/>
        <v>13956.441749116108</v>
      </c>
      <c r="Y119" s="362">
        <f t="shared" si="53"/>
        <v>13956.441749116108</v>
      </c>
      <c r="Z119" s="362">
        <f t="shared" si="53"/>
        <v>13956.441749116108</v>
      </c>
      <c r="AA119" s="362">
        <f t="shared" si="53"/>
        <v>1487.4417254575869</v>
      </c>
      <c r="AB119" s="356"/>
      <c r="AC119" s="362">
        <f t="shared" si="54"/>
        <v>3823.9724932482704</v>
      </c>
      <c r="AD119" s="362">
        <f t="shared" si="54"/>
        <v>3823.9724932482704</v>
      </c>
      <c r="AE119" s="362">
        <f t="shared" si="54"/>
        <v>3823.9724932482704</v>
      </c>
      <c r="AF119" s="362">
        <f t="shared" si="54"/>
        <v>312.1819085762105</v>
      </c>
      <c r="AG119" s="362">
        <f t="shared" si="54"/>
        <v>29.475632524712577</v>
      </c>
      <c r="AH119" s="356"/>
      <c r="AI119" s="356"/>
      <c r="AJ119" s="356"/>
      <c r="AK119" s="356"/>
      <c r="AL119" s="356"/>
      <c r="AM119" s="356"/>
      <c r="AN119" s="356"/>
      <c r="AO119" s="356"/>
    </row>
    <row r="120" spans="1:41" x14ac:dyDescent="0.3">
      <c r="A120" s="320"/>
      <c r="B120" s="320"/>
      <c r="C120" s="29"/>
      <c r="D120"/>
      <c r="E120"/>
      <c r="F120" s="311" t="s">
        <v>1004</v>
      </c>
      <c r="G120" s="311" t="s">
        <v>212</v>
      </c>
      <c r="H120" s="311"/>
      <c r="I120" s="311"/>
      <c r="J120" s="362">
        <f t="shared" si="50"/>
        <v>2371479.4191347011</v>
      </c>
      <c r="K120" s="356"/>
      <c r="L120" s="356"/>
      <c r="M120" s="362">
        <f t="shared" si="51"/>
        <v>73738.726119001571</v>
      </c>
      <c r="N120" s="362">
        <f t="shared" si="51"/>
        <v>113224.90572068919</v>
      </c>
      <c r="O120" s="362">
        <f t="shared" si="51"/>
        <v>113224.90572068919</v>
      </c>
      <c r="P120" s="362">
        <f t="shared" si="51"/>
        <v>113224.90572068919</v>
      </c>
      <c r="Q120" s="356"/>
      <c r="R120" s="356"/>
      <c r="S120" s="362">
        <f t="shared" si="52"/>
        <v>6646.6268086489854</v>
      </c>
      <c r="T120" s="362">
        <f t="shared" si="52"/>
        <v>8797.2566659247095</v>
      </c>
      <c r="U120" s="362">
        <f t="shared" si="52"/>
        <v>8797.2566659247095</v>
      </c>
      <c r="V120" s="362">
        <f t="shared" si="52"/>
        <v>8797.2566659247095</v>
      </c>
      <c r="W120" s="356"/>
      <c r="X120" s="362">
        <f t="shared" si="53"/>
        <v>6646.6268086489854</v>
      </c>
      <c r="Y120" s="362">
        <f t="shared" si="53"/>
        <v>8797.2566659247095</v>
      </c>
      <c r="Z120" s="362">
        <f t="shared" si="53"/>
        <v>8797.2566659247095</v>
      </c>
      <c r="AA120" s="362">
        <f t="shared" si="53"/>
        <v>8797.2566659247095</v>
      </c>
      <c r="AB120" s="356"/>
      <c r="AC120" s="362">
        <f t="shared" si="54"/>
        <v>2286.6045369155877</v>
      </c>
      <c r="AD120" s="362">
        <f t="shared" si="54"/>
        <v>1849.5498649088931</v>
      </c>
      <c r="AE120" s="362">
        <f t="shared" si="54"/>
        <v>1849.5498649088931</v>
      </c>
      <c r="AF120" s="362">
        <f t="shared" si="54"/>
        <v>1849.5498649088931</v>
      </c>
      <c r="AG120" s="362">
        <f t="shared" si="54"/>
        <v>29.475632524712577</v>
      </c>
      <c r="AH120" s="356"/>
      <c r="AI120" s="356"/>
      <c r="AJ120" s="356"/>
      <c r="AK120" s="356"/>
      <c r="AL120" s="356"/>
      <c r="AM120" s="356"/>
      <c r="AN120" s="356"/>
      <c r="AO120" s="356"/>
    </row>
    <row r="121" spans="1:41" x14ac:dyDescent="0.3">
      <c r="A121" s="320"/>
      <c r="B121" s="320"/>
      <c r="C121" s="29"/>
      <c r="D121"/>
      <c r="E121"/>
      <c r="F121" s="37" t="s">
        <v>1005</v>
      </c>
      <c r="G121" s="37" t="s">
        <v>212</v>
      </c>
      <c r="H121" s="37"/>
      <c r="I121" s="37"/>
      <c r="J121" s="363">
        <f t="shared" si="50"/>
        <v>2371479.4191347011</v>
      </c>
      <c r="K121" s="358"/>
      <c r="L121" s="358"/>
      <c r="M121" s="363">
        <f t="shared" si="51"/>
        <v>186963.63183969076</v>
      </c>
      <c r="N121" s="363">
        <f t="shared" si="51"/>
        <v>186963.63183969076</v>
      </c>
      <c r="O121" s="363">
        <f t="shared" si="51"/>
        <v>186963.63183969076</v>
      </c>
      <c r="P121" s="363">
        <f t="shared" si="51"/>
        <v>186963.63183969076</v>
      </c>
      <c r="Q121" s="358"/>
      <c r="R121" s="358"/>
      <c r="S121" s="363">
        <f t="shared" si="52"/>
        <v>15443.883474573695</v>
      </c>
      <c r="T121" s="363">
        <f t="shared" si="52"/>
        <v>15443.883474573695</v>
      </c>
      <c r="U121" s="363">
        <f t="shared" si="52"/>
        <v>15443.883474573695</v>
      </c>
      <c r="V121" s="363">
        <f t="shared" si="52"/>
        <v>15443.883474573695</v>
      </c>
      <c r="W121" s="358"/>
      <c r="X121" s="363">
        <f t="shared" si="53"/>
        <v>15443.883474573695</v>
      </c>
      <c r="Y121" s="363">
        <f t="shared" si="53"/>
        <v>15443.883474573695</v>
      </c>
      <c r="Z121" s="363">
        <f t="shared" si="53"/>
        <v>15443.883474573695</v>
      </c>
      <c r="AA121" s="363">
        <f t="shared" si="53"/>
        <v>15443.883474573695</v>
      </c>
      <c r="AB121" s="358"/>
      <c r="AC121" s="363">
        <f t="shared" si="54"/>
        <v>4136.1544018244813</v>
      </c>
      <c r="AD121" s="363">
        <f t="shared" si="54"/>
        <v>4136.1544018244813</v>
      </c>
      <c r="AE121" s="363">
        <f t="shared" si="54"/>
        <v>4136.1544018244813</v>
      </c>
      <c r="AF121" s="363">
        <f t="shared" si="54"/>
        <v>4136.1544018244813</v>
      </c>
      <c r="AG121" s="363">
        <f t="shared" si="54"/>
        <v>29.475632524712577</v>
      </c>
      <c r="AH121" s="358"/>
      <c r="AI121" s="358"/>
      <c r="AJ121" s="358"/>
      <c r="AK121" s="358"/>
      <c r="AL121" s="358"/>
      <c r="AM121" s="358"/>
      <c r="AN121" s="358"/>
      <c r="AO121" s="358"/>
    </row>
    <row r="122" spans="1:41" x14ac:dyDescent="0.3">
      <c r="A122" s="320"/>
      <c r="B122" s="320"/>
      <c r="C122" s="29"/>
      <c r="D122"/>
      <c r="E122"/>
      <c r="J122" s="163"/>
      <c r="K122" s="163"/>
      <c r="L122" s="163"/>
      <c r="M122" s="163"/>
      <c r="N122" s="163"/>
      <c r="O122" s="163"/>
      <c r="P122" s="163"/>
      <c r="Q122" s="163"/>
      <c r="R122" s="163"/>
      <c r="S122" s="163"/>
      <c r="T122" s="163"/>
      <c r="U122" s="163"/>
      <c r="V122" s="163"/>
      <c r="W122" s="163"/>
      <c r="X122" s="163"/>
      <c r="Y122" s="163"/>
      <c r="Z122" s="163"/>
      <c r="AA122" s="163"/>
      <c r="AB122" s="163"/>
      <c r="AC122" s="163"/>
      <c r="AD122" s="163"/>
      <c r="AE122" s="163"/>
      <c r="AF122" s="163"/>
      <c r="AG122" s="163"/>
      <c r="AH122" s="163"/>
      <c r="AI122" s="163"/>
      <c r="AJ122" s="163"/>
      <c r="AK122" s="163"/>
      <c r="AL122" s="163"/>
      <c r="AM122" s="163"/>
      <c r="AN122" s="163"/>
      <c r="AO122" s="163"/>
    </row>
    <row r="123" spans="1:41" x14ac:dyDescent="0.3">
      <c r="A123" s="320"/>
      <c r="B123" s="320"/>
      <c r="C123" s="29"/>
      <c r="D123"/>
      <c r="E123" t="s">
        <v>1013</v>
      </c>
      <c r="G123" t="s">
        <v>149</v>
      </c>
      <c r="H123" s="51">
        <f>'Fixed inputs'!H171</f>
        <v>2</v>
      </c>
      <c r="J123" s="163"/>
      <c r="K123" s="163"/>
      <c r="L123" s="163"/>
      <c r="M123" s="163"/>
      <c r="N123" s="163"/>
      <c r="O123" s="163"/>
      <c r="P123" s="163"/>
      <c r="Q123" s="163"/>
      <c r="R123" s="163"/>
      <c r="S123" s="163"/>
      <c r="T123" s="163"/>
      <c r="U123" s="163"/>
      <c r="V123" s="163"/>
      <c r="W123" s="163"/>
      <c r="X123" s="163"/>
      <c r="Y123" s="163"/>
      <c r="Z123" s="163"/>
      <c r="AA123" s="163"/>
      <c r="AB123" s="163"/>
      <c r="AC123" s="163"/>
      <c r="AD123" s="163"/>
      <c r="AE123" s="163"/>
      <c r="AF123" s="163"/>
      <c r="AG123" s="163"/>
      <c r="AH123" s="163"/>
      <c r="AI123" s="163"/>
      <c r="AJ123" s="163"/>
      <c r="AK123" s="163"/>
      <c r="AL123" s="163"/>
      <c r="AM123" s="163"/>
      <c r="AN123" s="163"/>
      <c r="AO123" s="163"/>
    </row>
    <row r="124" spans="1:41" x14ac:dyDescent="0.3">
      <c r="A124" s="320"/>
      <c r="B124" s="320"/>
      <c r="C124" s="29"/>
      <c r="D124"/>
      <c r="E124"/>
      <c r="J124" s="163"/>
      <c r="K124" s="163"/>
      <c r="L124" s="163"/>
      <c r="M124" s="163"/>
      <c r="N124" s="163"/>
      <c r="O124" s="163"/>
      <c r="P124" s="163"/>
      <c r="Q124" s="163"/>
      <c r="R124" s="163"/>
      <c r="S124" s="163"/>
      <c r="T124" s="163"/>
      <c r="U124" s="163"/>
      <c r="V124" s="163"/>
      <c r="W124" s="163"/>
      <c r="X124" s="163"/>
      <c r="Y124" s="163"/>
      <c r="Z124" s="163"/>
      <c r="AA124" s="163"/>
      <c r="AB124" s="163"/>
      <c r="AC124" s="163"/>
      <c r="AD124" s="163"/>
      <c r="AE124" s="163"/>
      <c r="AF124" s="163"/>
      <c r="AG124" s="163"/>
      <c r="AH124" s="163"/>
      <c r="AI124" s="163"/>
      <c r="AJ124" s="163"/>
      <c r="AK124" s="163"/>
      <c r="AL124" s="163"/>
      <c r="AM124" s="163"/>
      <c r="AN124" s="163"/>
      <c r="AO124" s="163"/>
    </row>
    <row r="125" spans="1:41" x14ac:dyDescent="0.3">
      <c r="A125" s="320"/>
      <c r="B125" s="320"/>
      <c r="C125" s="29"/>
      <c r="D125"/>
      <c r="E125" s="32" t="s">
        <v>1022</v>
      </c>
      <c r="J125" s="163"/>
      <c r="K125" s="163"/>
      <c r="L125" s="163"/>
      <c r="M125" s="163"/>
      <c r="N125" s="163"/>
      <c r="O125" s="163"/>
      <c r="P125" s="163"/>
      <c r="Q125" s="163"/>
      <c r="R125" s="163"/>
      <c r="S125" s="163"/>
      <c r="T125" s="163"/>
      <c r="U125" s="163"/>
      <c r="V125" s="163"/>
      <c r="W125" s="163"/>
      <c r="X125" s="163"/>
      <c r="Y125" s="163"/>
      <c r="Z125" s="163"/>
      <c r="AA125" s="163"/>
      <c r="AB125" s="163"/>
      <c r="AC125" s="163"/>
      <c r="AD125" s="163"/>
      <c r="AE125" s="163"/>
      <c r="AF125" s="163"/>
      <c r="AG125" s="163"/>
      <c r="AH125" s="163"/>
      <c r="AI125" s="163"/>
      <c r="AJ125" s="163"/>
      <c r="AK125" s="163"/>
      <c r="AL125" s="163"/>
      <c r="AM125" s="163"/>
      <c r="AN125" s="163"/>
      <c r="AO125" s="163"/>
    </row>
    <row r="126" spans="1:41" x14ac:dyDescent="0.3">
      <c r="A126" s="320"/>
      <c r="B126" s="320"/>
      <c r="C126" s="29"/>
      <c r="D126"/>
      <c r="E126"/>
      <c r="F126" s="23" t="s">
        <v>998</v>
      </c>
      <c r="G126" s="23" t="s">
        <v>912</v>
      </c>
      <c r="H126" s="23"/>
      <c r="I126" s="23"/>
      <c r="J126" s="361" t="b">
        <f>J114&gt;=$H$123</f>
        <v>1</v>
      </c>
      <c r="K126" s="360"/>
      <c r="L126" s="360"/>
      <c r="M126" s="361" t="b">
        <f t="shared" ref="M126:P126" si="55">M114&gt;=$H$123</f>
        <v>1</v>
      </c>
      <c r="N126" s="361" t="b">
        <f t="shared" si="55"/>
        <v>1</v>
      </c>
      <c r="O126" s="361" t="b">
        <f t="shared" si="55"/>
        <v>1</v>
      </c>
      <c r="P126" s="361" t="b">
        <f t="shared" si="55"/>
        <v>1</v>
      </c>
      <c r="Q126" s="360"/>
      <c r="R126" s="360"/>
      <c r="S126" s="361" t="b">
        <f t="shared" ref="S126:V126" si="56">S114&gt;=$H$123</f>
        <v>1</v>
      </c>
      <c r="T126" s="361" t="b">
        <f t="shared" si="56"/>
        <v>1</v>
      </c>
      <c r="U126" s="361" t="b">
        <f t="shared" si="56"/>
        <v>1</v>
      </c>
      <c r="V126" s="361" t="b">
        <f t="shared" si="56"/>
        <v>1</v>
      </c>
      <c r="W126" s="360"/>
      <c r="X126" s="361" t="b">
        <f t="shared" ref="X126:AA126" si="57">X114&gt;=$H$123</f>
        <v>1</v>
      </c>
      <c r="Y126" s="361" t="b">
        <f t="shared" si="57"/>
        <v>1</v>
      </c>
      <c r="Z126" s="361" t="b">
        <f t="shared" si="57"/>
        <v>1</v>
      </c>
      <c r="AA126" s="361" t="b">
        <f t="shared" si="57"/>
        <v>1</v>
      </c>
      <c r="AB126" s="360"/>
      <c r="AC126" s="361" t="b">
        <f t="shared" ref="AC126:AG126" si="58">AC114&gt;=$H$123</f>
        <v>1</v>
      </c>
      <c r="AD126" s="361" t="b">
        <f t="shared" si="58"/>
        <v>1</v>
      </c>
      <c r="AE126" s="361" t="b">
        <f t="shared" si="58"/>
        <v>1</v>
      </c>
      <c r="AF126" s="361" t="b">
        <f t="shared" si="58"/>
        <v>1</v>
      </c>
      <c r="AG126" s="361" t="b">
        <f t="shared" si="58"/>
        <v>1</v>
      </c>
      <c r="AH126" s="360"/>
      <c r="AI126" s="360"/>
      <c r="AJ126" s="360"/>
      <c r="AK126" s="360"/>
      <c r="AL126" s="360"/>
      <c r="AM126" s="360"/>
      <c r="AN126" s="360"/>
      <c r="AO126" s="360"/>
    </row>
    <row r="127" spans="1:41" x14ac:dyDescent="0.3">
      <c r="A127" s="320"/>
      <c r="B127" s="320"/>
      <c r="C127" s="29"/>
      <c r="D127"/>
      <c r="E127"/>
      <c r="F127" s="311" t="s">
        <v>999</v>
      </c>
      <c r="G127" s="311" t="s">
        <v>912</v>
      </c>
      <c r="H127" s="311"/>
      <c r="I127" s="311"/>
      <c r="J127" s="362" t="b">
        <f t="shared" ref="J127:J133" si="59">J115&gt;=$H$123</f>
        <v>1</v>
      </c>
      <c r="K127" s="356"/>
      <c r="L127" s="356"/>
      <c r="M127" s="362" t="b">
        <f t="shared" ref="M127:P127" si="60">M115&gt;=$H$123</f>
        <v>1</v>
      </c>
      <c r="N127" s="362" t="b">
        <f t="shared" si="60"/>
        <v>1</v>
      </c>
      <c r="O127" s="362" t="b">
        <f t="shared" si="60"/>
        <v>1</v>
      </c>
      <c r="P127" s="362" t="b">
        <f t="shared" si="60"/>
        <v>1</v>
      </c>
      <c r="Q127" s="356"/>
      <c r="R127" s="356"/>
      <c r="S127" s="362" t="b">
        <f t="shared" ref="S127:V127" si="61">S115&gt;=$H$123</f>
        <v>1</v>
      </c>
      <c r="T127" s="362" t="b">
        <f t="shared" si="61"/>
        <v>1</v>
      </c>
      <c r="U127" s="362" t="b">
        <f t="shared" si="61"/>
        <v>1</v>
      </c>
      <c r="V127" s="362" t="b">
        <f t="shared" si="61"/>
        <v>1</v>
      </c>
      <c r="W127" s="356"/>
      <c r="X127" s="362" t="b">
        <f t="shared" ref="X127:AA127" si="62">X115&gt;=$H$123</f>
        <v>1</v>
      </c>
      <c r="Y127" s="362" t="b">
        <f t="shared" si="62"/>
        <v>1</v>
      </c>
      <c r="Z127" s="362" t="b">
        <f t="shared" si="62"/>
        <v>1</v>
      </c>
      <c r="AA127" s="362" t="b">
        <f t="shared" si="62"/>
        <v>1</v>
      </c>
      <c r="AB127" s="356"/>
      <c r="AC127" s="362" t="b">
        <f t="shared" ref="AC127:AG127" si="63">AC115&gt;=$H$123</f>
        <v>1</v>
      </c>
      <c r="AD127" s="362" t="b">
        <f t="shared" si="63"/>
        <v>1</v>
      </c>
      <c r="AE127" s="362" t="b">
        <f t="shared" si="63"/>
        <v>1</v>
      </c>
      <c r="AF127" s="362" t="b">
        <f t="shared" si="63"/>
        <v>1</v>
      </c>
      <c r="AG127" s="362" t="b">
        <f t="shared" si="63"/>
        <v>1</v>
      </c>
      <c r="AH127" s="356"/>
      <c r="AI127" s="356"/>
      <c r="AJ127" s="356"/>
      <c r="AK127" s="356"/>
      <c r="AL127" s="356"/>
      <c r="AM127" s="356"/>
      <c r="AN127" s="356"/>
      <c r="AO127" s="356"/>
    </row>
    <row r="128" spans="1:41" x14ac:dyDescent="0.3">
      <c r="A128" s="320"/>
      <c r="B128" s="320"/>
      <c r="C128" s="29"/>
      <c r="D128"/>
      <c r="E128"/>
      <c r="F128" s="311" t="s">
        <v>1000</v>
      </c>
      <c r="G128" s="311" t="s">
        <v>912</v>
      </c>
      <c r="H128" s="311"/>
      <c r="I128" s="311"/>
      <c r="J128" s="362" t="b">
        <f t="shared" si="59"/>
        <v>1</v>
      </c>
      <c r="K128" s="356"/>
      <c r="L128" s="356"/>
      <c r="M128" s="362" t="b">
        <f t="shared" ref="M128:P128" si="64">M116&gt;=$H$123</f>
        <v>1</v>
      </c>
      <c r="N128" s="362" t="b">
        <f t="shared" si="64"/>
        <v>1</v>
      </c>
      <c r="O128" s="362" t="b">
        <f t="shared" si="64"/>
        <v>1</v>
      </c>
      <c r="P128" s="362" t="b">
        <f t="shared" si="64"/>
        <v>1</v>
      </c>
      <c r="Q128" s="356"/>
      <c r="R128" s="356"/>
      <c r="S128" s="362" t="b">
        <f t="shared" ref="S128:V128" si="65">S116&gt;=$H$123</f>
        <v>1</v>
      </c>
      <c r="T128" s="362" t="b">
        <f t="shared" si="65"/>
        <v>1</v>
      </c>
      <c r="U128" s="362" t="b">
        <f t="shared" si="65"/>
        <v>1</v>
      </c>
      <c r="V128" s="362" t="b">
        <f t="shared" si="65"/>
        <v>1</v>
      </c>
      <c r="W128" s="356"/>
      <c r="X128" s="362" t="b">
        <f t="shared" ref="X128:AA128" si="66">X116&gt;=$H$123</f>
        <v>1</v>
      </c>
      <c r="Y128" s="362" t="b">
        <f t="shared" si="66"/>
        <v>1</v>
      </c>
      <c r="Z128" s="362" t="b">
        <f t="shared" si="66"/>
        <v>1</v>
      </c>
      <c r="AA128" s="362" t="b">
        <f t="shared" si="66"/>
        <v>1</v>
      </c>
      <c r="AB128" s="356"/>
      <c r="AC128" s="362" t="b">
        <f t="shared" ref="AC128:AG128" si="67">AC116&gt;=$H$123</f>
        <v>1</v>
      </c>
      <c r="AD128" s="362" t="b">
        <f t="shared" si="67"/>
        <v>1</v>
      </c>
      <c r="AE128" s="362" t="b">
        <f t="shared" si="67"/>
        <v>1</v>
      </c>
      <c r="AF128" s="362" t="b">
        <f t="shared" si="67"/>
        <v>1</v>
      </c>
      <c r="AG128" s="362" t="b">
        <f t="shared" si="67"/>
        <v>1</v>
      </c>
      <c r="AH128" s="356"/>
      <c r="AI128" s="356"/>
      <c r="AJ128" s="356"/>
      <c r="AK128" s="356"/>
      <c r="AL128" s="356"/>
      <c r="AM128" s="356"/>
      <c r="AN128" s="356"/>
      <c r="AO128" s="356"/>
    </row>
    <row r="129" spans="1:41" x14ac:dyDescent="0.3">
      <c r="A129" s="320"/>
      <c r="B129" s="320"/>
      <c r="C129" s="29"/>
      <c r="D129"/>
      <c r="E129"/>
      <c r="F129" s="311" t="s">
        <v>1001</v>
      </c>
      <c r="G129" s="311" t="s">
        <v>912</v>
      </c>
      <c r="H129" s="311"/>
      <c r="I129" s="311"/>
      <c r="J129" s="362" t="b">
        <f t="shared" si="59"/>
        <v>1</v>
      </c>
      <c r="K129" s="356"/>
      <c r="L129" s="356"/>
      <c r="M129" s="362" t="b">
        <f t="shared" ref="M129:P129" si="68">M117&gt;=$H$123</f>
        <v>1</v>
      </c>
      <c r="N129" s="362" t="b">
        <f t="shared" si="68"/>
        <v>1</v>
      </c>
      <c r="O129" s="362" t="b">
        <f t="shared" si="68"/>
        <v>1</v>
      </c>
      <c r="P129" s="362" t="b">
        <f t="shared" si="68"/>
        <v>1</v>
      </c>
      <c r="Q129" s="356"/>
      <c r="R129" s="356"/>
      <c r="S129" s="362" t="b">
        <f t="shared" ref="S129:V129" si="69">S117&gt;=$H$123</f>
        <v>1</v>
      </c>
      <c r="T129" s="362" t="b">
        <f t="shared" si="69"/>
        <v>1</v>
      </c>
      <c r="U129" s="362" t="b">
        <f t="shared" si="69"/>
        <v>1</v>
      </c>
      <c r="V129" s="362" t="b">
        <f t="shared" si="69"/>
        <v>1</v>
      </c>
      <c r="W129" s="356"/>
      <c r="X129" s="362" t="b">
        <f t="shared" ref="X129:AA129" si="70">X117&gt;=$H$123</f>
        <v>1</v>
      </c>
      <c r="Y129" s="362" t="b">
        <f t="shared" si="70"/>
        <v>1</v>
      </c>
      <c r="Z129" s="362" t="b">
        <f t="shared" si="70"/>
        <v>1</v>
      </c>
      <c r="AA129" s="362" t="b">
        <f t="shared" si="70"/>
        <v>1</v>
      </c>
      <c r="AB129" s="356"/>
      <c r="AC129" s="362" t="b">
        <f t="shared" ref="AC129:AG129" si="71">AC117&gt;=$H$123</f>
        <v>1</v>
      </c>
      <c r="AD129" s="362" t="b">
        <f t="shared" si="71"/>
        <v>1</v>
      </c>
      <c r="AE129" s="362" t="b">
        <f t="shared" si="71"/>
        <v>1</v>
      </c>
      <c r="AF129" s="362" t="b">
        <f t="shared" si="71"/>
        <v>1</v>
      </c>
      <c r="AG129" s="362" t="b">
        <f t="shared" si="71"/>
        <v>1</v>
      </c>
      <c r="AH129" s="356"/>
      <c r="AI129" s="356"/>
      <c r="AJ129" s="356"/>
      <c r="AK129" s="356"/>
      <c r="AL129" s="356"/>
      <c r="AM129" s="356"/>
      <c r="AN129" s="356"/>
      <c r="AO129" s="356"/>
    </row>
    <row r="130" spans="1:41" x14ac:dyDescent="0.3">
      <c r="A130" s="320"/>
      <c r="B130" s="320"/>
      <c r="C130" s="29"/>
      <c r="D130"/>
      <c r="E130"/>
      <c r="F130" s="311" t="s">
        <v>1002</v>
      </c>
      <c r="G130" s="311" t="s">
        <v>912</v>
      </c>
      <c r="H130" s="311"/>
      <c r="I130" s="311"/>
      <c r="J130" s="362" t="b">
        <f t="shared" si="59"/>
        <v>1</v>
      </c>
      <c r="K130" s="356"/>
      <c r="L130" s="356"/>
      <c r="M130" s="362" t="b">
        <f t="shared" ref="M130:P130" si="72">M118&gt;=$H$123</f>
        <v>1</v>
      </c>
      <c r="N130" s="362" t="b">
        <f t="shared" si="72"/>
        <v>1</v>
      </c>
      <c r="O130" s="362" t="b">
        <f t="shared" si="72"/>
        <v>1</v>
      </c>
      <c r="P130" s="362" t="b">
        <f t="shared" si="72"/>
        <v>1</v>
      </c>
      <c r="Q130" s="356"/>
      <c r="R130" s="356"/>
      <c r="S130" s="362" t="b">
        <f t="shared" ref="S130:V130" si="73">S118&gt;=$H$123</f>
        <v>1</v>
      </c>
      <c r="T130" s="362" t="b">
        <f t="shared" si="73"/>
        <v>1</v>
      </c>
      <c r="U130" s="362" t="b">
        <f t="shared" si="73"/>
        <v>1</v>
      </c>
      <c r="V130" s="362" t="b">
        <f t="shared" si="73"/>
        <v>1</v>
      </c>
      <c r="W130" s="356"/>
      <c r="X130" s="362" t="b">
        <f t="shared" ref="X130:AA130" si="74">X118&gt;=$H$123</f>
        <v>1</v>
      </c>
      <c r="Y130" s="362" t="b">
        <f t="shared" si="74"/>
        <v>1</v>
      </c>
      <c r="Z130" s="362" t="b">
        <f t="shared" si="74"/>
        <v>1</v>
      </c>
      <c r="AA130" s="362" t="b">
        <f t="shared" si="74"/>
        <v>1</v>
      </c>
      <c r="AB130" s="356"/>
      <c r="AC130" s="362" t="b">
        <f t="shared" ref="AC130:AG130" si="75">AC118&gt;=$H$123</f>
        <v>1</v>
      </c>
      <c r="AD130" s="362" t="b">
        <f t="shared" si="75"/>
        <v>1</v>
      </c>
      <c r="AE130" s="362" t="b">
        <f t="shared" si="75"/>
        <v>1</v>
      </c>
      <c r="AF130" s="362" t="b">
        <f t="shared" si="75"/>
        <v>1</v>
      </c>
      <c r="AG130" s="362" t="b">
        <f t="shared" si="75"/>
        <v>1</v>
      </c>
      <c r="AH130" s="356"/>
      <c r="AI130" s="356"/>
      <c r="AJ130" s="356"/>
      <c r="AK130" s="356"/>
      <c r="AL130" s="356"/>
      <c r="AM130" s="356"/>
      <c r="AN130" s="356"/>
      <c r="AO130" s="356"/>
    </row>
    <row r="131" spans="1:41" x14ac:dyDescent="0.3">
      <c r="A131" s="320"/>
      <c r="B131" s="320"/>
      <c r="C131" s="29"/>
      <c r="D131"/>
      <c r="E131"/>
      <c r="F131" s="311" t="s">
        <v>1003</v>
      </c>
      <c r="G131" s="311" t="s">
        <v>912</v>
      </c>
      <c r="H131" s="311"/>
      <c r="I131" s="311"/>
      <c r="J131" s="362" t="b">
        <f t="shared" si="59"/>
        <v>1</v>
      </c>
      <c r="K131" s="356"/>
      <c r="L131" s="356"/>
      <c r="M131" s="362" t="b">
        <f t="shared" ref="M131:P131" si="76">M119&gt;=$H$123</f>
        <v>1</v>
      </c>
      <c r="N131" s="362" t="b">
        <f t="shared" si="76"/>
        <v>1</v>
      </c>
      <c r="O131" s="362" t="b">
        <f t="shared" si="76"/>
        <v>1</v>
      </c>
      <c r="P131" s="362" t="b">
        <f t="shared" si="76"/>
        <v>1</v>
      </c>
      <c r="Q131" s="356"/>
      <c r="R131" s="356"/>
      <c r="S131" s="362" t="b">
        <f t="shared" ref="S131:V131" si="77">S119&gt;=$H$123</f>
        <v>1</v>
      </c>
      <c r="T131" s="362" t="b">
        <f t="shared" si="77"/>
        <v>1</v>
      </c>
      <c r="U131" s="362" t="b">
        <f t="shared" si="77"/>
        <v>1</v>
      </c>
      <c r="V131" s="362" t="b">
        <f t="shared" si="77"/>
        <v>1</v>
      </c>
      <c r="W131" s="356"/>
      <c r="X131" s="362" t="b">
        <f t="shared" ref="X131:AA131" si="78">X119&gt;=$H$123</f>
        <v>1</v>
      </c>
      <c r="Y131" s="362" t="b">
        <f t="shared" si="78"/>
        <v>1</v>
      </c>
      <c r="Z131" s="362" t="b">
        <f t="shared" si="78"/>
        <v>1</v>
      </c>
      <c r="AA131" s="362" t="b">
        <f t="shared" si="78"/>
        <v>1</v>
      </c>
      <c r="AB131" s="356"/>
      <c r="AC131" s="362" t="b">
        <f t="shared" ref="AC131:AG131" si="79">AC119&gt;=$H$123</f>
        <v>1</v>
      </c>
      <c r="AD131" s="362" t="b">
        <f t="shared" si="79"/>
        <v>1</v>
      </c>
      <c r="AE131" s="362" t="b">
        <f t="shared" si="79"/>
        <v>1</v>
      </c>
      <c r="AF131" s="362" t="b">
        <f t="shared" si="79"/>
        <v>1</v>
      </c>
      <c r="AG131" s="362" t="b">
        <f t="shared" si="79"/>
        <v>1</v>
      </c>
      <c r="AH131" s="356"/>
      <c r="AI131" s="356"/>
      <c r="AJ131" s="356"/>
      <c r="AK131" s="356"/>
      <c r="AL131" s="356"/>
      <c r="AM131" s="356"/>
      <c r="AN131" s="356"/>
      <c r="AO131" s="356"/>
    </row>
    <row r="132" spans="1:41" x14ac:dyDescent="0.3">
      <c r="A132" s="320"/>
      <c r="B132" s="320"/>
      <c r="C132" s="29"/>
      <c r="D132"/>
      <c r="E132"/>
      <c r="F132" s="311" t="s">
        <v>1004</v>
      </c>
      <c r="G132" s="311" t="s">
        <v>912</v>
      </c>
      <c r="H132" s="311"/>
      <c r="I132" s="311"/>
      <c r="J132" s="362" t="b">
        <f t="shared" si="59"/>
        <v>1</v>
      </c>
      <c r="K132" s="356"/>
      <c r="L132" s="356"/>
      <c r="M132" s="362" t="b">
        <f t="shared" ref="M132:P132" si="80">M120&gt;=$H$123</f>
        <v>1</v>
      </c>
      <c r="N132" s="362" t="b">
        <f t="shared" si="80"/>
        <v>1</v>
      </c>
      <c r="O132" s="362" t="b">
        <f t="shared" si="80"/>
        <v>1</v>
      </c>
      <c r="P132" s="362" t="b">
        <f t="shared" si="80"/>
        <v>1</v>
      </c>
      <c r="Q132" s="356"/>
      <c r="R132" s="356"/>
      <c r="S132" s="362" t="b">
        <f t="shared" ref="S132:V132" si="81">S120&gt;=$H$123</f>
        <v>1</v>
      </c>
      <c r="T132" s="362" t="b">
        <f t="shared" si="81"/>
        <v>1</v>
      </c>
      <c r="U132" s="362" t="b">
        <f t="shared" si="81"/>
        <v>1</v>
      </c>
      <c r="V132" s="362" t="b">
        <f t="shared" si="81"/>
        <v>1</v>
      </c>
      <c r="W132" s="356"/>
      <c r="X132" s="362" t="b">
        <f t="shared" ref="X132:AA132" si="82">X120&gt;=$H$123</f>
        <v>1</v>
      </c>
      <c r="Y132" s="362" t="b">
        <f t="shared" si="82"/>
        <v>1</v>
      </c>
      <c r="Z132" s="362" t="b">
        <f t="shared" si="82"/>
        <v>1</v>
      </c>
      <c r="AA132" s="362" t="b">
        <f t="shared" si="82"/>
        <v>1</v>
      </c>
      <c r="AB132" s="356"/>
      <c r="AC132" s="362" t="b">
        <f t="shared" ref="AC132:AG132" si="83">AC120&gt;=$H$123</f>
        <v>1</v>
      </c>
      <c r="AD132" s="362" t="b">
        <f t="shared" si="83"/>
        <v>1</v>
      </c>
      <c r="AE132" s="362" t="b">
        <f t="shared" si="83"/>
        <v>1</v>
      </c>
      <c r="AF132" s="362" t="b">
        <f t="shared" si="83"/>
        <v>1</v>
      </c>
      <c r="AG132" s="362" t="b">
        <f t="shared" si="83"/>
        <v>1</v>
      </c>
      <c r="AH132" s="356"/>
      <c r="AI132" s="356"/>
      <c r="AJ132" s="356"/>
      <c r="AK132" s="356"/>
      <c r="AL132" s="356"/>
      <c r="AM132" s="356"/>
      <c r="AN132" s="356"/>
      <c r="AO132" s="356"/>
    </row>
    <row r="133" spans="1:41" x14ac:dyDescent="0.3">
      <c r="A133" s="320"/>
      <c r="B133" s="320"/>
      <c r="C133" s="29"/>
      <c r="D133"/>
      <c r="E133"/>
      <c r="F133" s="37" t="s">
        <v>1005</v>
      </c>
      <c r="G133" s="37" t="s">
        <v>912</v>
      </c>
      <c r="H133" s="37"/>
      <c r="I133" s="37"/>
      <c r="J133" s="363" t="b">
        <f t="shared" si="59"/>
        <v>1</v>
      </c>
      <c r="K133" s="358"/>
      <c r="L133" s="358"/>
      <c r="M133" s="363" t="b">
        <f t="shared" ref="M133:P133" si="84">M121&gt;=$H$123</f>
        <v>1</v>
      </c>
      <c r="N133" s="363" t="b">
        <f t="shared" si="84"/>
        <v>1</v>
      </c>
      <c r="O133" s="363" t="b">
        <f t="shared" si="84"/>
        <v>1</v>
      </c>
      <c r="P133" s="363" t="b">
        <f t="shared" si="84"/>
        <v>1</v>
      </c>
      <c r="Q133" s="358"/>
      <c r="R133" s="358"/>
      <c r="S133" s="363" t="b">
        <f t="shared" ref="S133:V133" si="85">S121&gt;=$H$123</f>
        <v>1</v>
      </c>
      <c r="T133" s="363" t="b">
        <f t="shared" si="85"/>
        <v>1</v>
      </c>
      <c r="U133" s="363" t="b">
        <f t="shared" si="85"/>
        <v>1</v>
      </c>
      <c r="V133" s="363" t="b">
        <f t="shared" si="85"/>
        <v>1</v>
      </c>
      <c r="W133" s="358"/>
      <c r="X133" s="363" t="b">
        <f t="shared" ref="X133:AA133" si="86">X121&gt;=$H$123</f>
        <v>1</v>
      </c>
      <c r="Y133" s="363" t="b">
        <f t="shared" si="86"/>
        <v>1</v>
      </c>
      <c r="Z133" s="363" t="b">
        <f t="shared" si="86"/>
        <v>1</v>
      </c>
      <c r="AA133" s="363" t="b">
        <f t="shared" si="86"/>
        <v>1</v>
      </c>
      <c r="AB133" s="358"/>
      <c r="AC133" s="363" t="b">
        <f t="shared" ref="AC133:AG133" si="87">AC121&gt;=$H$123</f>
        <v>1</v>
      </c>
      <c r="AD133" s="363" t="b">
        <f t="shared" si="87"/>
        <v>1</v>
      </c>
      <c r="AE133" s="363" t="b">
        <f t="shared" si="87"/>
        <v>1</v>
      </c>
      <c r="AF133" s="363" t="b">
        <f t="shared" si="87"/>
        <v>1</v>
      </c>
      <c r="AG133" s="363" t="b">
        <f t="shared" si="87"/>
        <v>1</v>
      </c>
      <c r="AH133" s="358"/>
      <c r="AI133" s="358"/>
      <c r="AJ133" s="358"/>
      <c r="AK133" s="358"/>
      <c r="AL133" s="358"/>
      <c r="AM133" s="358"/>
      <c r="AN133" s="358"/>
      <c r="AO133" s="358"/>
    </row>
    <row r="134" spans="1:41" x14ac:dyDescent="0.3">
      <c r="A134" s="320"/>
      <c r="B134" s="320"/>
      <c r="C134" s="29"/>
      <c r="D134"/>
      <c r="E134"/>
      <c r="J134" s="163"/>
      <c r="K134" s="163"/>
      <c r="L134" s="163"/>
      <c r="M134" s="334"/>
      <c r="N134" s="334"/>
      <c r="O134" s="334"/>
      <c r="P134" s="334"/>
      <c r="Q134" s="163"/>
      <c r="R134" s="163"/>
      <c r="S134" s="334"/>
      <c r="T134" s="334"/>
      <c r="U134" s="334"/>
      <c r="V134" s="334"/>
      <c r="W134" s="163"/>
      <c r="X134" s="334"/>
      <c r="Y134" s="334"/>
      <c r="Z134" s="334"/>
      <c r="AA134" s="334"/>
      <c r="AB134" s="163"/>
      <c r="AC134" s="334"/>
      <c r="AD134" s="334"/>
      <c r="AE134" s="334"/>
      <c r="AF134" s="334"/>
      <c r="AG134" s="163"/>
      <c r="AH134" s="163"/>
      <c r="AI134" s="163"/>
      <c r="AJ134" s="163"/>
      <c r="AK134" s="163"/>
      <c r="AL134" s="163"/>
      <c r="AM134" s="163"/>
      <c r="AN134" s="163"/>
      <c r="AO134" s="163"/>
    </row>
    <row r="135" spans="1:41" x14ac:dyDescent="0.3">
      <c r="A135" s="320"/>
      <c r="B135" s="320"/>
      <c r="C135" s="29"/>
      <c r="D135"/>
      <c r="E135" s="32" t="s">
        <v>1122</v>
      </c>
      <c r="J135" s="163"/>
      <c r="K135" s="163"/>
      <c r="L135" s="163"/>
      <c r="M135" s="163"/>
      <c r="N135" s="163"/>
      <c r="O135" s="163"/>
      <c r="P135" s="163"/>
      <c r="Q135" s="163"/>
      <c r="R135" s="163"/>
      <c r="S135" s="163"/>
      <c r="T135" s="163"/>
      <c r="U135" s="163"/>
      <c r="V135" s="163"/>
      <c r="W135" s="163"/>
      <c r="X135" s="163"/>
      <c r="Y135" s="163"/>
      <c r="Z135" s="163"/>
      <c r="AA135" s="163"/>
      <c r="AB135" s="163"/>
      <c r="AC135" s="163"/>
      <c r="AD135" s="163"/>
      <c r="AE135" s="163"/>
      <c r="AF135" s="163"/>
      <c r="AG135" s="163"/>
      <c r="AH135" s="163"/>
      <c r="AI135" s="163"/>
      <c r="AJ135" s="163"/>
      <c r="AK135" s="163"/>
      <c r="AL135" s="163"/>
      <c r="AM135" s="163"/>
      <c r="AN135" s="163"/>
      <c r="AO135" s="163"/>
    </row>
    <row r="136" spans="1:41" x14ac:dyDescent="0.3">
      <c r="A136" s="320"/>
      <c r="B136" s="320"/>
      <c r="C136" s="29"/>
      <c r="D136"/>
      <c r="E136"/>
      <c r="F136" s="23" t="s">
        <v>998</v>
      </c>
      <c r="G136" s="23" t="s">
        <v>149</v>
      </c>
      <c r="H136" s="23"/>
      <c r="I136" s="23"/>
      <c r="J136" s="361">
        <f t="shared" ref="J136:J143" si="88">COUNTIFS($J126:$AO126,TRUE,$J$35:$AO$35,J$35)</f>
        <v>1</v>
      </c>
      <c r="K136" s="360"/>
      <c r="L136" s="360"/>
      <c r="M136" s="361">
        <f t="shared" ref="M136:P143" si="89">COUNTIFS($J126:$AO126,TRUE,$J$35:$AO$35,M$35)</f>
        <v>4</v>
      </c>
      <c r="N136" s="361">
        <f t="shared" si="89"/>
        <v>4</v>
      </c>
      <c r="O136" s="361">
        <f t="shared" si="89"/>
        <v>4</v>
      </c>
      <c r="P136" s="361">
        <f t="shared" si="89"/>
        <v>4</v>
      </c>
      <c r="Q136" s="360"/>
      <c r="R136" s="360"/>
      <c r="S136" s="361">
        <f t="shared" ref="S136:V143" si="90">COUNTIFS($J126:$AO126,TRUE,$J$35:$AO$35,S$35)</f>
        <v>8</v>
      </c>
      <c r="T136" s="361">
        <f t="shared" si="90"/>
        <v>8</v>
      </c>
      <c r="U136" s="361">
        <f t="shared" si="90"/>
        <v>8</v>
      </c>
      <c r="V136" s="361">
        <f t="shared" si="90"/>
        <v>8</v>
      </c>
      <c r="W136" s="360"/>
      <c r="X136" s="361">
        <f t="shared" ref="X136:AA143" si="91">COUNTIFS($J126:$AO126,TRUE,$J$35:$AO$35,X$35)</f>
        <v>8</v>
      </c>
      <c r="Y136" s="361">
        <f t="shared" si="91"/>
        <v>8</v>
      </c>
      <c r="Z136" s="361">
        <f t="shared" si="91"/>
        <v>8</v>
      </c>
      <c r="AA136" s="361">
        <f t="shared" si="91"/>
        <v>8</v>
      </c>
      <c r="AB136" s="360"/>
      <c r="AC136" s="361">
        <f t="shared" ref="AC136:AG143" si="92">COUNTIFS($J126:$AO126,TRUE,$J$35:$AO$35,AC$35)</f>
        <v>4</v>
      </c>
      <c r="AD136" s="361">
        <f t="shared" si="92"/>
        <v>4</v>
      </c>
      <c r="AE136" s="361">
        <f t="shared" si="92"/>
        <v>4</v>
      </c>
      <c r="AF136" s="361">
        <f t="shared" si="92"/>
        <v>4</v>
      </c>
      <c r="AG136" s="361">
        <f t="shared" si="92"/>
        <v>1</v>
      </c>
      <c r="AH136" s="360"/>
      <c r="AI136" s="360"/>
      <c r="AJ136" s="360"/>
      <c r="AK136" s="360"/>
      <c r="AL136" s="360"/>
      <c r="AM136" s="360"/>
      <c r="AN136" s="360"/>
      <c r="AO136" s="360"/>
    </row>
    <row r="137" spans="1:41" x14ac:dyDescent="0.3">
      <c r="A137" s="320"/>
      <c r="B137" s="320"/>
      <c r="C137" s="29"/>
      <c r="D137"/>
      <c r="E137"/>
      <c r="F137" s="311" t="s">
        <v>999</v>
      </c>
      <c r="G137" s="311" t="s">
        <v>149</v>
      </c>
      <c r="H137" s="311"/>
      <c r="I137" s="311"/>
      <c r="J137" s="362">
        <f t="shared" si="88"/>
        <v>1</v>
      </c>
      <c r="K137" s="356"/>
      <c r="L137" s="356"/>
      <c r="M137" s="362">
        <f t="shared" si="89"/>
        <v>4</v>
      </c>
      <c r="N137" s="362">
        <f t="shared" si="89"/>
        <v>4</v>
      </c>
      <c r="O137" s="362">
        <f t="shared" si="89"/>
        <v>4</v>
      </c>
      <c r="P137" s="362">
        <f t="shared" si="89"/>
        <v>4</v>
      </c>
      <c r="Q137" s="356"/>
      <c r="R137" s="356"/>
      <c r="S137" s="362">
        <f t="shared" si="90"/>
        <v>8</v>
      </c>
      <c r="T137" s="362">
        <f t="shared" si="90"/>
        <v>8</v>
      </c>
      <c r="U137" s="362">
        <f t="shared" si="90"/>
        <v>8</v>
      </c>
      <c r="V137" s="362">
        <f t="shared" si="90"/>
        <v>8</v>
      </c>
      <c r="W137" s="356"/>
      <c r="X137" s="362">
        <f t="shared" si="91"/>
        <v>8</v>
      </c>
      <c r="Y137" s="362">
        <f t="shared" si="91"/>
        <v>8</v>
      </c>
      <c r="Z137" s="362">
        <f t="shared" si="91"/>
        <v>8</v>
      </c>
      <c r="AA137" s="362">
        <f t="shared" si="91"/>
        <v>8</v>
      </c>
      <c r="AB137" s="356"/>
      <c r="AC137" s="362">
        <f t="shared" si="92"/>
        <v>4</v>
      </c>
      <c r="AD137" s="362">
        <f t="shared" si="92"/>
        <v>4</v>
      </c>
      <c r="AE137" s="362">
        <f t="shared" si="92"/>
        <v>4</v>
      </c>
      <c r="AF137" s="362">
        <f t="shared" si="92"/>
        <v>4</v>
      </c>
      <c r="AG137" s="362">
        <f t="shared" si="92"/>
        <v>1</v>
      </c>
      <c r="AH137" s="356"/>
      <c r="AI137" s="356"/>
      <c r="AJ137" s="356"/>
      <c r="AK137" s="356"/>
      <c r="AL137" s="356"/>
      <c r="AM137" s="356"/>
      <c r="AN137" s="356"/>
      <c r="AO137" s="356"/>
    </row>
    <row r="138" spans="1:41" x14ac:dyDescent="0.3">
      <c r="A138" s="320"/>
      <c r="B138" s="320"/>
      <c r="C138" s="29"/>
      <c r="D138"/>
      <c r="E138"/>
      <c r="F138" s="311" t="s">
        <v>1000</v>
      </c>
      <c r="G138" s="311" t="s">
        <v>149</v>
      </c>
      <c r="H138" s="311"/>
      <c r="I138" s="311"/>
      <c r="J138" s="362">
        <f t="shared" si="88"/>
        <v>1</v>
      </c>
      <c r="K138" s="356"/>
      <c r="L138" s="356"/>
      <c r="M138" s="362">
        <f t="shared" si="89"/>
        <v>4</v>
      </c>
      <c r="N138" s="362">
        <f t="shared" si="89"/>
        <v>4</v>
      </c>
      <c r="O138" s="362">
        <f t="shared" si="89"/>
        <v>4</v>
      </c>
      <c r="P138" s="362">
        <f t="shared" si="89"/>
        <v>4</v>
      </c>
      <c r="Q138" s="356"/>
      <c r="R138" s="356"/>
      <c r="S138" s="362">
        <f t="shared" si="90"/>
        <v>8</v>
      </c>
      <c r="T138" s="362">
        <f t="shared" si="90"/>
        <v>8</v>
      </c>
      <c r="U138" s="362">
        <f t="shared" si="90"/>
        <v>8</v>
      </c>
      <c r="V138" s="362">
        <f t="shared" si="90"/>
        <v>8</v>
      </c>
      <c r="W138" s="356"/>
      <c r="X138" s="362">
        <f t="shared" si="91"/>
        <v>8</v>
      </c>
      <c r="Y138" s="362">
        <f t="shared" si="91"/>
        <v>8</v>
      </c>
      <c r="Z138" s="362">
        <f t="shared" si="91"/>
        <v>8</v>
      </c>
      <c r="AA138" s="362">
        <f t="shared" si="91"/>
        <v>8</v>
      </c>
      <c r="AB138" s="356"/>
      <c r="AC138" s="362">
        <f t="shared" si="92"/>
        <v>4</v>
      </c>
      <c r="AD138" s="362">
        <f t="shared" si="92"/>
        <v>4</v>
      </c>
      <c r="AE138" s="362">
        <f t="shared" si="92"/>
        <v>4</v>
      </c>
      <c r="AF138" s="362">
        <f t="shared" si="92"/>
        <v>4</v>
      </c>
      <c r="AG138" s="362">
        <f t="shared" si="92"/>
        <v>1</v>
      </c>
      <c r="AH138" s="356"/>
      <c r="AI138" s="356"/>
      <c r="AJ138" s="356"/>
      <c r="AK138" s="356"/>
      <c r="AL138" s="356"/>
      <c r="AM138" s="356"/>
      <c r="AN138" s="356"/>
      <c r="AO138" s="356"/>
    </row>
    <row r="139" spans="1:41" x14ac:dyDescent="0.3">
      <c r="A139" s="320"/>
      <c r="B139" s="320"/>
      <c r="C139" s="29"/>
      <c r="D139"/>
      <c r="E139"/>
      <c r="F139" s="311" t="s">
        <v>1001</v>
      </c>
      <c r="G139" s="311" t="s">
        <v>149</v>
      </c>
      <c r="H139" s="311"/>
      <c r="I139" s="311"/>
      <c r="J139" s="362">
        <f t="shared" si="88"/>
        <v>1</v>
      </c>
      <c r="K139" s="356"/>
      <c r="L139" s="356"/>
      <c r="M139" s="362">
        <f t="shared" si="89"/>
        <v>4</v>
      </c>
      <c r="N139" s="362">
        <f t="shared" si="89"/>
        <v>4</v>
      </c>
      <c r="O139" s="362">
        <f t="shared" si="89"/>
        <v>4</v>
      </c>
      <c r="P139" s="362">
        <f t="shared" si="89"/>
        <v>4</v>
      </c>
      <c r="Q139" s="356"/>
      <c r="R139" s="356"/>
      <c r="S139" s="362">
        <f t="shared" si="90"/>
        <v>8</v>
      </c>
      <c r="T139" s="362">
        <f t="shared" si="90"/>
        <v>8</v>
      </c>
      <c r="U139" s="362">
        <f t="shared" si="90"/>
        <v>8</v>
      </c>
      <c r="V139" s="362">
        <f t="shared" si="90"/>
        <v>8</v>
      </c>
      <c r="W139" s="356"/>
      <c r="X139" s="362">
        <f t="shared" si="91"/>
        <v>8</v>
      </c>
      <c r="Y139" s="362">
        <f t="shared" si="91"/>
        <v>8</v>
      </c>
      <c r="Z139" s="362">
        <f t="shared" si="91"/>
        <v>8</v>
      </c>
      <c r="AA139" s="362">
        <f t="shared" si="91"/>
        <v>8</v>
      </c>
      <c r="AB139" s="356"/>
      <c r="AC139" s="362">
        <f t="shared" si="92"/>
        <v>4</v>
      </c>
      <c r="AD139" s="362">
        <f t="shared" si="92"/>
        <v>4</v>
      </c>
      <c r="AE139" s="362">
        <f t="shared" si="92"/>
        <v>4</v>
      </c>
      <c r="AF139" s="362">
        <f t="shared" si="92"/>
        <v>4</v>
      </c>
      <c r="AG139" s="362">
        <f t="shared" si="92"/>
        <v>1</v>
      </c>
      <c r="AH139" s="356"/>
      <c r="AI139" s="356"/>
      <c r="AJ139" s="356"/>
      <c r="AK139" s="356"/>
      <c r="AL139" s="356"/>
      <c r="AM139" s="356"/>
      <c r="AN139" s="356"/>
      <c r="AO139" s="356"/>
    </row>
    <row r="140" spans="1:41" x14ac:dyDescent="0.3">
      <c r="A140" s="320"/>
      <c r="B140" s="320"/>
      <c r="C140" s="29"/>
      <c r="D140"/>
      <c r="E140"/>
      <c r="F140" s="311" t="s">
        <v>1002</v>
      </c>
      <c r="G140" s="311" t="s">
        <v>149</v>
      </c>
      <c r="H140" s="311"/>
      <c r="I140" s="311"/>
      <c r="J140" s="362">
        <f t="shared" si="88"/>
        <v>1</v>
      </c>
      <c r="K140" s="356"/>
      <c r="L140" s="356"/>
      <c r="M140" s="362">
        <f t="shared" si="89"/>
        <v>4</v>
      </c>
      <c r="N140" s="362">
        <f t="shared" si="89"/>
        <v>4</v>
      </c>
      <c r="O140" s="362">
        <f t="shared" si="89"/>
        <v>4</v>
      </c>
      <c r="P140" s="362">
        <f t="shared" si="89"/>
        <v>4</v>
      </c>
      <c r="Q140" s="356"/>
      <c r="R140" s="356"/>
      <c r="S140" s="362">
        <f t="shared" si="90"/>
        <v>8</v>
      </c>
      <c r="T140" s="362">
        <f t="shared" si="90"/>
        <v>8</v>
      </c>
      <c r="U140" s="362">
        <f t="shared" si="90"/>
        <v>8</v>
      </c>
      <c r="V140" s="362">
        <f t="shared" si="90"/>
        <v>8</v>
      </c>
      <c r="W140" s="356"/>
      <c r="X140" s="362">
        <f t="shared" si="91"/>
        <v>8</v>
      </c>
      <c r="Y140" s="362">
        <f t="shared" si="91"/>
        <v>8</v>
      </c>
      <c r="Z140" s="362">
        <f t="shared" si="91"/>
        <v>8</v>
      </c>
      <c r="AA140" s="362">
        <f t="shared" si="91"/>
        <v>8</v>
      </c>
      <c r="AB140" s="356"/>
      <c r="AC140" s="362">
        <f t="shared" si="92"/>
        <v>4</v>
      </c>
      <c r="AD140" s="362">
        <f t="shared" si="92"/>
        <v>4</v>
      </c>
      <c r="AE140" s="362">
        <f t="shared" si="92"/>
        <v>4</v>
      </c>
      <c r="AF140" s="362">
        <f t="shared" si="92"/>
        <v>4</v>
      </c>
      <c r="AG140" s="362">
        <f t="shared" si="92"/>
        <v>1</v>
      </c>
      <c r="AH140" s="356"/>
      <c r="AI140" s="356"/>
      <c r="AJ140" s="356"/>
      <c r="AK140" s="356"/>
      <c r="AL140" s="356"/>
      <c r="AM140" s="356"/>
      <c r="AN140" s="356"/>
      <c r="AO140" s="356"/>
    </row>
    <row r="141" spans="1:41" x14ac:dyDescent="0.3">
      <c r="A141" s="320"/>
      <c r="B141" s="320"/>
      <c r="C141" s="29"/>
      <c r="D141"/>
      <c r="E141"/>
      <c r="F141" s="311" t="s">
        <v>1003</v>
      </c>
      <c r="G141" s="311" t="s">
        <v>149</v>
      </c>
      <c r="H141" s="311"/>
      <c r="I141" s="311"/>
      <c r="J141" s="362">
        <f t="shared" si="88"/>
        <v>1</v>
      </c>
      <c r="K141" s="356"/>
      <c r="L141" s="356"/>
      <c r="M141" s="362">
        <f t="shared" si="89"/>
        <v>4</v>
      </c>
      <c r="N141" s="362">
        <f t="shared" si="89"/>
        <v>4</v>
      </c>
      <c r="O141" s="362">
        <f t="shared" si="89"/>
        <v>4</v>
      </c>
      <c r="P141" s="362">
        <f t="shared" si="89"/>
        <v>4</v>
      </c>
      <c r="Q141" s="356"/>
      <c r="R141" s="356"/>
      <c r="S141" s="362">
        <f t="shared" si="90"/>
        <v>8</v>
      </c>
      <c r="T141" s="362">
        <f t="shared" si="90"/>
        <v>8</v>
      </c>
      <c r="U141" s="362">
        <f t="shared" si="90"/>
        <v>8</v>
      </c>
      <c r="V141" s="362">
        <f t="shared" si="90"/>
        <v>8</v>
      </c>
      <c r="W141" s="356"/>
      <c r="X141" s="362">
        <f t="shared" si="91"/>
        <v>8</v>
      </c>
      <c r="Y141" s="362">
        <f t="shared" si="91"/>
        <v>8</v>
      </c>
      <c r="Z141" s="362">
        <f t="shared" si="91"/>
        <v>8</v>
      </c>
      <c r="AA141" s="362">
        <f t="shared" si="91"/>
        <v>8</v>
      </c>
      <c r="AB141" s="356"/>
      <c r="AC141" s="362">
        <f t="shared" si="92"/>
        <v>4</v>
      </c>
      <c r="AD141" s="362">
        <f t="shared" si="92"/>
        <v>4</v>
      </c>
      <c r="AE141" s="362">
        <f t="shared" si="92"/>
        <v>4</v>
      </c>
      <c r="AF141" s="362">
        <f t="shared" si="92"/>
        <v>4</v>
      </c>
      <c r="AG141" s="362">
        <f t="shared" si="92"/>
        <v>1</v>
      </c>
      <c r="AH141" s="356"/>
      <c r="AI141" s="356"/>
      <c r="AJ141" s="356"/>
      <c r="AK141" s="356"/>
      <c r="AL141" s="356"/>
      <c r="AM141" s="356"/>
      <c r="AN141" s="356"/>
      <c r="AO141" s="356"/>
    </row>
    <row r="142" spans="1:41" x14ac:dyDescent="0.3">
      <c r="A142" s="320"/>
      <c r="B142" s="320"/>
      <c r="C142" s="29"/>
      <c r="D142"/>
      <c r="E142"/>
      <c r="F142" s="311" t="s">
        <v>1004</v>
      </c>
      <c r="G142" s="311" t="s">
        <v>149</v>
      </c>
      <c r="H142" s="311"/>
      <c r="I142" s="311"/>
      <c r="J142" s="362">
        <f t="shared" si="88"/>
        <v>1</v>
      </c>
      <c r="K142" s="356"/>
      <c r="L142" s="356"/>
      <c r="M142" s="362">
        <f t="shared" si="89"/>
        <v>4</v>
      </c>
      <c r="N142" s="362">
        <f t="shared" si="89"/>
        <v>4</v>
      </c>
      <c r="O142" s="362">
        <f t="shared" si="89"/>
        <v>4</v>
      </c>
      <c r="P142" s="362">
        <f t="shared" si="89"/>
        <v>4</v>
      </c>
      <c r="Q142" s="356"/>
      <c r="R142" s="356"/>
      <c r="S142" s="362">
        <f t="shared" si="90"/>
        <v>8</v>
      </c>
      <c r="T142" s="362">
        <f t="shared" si="90"/>
        <v>8</v>
      </c>
      <c r="U142" s="362">
        <f t="shared" si="90"/>
        <v>8</v>
      </c>
      <c r="V142" s="362">
        <f t="shared" si="90"/>
        <v>8</v>
      </c>
      <c r="W142" s="356"/>
      <c r="X142" s="362">
        <f t="shared" si="91"/>
        <v>8</v>
      </c>
      <c r="Y142" s="362">
        <f t="shared" si="91"/>
        <v>8</v>
      </c>
      <c r="Z142" s="362">
        <f t="shared" si="91"/>
        <v>8</v>
      </c>
      <c r="AA142" s="362">
        <f t="shared" si="91"/>
        <v>8</v>
      </c>
      <c r="AB142" s="356"/>
      <c r="AC142" s="362">
        <f t="shared" si="92"/>
        <v>4</v>
      </c>
      <c r="AD142" s="362">
        <f t="shared" si="92"/>
        <v>4</v>
      </c>
      <c r="AE142" s="362">
        <f t="shared" si="92"/>
        <v>4</v>
      </c>
      <c r="AF142" s="362">
        <f t="shared" si="92"/>
        <v>4</v>
      </c>
      <c r="AG142" s="362">
        <f t="shared" si="92"/>
        <v>1</v>
      </c>
      <c r="AH142" s="356"/>
      <c r="AI142" s="356"/>
      <c r="AJ142" s="356"/>
      <c r="AK142" s="356"/>
      <c r="AL142" s="356"/>
      <c r="AM142" s="356"/>
      <c r="AN142" s="356"/>
      <c r="AO142" s="356"/>
    </row>
    <row r="143" spans="1:41" x14ac:dyDescent="0.3">
      <c r="A143" s="320"/>
      <c r="B143" s="320"/>
      <c r="C143" s="29"/>
      <c r="D143"/>
      <c r="E143"/>
      <c r="F143" s="37" t="s">
        <v>1005</v>
      </c>
      <c r="G143" s="37" t="s">
        <v>149</v>
      </c>
      <c r="H143" s="37"/>
      <c r="I143" s="37"/>
      <c r="J143" s="363">
        <f t="shared" si="88"/>
        <v>1</v>
      </c>
      <c r="K143" s="358"/>
      <c r="L143" s="358"/>
      <c r="M143" s="363">
        <f t="shared" si="89"/>
        <v>4</v>
      </c>
      <c r="N143" s="363">
        <f t="shared" si="89"/>
        <v>4</v>
      </c>
      <c r="O143" s="363">
        <f t="shared" si="89"/>
        <v>4</v>
      </c>
      <c r="P143" s="363">
        <f t="shared" si="89"/>
        <v>4</v>
      </c>
      <c r="Q143" s="358"/>
      <c r="R143" s="358"/>
      <c r="S143" s="363">
        <f t="shared" si="90"/>
        <v>8</v>
      </c>
      <c r="T143" s="363">
        <f t="shared" si="90"/>
        <v>8</v>
      </c>
      <c r="U143" s="363">
        <f t="shared" si="90"/>
        <v>8</v>
      </c>
      <c r="V143" s="363">
        <f t="shared" si="90"/>
        <v>8</v>
      </c>
      <c r="W143" s="358"/>
      <c r="X143" s="363">
        <f t="shared" si="91"/>
        <v>8</v>
      </c>
      <c r="Y143" s="363">
        <f t="shared" si="91"/>
        <v>8</v>
      </c>
      <c r="Z143" s="363">
        <f t="shared" si="91"/>
        <v>8</v>
      </c>
      <c r="AA143" s="363">
        <f t="shared" si="91"/>
        <v>8</v>
      </c>
      <c r="AB143" s="358"/>
      <c r="AC143" s="363">
        <f t="shared" si="92"/>
        <v>4</v>
      </c>
      <c r="AD143" s="363">
        <f t="shared" si="92"/>
        <v>4</v>
      </c>
      <c r="AE143" s="363">
        <f t="shared" si="92"/>
        <v>4</v>
      </c>
      <c r="AF143" s="363">
        <f t="shared" si="92"/>
        <v>4</v>
      </c>
      <c r="AG143" s="363">
        <f t="shared" si="92"/>
        <v>1</v>
      </c>
      <c r="AH143" s="358"/>
      <c r="AI143" s="358"/>
      <c r="AJ143" s="358"/>
      <c r="AK143" s="358"/>
      <c r="AL143" s="358"/>
      <c r="AM143" s="358"/>
      <c r="AN143" s="358"/>
      <c r="AO143" s="358"/>
    </row>
    <row r="144" spans="1:41" x14ac:dyDescent="0.3">
      <c r="A144" s="320"/>
      <c r="B144" s="320"/>
      <c r="C144" s="29"/>
      <c r="D144"/>
      <c r="E144"/>
      <c r="J144" s="163"/>
      <c r="K144" s="163"/>
      <c r="L144" s="163"/>
      <c r="M144" s="334"/>
      <c r="N144" s="163"/>
      <c r="O144" s="163"/>
      <c r="P144" s="163"/>
      <c r="Q144" s="163"/>
      <c r="R144" s="163"/>
      <c r="S144" s="334"/>
      <c r="T144" s="163"/>
      <c r="U144" s="163"/>
      <c r="V144" s="163"/>
      <c r="W144" s="163"/>
      <c r="X144" s="334"/>
      <c r="Y144" s="163"/>
      <c r="Z144" s="163"/>
      <c r="AA144" s="163"/>
      <c r="AB144" s="163"/>
      <c r="AC144" s="334"/>
      <c r="AD144" s="163"/>
      <c r="AE144" s="163"/>
      <c r="AF144" s="163"/>
      <c r="AG144" s="163"/>
      <c r="AH144" s="163"/>
      <c r="AI144" s="163"/>
      <c r="AJ144" s="163"/>
      <c r="AK144" s="163"/>
      <c r="AL144" s="163"/>
      <c r="AM144" s="163"/>
      <c r="AN144" s="163"/>
      <c r="AO144" s="163"/>
    </row>
    <row r="145" spans="1:41" x14ac:dyDescent="0.3">
      <c r="A145" s="320"/>
      <c r="B145" s="320"/>
      <c r="C145" s="29"/>
      <c r="D145"/>
      <c r="E145" t="s">
        <v>1015</v>
      </c>
      <c r="J145" s="362">
        <f>MAX(J136:J143)</f>
        <v>1</v>
      </c>
      <c r="K145" s="356"/>
      <c r="L145" s="356"/>
      <c r="M145" s="362">
        <f t="shared" ref="M145:P145" si="93">MAX(M136:M143)</f>
        <v>4</v>
      </c>
      <c r="N145" s="362">
        <f t="shared" si="93"/>
        <v>4</v>
      </c>
      <c r="O145" s="362">
        <f t="shared" si="93"/>
        <v>4</v>
      </c>
      <c r="P145" s="362">
        <f t="shared" si="93"/>
        <v>4</v>
      </c>
      <c r="Q145" s="356"/>
      <c r="R145" s="356"/>
      <c r="S145" s="362">
        <f t="shared" ref="S145:V145" si="94">MAX(S136:S143)</f>
        <v>8</v>
      </c>
      <c r="T145" s="362">
        <f t="shared" si="94"/>
        <v>8</v>
      </c>
      <c r="U145" s="362">
        <f t="shared" si="94"/>
        <v>8</v>
      </c>
      <c r="V145" s="362">
        <f t="shared" si="94"/>
        <v>8</v>
      </c>
      <c r="W145" s="356"/>
      <c r="X145" s="362">
        <f t="shared" ref="X145:AA145" si="95">MAX(X136:X143)</f>
        <v>8</v>
      </c>
      <c r="Y145" s="362">
        <f t="shared" si="95"/>
        <v>8</v>
      </c>
      <c r="Z145" s="362">
        <f t="shared" si="95"/>
        <v>8</v>
      </c>
      <c r="AA145" s="362">
        <f t="shared" si="95"/>
        <v>8</v>
      </c>
      <c r="AB145" s="356"/>
      <c r="AC145" s="362">
        <f t="shared" ref="AC145:AG145" si="96">MAX(AC136:AC143)</f>
        <v>4</v>
      </c>
      <c r="AD145" s="362">
        <f t="shared" si="96"/>
        <v>4</v>
      </c>
      <c r="AE145" s="362">
        <f t="shared" si="96"/>
        <v>4</v>
      </c>
      <c r="AF145" s="362">
        <f t="shared" si="96"/>
        <v>4</v>
      </c>
      <c r="AG145" s="362">
        <f t="shared" si="96"/>
        <v>1</v>
      </c>
      <c r="AH145" s="356"/>
      <c r="AI145" s="356"/>
      <c r="AJ145" s="356"/>
      <c r="AK145" s="356"/>
      <c r="AL145" s="356"/>
      <c r="AM145" s="356"/>
      <c r="AN145" s="356"/>
      <c r="AO145" s="356"/>
    </row>
    <row r="146" spans="1:41" x14ac:dyDescent="0.3">
      <c r="A146" s="320"/>
      <c r="B146" s="320"/>
      <c r="C146" s="29"/>
      <c r="D146"/>
      <c r="E146"/>
      <c r="J146" s="163"/>
      <c r="K146" s="163"/>
      <c r="L146" s="163"/>
      <c r="M146" s="334"/>
      <c r="N146" s="163"/>
      <c r="O146" s="163"/>
      <c r="P146" s="163"/>
      <c r="Q146" s="163"/>
      <c r="R146" s="163"/>
      <c r="S146" s="334"/>
      <c r="T146" s="163"/>
      <c r="U146" s="163"/>
      <c r="V146" s="163"/>
      <c r="W146" s="163"/>
      <c r="X146" s="334"/>
      <c r="Y146" s="163"/>
      <c r="Z146" s="163"/>
      <c r="AA146" s="163"/>
      <c r="AB146" s="163"/>
      <c r="AC146" s="334"/>
      <c r="AD146" s="163"/>
      <c r="AE146" s="163"/>
      <c r="AF146" s="163"/>
      <c r="AG146" s="163"/>
      <c r="AH146" s="163"/>
      <c r="AI146" s="163"/>
      <c r="AJ146" s="163"/>
      <c r="AK146" s="163"/>
      <c r="AL146" s="163"/>
      <c r="AM146" s="163"/>
      <c r="AN146" s="163"/>
      <c r="AO146" s="163"/>
    </row>
    <row r="147" spans="1:41" x14ac:dyDescent="0.3">
      <c r="A147" s="320"/>
      <c r="B147" s="320"/>
      <c r="C147" s="29"/>
      <c r="D147"/>
      <c r="E147" t="s">
        <v>1014</v>
      </c>
      <c r="G147" t="s">
        <v>149</v>
      </c>
      <c r="J147" s="334">
        <f t="array" ref="J147">MATCH(TRUE, J136:J143=J145, 0)</f>
        <v>1</v>
      </c>
      <c r="K147" s="334">
        <f t="array" ref="K147">MATCH(TRUE, K136:K143=K145, 0)</f>
        <v>1</v>
      </c>
      <c r="L147" s="334">
        <f t="array" ref="L147">MATCH(TRUE, L136:L143=L145, 0)</f>
        <v>1</v>
      </c>
      <c r="M147" s="334">
        <f t="array" ref="M147">MATCH(TRUE, M136:M143=M145, 0)</f>
        <v>1</v>
      </c>
      <c r="N147" s="334">
        <f t="array" ref="N147">MATCH(TRUE, N136:N143=N145, 0)</f>
        <v>1</v>
      </c>
      <c r="O147" s="334">
        <f t="array" ref="O147">MATCH(TRUE, O136:O143=O145, 0)</f>
        <v>1</v>
      </c>
      <c r="P147" s="334">
        <f t="array" ref="P147">MATCH(TRUE, P136:P143=P145, 0)</f>
        <v>1</v>
      </c>
      <c r="Q147" s="334">
        <f t="array" ref="Q147">MATCH(TRUE, Q136:Q143=Q145, 0)</f>
        <v>1</v>
      </c>
      <c r="R147" s="334">
        <f t="array" ref="R147">MATCH(TRUE, R136:R143=R145, 0)</f>
        <v>1</v>
      </c>
      <c r="S147" s="334">
        <f t="array" ref="S147">MATCH(TRUE, S136:S143=S145, 0)</f>
        <v>1</v>
      </c>
      <c r="T147" s="334">
        <f t="array" ref="T147">MATCH(TRUE, T136:T143=T145, 0)</f>
        <v>1</v>
      </c>
      <c r="U147" s="334">
        <f t="array" ref="U147">MATCH(TRUE, U136:U143=U145, 0)</f>
        <v>1</v>
      </c>
      <c r="V147" s="334">
        <f t="array" ref="V147">MATCH(TRUE, V136:V143=V145, 0)</f>
        <v>1</v>
      </c>
      <c r="W147" s="334">
        <f t="array" ref="W147">MATCH(TRUE, W136:W143=W145, 0)</f>
        <v>1</v>
      </c>
      <c r="X147" s="334">
        <f t="array" ref="X147">MATCH(TRUE, X136:X143=X145, 0)</f>
        <v>1</v>
      </c>
      <c r="Y147" s="334">
        <f t="array" ref="Y147">MATCH(TRUE, Y136:Y143=Y145, 0)</f>
        <v>1</v>
      </c>
      <c r="Z147" s="334">
        <f t="array" ref="Z147">MATCH(TRUE, Z136:Z143=Z145, 0)</f>
        <v>1</v>
      </c>
      <c r="AA147" s="334">
        <f t="array" ref="AA147">MATCH(TRUE, AA136:AA143=AA145, 0)</f>
        <v>1</v>
      </c>
      <c r="AB147" s="334">
        <f t="array" ref="AB147">MATCH(TRUE, AB136:AB143=AB145, 0)</f>
        <v>1</v>
      </c>
      <c r="AC147" s="334">
        <f t="array" ref="AC147">MATCH(TRUE, AC136:AC143=AC145, 0)</f>
        <v>1</v>
      </c>
      <c r="AD147" s="334">
        <f t="array" ref="AD147">MATCH(TRUE, AD136:AD143=AD145, 0)</f>
        <v>1</v>
      </c>
      <c r="AE147" s="334">
        <f t="array" ref="AE147">MATCH(TRUE, AE136:AE143=AE145, 0)</f>
        <v>1</v>
      </c>
      <c r="AF147" s="334">
        <f t="array" ref="AF147">MATCH(TRUE, AF136:AF143=AF145, 0)</f>
        <v>1</v>
      </c>
      <c r="AG147" s="334">
        <f t="array" ref="AG147">MATCH(TRUE, AG136:AG143=AG145, 0)</f>
        <v>1</v>
      </c>
      <c r="AH147" s="334">
        <f t="array" ref="AH147">MATCH(TRUE, AH136:AH143=AH145, 0)</f>
        <v>1</v>
      </c>
      <c r="AI147" s="334">
        <f t="array" ref="AI147">MATCH(TRUE, AI136:AI143=AI145, 0)</f>
        <v>1</v>
      </c>
      <c r="AJ147" s="334">
        <f t="array" ref="AJ147">MATCH(TRUE, AJ136:AJ143=AJ145, 0)</f>
        <v>1</v>
      </c>
      <c r="AK147" s="334">
        <f t="array" ref="AK147">MATCH(TRUE, AK136:AK143=AK145, 0)</f>
        <v>1</v>
      </c>
      <c r="AL147" s="334">
        <f t="array" ref="AL147">MATCH(TRUE, AL136:AL143=AL145, 0)</f>
        <v>1</v>
      </c>
      <c r="AM147" s="334">
        <f t="array" ref="AM147">MATCH(TRUE, AM136:AM143=AM145, 0)</f>
        <v>1</v>
      </c>
      <c r="AN147" s="334">
        <f t="array" ref="AN147">MATCH(TRUE, AN136:AN143=AN145, 0)</f>
        <v>1</v>
      </c>
      <c r="AO147" s="334">
        <f t="array" ref="AO147">MATCH(TRUE, AO136:AO143=AO145, 0)</f>
        <v>1</v>
      </c>
    </row>
    <row r="148" spans="1:41" x14ac:dyDescent="0.3">
      <c r="A148" s="320"/>
      <c r="B148" s="320"/>
      <c r="C148" s="29"/>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row>
    <row r="149" spans="1:41" x14ac:dyDescent="0.3">
      <c r="C149" s="29"/>
      <c r="E149" s="336" t="s">
        <v>1023</v>
      </c>
      <c r="G149" t="s">
        <v>149</v>
      </c>
      <c r="J149" s="384">
        <f>INDEX(J104:J111,J$147)</f>
        <v>1</v>
      </c>
      <c r="K149" s="384">
        <f t="shared" ref="K149:AO149" si="97">INDEX(K104:K111,K$147)</f>
        <v>0</v>
      </c>
      <c r="L149" s="384">
        <f t="shared" si="97"/>
        <v>0</v>
      </c>
      <c r="M149" s="384">
        <f t="shared" si="97"/>
        <v>5</v>
      </c>
      <c r="N149" s="384">
        <f t="shared" si="97"/>
        <v>6</v>
      </c>
      <c r="O149" s="384">
        <f t="shared" si="97"/>
        <v>7</v>
      </c>
      <c r="P149" s="384">
        <f t="shared" si="97"/>
        <v>8</v>
      </c>
      <c r="Q149" s="384">
        <f t="shared" si="97"/>
        <v>0</v>
      </c>
      <c r="R149" s="384">
        <f t="shared" si="97"/>
        <v>0</v>
      </c>
      <c r="S149" s="384">
        <f t="shared" si="97"/>
        <v>9</v>
      </c>
      <c r="T149" s="384">
        <f t="shared" si="97"/>
        <v>10</v>
      </c>
      <c r="U149" s="384">
        <f t="shared" si="97"/>
        <v>11</v>
      </c>
      <c r="V149" s="384">
        <f t="shared" si="97"/>
        <v>12</v>
      </c>
      <c r="W149" s="384">
        <f t="shared" si="97"/>
        <v>0</v>
      </c>
      <c r="X149" s="384">
        <f t="shared" si="97"/>
        <v>9</v>
      </c>
      <c r="Y149" s="384">
        <f t="shared" si="97"/>
        <v>10</v>
      </c>
      <c r="Z149" s="384">
        <f t="shared" si="97"/>
        <v>11</v>
      </c>
      <c r="AA149" s="384">
        <f t="shared" si="97"/>
        <v>12</v>
      </c>
      <c r="AB149" s="384">
        <f t="shared" si="97"/>
        <v>0</v>
      </c>
      <c r="AC149" s="384">
        <f t="shared" si="97"/>
        <v>13</v>
      </c>
      <c r="AD149" s="384">
        <f t="shared" si="97"/>
        <v>14</v>
      </c>
      <c r="AE149" s="384">
        <f t="shared" si="97"/>
        <v>15</v>
      </c>
      <c r="AF149" s="384">
        <f t="shared" si="97"/>
        <v>16</v>
      </c>
      <c r="AG149" s="384">
        <f t="shared" si="97"/>
        <v>17</v>
      </c>
      <c r="AH149" s="384">
        <f t="shared" si="97"/>
        <v>0</v>
      </c>
      <c r="AI149" s="384">
        <f t="shared" si="97"/>
        <v>0</v>
      </c>
      <c r="AJ149" s="384">
        <f t="shared" si="97"/>
        <v>0</v>
      </c>
      <c r="AK149" s="384">
        <f t="shared" si="97"/>
        <v>0</v>
      </c>
      <c r="AL149" s="384">
        <f t="shared" si="97"/>
        <v>0</v>
      </c>
      <c r="AM149" s="384">
        <f t="shared" si="97"/>
        <v>0</v>
      </c>
      <c r="AN149" s="384">
        <f t="shared" si="97"/>
        <v>0</v>
      </c>
      <c r="AO149" s="384">
        <f t="shared" si="97"/>
        <v>0</v>
      </c>
    </row>
    <row r="150" spans="1:41" x14ac:dyDescent="0.3">
      <c r="C150" s="29"/>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row>
    <row r="151" spans="1:41" x14ac:dyDescent="0.3">
      <c r="C151" s="31" t="str">
        <f ca="1">INDEX('Version control'!$H$34:$H$57,MATCH($A$1,'Version control'!$F$34:$F$57,0),1)&amp;"-D: Calculating MPANs for matching"</f>
        <v>Section 116-D: Calculating MPANs for matching</v>
      </c>
      <c r="D151" s="31"/>
      <c r="E151" s="31"/>
      <c r="F151" s="31"/>
      <c r="G151" s="31"/>
      <c r="H151" s="31"/>
      <c r="I151" s="31"/>
      <c r="J151" s="189"/>
      <c r="K151" s="189"/>
      <c r="L151" s="189"/>
      <c r="M151" s="189"/>
      <c r="N151" s="189"/>
      <c r="O151" s="189"/>
      <c r="P151" s="189"/>
      <c r="Q151" s="189"/>
      <c r="R151" s="189"/>
      <c r="S151" s="189"/>
      <c r="T151" s="189"/>
      <c r="U151" s="189"/>
      <c r="V151" s="189"/>
      <c r="W151" s="189"/>
      <c r="X151" s="189"/>
      <c r="Y151" s="189"/>
      <c r="Z151" s="189"/>
      <c r="AA151" s="189"/>
      <c r="AB151" s="189"/>
      <c r="AC151" s="189"/>
      <c r="AD151" s="189"/>
      <c r="AE151" s="189"/>
      <c r="AF151" s="189"/>
      <c r="AG151" s="189"/>
      <c r="AH151" s="189"/>
      <c r="AI151" s="189"/>
      <c r="AJ151" s="189"/>
      <c r="AK151" s="189"/>
      <c r="AL151" s="189"/>
      <c r="AM151" s="189"/>
      <c r="AN151" s="189"/>
      <c r="AO151" s="189"/>
    </row>
    <row r="152" spans="1:41" x14ac:dyDescent="0.3">
      <c r="C152" s="29"/>
      <c r="D152"/>
      <c r="E152"/>
      <c r="J152" s="163"/>
      <c r="K152" s="163"/>
      <c r="L152" s="163"/>
      <c r="M152" s="163"/>
      <c r="N152" s="163"/>
      <c r="O152" s="163"/>
      <c r="P152" s="163"/>
      <c r="Q152" s="163"/>
      <c r="R152" s="163"/>
      <c r="S152" s="163"/>
      <c r="T152" s="163"/>
      <c r="U152" s="163"/>
      <c r="V152" s="163"/>
      <c r="W152" s="163"/>
      <c r="X152" s="163"/>
      <c r="Y152" s="163"/>
      <c r="Z152" s="163"/>
      <c r="AA152" s="163"/>
      <c r="AB152" s="163"/>
      <c r="AC152" s="163"/>
      <c r="AD152" s="163"/>
      <c r="AE152" s="163"/>
      <c r="AF152" s="163"/>
      <c r="AG152" s="163"/>
      <c r="AH152" s="163"/>
      <c r="AI152" s="163"/>
      <c r="AJ152" s="163"/>
      <c r="AK152" s="163"/>
      <c r="AL152" s="163"/>
      <c r="AM152" s="163"/>
      <c r="AN152" s="163"/>
      <c r="AO152" s="163"/>
    </row>
    <row r="153" spans="1:41" x14ac:dyDescent="0.3">
      <c r="C153" s="29"/>
      <c r="D153"/>
      <c r="E153" t="s">
        <v>1032</v>
      </c>
      <c r="G153" t="s">
        <v>212</v>
      </c>
      <c r="J153" s="163">
        <f t="shared" ref="J153:AO153" si="98">IF(J32, J56, 0)</f>
        <v>2371479.4191347011</v>
      </c>
      <c r="K153" s="163">
        <f t="shared" si="98"/>
        <v>0</v>
      </c>
      <c r="L153" s="163">
        <f t="shared" si="98"/>
        <v>0</v>
      </c>
      <c r="M153" s="163">
        <f t="shared" si="98"/>
        <v>73738.726119001571</v>
      </c>
      <c r="N153" s="163">
        <f t="shared" si="98"/>
        <v>55649.7548420495</v>
      </c>
      <c r="O153" s="163">
        <f t="shared" si="98"/>
        <v>28791.724999743532</v>
      </c>
      <c r="P153" s="163">
        <f t="shared" si="98"/>
        <v>28783.425878896152</v>
      </c>
      <c r="Q153" s="163">
        <f t="shared" si="98"/>
        <v>0</v>
      </c>
      <c r="R153" s="163">
        <f t="shared" si="98"/>
        <v>0</v>
      </c>
      <c r="S153" s="163">
        <f t="shared" si="98"/>
        <v>6631.7065906174585</v>
      </c>
      <c r="T153" s="163">
        <f t="shared" si="98"/>
        <v>5364.0829559077765</v>
      </c>
      <c r="U153" s="163">
        <f t="shared" si="98"/>
        <v>1869.638872598561</v>
      </c>
      <c r="V153" s="163">
        <f t="shared" si="98"/>
        <v>1178.5932122049885</v>
      </c>
      <c r="W153" s="163">
        <f t="shared" si="98"/>
        <v>0</v>
      </c>
      <c r="X153" s="163">
        <f t="shared" si="98"/>
        <v>14.920218031526492</v>
      </c>
      <c r="Y153" s="163">
        <f t="shared" si="98"/>
        <v>35.808523275663582</v>
      </c>
      <c r="Z153" s="163">
        <f t="shared" si="98"/>
        <v>40.284588685121527</v>
      </c>
      <c r="AA153" s="163">
        <f t="shared" si="98"/>
        <v>308.84851325259831</v>
      </c>
      <c r="AB153" s="163">
        <f t="shared" si="98"/>
        <v>0</v>
      </c>
      <c r="AC153" s="163">
        <f t="shared" si="98"/>
        <v>2286.6045369155877</v>
      </c>
      <c r="AD153" s="163">
        <f t="shared" si="98"/>
        <v>1234.3979729275734</v>
      </c>
      <c r="AE153" s="163">
        <f t="shared" si="98"/>
        <v>302.96998340510919</v>
      </c>
      <c r="AF153" s="163">
        <f t="shared" si="98"/>
        <v>312.1819085762105</v>
      </c>
      <c r="AG153" s="163">
        <f t="shared" si="98"/>
        <v>29.475632524712577</v>
      </c>
      <c r="AH153" s="163">
        <f t="shared" si="98"/>
        <v>0</v>
      </c>
      <c r="AI153" s="163">
        <f t="shared" si="98"/>
        <v>0</v>
      </c>
      <c r="AJ153" s="163">
        <f t="shared" si="98"/>
        <v>0</v>
      </c>
      <c r="AK153" s="163">
        <f t="shared" si="98"/>
        <v>0</v>
      </c>
      <c r="AL153" s="163">
        <f t="shared" si="98"/>
        <v>0</v>
      </c>
      <c r="AM153" s="163">
        <f t="shared" si="98"/>
        <v>0</v>
      </c>
      <c r="AN153" s="163">
        <f t="shared" si="98"/>
        <v>0</v>
      </c>
      <c r="AO153" s="163">
        <f t="shared" si="98"/>
        <v>0</v>
      </c>
    </row>
    <row r="154" spans="1:41" x14ac:dyDescent="0.3">
      <c r="C154" s="29"/>
      <c r="D154"/>
      <c r="E15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row>
    <row r="155" spans="1:41" x14ac:dyDescent="0.3">
      <c r="C155" s="29"/>
      <c r="D155"/>
      <c r="E155" t="s">
        <v>1029</v>
      </c>
      <c r="G155" t="s">
        <v>212</v>
      </c>
      <c r="J155" s="163">
        <f t="shared" ref="J155:AO155" si="99">SUMIF($J$149:$AO$149,J149,$J$153:$AO$153)</f>
        <v>2371479.4191347011</v>
      </c>
      <c r="K155" s="163">
        <f t="shared" si="99"/>
        <v>0</v>
      </c>
      <c r="L155" s="163">
        <f t="shared" si="99"/>
        <v>0</v>
      </c>
      <c r="M155" s="163">
        <f t="shared" si="99"/>
        <v>73738.726119001571</v>
      </c>
      <c r="N155" s="163">
        <f t="shared" si="99"/>
        <v>55649.7548420495</v>
      </c>
      <c r="O155" s="163">
        <f t="shared" si="99"/>
        <v>28791.724999743532</v>
      </c>
      <c r="P155" s="163">
        <f t="shared" si="99"/>
        <v>28783.425878896152</v>
      </c>
      <c r="Q155" s="163">
        <f t="shared" si="99"/>
        <v>0</v>
      </c>
      <c r="R155" s="163">
        <f t="shared" si="99"/>
        <v>0</v>
      </c>
      <c r="S155" s="163">
        <f t="shared" si="99"/>
        <v>6646.6268086489854</v>
      </c>
      <c r="T155" s="163">
        <f t="shared" si="99"/>
        <v>5399.8914791834404</v>
      </c>
      <c r="U155" s="163">
        <f t="shared" si="99"/>
        <v>1909.9234612836824</v>
      </c>
      <c r="V155" s="163">
        <f t="shared" si="99"/>
        <v>1487.4417254575869</v>
      </c>
      <c r="W155" s="163">
        <f t="shared" si="99"/>
        <v>0</v>
      </c>
      <c r="X155" s="163">
        <f t="shared" si="99"/>
        <v>6646.6268086489854</v>
      </c>
      <c r="Y155" s="163">
        <f t="shared" si="99"/>
        <v>5399.8914791834404</v>
      </c>
      <c r="Z155" s="163">
        <f t="shared" si="99"/>
        <v>1909.9234612836824</v>
      </c>
      <c r="AA155" s="163">
        <f t="shared" si="99"/>
        <v>1487.4417254575869</v>
      </c>
      <c r="AB155" s="163">
        <f t="shared" si="99"/>
        <v>0</v>
      </c>
      <c r="AC155" s="163">
        <f t="shared" si="99"/>
        <v>2286.6045369155877</v>
      </c>
      <c r="AD155" s="163">
        <f t="shared" si="99"/>
        <v>1234.3979729275734</v>
      </c>
      <c r="AE155" s="163">
        <f t="shared" si="99"/>
        <v>302.96998340510919</v>
      </c>
      <c r="AF155" s="163">
        <f t="shared" si="99"/>
        <v>312.1819085762105</v>
      </c>
      <c r="AG155" s="163">
        <f t="shared" si="99"/>
        <v>29.475632524712577</v>
      </c>
      <c r="AH155" s="163">
        <f t="shared" si="99"/>
        <v>0</v>
      </c>
      <c r="AI155" s="163">
        <f t="shared" si="99"/>
        <v>0</v>
      </c>
      <c r="AJ155" s="163">
        <f t="shared" si="99"/>
        <v>0</v>
      </c>
      <c r="AK155" s="163">
        <f t="shared" si="99"/>
        <v>0</v>
      </c>
      <c r="AL155" s="163">
        <f t="shared" si="99"/>
        <v>0</v>
      </c>
      <c r="AM155" s="163">
        <f t="shared" si="99"/>
        <v>0</v>
      </c>
      <c r="AN155" s="163">
        <f t="shared" si="99"/>
        <v>0</v>
      </c>
      <c r="AO155" s="163">
        <f t="shared" si="99"/>
        <v>0</v>
      </c>
    </row>
    <row r="156" spans="1:41" x14ac:dyDescent="0.3">
      <c r="C156" s="29"/>
      <c r="D156"/>
      <c r="E156"/>
      <c r="J156" s="163"/>
      <c r="K156" s="163"/>
      <c r="L156" s="163"/>
      <c r="M156" s="163"/>
      <c r="N156" s="163"/>
      <c r="O156" s="163"/>
      <c r="P156" s="163"/>
      <c r="Q156" s="163"/>
      <c r="R156" s="163"/>
      <c r="S156" s="163"/>
      <c r="T156" s="163"/>
      <c r="U156" s="163"/>
      <c r="V156" s="163"/>
      <c r="W156" s="163"/>
      <c r="X156" s="163"/>
      <c r="Y156" s="163"/>
      <c r="Z156" s="163"/>
      <c r="AA156" s="163"/>
      <c r="AB156" s="163"/>
      <c r="AC156" s="163"/>
      <c r="AD156" s="163"/>
      <c r="AE156" s="163"/>
      <c r="AF156" s="163"/>
      <c r="AG156" s="163"/>
      <c r="AH156" s="163"/>
      <c r="AI156" s="163"/>
      <c r="AJ156" s="163"/>
      <c r="AK156" s="163"/>
      <c r="AL156" s="163"/>
      <c r="AM156" s="163"/>
      <c r="AN156" s="163"/>
      <c r="AO156" s="163"/>
    </row>
    <row r="157" spans="1:41" x14ac:dyDescent="0.3">
      <c r="A157" s="320"/>
      <c r="C157" s="29"/>
      <c r="D157"/>
      <c r="E157" t="s">
        <v>1138</v>
      </c>
      <c r="G157" t="s">
        <v>167</v>
      </c>
      <c r="J157" s="402">
        <f>IF(J155&lt;&gt;0,J153/J155,0)</f>
        <v>1</v>
      </c>
      <c r="K157" s="402">
        <f t="shared" ref="K157:AO157" si="100">IF(K155&lt;&gt;0,K153/K155,0)</f>
        <v>0</v>
      </c>
      <c r="L157" s="402">
        <f t="shared" si="100"/>
        <v>0</v>
      </c>
      <c r="M157" s="402">
        <f t="shared" si="100"/>
        <v>1</v>
      </c>
      <c r="N157" s="402">
        <f t="shared" si="100"/>
        <v>1</v>
      </c>
      <c r="O157" s="402">
        <f t="shared" si="100"/>
        <v>1</v>
      </c>
      <c r="P157" s="402">
        <f t="shared" si="100"/>
        <v>1</v>
      </c>
      <c r="Q157" s="402">
        <f t="shared" si="100"/>
        <v>0</v>
      </c>
      <c r="R157" s="402">
        <f t="shared" si="100"/>
        <v>0</v>
      </c>
      <c r="S157" s="402">
        <f t="shared" si="100"/>
        <v>0.99775521953299506</v>
      </c>
      <c r="T157" s="402">
        <f t="shared" si="100"/>
        <v>0.99336865871958624</v>
      </c>
      <c r="U157" s="402">
        <f t="shared" si="100"/>
        <v>0.97890774708948514</v>
      </c>
      <c r="V157" s="402">
        <f t="shared" si="100"/>
        <v>0.79236261295709831</v>
      </c>
      <c r="W157" s="402">
        <f t="shared" si="100"/>
        <v>0</v>
      </c>
      <c r="X157" s="402">
        <f t="shared" si="100"/>
        <v>2.24478046700492E-3</v>
      </c>
      <c r="Y157" s="402">
        <f t="shared" si="100"/>
        <v>6.6313412804137441E-3</v>
      </c>
      <c r="Z157" s="402">
        <f t="shared" si="100"/>
        <v>2.1092252910514944E-2</v>
      </c>
      <c r="AA157" s="402">
        <f t="shared" si="100"/>
        <v>0.20763738704290158</v>
      </c>
      <c r="AB157" s="402">
        <f t="shared" si="100"/>
        <v>0</v>
      </c>
      <c r="AC157" s="402">
        <f t="shared" si="100"/>
        <v>1</v>
      </c>
      <c r="AD157" s="402">
        <f t="shared" si="100"/>
        <v>1</v>
      </c>
      <c r="AE157" s="402">
        <f t="shared" si="100"/>
        <v>1</v>
      </c>
      <c r="AF157" s="402">
        <f t="shared" si="100"/>
        <v>1</v>
      </c>
      <c r="AG157" s="402">
        <f t="shared" si="100"/>
        <v>1</v>
      </c>
      <c r="AH157" s="402">
        <f t="shared" si="100"/>
        <v>0</v>
      </c>
      <c r="AI157" s="402">
        <f t="shared" si="100"/>
        <v>0</v>
      </c>
      <c r="AJ157" s="402">
        <f t="shared" si="100"/>
        <v>0</v>
      </c>
      <c r="AK157" s="402">
        <f t="shared" si="100"/>
        <v>0</v>
      </c>
      <c r="AL157" s="402">
        <f t="shared" si="100"/>
        <v>0</v>
      </c>
      <c r="AM157" s="402">
        <f t="shared" si="100"/>
        <v>0</v>
      </c>
      <c r="AN157" s="402">
        <f t="shared" si="100"/>
        <v>0</v>
      </c>
      <c r="AO157" s="402">
        <f t="shared" si="100"/>
        <v>0</v>
      </c>
    </row>
    <row r="158" spans="1:41" x14ac:dyDescent="0.3">
      <c r="C158" s="29"/>
      <c r="D158"/>
      <c r="E158"/>
      <c r="J158" s="163"/>
      <c r="K158" s="163"/>
      <c r="L158" s="163"/>
      <c r="M158" s="163"/>
      <c r="N158" s="163"/>
      <c r="O158" s="163"/>
      <c r="P158" s="163"/>
      <c r="Q158" s="163"/>
      <c r="R158" s="163"/>
      <c r="S158" s="163"/>
      <c r="T158" s="163"/>
      <c r="U158" s="163"/>
      <c r="V158" s="163"/>
      <c r="W158" s="163"/>
      <c r="X158" s="163"/>
      <c r="Y158" s="163"/>
      <c r="Z158" s="163"/>
      <c r="AA158" s="163"/>
      <c r="AB158" s="163"/>
      <c r="AC158" s="163"/>
      <c r="AD158" s="163"/>
      <c r="AE158" s="163"/>
      <c r="AF158" s="163"/>
      <c r="AG158" s="163"/>
      <c r="AH158" s="163"/>
      <c r="AI158" s="163"/>
      <c r="AJ158" s="163"/>
      <c r="AK158" s="163"/>
      <c r="AL158" s="163"/>
      <c r="AM158" s="163"/>
      <c r="AN158" s="163"/>
      <c r="AO158" s="163"/>
    </row>
    <row r="159" spans="1:41" x14ac:dyDescent="0.3">
      <c r="C159" s="31" t="str">
        <f ca="1">INDEX('Version control'!$H$34:$H$57,MATCH($A$1,'Version control'!$F$34:$F$57,0),1)&amp;"-E: Calculating unit volumes for matching"</f>
        <v>Section 116-E: Calculating unit volumes for matching</v>
      </c>
      <c r="D159" s="31"/>
      <c r="E159" s="31"/>
      <c r="F159" s="31"/>
      <c r="G159" s="31"/>
      <c r="H159" s="31"/>
      <c r="I159" s="31"/>
      <c r="J159" s="189"/>
      <c r="K159" s="189"/>
      <c r="L159" s="189"/>
      <c r="M159" s="189"/>
      <c r="N159" s="189"/>
      <c r="O159" s="189"/>
      <c r="P159" s="189"/>
      <c r="Q159" s="189"/>
      <c r="R159" s="189"/>
      <c r="S159" s="189"/>
      <c r="T159" s="189"/>
      <c r="U159" s="189"/>
      <c r="V159" s="189"/>
      <c r="W159" s="189"/>
      <c r="X159" s="189"/>
      <c r="Y159" s="189"/>
      <c r="Z159" s="189"/>
      <c r="AA159" s="189"/>
      <c r="AB159" s="189"/>
      <c r="AC159" s="189"/>
      <c r="AD159" s="189"/>
      <c r="AE159" s="189"/>
      <c r="AF159" s="189"/>
      <c r="AG159" s="189"/>
      <c r="AH159" s="189"/>
      <c r="AI159" s="189"/>
      <c r="AJ159" s="189"/>
      <c r="AK159" s="189"/>
      <c r="AL159" s="189"/>
      <c r="AM159" s="189"/>
      <c r="AN159" s="189"/>
      <c r="AO159" s="189"/>
    </row>
    <row r="160" spans="1:41" x14ac:dyDescent="0.3">
      <c r="C160" s="29"/>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row>
    <row r="161" spans="3:43" x14ac:dyDescent="0.3">
      <c r="C161" s="29"/>
      <c r="D161" s="29" t="s">
        <v>1150</v>
      </c>
      <c r="I161" t="s">
        <v>154</v>
      </c>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Q161" t="s">
        <v>1145</v>
      </c>
    </row>
    <row r="162" spans="3:43" x14ac:dyDescent="0.3">
      <c r="C162" s="29"/>
      <c r="D162" s="29" t="s">
        <v>1124</v>
      </c>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row>
    <row r="163" spans="3:43" x14ac:dyDescent="0.3">
      <c r="C163" s="29"/>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row>
    <row r="164" spans="3:43" x14ac:dyDescent="0.3">
      <c r="C164" s="29"/>
      <c r="D164"/>
      <c r="E164" t="s">
        <v>1024</v>
      </c>
      <c r="G164" t="s">
        <v>207</v>
      </c>
      <c r="J164" s="163">
        <f t="shared" ref="J164:AO164" si="101">SUM(J53:J55)</f>
        <v>8243104.1171784895</v>
      </c>
      <c r="K164" s="163">
        <f t="shared" si="101"/>
        <v>16567.448551798487</v>
      </c>
      <c r="L164" s="163">
        <f t="shared" si="101"/>
        <v>0</v>
      </c>
      <c r="M164" s="163">
        <f t="shared" si="101"/>
        <v>98948.240598265184</v>
      </c>
      <c r="N164" s="163">
        <f t="shared" si="101"/>
        <v>415312.41178591317</v>
      </c>
      <c r="O164" s="163">
        <f t="shared" si="101"/>
        <v>526902.77163367032</v>
      </c>
      <c r="P164" s="163">
        <f t="shared" si="101"/>
        <v>1698571.9317157476</v>
      </c>
      <c r="Q164" s="163">
        <f t="shared" si="101"/>
        <v>4017.9633645050908</v>
      </c>
      <c r="R164" s="163">
        <f t="shared" si="101"/>
        <v>0</v>
      </c>
      <c r="S164" s="163">
        <f t="shared" si="101"/>
        <v>580698.91368758469</v>
      </c>
      <c r="T164" s="163">
        <f t="shared" si="101"/>
        <v>867782.63261419209</v>
      </c>
      <c r="U164" s="163">
        <f t="shared" si="101"/>
        <v>468535.69331355416</v>
      </c>
      <c r="V164" s="163">
        <f t="shared" si="101"/>
        <v>460850.29771702806</v>
      </c>
      <c r="W164" s="163">
        <f t="shared" si="101"/>
        <v>0</v>
      </c>
      <c r="X164" s="163">
        <f t="shared" si="101"/>
        <v>1143.1826014824233</v>
      </c>
      <c r="Y164" s="163">
        <f t="shared" si="101"/>
        <v>5868.4455572627194</v>
      </c>
      <c r="Z164" s="163">
        <f t="shared" si="101"/>
        <v>10579.845904697349</v>
      </c>
      <c r="AA164" s="163">
        <f t="shared" si="101"/>
        <v>121708.58720869225</v>
      </c>
      <c r="AB164" s="163">
        <f t="shared" si="101"/>
        <v>0</v>
      </c>
      <c r="AC164" s="163">
        <f t="shared" si="101"/>
        <v>969398.66198024387</v>
      </c>
      <c r="AD164" s="163">
        <f t="shared" si="101"/>
        <v>1729268.4828259349</v>
      </c>
      <c r="AE164" s="163">
        <f t="shared" si="101"/>
        <v>946113.46120023192</v>
      </c>
      <c r="AF164" s="163">
        <f t="shared" si="101"/>
        <v>3007284.857070663</v>
      </c>
      <c r="AG164" s="163">
        <f t="shared" si="101"/>
        <v>246667.26158504939</v>
      </c>
      <c r="AH164" s="163">
        <f t="shared" si="101"/>
        <v>1133.5616397661845</v>
      </c>
      <c r="AI164" s="163">
        <f t="shared" si="101"/>
        <v>0</v>
      </c>
      <c r="AJ164" s="163">
        <f t="shared" si="101"/>
        <v>47200.443429056759</v>
      </c>
      <c r="AK164" s="163">
        <f t="shared" si="101"/>
        <v>0</v>
      </c>
      <c r="AL164" s="163">
        <f t="shared" si="101"/>
        <v>9937.9707653078713</v>
      </c>
      <c r="AM164" s="163">
        <f t="shared" si="101"/>
        <v>0</v>
      </c>
      <c r="AN164" s="163">
        <f t="shared" si="101"/>
        <v>704532.76201741514</v>
      </c>
      <c r="AO164" s="163">
        <f t="shared" si="101"/>
        <v>0</v>
      </c>
    </row>
    <row r="165" spans="3:43" x14ac:dyDescent="0.3">
      <c r="C165" s="29"/>
      <c r="D165"/>
      <c r="E165"/>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row>
    <row r="166" spans="3:43" x14ac:dyDescent="0.3">
      <c r="C166" s="29"/>
      <c r="D166"/>
      <c r="E166" t="s">
        <v>1025</v>
      </c>
      <c r="G166" t="s">
        <v>207</v>
      </c>
      <c r="J166" s="163">
        <f t="shared" ref="J166:AO166" si="102">IF(J32,J164, 0)</f>
        <v>8243104.1171784895</v>
      </c>
      <c r="K166" s="163">
        <f t="shared" si="102"/>
        <v>0</v>
      </c>
      <c r="L166" s="163">
        <f t="shared" si="102"/>
        <v>0</v>
      </c>
      <c r="M166" s="163">
        <f t="shared" si="102"/>
        <v>98948.240598265184</v>
      </c>
      <c r="N166" s="163">
        <f t="shared" si="102"/>
        <v>415312.41178591317</v>
      </c>
      <c r="O166" s="163">
        <f t="shared" si="102"/>
        <v>526902.77163367032</v>
      </c>
      <c r="P166" s="163">
        <f t="shared" si="102"/>
        <v>1698571.9317157476</v>
      </c>
      <c r="Q166" s="163">
        <f t="shared" si="102"/>
        <v>0</v>
      </c>
      <c r="R166" s="163">
        <f t="shared" si="102"/>
        <v>0</v>
      </c>
      <c r="S166" s="163">
        <f t="shared" si="102"/>
        <v>580698.91368758469</v>
      </c>
      <c r="T166" s="163">
        <f t="shared" si="102"/>
        <v>867782.63261419209</v>
      </c>
      <c r="U166" s="163">
        <f t="shared" si="102"/>
        <v>468535.69331355416</v>
      </c>
      <c r="V166" s="163">
        <f t="shared" si="102"/>
        <v>460850.29771702806</v>
      </c>
      <c r="W166" s="163">
        <f t="shared" si="102"/>
        <v>0</v>
      </c>
      <c r="X166" s="163">
        <f t="shared" si="102"/>
        <v>1143.1826014824233</v>
      </c>
      <c r="Y166" s="163">
        <f t="shared" si="102"/>
        <v>5868.4455572627194</v>
      </c>
      <c r="Z166" s="163">
        <f t="shared" si="102"/>
        <v>10579.845904697349</v>
      </c>
      <c r="AA166" s="163">
        <f t="shared" si="102"/>
        <v>121708.58720869225</v>
      </c>
      <c r="AB166" s="163">
        <f t="shared" si="102"/>
        <v>0</v>
      </c>
      <c r="AC166" s="163">
        <f t="shared" si="102"/>
        <v>969398.66198024387</v>
      </c>
      <c r="AD166" s="163">
        <f t="shared" si="102"/>
        <v>1729268.4828259349</v>
      </c>
      <c r="AE166" s="163">
        <f t="shared" si="102"/>
        <v>946113.46120023192</v>
      </c>
      <c r="AF166" s="163">
        <f t="shared" si="102"/>
        <v>3007284.857070663</v>
      </c>
      <c r="AG166" s="163">
        <f t="shared" si="102"/>
        <v>246667.26158504939</v>
      </c>
      <c r="AH166" s="163">
        <f t="shared" si="102"/>
        <v>0</v>
      </c>
      <c r="AI166" s="163">
        <f t="shared" si="102"/>
        <v>0</v>
      </c>
      <c r="AJ166" s="163">
        <f t="shared" si="102"/>
        <v>0</v>
      </c>
      <c r="AK166" s="163">
        <f t="shared" si="102"/>
        <v>0</v>
      </c>
      <c r="AL166" s="163">
        <f t="shared" si="102"/>
        <v>0</v>
      </c>
      <c r="AM166" s="163">
        <f t="shared" si="102"/>
        <v>0</v>
      </c>
      <c r="AN166" s="163">
        <f t="shared" si="102"/>
        <v>0</v>
      </c>
      <c r="AO166" s="163">
        <f t="shared" si="102"/>
        <v>0</v>
      </c>
    </row>
    <row r="167" spans="3:43" x14ac:dyDescent="0.3">
      <c r="C167" s="29"/>
      <c r="D167"/>
      <c r="E167"/>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row>
    <row r="168" spans="3:43" x14ac:dyDescent="0.3">
      <c r="C168" s="29"/>
      <c r="D168"/>
      <c r="E168" s="29" t="s">
        <v>1034</v>
      </c>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row>
    <row r="169" spans="3:43" x14ac:dyDescent="0.3">
      <c r="C169" s="29"/>
      <c r="D169"/>
      <c r="E169"/>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row>
    <row r="170" spans="3:43" x14ac:dyDescent="0.3">
      <c r="C170" s="29"/>
      <c r="D170"/>
      <c r="E170" t="s">
        <v>1019</v>
      </c>
      <c r="G170" t="s">
        <v>167</v>
      </c>
      <c r="J170" s="383">
        <v>1</v>
      </c>
      <c r="K170" s="66"/>
      <c r="L170" s="79"/>
      <c r="M170" s="426">
        <f>'Volume adjustments'!K689</f>
        <v>3.6115984849117169E-2</v>
      </c>
      <c r="N170" s="426">
        <f>'Volume adjustments'!L689</f>
        <v>0.15158851416680297</v>
      </c>
      <c r="O170" s="426">
        <f>'Volume adjustments'!M689</f>
        <v>0.19231885683082189</v>
      </c>
      <c r="P170" s="426">
        <f>'Volume adjustments'!N689</f>
        <v>0.61997664415325804</v>
      </c>
      <c r="Q170" s="66"/>
      <c r="R170" s="66"/>
      <c r="S170" s="66"/>
      <c r="T170" s="66"/>
      <c r="U170" s="66"/>
      <c r="V170" s="66"/>
      <c r="W170" s="66"/>
      <c r="X170" s="66"/>
      <c r="Y170" s="66"/>
      <c r="Z170" s="66"/>
      <c r="AA170" s="66"/>
      <c r="AB170" s="66"/>
      <c r="AC170" s="66"/>
      <c r="AD170" s="66"/>
      <c r="AE170" s="66"/>
      <c r="AF170" s="66"/>
      <c r="AG170" s="66"/>
      <c r="AH170" s="66"/>
      <c r="AI170" s="66"/>
      <c r="AJ170" s="66"/>
      <c r="AK170" s="66"/>
      <c r="AL170" s="66"/>
      <c r="AM170" s="66"/>
      <c r="AN170" s="66"/>
      <c r="AO170" s="66"/>
    </row>
    <row r="171" spans="3:43" x14ac:dyDescent="0.3">
      <c r="C171" s="29"/>
      <c r="D171"/>
      <c r="E171"/>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row>
    <row r="172" spans="3:43" x14ac:dyDescent="0.3">
      <c r="C172" s="29"/>
      <c r="D172"/>
      <c r="E172" t="s">
        <v>995</v>
      </c>
      <c r="G172" t="s">
        <v>207</v>
      </c>
      <c r="J172" s="163">
        <f>J170*$K164</f>
        <v>16567.448551798487</v>
      </c>
      <c r="K172" s="79"/>
      <c r="L172" s="79"/>
      <c r="M172" s="163">
        <f>M170*$Q164</f>
        <v>145.11270399677372</v>
      </c>
      <c r="N172" s="163">
        <f>N170*$Q164</f>
        <v>609.07709640197527</v>
      </c>
      <c r="O172" s="163">
        <f>O170*$Q164</f>
        <v>772.73012104974202</v>
      </c>
      <c r="P172" s="163">
        <f>P170*$Q164</f>
        <v>2491.0434430566002</v>
      </c>
      <c r="Q172" s="79"/>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row>
    <row r="173" spans="3:43" x14ac:dyDescent="0.3">
      <c r="C173" s="29"/>
      <c r="D173"/>
      <c r="E173"/>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row>
    <row r="174" spans="3:43" x14ac:dyDescent="0.3">
      <c r="C174" s="29"/>
      <c r="D174"/>
      <c r="E174" t="s">
        <v>1026</v>
      </c>
      <c r="G174" t="s">
        <v>207</v>
      </c>
      <c r="J174" s="163">
        <f t="shared" ref="J174:AO174" si="103">J166+J172</f>
        <v>8259671.5657302877</v>
      </c>
      <c r="K174" s="163">
        <f t="shared" si="103"/>
        <v>0</v>
      </c>
      <c r="L174" s="163">
        <f t="shared" si="103"/>
        <v>0</v>
      </c>
      <c r="M174" s="163">
        <f t="shared" si="103"/>
        <v>99093.353302261952</v>
      </c>
      <c r="N174" s="163">
        <f t="shared" si="103"/>
        <v>415921.48888231511</v>
      </c>
      <c r="O174" s="163">
        <f t="shared" si="103"/>
        <v>527675.50175472011</v>
      </c>
      <c r="P174" s="163">
        <f t="shared" si="103"/>
        <v>1701062.9751588041</v>
      </c>
      <c r="Q174" s="163">
        <f t="shared" si="103"/>
        <v>0</v>
      </c>
      <c r="R174" s="163">
        <f t="shared" si="103"/>
        <v>0</v>
      </c>
      <c r="S174" s="163">
        <f t="shared" si="103"/>
        <v>580698.91368758469</v>
      </c>
      <c r="T174" s="163">
        <f t="shared" si="103"/>
        <v>867782.63261419209</v>
      </c>
      <c r="U174" s="163">
        <f t="shared" si="103"/>
        <v>468535.69331355416</v>
      </c>
      <c r="V174" s="163">
        <f t="shared" si="103"/>
        <v>460850.29771702806</v>
      </c>
      <c r="W174" s="163">
        <f t="shared" si="103"/>
        <v>0</v>
      </c>
      <c r="X174" s="163">
        <f t="shared" si="103"/>
        <v>1143.1826014824233</v>
      </c>
      <c r="Y174" s="163">
        <f t="shared" si="103"/>
        <v>5868.4455572627194</v>
      </c>
      <c r="Z174" s="163">
        <f t="shared" si="103"/>
        <v>10579.845904697349</v>
      </c>
      <c r="AA174" s="163">
        <f t="shared" si="103"/>
        <v>121708.58720869225</v>
      </c>
      <c r="AB174" s="163">
        <f t="shared" si="103"/>
        <v>0</v>
      </c>
      <c r="AC174" s="163">
        <f t="shared" si="103"/>
        <v>969398.66198024387</v>
      </c>
      <c r="AD174" s="163">
        <f t="shared" si="103"/>
        <v>1729268.4828259349</v>
      </c>
      <c r="AE174" s="163">
        <f t="shared" si="103"/>
        <v>946113.46120023192</v>
      </c>
      <c r="AF174" s="163">
        <f t="shared" si="103"/>
        <v>3007284.857070663</v>
      </c>
      <c r="AG174" s="163">
        <f t="shared" si="103"/>
        <v>246667.26158504939</v>
      </c>
      <c r="AH174" s="163">
        <f t="shared" si="103"/>
        <v>0</v>
      </c>
      <c r="AI174" s="163">
        <f t="shared" si="103"/>
        <v>0</v>
      </c>
      <c r="AJ174" s="163">
        <f t="shared" si="103"/>
        <v>0</v>
      </c>
      <c r="AK174" s="163">
        <f t="shared" si="103"/>
        <v>0</v>
      </c>
      <c r="AL174" s="163">
        <f t="shared" si="103"/>
        <v>0</v>
      </c>
      <c r="AM174" s="163">
        <f t="shared" si="103"/>
        <v>0</v>
      </c>
      <c r="AN174" s="163">
        <f t="shared" si="103"/>
        <v>0</v>
      </c>
      <c r="AO174" s="163">
        <f t="shared" si="103"/>
        <v>0</v>
      </c>
    </row>
    <row r="175" spans="3:43" x14ac:dyDescent="0.3">
      <c r="C175" s="29"/>
      <c r="D175"/>
      <c r="E175"/>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row>
    <row r="176" spans="3:43" x14ac:dyDescent="0.3">
      <c r="C176" s="31" t="str">
        <f ca="1">INDEX('Version control'!$H$34:$H$57,MATCH($A$1,'Version control'!$F$34:$F$57,0),1)&amp;"-F: Allocating revenue to tariffs"</f>
        <v>Section 116-F: Allocating revenue to tariffs</v>
      </c>
      <c r="D176" s="31"/>
      <c r="E176" s="31"/>
      <c r="F176" s="31"/>
      <c r="G176" s="31"/>
      <c r="H176" s="31"/>
      <c r="I176" s="31"/>
      <c r="J176" s="189"/>
      <c r="K176" s="189"/>
      <c r="L176" s="189"/>
      <c r="M176" s="189"/>
      <c r="N176" s="189"/>
      <c r="O176" s="189"/>
      <c r="P176" s="189"/>
      <c r="Q176" s="189"/>
      <c r="R176" s="189"/>
      <c r="S176" s="189"/>
      <c r="T176" s="189"/>
      <c r="U176" s="189"/>
      <c r="V176" s="189"/>
      <c r="W176" s="189"/>
      <c r="X176" s="189"/>
      <c r="Y176" s="189"/>
      <c r="Z176" s="189"/>
      <c r="AA176" s="189"/>
      <c r="AB176" s="189"/>
      <c r="AC176" s="189"/>
      <c r="AD176" s="189"/>
      <c r="AE176" s="189"/>
      <c r="AF176" s="189"/>
      <c r="AG176" s="189"/>
      <c r="AH176" s="189"/>
      <c r="AI176" s="189"/>
      <c r="AJ176" s="189"/>
      <c r="AK176" s="189"/>
      <c r="AL176" s="189"/>
      <c r="AM176" s="189"/>
      <c r="AN176" s="189"/>
      <c r="AO176" s="189"/>
    </row>
    <row r="177" spans="3:43" x14ac:dyDescent="0.3">
      <c r="C177" s="29"/>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row>
    <row r="178" spans="3:43" x14ac:dyDescent="0.3">
      <c r="C178" s="29"/>
      <c r="D178" s="29" t="s">
        <v>1125</v>
      </c>
      <c r="I178" t="s">
        <v>154</v>
      </c>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Q178" t="s">
        <v>1145</v>
      </c>
    </row>
    <row r="179" spans="3:43" x14ac:dyDescent="0.3">
      <c r="C179" s="29"/>
      <c r="D179" s="29" t="s">
        <v>1126</v>
      </c>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row>
    <row r="180" spans="3:43" x14ac:dyDescent="0.3">
      <c r="C180" s="29"/>
      <c r="D180" s="29" t="s">
        <v>1127</v>
      </c>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row>
    <row r="181" spans="3:43" x14ac:dyDescent="0.3">
      <c r="C181" s="29"/>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row>
    <row r="182" spans="3:43" x14ac:dyDescent="0.3">
      <c r="C182" s="29"/>
      <c r="D182" s="320"/>
      <c r="E182" s="320" t="s">
        <v>1028</v>
      </c>
      <c r="F182" s="320"/>
      <c r="G182" t="s">
        <v>207</v>
      </c>
      <c r="J182" s="163">
        <f t="shared" ref="J182:AO182" si="104">SUMIF($J$149:$AO$149,J149,$J$174:$AO$174)</f>
        <v>8259671.5657302877</v>
      </c>
      <c r="K182" s="163">
        <f t="shared" si="104"/>
        <v>0</v>
      </c>
      <c r="L182" s="163">
        <f t="shared" si="104"/>
        <v>0</v>
      </c>
      <c r="M182" s="163">
        <f t="shared" si="104"/>
        <v>99093.353302261952</v>
      </c>
      <c r="N182" s="163">
        <f t="shared" si="104"/>
        <v>415921.48888231511</v>
      </c>
      <c r="O182" s="163">
        <f t="shared" si="104"/>
        <v>527675.50175472011</v>
      </c>
      <c r="P182" s="163">
        <f t="shared" si="104"/>
        <v>1701062.9751588041</v>
      </c>
      <c r="Q182" s="163">
        <f t="shared" si="104"/>
        <v>0</v>
      </c>
      <c r="R182" s="163">
        <f t="shared" si="104"/>
        <v>0</v>
      </c>
      <c r="S182" s="163">
        <f t="shared" si="104"/>
        <v>581842.09628906706</v>
      </c>
      <c r="T182" s="163">
        <f t="shared" si="104"/>
        <v>873651.07817145484</v>
      </c>
      <c r="U182" s="163">
        <f t="shared" si="104"/>
        <v>479115.53921825154</v>
      </c>
      <c r="V182" s="163">
        <f t="shared" si="104"/>
        <v>582558.88492572028</v>
      </c>
      <c r="W182" s="163">
        <f t="shared" si="104"/>
        <v>0</v>
      </c>
      <c r="X182" s="163">
        <f t="shared" si="104"/>
        <v>581842.09628906706</v>
      </c>
      <c r="Y182" s="163">
        <f t="shared" si="104"/>
        <v>873651.07817145484</v>
      </c>
      <c r="Z182" s="163">
        <f t="shared" si="104"/>
        <v>479115.53921825154</v>
      </c>
      <c r="AA182" s="163">
        <f t="shared" si="104"/>
        <v>582558.88492572028</v>
      </c>
      <c r="AB182" s="163">
        <f t="shared" si="104"/>
        <v>0</v>
      </c>
      <c r="AC182" s="163">
        <f t="shared" si="104"/>
        <v>969398.66198024387</v>
      </c>
      <c r="AD182" s="163">
        <f t="shared" si="104"/>
        <v>1729268.4828259349</v>
      </c>
      <c r="AE182" s="163">
        <f t="shared" si="104"/>
        <v>946113.46120023192</v>
      </c>
      <c r="AF182" s="163">
        <f t="shared" si="104"/>
        <v>3007284.857070663</v>
      </c>
      <c r="AG182" s="163">
        <f t="shared" si="104"/>
        <v>246667.26158504939</v>
      </c>
      <c r="AH182" s="163">
        <f t="shared" si="104"/>
        <v>0</v>
      </c>
      <c r="AI182" s="163">
        <f t="shared" si="104"/>
        <v>0</v>
      </c>
      <c r="AJ182" s="163">
        <f t="shared" si="104"/>
        <v>0</v>
      </c>
      <c r="AK182" s="163">
        <f t="shared" si="104"/>
        <v>0</v>
      </c>
      <c r="AL182" s="163">
        <f t="shared" si="104"/>
        <v>0</v>
      </c>
      <c r="AM182" s="163">
        <f t="shared" si="104"/>
        <v>0</v>
      </c>
      <c r="AN182" s="163">
        <f t="shared" si="104"/>
        <v>0</v>
      </c>
      <c r="AO182" s="163">
        <f t="shared" si="104"/>
        <v>0</v>
      </c>
    </row>
    <row r="183" spans="3:43" x14ac:dyDescent="0.3">
      <c r="C183" s="29"/>
      <c r="D183" s="320"/>
      <c r="E183" s="320"/>
      <c r="F183" s="320"/>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row>
    <row r="184" spans="3:43" x14ac:dyDescent="0.3">
      <c r="C184" s="29"/>
      <c r="D184" s="320"/>
      <c r="E184" s="320" t="s">
        <v>1030</v>
      </c>
      <c r="F184" s="320"/>
      <c r="G184" t="s">
        <v>207</v>
      </c>
      <c r="J184" s="163">
        <f>J157*J182</f>
        <v>8259671.5657302877</v>
      </c>
      <c r="K184" s="163">
        <f t="shared" ref="K184:AO184" si="105">K157*K182</f>
        <v>0</v>
      </c>
      <c r="L184" s="163">
        <f t="shared" si="105"/>
        <v>0</v>
      </c>
      <c r="M184" s="163">
        <f t="shared" si="105"/>
        <v>99093.353302261952</v>
      </c>
      <c r="N184" s="163">
        <f t="shared" si="105"/>
        <v>415921.48888231511</v>
      </c>
      <c r="O184" s="163">
        <f t="shared" si="105"/>
        <v>527675.50175472011</v>
      </c>
      <c r="P184" s="163">
        <f t="shared" si="105"/>
        <v>1701062.9751588041</v>
      </c>
      <c r="Q184" s="163">
        <f t="shared" si="105"/>
        <v>0</v>
      </c>
      <c r="R184" s="163">
        <f t="shared" si="105"/>
        <v>0</v>
      </c>
      <c r="S184" s="163">
        <f t="shared" si="105"/>
        <v>580535.98851643619</v>
      </c>
      <c r="T184" s="163">
        <f t="shared" si="105"/>
        <v>867857.59971209848</v>
      </c>
      <c r="U184" s="163">
        <f t="shared" si="105"/>
        <v>469009.91309170244</v>
      </c>
      <c r="V184" s="163">
        <f t="shared" si="105"/>
        <v>461597.8802611173</v>
      </c>
      <c r="W184" s="163">
        <f t="shared" si="105"/>
        <v>0</v>
      </c>
      <c r="X184" s="163">
        <f t="shared" si="105"/>
        <v>1306.1077726308936</v>
      </c>
      <c r="Y184" s="163">
        <f t="shared" si="105"/>
        <v>5793.4784593563436</v>
      </c>
      <c r="Z184" s="163">
        <f t="shared" si="105"/>
        <v>10105.626126549103</v>
      </c>
      <c r="AA184" s="163">
        <f t="shared" si="105"/>
        <v>120961.00466460294</v>
      </c>
      <c r="AB184" s="163">
        <f t="shared" si="105"/>
        <v>0</v>
      </c>
      <c r="AC184" s="163">
        <f t="shared" si="105"/>
        <v>969398.66198024387</v>
      </c>
      <c r="AD184" s="163">
        <f t="shared" si="105"/>
        <v>1729268.4828259349</v>
      </c>
      <c r="AE184" s="163">
        <f t="shared" si="105"/>
        <v>946113.46120023192</v>
      </c>
      <c r="AF184" s="163">
        <f t="shared" si="105"/>
        <v>3007284.857070663</v>
      </c>
      <c r="AG184" s="163">
        <f t="shared" si="105"/>
        <v>246667.26158504939</v>
      </c>
      <c r="AH184" s="163">
        <f t="shared" si="105"/>
        <v>0</v>
      </c>
      <c r="AI184" s="163">
        <f t="shared" si="105"/>
        <v>0</v>
      </c>
      <c r="AJ184" s="163">
        <f t="shared" si="105"/>
        <v>0</v>
      </c>
      <c r="AK184" s="163">
        <f t="shared" si="105"/>
        <v>0</v>
      </c>
      <c r="AL184" s="163">
        <f t="shared" si="105"/>
        <v>0</v>
      </c>
      <c r="AM184" s="163">
        <f t="shared" si="105"/>
        <v>0</v>
      </c>
      <c r="AN184" s="163">
        <f t="shared" si="105"/>
        <v>0</v>
      </c>
      <c r="AO184" s="163">
        <f t="shared" si="105"/>
        <v>0</v>
      </c>
    </row>
    <row r="185" spans="3:43" x14ac:dyDescent="0.3">
      <c r="C185" s="29"/>
      <c r="D185" s="320"/>
      <c r="E185" s="320"/>
      <c r="F185" s="320"/>
      <c r="J185" s="163"/>
      <c r="K185" s="163"/>
      <c r="L185" s="163"/>
      <c r="M185" s="163"/>
      <c r="N185" s="163"/>
      <c r="O185" s="163"/>
      <c r="P185" s="163"/>
      <c r="Q185" s="163"/>
      <c r="R185" s="163"/>
      <c r="S185" s="163"/>
      <c r="T185" s="163"/>
      <c r="U185" s="163"/>
      <c r="V185" s="163"/>
      <c r="W185" s="163"/>
      <c r="X185" s="163"/>
      <c r="Y185" s="163"/>
      <c r="Z185" s="163"/>
      <c r="AA185" s="163"/>
      <c r="AB185" s="163"/>
      <c r="AC185" s="163"/>
      <c r="AD185" s="163"/>
      <c r="AE185" s="163"/>
      <c r="AF185" s="163"/>
      <c r="AG185" s="163"/>
      <c r="AH185" s="163"/>
      <c r="AI185" s="163"/>
      <c r="AJ185" s="163"/>
      <c r="AK185" s="163"/>
      <c r="AL185" s="163"/>
      <c r="AM185" s="163"/>
      <c r="AN185" s="163"/>
      <c r="AO185" s="163"/>
    </row>
    <row r="186" spans="3:43" x14ac:dyDescent="0.3">
      <c r="C186" s="29"/>
      <c r="D186"/>
      <c r="E186" t="s">
        <v>455</v>
      </c>
      <c r="G186" t="s">
        <v>207</v>
      </c>
      <c r="H186" s="163">
        <f>SUM($J$184:$AO$184)</f>
        <v>20419325.208095007</v>
      </c>
      <c r="J186" s="163"/>
      <c r="K186" s="163"/>
      <c r="L186" s="163"/>
      <c r="M186" s="163"/>
      <c r="N186" s="163"/>
      <c r="O186" s="163"/>
      <c r="P186" s="163"/>
      <c r="Q186" s="163"/>
      <c r="R186" s="163"/>
      <c r="S186" s="163"/>
      <c r="T186" s="163"/>
      <c r="U186" s="163"/>
      <c r="V186" s="163"/>
      <c r="W186" s="163"/>
      <c r="X186" s="163"/>
      <c r="Y186" s="163"/>
      <c r="Z186" s="163"/>
      <c r="AA186" s="163"/>
      <c r="AB186" s="163"/>
      <c r="AC186" s="163"/>
      <c r="AD186" s="163"/>
      <c r="AE186" s="163"/>
      <c r="AF186" s="163"/>
      <c r="AG186" s="163"/>
      <c r="AH186" s="163"/>
      <c r="AI186" s="163"/>
      <c r="AJ186" s="163"/>
      <c r="AK186" s="163"/>
      <c r="AL186" s="163"/>
      <c r="AM186" s="163"/>
      <c r="AN186" s="163"/>
      <c r="AO186" s="163"/>
    </row>
    <row r="187" spans="3:43" x14ac:dyDescent="0.3">
      <c r="C187" s="29"/>
      <c r="D187"/>
      <c r="E187"/>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row>
    <row r="188" spans="3:43" x14ac:dyDescent="0.3">
      <c r="C188" s="29"/>
      <c r="D188"/>
      <c r="E188" t="s">
        <v>1042</v>
      </c>
      <c r="G188" t="s">
        <v>167</v>
      </c>
      <c r="J188" s="335">
        <f>J184/$H186</f>
        <v>0.40450266997343459</v>
      </c>
      <c r="K188" s="335">
        <f t="shared" ref="K188:AO188" si="106">K184/$H186</f>
        <v>0</v>
      </c>
      <c r="L188" s="335">
        <f t="shared" si="106"/>
        <v>0</v>
      </c>
      <c r="M188" s="335">
        <f t="shared" si="106"/>
        <v>4.8529200790130679E-3</v>
      </c>
      <c r="N188" s="335">
        <f t="shared" si="106"/>
        <v>2.0369012425416871E-2</v>
      </c>
      <c r="O188" s="335">
        <f t="shared" si="106"/>
        <v>2.5841965705386251E-2</v>
      </c>
      <c r="P188" s="335">
        <f t="shared" si="106"/>
        <v>8.33065225135078E-2</v>
      </c>
      <c r="Q188" s="335">
        <f t="shared" si="106"/>
        <v>0</v>
      </c>
      <c r="R188" s="335">
        <f t="shared" si="106"/>
        <v>0</v>
      </c>
      <c r="S188" s="335">
        <f t="shared" si="106"/>
        <v>2.8430713679328118E-2</v>
      </c>
      <c r="T188" s="335">
        <f t="shared" si="106"/>
        <v>4.2501776668312542E-2</v>
      </c>
      <c r="U188" s="335">
        <f t="shared" si="106"/>
        <v>2.2968923228950233E-2</v>
      </c>
      <c r="V188" s="335">
        <f t="shared" si="106"/>
        <v>2.2605932152847154E-2</v>
      </c>
      <c r="W188" s="335">
        <f t="shared" si="106"/>
        <v>0</v>
      </c>
      <c r="X188" s="335">
        <f t="shared" si="106"/>
        <v>6.3964296533810147E-5</v>
      </c>
      <c r="Y188" s="335">
        <f t="shared" si="106"/>
        <v>2.8372526517475642E-4</v>
      </c>
      <c r="Z188" s="335">
        <f t="shared" si="106"/>
        <v>4.9490499923782216E-4</v>
      </c>
      <c r="AA188" s="335">
        <f t="shared" si="106"/>
        <v>5.9238492669017942E-3</v>
      </c>
      <c r="AB188" s="335">
        <f t="shared" si="106"/>
        <v>0</v>
      </c>
      <c r="AC188" s="335">
        <f t="shared" si="106"/>
        <v>4.7474568924341189E-2</v>
      </c>
      <c r="AD188" s="335">
        <f t="shared" si="106"/>
        <v>8.4687836899741742E-2</v>
      </c>
      <c r="AE188" s="335">
        <f t="shared" si="106"/>
        <v>4.6334217784295639E-2</v>
      </c>
      <c r="AF188" s="335">
        <f t="shared" si="106"/>
        <v>0.1472764073456482</v>
      </c>
      <c r="AG188" s="335">
        <f t="shared" si="106"/>
        <v>1.2080088791928394E-2</v>
      </c>
      <c r="AH188" s="335">
        <f t="shared" si="106"/>
        <v>0</v>
      </c>
      <c r="AI188" s="335">
        <f t="shared" si="106"/>
        <v>0</v>
      </c>
      <c r="AJ188" s="335">
        <f t="shared" si="106"/>
        <v>0</v>
      </c>
      <c r="AK188" s="335">
        <f t="shared" si="106"/>
        <v>0</v>
      </c>
      <c r="AL188" s="335">
        <f t="shared" si="106"/>
        <v>0</v>
      </c>
      <c r="AM188" s="335">
        <f t="shared" si="106"/>
        <v>0</v>
      </c>
      <c r="AN188" s="335">
        <f t="shared" si="106"/>
        <v>0</v>
      </c>
      <c r="AO188" s="335">
        <f t="shared" si="106"/>
        <v>0</v>
      </c>
    </row>
    <row r="189" spans="3:43" x14ac:dyDescent="0.3">
      <c r="C189" s="29"/>
      <c r="D189"/>
      <c r="E189"/>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row>
    <row r="190" spans="3:43" x14ac:dyDescent="0.3">
      <c r="C190" s="29"/>
      <c r="D190"/>
      <c r="E190" t="s">
        <v>937</v>
      </c>
      <c r="G190" t="s">
        <v>277</v>
      </c>
      <c r="J190" s="163">
        <f>$H$84 * J188</f>
        <v>100197371.96432525</v>
      </c>
      <c r="K190" s="163">
        <f t="shared" ref="K190:AO190" si="107">$H$84 * K188</f>
        <v>0</v>
      </c>
      <c r="L190" s="163">
        <f t="shared" si="107"/>
        <v>0</v>
      </c>
      <c r="M190" s="163">
        <f t="shared" si="107"/>
        <v>1202093.0252498684</v>
      </c>
      <c r="N190" s="163">
        <f t="shared" si="107"/>
        <v>5045508.1413170723</v>
      </c>
      <c r="O190" s="163">
        <f t="shared" si="107"/>
        <v>6401186.5490083741</v>
      </c>
      <c r="P190" s="163">
        <f t="shared" si="107"/>
        <v>20635450.005530413</v>
      </c>
      <c r="Q190" s="163">
        <f t="shared" si="107"/>
        <v>0</v>
      </c>
      <c r="R190" s="163">
        <f t="shared" si="107"/>
        <v>0</v>
      </c>
      <c r="S190" s="163">
        <f t="shared" si="107"/>
        <v>7042432.6097178906</v>
      </c>
      <c r="T190" s="163">
        <f t="shared" si="107"/>
        <v>10527906.592703752</v>
      </c>
      <c r="U190" s="163">
        <f t="shared" si="107"/>
        <v>5689519.2917819349</v>
      </c>
      <c r="V190" s="163">
        <f t="shared" si="107"/>
        <v>5599604.5530870836</v>
      </c>
      <c r="W190" s="163">
        <f t="shared" si="107"/>
        <v>0</v>
      </c>
      <c r="X190" s="163">
        <f t="shared" si="107"/>
        <v>15844.282097459298</v>
      </c>
      <c r="Y190" s="163">
        <f t="shared" si="107"/>
        <v>70280.193533107973</v>
      </c>
      <c r="Z190" s="163">
        <f t="shared" si="107"/>
        <v>122590.48944940917</v>
      </c>
      <c r="AA190" s="163">
        <f t="shared" si="107"/>
        <v>1467367.6406025595</v>
      </c>
      <c r="AB190" s="163">
        <f t="shared" si="107"/>
        <v>0</v>
      </c>
      <c r="AC190" s="163">
        <f t="shared" si="107"/>
        <v>11759692.566851566</v>
      </c>
      <c r="AD190" s="163">
        <f t="shared" si="107"/>
        <v>20977608.615673196</v>
      </c>
      <c r="AE190" s="163">
        <f t="shared" si="107"/>
        <v>11477221.780301282</v>
      </c>
      <c r="AF190" s="163">
        <f t="shared" si="107"/>
        <v>36481116.352953948</v>
      </c>
      <c r="AG190" s="163">
        <f t="shared" si="107"/>
        <v>2992299.5319818715</v>
      </c>
      <c r="AH190" s="163">
        <f t="shared" si="107"/>
        <v>0</v>
      </c>
      <c r="AI190" s="163">
        <f t="shared" si="107"/>
        <v>0</v>
      </c>
      <c r="AJ190" s="163">
        <f t="shared" si="107"/>
        <v>0</v>
      </c>
      <c r="AK190" s="163">
        <f t="shared" si="107"/>
        <v>0</v>
      </c>
      <c r="AL190" s="163">
        <f t="shared" si="107"/>
        <v>0</v>
      </c>
      <c r="AM190" s="163">
        <f t="shared" si="107"/>
        <v>0</v>
      </c>
      <c r="AN190" s="163">
        <f t="shared" si="107"/>
        <v>0</v>
      </c>
      <c r="AO190" s="163">
        <f t="shared" si="107"/>
        <v>0</v>
      </c>
    </row>
    <row r="191" spans="3:43" x14ac:dyDescent="0.3">
      <c r="C191" s="29"/>
      <c r="D191"/>
      <c r="E191"/>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row>
    <row r="192" spans="3:43" x14ac:dyDescent="0.3">
      <c r="C192" s="31" t="str">
        <f ca="1">INDEX('Version control'!$H$34:$H$57,MATCH($A$1,'Version control'!$F$34:$F$57,0),1)&amp;"-G: Calculating the residual fixed charge"</f>
        <v>Section 116-G: Calculating the residual fixed charge</v>
      </c>
      <c r="D192" s="31"/>
      <c r="E192" s="31"/>
      <c r="F192" s="31"/>
      <c r="G192" s="31"/>
      <c r="H192" s="31"/>
      <c r="I192" s="31"/>
      <c r="J192" s="189"/>
      <c r="K192" s="189"/>
      <c r="L192" s="189"/>
      <c r="M192" s="189"/>
      <c r="N192" s="189"/>
      <c r="O192" s="189"/>
      <c r="P192" s="189"/>
      <c r="Q192" s="189"/>
      <c r="R192" s="189"/>
      <c r="S192" s="189"/>
      <c r="T192" s="189"/>
      <c r="U192" s="189"/>
      <c r="V192" s="189"/>
      <c r="W192" s="189"/>
      <c r="X192" s="189"/>
      <c r="Y192" s="189"/>
      <c r="Z192" s="189"/>
      <c r="AA192" s="189"/>
      <c r="AB192" s="189"/>
      <c r="AC192" s="189"/>
      <c r="AD192" s="189"/>
      <c r="AE192" s="189"/>
      <c r="AF192" s="189"/>
      <c r="AG192" s="189"/>
      <c r="AH192" s="189"/>
      <c r="AI192" s="189"/>
      <c r="AJ192" s="189"/>
      <c r="AK192" s="189"/>
      <c r="AL192" s="189"/>
      <c r="AM192" s="189"/>
      <c r="AN192" s="189"/>
      <c r="AO192" s="189"/>
    </row>
    <row r="193" spans="3:43" x14ac:dyDescent="0.3">
      <c r="C193" s="29"/>
      <c r="D193"/>
      <c r="E193"/>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row>
    <row r="194" spans="3:43" x14ac:dyDescent="0.3">
      <c r="C194" s="29"/>
      <c r="D194" s="29" t="s">
        <v>1040</v>
      </c>
      <c r="E19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row>
    <row r="195" spans="3:43" x14ac:dyDescent="0.3">
      <c r="C195" s="29"/>
      <c r="D195"/>
      <c r="E195"/>
      <c r="J195" s="163"/>
      <c r="K195" s="163"/>
      <c r="L195" s="163"/>
      <c r="M195" s="163"/>
      <c r="N195" s="163"/>
      <c r="O195" s="163"/>
      <c r="P195" s="163"/>
      <c r="Q195" s="163"/>
      <c r="R195" s="163"/>
      <c r="S195" s="163"/>
      <c r="T195" s="163"/>
      <c r="U195" s="163"/>
      <c r="V195" s="163"/>
      <c r="W195" s="163"/>
      <c r="X195" s="163"/>
      <c r="Y195" s="163"/>
      <c r="Z195" s="163"/>
      <c r="AA195" s="163"/>
      <c r="AB195" s="163"/>
      <c r="AC195" s="163"/>
      <c r="AD195" s="163"/>
      <c r="AE195" s="163"/>
      <c r="AF195" s="163"/>
      <c r="AG195" s="163"/>
      <c r="AH195" s="163"/>
      <c r="AI195" s="163"/>
      <c r="AJ195" s="163"/>
      <c r="AK195" s="163"/>
      <c r="AL195" s="163"/>
      <c r="AM195" s="163"/>
      <c r="AN195" s="163"/>
      <c r="AO195" s="163"/>
    </row>
    <row r="196" spans="3:43" x14ac:dyDescent="0.3">
      <c r="C196" s="29"/>
      <c r="D196"/>
      <c r="E196" t="s">
        <v>938</v>
      </c>
      <c r="G196" t="s">
        <v>1139</v>
      </c>
      <c r="I196" t="s">
        <v>154</v>
      </c>
      <c r="J196" s="163">
        <f t="shared" ref="J196:AO196" si="108">IF(J33, J190/J153, 0)</f>
        <v>42.250997902771168</v>
      </c>
      <c r="K196" s="163">
        <f t="shared" si="108"/>
        <v>0</v>
      </c>
      <c r="L196" s="163">
        <f t="shared" si="108"/>
        <v>0</v>
      </c>
      <c r="M196" s="163">
        <f t="shared" si="108"/>
        <v>16.302058477520994</v>
      </c>
      <c r="N196" s="163">
        <f t="shared" si="108"/>
        <v>90.665415429730459</v>
      </c>
      <c r="O196" s="163">
        <f t="shared" si="108"/>
        <v>222.32730234348216</v>
      </c>
      <c r="P196" s="163">
        <f t="shared" si="108"/>
        <v>716.92126199127017</v>
      </c>
      <c r="Q196" s="163">
        <f t="shared" si="108"/>
        <v>0</v>
      </c>
      <c r="R196" s="163">
        <f t="shared" si="108"/>
        <v>0</v>
      </c>
      <c r="S196" s="163">
        <f t="shared" si="108"/>
        <v>1061.9336838094628</v>
      </c>
      <c r="T196" s="163">
        <f t="shared" si="108"/>
        <v>1962.666625263272</v>
      </c>
      <c r="U196" s="163">
        <f t="shared" si="108"/>
        <v>3043.1113597216904</v>
      </c>
      <c r="V196" s="163">
        <f t="shared" si="108"/>
        <v>4751.0918059768737</v>
      </c>
      <c r="W196" s="163">
        <f t="shared" si="108"/>
        <v>0</v>
      </c>
      <c r="X196" s="163">
        <f t="shared" si="108"/>
        <v>1061.9336838094628</v>
      </c>
      <c r="Y196" s="163">
        <f t="shared" si="108"/>
        <v>1962.6666252632722</v>
      </c>
      <c r="Z196" s="163">
        <f t="shared" si="108"/>
        <v>3043.11135972169</v>
      </c>
      <c r="AA196" s="163">
        <f t="shared" si="108"/>
        <v>4751.0918059768728</v>
      </c>
      <c r="AB196" s="163">
        <f t="shared" si="108"/>
        <v>0</v>
      </c>
      <c r="AC196" s="163">
        <f t="shared" si="108"/>
        <v>5142.8624307350819</v>
      </c>
      <c r="AD196" s="163">
        <f t="shared" si="108"/>
        <v>16994.202093447562</v>
      </c>
      <c r="AE196" s="163">
        <f t="shared" si="108"/>
        <v>37882.372541687684</v>
      </c>
      <c r="AF196" s="163">
        <f t="shared" si="108"/>
        <v>116858.52174886073</v>
      </c>
      <c r="AG196" s="163">
        <f t="shared" si="108"/>
        <v>0</v>
      </c>
      <c r="AH196" s="163">
        <f t="shared" si="108"/>
        <v>0</v>
      </c>
      <c r="AI196" s="163">
        <f t="shared" si="108"/>
        <v>0</v>
      </c>
      <c r="AJ196" s="163">
        <f t="shared" si="108"/>
        <v>0</v>
      </c>
      <c r="AK196" s="163">
        <f t="shared" si="108"/>
        <v>0</v>
      </c>
      <c r="AL196" s="163">
        <f t="shared" si="108"/>
        <v>0</v>
      </c>
      <c r="AM196" s="163">
        <f t="shared" si="108"/>
        <v>0</v>
      </c>
      <c r="AN196" s="163">
        <f t="shared" si="108"/>
        <v>0</v>
      </c>
      <c r="AO196" s="163">
        <f t="shared" si="108"/>
        <v>0</v>
      </c>
      <c r="AQ196" t="s">
        <v>1154</v>
      </c>
    </row>
    <row r="197" spans="3:43" x14ac:dyDescent="0.3">
      <c r="C197" s="29"/>
      <c r="D197"/>
      <c r="E197"/>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row>
    <row r="198" spans="3:43" x14ac:dyDescent="0.3">
      <c r="C198" s="29"/>
      <c r="D198"/>
      <c r="E198" t="s">
        <v>938</v>
      </c>
      <c r="G198" t="s">
        <v>270</v>
      </c>
      <c r="I198" t="s">
        <v>154</v>
      </c>
      <c r="J198" s="163">
        <f t="shared" ref="J198:AO198" si="109">J196 * hundred / days_in_year</f>
        <v>11.575615863772923</v>
      </c>
      <c r="K198" s="163">
        <f t="shared" si="109"/>
        <v>0</v>
      </c>
      <c r="L198" s="163">
        <f t="shared" si="109"/>
        <v>0</v>
      </c>
      <c r="M198" s="163">
        <f t="shared" si="109"/>
        <v>4.4663173911016418</v>
      </c>
      <c r="N198" s="163">
        <f t="shared" si="109"/>
        <v>24.839839843761769</v>
      </c>
      <c r="O198" s="163">
        <f t="shared" si="109"/>
        <v>60.911589683145792</v>
      </c>
      <c r="P198" s="163">
        <f t="shared" si="109"/>
        <v>196.41678410719729</v>
      </c>
      <c r="Q198" s="163">
        <f t="shared" si="109"/>
        <v>0</v>
      </c>
      <c r="R198" s="163">
        <f t="shared" si="109"/>
        <v>0</v>
      </c>
      <c r="S198" s="163">
        <f t="shared" si="109"/>
        <v>290.94073529026377</v>
      </c>
      <c r="T198" s="163">
        <f t="shared" si="109"/>
        <v>537.71688363377314</v>
      </c>
      <c r="U198" s="163">
        <f t="shared" si="109"/>
        <v>833.72913964977818</v>
      </c>
      <c r="V198" s="163">
        <f t="shared" si="109"/>
        <v>1301.6689879388696</v>
      </c>
      <c r="W198" s="163">
        <f t="shared" si="109"/>
        <v>0</v>
      </c>
      <c r="X198" s="163">
        <f t="shared" si="109"/>
        <v>290.94073529026377</v>
      </c>
      <c r="Y198" s="163">
        <f t="shared" si="109"/>
        <v>537.71688363377314</v>
      </c>
      <c r="Z198" s="163">
        <f t="shared" si="109"/>
        <v>833.72913964977806</v>
      </c>
      <c r="AA198" s="163">
        <f t="shared" si="109"/>
        <v>1301.6689879388691</v>
      </c>
      <c r="AB198" s="163">
        <f t="shared" si="109"/>
        <v>0</v>
      </c>
      <c r="AC198" s="163">
        <f t="shared" si="109"/>
        <v>1409.0034056808445</v>
      </c>
      <c r="AD198" s="163">
        <f t="shared" si="109"/>
        <v>4655.9457790267297</v>
      </c>
      <c r="AE198" s="163">
        <f t="shared" si="109"/>
        <v>10378.732203202106</v>
      </c>
      <c r="AF198" s="163">
        <f t="shared" si="109"/>
        <v>32016.033355852258</v>
      </c>
      <c r="AG198" s="163">
        <f t="shared" si="109"/>
        <v>0</v>
      </c>
      <c r="AH198" s="163">
        <f t="shared" si="109"/>
        <v>0</v>
      </c>
      <c r="AI198" s="163">
        <f t="shared" si="109"/>
        <v>0</v>
      </c>
      <c r="AJ198" s="163">
        <f t="shared" si="109"/>
        <v>0</v>
      </c>
      <c r="AK198" s="163">
        <f t="shared" si="109"/>
        <v>0</v>
      </c>
      <c r="AL198" s="163">
        <f t="shared" si="109"/>
        <v>0</v>
      </c>
      <c r="AM198" s="163">
        <f t="shared" si="109"/>
        <v>0</v>
      </c>
      <c r="AN198" s="163">
        <f t="shared" si="109"/>
        <v>0</v>
      </c>
      <c r="AO198" s="163">
        <f t="shared" si="109"/>
        <v>0</v>
      </c>
      <c r="AQ198" t="s">
        <v>1155</v>
      </c>
    </row>
    <row r="199" spans="3:43" x14ac:dyDescent="0.3">
      <c r="C199" s="29"/>
      <c r="D199"/>
      <c r="E199"/>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row>
    <row r="200" spans="3:43" x14ac:dyDescent="0.3">
      <c r="C200" s="31" t="str">
        <f ca="1">INDEX('Version control'!$H$34:$H$57,MATCH($A$1,'Version control'!$F$34:$F$57,0),1)&amp;"-H: Calculating the initial residual unit rate"</f>
        <v>Section 116-H: Calculating the initial residual unit rate</v>
      </c>
      <c r="D200" s="31"/>
      <c r="E200" s="31"/>
      <c r="F200" s="31"/>
      <c r="G200" s="31"/>
      <c r="H200" s="31"/>
      <c r="I200" s="31"/>
      <c r="J200" s="189"/>
      <c r="K200" s="189"/>
      <c r="L200" s="189"/>
      <c r="M200" s="189"/>
      <c r="N200" s="189"/>
      <c r="O200" s="189"/>
      <c r="P200" s="189"/>
      <c r="Q200" s="189"/>
      <c r="R200" s="189"/>
      <c r="S200" s="189"/>
      <c r="T200" s="189"/>
      <c r="U200" s="189"/>
      <c r="V200" s="189"/>
      <c r="W200" s="189"/>
      <c r="X200" s="189"/>
      <c r="Y200" s="189"/>
      <c r="Z200" s="189"/>
      <c r="AA200" s="189"/>
      <c r="AB200" s="189"/>
      <c r="AC200" s="189"/>
      <c r="AD200" s="189"/>
      <c r="AE200" s="189"/>
      <c r="AF200" s="189"/>
      <c r="AG200" s="189"/>
      <c r="AH200" s="189"/>
      <c r="AI200" s="189"/>
      <c r="AJ200" s="189"/>
      <c r="AK200" s="189"/>
      <c r="AL200" s="189"/>
      <c r="AM200" s="189"/>
      <c r="AN200" s="189"/>
      <c r="AO200" s="189"/>
    </row>
    <row r="201" spans="3:43" x14ac:dyDescent="0.3">
      <c r="C201" s="29"/>
      <c r="D201"/>
      <c r="E201"/>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row>
    <row r="202" spans="3:43" x14ac:dyDescent="0.3">
      <c r="C202" s="29"/>
      <c r="D202" s="29" t="s">
        <v>1036</v>
      </c>
      <c r="E202"/>
      <c r="I202" t="s">
        <v>154</v>
      </c>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Q202" t="s">
        <v>1146</v>
      </c>
    </row>
    <row r="203" spans="3:43" x14ac:dyDescent="0.3">
      <c r="C203" s="29"/>
      <c r="D203" s="29" t="s">
        <v>1037</v>
      </c>
      <c r="E203"/>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row>
    <row r="204" spans="3:43" x14ac:dyDescent="0.3">
      <c r="C204" s="29"/>
      <c r="D204"/>
      <c r="E20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row>
    <row r="205" spans="3:43" x14ac:dyDescent="0.3">
      <c r="C205" s="29"/>
      <c r="D205"/>
      <c r="E205" t="s">
        <v>939</v>
      </c>
      <c r="G205" t="s">
        <v>940</v>
      </c>
      <c r="J205" s="338">
        <f t="shared" ref="J205:AO205" si="110">IF(J34, J190/J184, 0)</f>
        <v>0</v>
      </c>
      <c r="K205" s="338">
        <f t="shared" si="110"/>
        <v>0</v>
      </c>
      <c r="L205" s="338">
        <f t="shared" si="110"/>
        <v>0</v>
      </c>
      <c r="M205" s="338">
        <f t="shared" si="110"/>
        <v>0</v>
      </c>
      <c r="N205" s="338">
        <f t="shared" si="110"/>
        <v>0</v>
      </c>
      <c r="O205" s="338">
        <f t="shared" si="110"/>
        <v>0</v>
      </c>
      <c r="P205" s="338">
        <f t="shared" si="110"/>
        <v>0</v>
      </c>
      <c r="Q205" s="338">
        <f t="shared" si="110"/>
        <v>0</v>
      </c>
      <c r="R205" s="338">
        <f t="shared" si="110"/>
        <v>0</v>
      </c>
      <c r="S205" s="338">
        <f t="shared" si="110"/>
        <v>0</v>
      </c>
      <c r="T205" s="338">
        <f t="shared" si="110"/>
        <v>0</v>
      </c>
      <c r="U205" s="338">
        <f t="shared" si="110"/>
        <v>0</v>
      </c>
      <c r="V205" s="338">
        <f t="shared" si="110"/>
        <v>0</v>
      </c>
      <c r="W205" s="338">
        <f t="shared" si="110"/>
        <v>0</v>
      </c>
      <c r="X205" s="338">
        <f t="shared" si="110"/>
        <v>0</v>
      </c>
      <c r="Y205" s="338">
        <f t="shared" si="110"/>
        <v>0</v>
      </c>
      <c r="Z205" s="338">
        <f t="shared" si="110"/>
        <v>0</v>
      </c>
      <c r="AA205" s="338">
        <f t="shared" si="110"/>
        <v>0</v>
      </c>
      <c r="AB205" s="338">
        <f t="shared" si="110"/>
        <v>0</v>
      </c>
      <c r="AC205" s="338">
        <f t="shared" si="110"/>
        <v>0</v>
      </c>
      <c r="AD205" s="338">
        <f t="shared" si="110"/>
        <v>0</v>
      </c>
      <c r="AE205" s="338">
        <f t="shared" si="110"/>
        <v>0</v>
      </c>
      <c r="AF205" s="338">
        <f t="shared" si="110"/>
        <v>0</v>
      </c>
      <c r="AG205" s="338">
        <f t="shared" si="110"/>
        <v>12.130914790855391</v>
      </c>
      <c r="AH205" s="338">
        <f t="shared" si="110"/>
        <v>0</v>
      </c>
      <c r="AI205" s="338">
        <f t="shared" si="110"/>
        <v>0</v>
      </c>
      <c r="AJ205" s="338">
        <f t="shared" si="110"/>
        <v>0</v>
      </c>
      <c r="AK205" s="338">
        <f t="shared" si="110"/>
        <v>0</v>
      </c>
      <c r="AL205" s="338">
        <f t="shared" si="110"/>
        <v>0</v>
      </c>
      <c r="AM205" s="338">
        <f t="shared" si="110"/>
        <v>0</v>
      </c>
      <c r="AN205" s="338">
        <f t="shared" si="110"/>
        <v>0</v>
      </c>
      <c r="AO205" s="338">
        <f t="shared" si="110"/>
        <v>0</v>
      </c>
    </row>
    <row r="206" spans="3:43" x14ac:dyDescent="0.3">
      <c r="C206" s="29"/>
      <c r="D206"/>
      <c r="E206"/>
      <c r="J206" s="338"/>
      <c r="K206" s="338"/>
      <c r="L206" s="338"/>
      <c r="M206" s="338"/>
      <c r="N206" s="338"/>
      <c r="O206" s="338"/>
      <c r="P206" s="338"/>
      <c r="Q206" s="338"/>
      <c r="R206" s="338"/>
      <c r="S206" s="338"/>
      <c r="T206" s="338"/>
      <c r="U206" s="338"/>
      <c r="V206" s="338"/>
      <c r="W206" s="338"/>
      <c r="X206" s="338"/>
      <c r="Y206" s="338"/>
      <c r="Z206" s="338"/>
      <c r="AA206" s="338"/>
      <c r="AB206" s="338"/>
      <c r="AC206" s="338"/>
      <c r="AD206" s="338"/>
      <c r="AE206" s="338"/>
      <c r="AF206" s="338"/>
      <c r="AG206" s="338"/>
      <c r="AH206" s="338"/>
      <c r="AI206" s="338"/>
      <c r="AJ206" s="338"/>
      <c r="AK206" s="338"/>
      <c r="AL206" s="338"/>
      <c r="AM206" s="338"/>
      <c r="AN206" s="338"/>
      <c r="AO206" s="338"/>
    </row>
    <row r="207" spans="3:43" x14ac:dyDescent="0.3">
      <c r="C207" s="29"/>
      <c r="E207" t="s">
        <v>939</v>
      </c>
      <c r="G207" t="s">
        <v>269</v>
      </c>
      <c r="J207" s="338">
        <f t="shared" ref="J207:AO207" si="111">J205*hundred/thousand</f>
        <v>0</v>
      </c>
      <c r="K207" s="338">
        <f t="shared" si="111"/>
        <v>0</v>
      </c>
      <c r="L207" s="338">
        <f t="shared" si="111"/>
        <v>0</v>
      </c>
      <c r="M207" s="338">
        <f t="shared" si="111"/>
        <v>0</v>
      </c>
      <c r="N207" s="338">
        <f t="shared" si="111"/>
        <v>0</v>
      </c>
      <c r="O207" s="338">
        <f t="shared" si="111"/>
        <v>0</v>
      </c>
      <c r="P207" s="338">
        <f t="shared" si="111"/>
        <v>0</v>
      </c>
      <c r="Q207" s="338">
        <f t="shared" si="111"/>
        <v>0</v>
      </c>
      <c r="R207" s="338">
        <f t="shared" si="111"/>
        <v>0</v>
      </c>
      <c r="S207" s="338">
        <f t="shared" si="111"/>
        <v>0</v>
      </c>
      <c r="T207" s="338">
        <f t="shared" si="111"/>
        <v>0</v>
      </c>
      <c r="U207" s="338">
        <f t="shared" si="111"/>
        <v>0</v>
      </c>
      <c r="V207" s="338">
        <f t="shared" si="111"/>
        <v>0</v>
      </c>
      <c r="W207" s="338">
        <f t="shared" si="111"/>
        <v>0</v>
      </c>
      <c r="X207" s="338">
        <f t="shared" si="111"/>
        <v>0</v>
      </c>
      <c r="Y207" s="338">
        <f t="shared" si="111"/>
        <v>0</v>
      </c>
      <c r="Z207" s="338">
        <f t="shared" si="111"/>
        <v>0</v>
      </c>
      <c r="AA207" s="338">
        <f t="shared" si="111"/>
        <v>0</v>
      </c>
      <c r="AB207" s="338">
        <f t="shared" si="111"/>
        <v>0</v>
      </c>
      <c r="AC207" s="338">
        <f t="shared" si="111"/>
        <v>0</v>
      </c>
      <c r="AD207" s="338">
        <f t="shared" si="111"/>
        <v>0</v>
      </c>
      <c r="AE207" s="338">
        <f t="shared" si="111"/>
        <v>0</v>
      </c>
      <c r="AF207" s="338">
        <f t="shared" si="111"/>
        <v>0</v>
      </c>
      <c r="AG207" s="338">
        <f t="shared" si="111"/>
        <v>1.2130914790855392</v>
      </c>
      <c r="AH207" s="338">
        <f t="shared" si="111"/>
        <v>0</v>
      </c>
      <c r="AI207" s="338">
        <f t="shared" si="111"/>
        <v>0</v>
      </c>
      <c r="AJ207" s="338">
        <f t="shared" si="111"/>
        <v>0</v>
      </c>
      <c r="AK207" s="338">
        <f t="shared" si="111"/>
        <v>0</v>
      </c>
      <c r="AL207" s="338">
        <f t="shared" si="111"/>
        <v>0</v>
      </c>
      <c r="AM207" s="338">
        <f t="shared" si="111"/>
        <v>0</v>
      </c>
      <c r="AN207" s="338">
        <f t="shared" si="111"/>
        <v>0</v>
      </c>
      <c r="AO207" s="338">
        <f t="shared" si="111"/>
        <v>0</v>
      </c>
    </row>
    <row r="208" spans="3:43" x14ac:dyDescent="0.3">
      <c r="C208" s="29"/>
      <c r="D208"/>
      <c r="E208"/>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row>
    <row r="209" spans="2:43" x14ac:dyDescent="0.3">
      <c r="B209" s="30" t="s">
        <v>1043</v>
      </c>
      <c r="C209" s="30"/>
      <c r="D209" s="30"/>
      <c r="E209" s="30"/>
      <c r="F209" s="30"/>
      <c r="G209" s="30"/>
      <c r="H209" s="30"/>
      <c r="I209" s="30"/>
      <c r="J209" s="200"/>
      <c r="K209" s="200"/>
      <c r="L209" s="200"/>
      <c r="M209" s="200"/>
      <c r="N209" s="200"/>
      <c r="O209" s="200"/>
      <c r="P209" s="200"/>
      <c r="Q209" s="200"/>
      <c r="R209" s="200"/>
      <c r="S209" s="200"/>
      <c r="T209" s="200"/>
      <c r="U209" s="200"/>
      <c r="V209" s="200"/>
      <c r="W209" s="200"/>
      <c r="X209" s="200"/>
      <c r="Y209" s="200"/>
      <c r="Z209" s="200"/>
      <c r="AA209" s="200"/>
      <c r="AB209" s="200"/>
      <c r="AC209" s="200"/>
      <c r="AD209" s="200"/>
      <c r="AE209" s="200"/>
      <c r="AF209" s="200"/>
      <c r="AG209" s="200"/>
      <c r="AH209" s="200"/>
      <c r="AI209" s="200"/>
      <c r="AJ209" s="200"/>
      <c r="AK209" s="200"/>
      <c r="AL209" s="200"/>
      <c r="AM209" s="200"/>
      <c r="AN209" s="200"/>
      <c r="AO209" s="200"/>
      <c r="AP209" s="105"/>
      <c r="AQ209" s="105"/>
    </row>
    <row r="210" spans="2:43" x14ac:dyDescent="0.3">
      <c r="C210" s="29"/>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row>
    <row r="211" spans="2:43" x14ac:dyDescent="0.3">
      <c r="C211" s="29" t="s">
        <v>1044</v>
      </c>
      <c r="I211" t="s">
        <v>154</v>
      </c>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Q211" t="s">
        <v>1128</v>
      </c>
    </row>
    <row r="212" spans="2:43" x14ac:dyDescent="0.3">
      <c r="C212" s="29"/>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row>
    <row r="213" spans="2:43" x14ac:dyDescent="0.3">
      <c r="C213" s="31" t="str">
        <f ca="1">INDEX('Version control'!$H$34:$H$57,MATCH($A$1,'Version control'!$F$34:$F$57,0),1)&amp;"-I: Floor on negative residual fixed charges"</f>
        <v>Section 116-I: Floor on negative residual fixed charges</v>
      </c>
      <c r="D213" s="31"/>
      <c r="E213" s="31"/>
      <c r="F213" s="31"/>
      <c r="G213" s="31"/>
      <c r="H213" s="31"/>
      <c r="I213" s="31"/>
      <c r="J213" s="189"/>
      <c r="K213" s="189"/>
      <c r="L213" s="189"/>
      <c r="M213" s="189"/>
      <c r="N213" s="189"/>
      <c r="O213" s="189"/>
      <c r="P213" s="189"/>
      <c r="Q213" s="189"/>
      <c r="R213" s="189"/>
      <c r="S213" s="189"/>
      <c r="T213" s="189"/>
      <c r="U213" s="189"/>
      <c r="V213" s="189"/>
      <c r="W213" s="189"/>
      <c r="X213" s="189"/>
      <c r="Y213" s="189"/>
      <c r="Z213" s="189"/>
      <c r="AA213" s="189"/>
      <c r="AB213" s="189"/>
      <c r="AC213" s="189"/>
      <c r="AD213" s="189"/>
      <c r="AE213" s="189"/>
      <c r="AF213" s="189"/>
      <c r="AG213" s="189"/>
      <c r="AH213" s="189"/>
      <c r="AI213" s="189"/>
      <c r="AJ213" s="189"/>
      <c r="AK213" s="189"/>
      <c r="AL213" s="189"/>
      <c r="AM213" s="189"/>
      <c r="AN213" s="189"/>
      <c r="AO213" s="189"/>
    </row>
    <row r="214" spans="2:43" x14ac:dyDescent="0.3">
      <c r="C214" s="29"/>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row>
    <row r="215" spans="2:43" x14ac:dyDescent="0.3">
      <c r="C215" s="29"/>
      <c r="D215" s="29" t="s">
        <v>1045</v>
      </c>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row>
    <row r="216" spans="2:43" x14ac:dyDescent="0.3">
      <c r="C216" s="29"/>
      <c r="D216" s="29" t="s">
        <v>1046</v>
      </c>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row>
    <row r="217" spans="2:43" x14ac:dyDescent="0.3">
      <c r="C217" s="29"/>
      <c r="D217" s="29" t="s">
        <v>1047</v>
      </c>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row>
    <row r="218" spans="2:43" x14ac:dyDescent="0.3">
      <c r="C218" s="29"/>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row>
    <row r="219" spans="2:43" x14ac:dyDescent="0.3">
      <c r="C219" s="29"/>
      <c r="E219" s="29" t="s">
        <v>1151</v>
      </c>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row>
    <row r="220" spans="2:43" x14ac:dyDescent="0.3">
      <c r="C220" s="29"/>
      <c r="E220" s="29" t="s">
        <v>1048</v>
      </c>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row>
    <row r="221" spans="2:43" x14ac:dyDescent="0.3">
      <c r="C221" s="29"/>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row>
    <row r="222" spans="2:43" x14ac:dyDescent="0.3">
      <c r="C222" s="29"/>
      <c r="E222" t="s">
        <v>1049</v>
      </c>
      <c r="G222" t="s">
        <v>270</v>
      </c>
      <c r="J222" s="163">
        <f t="array" ref="J222">MIN(IF($J149:$AO149=J149,$J43:$AO43+$J48:$AO48))</f>
        <v>14.139425242547805</v>
      </c>
      <c r="K222" s="163">
        <f t="array" ref="K222">MIN(IF($J149:$AO149=K149,$J43:$AO43+$J48:$AO48))</f>
        <v>0</v>
      </c>
      <c r="L222" s="163">
        <f t="array" ref="L222">MIN(IF($J149:$AO149=L149,$J43:$AO43+$J48:$AO48))</f>
        <v>0</v>
      </c>
      <c r="M222" s="163">
        <f t="array" ref="M222">MIN(IF($J149:$AO149=M149,$J43:$AO43+$J48:$AO48))</f>
        <v>8.9127282073615213</v>
      </c>
      <c r="N222" s="163">
        <f t="array" ref="N222">MIN(IF($J149:$AO149=N149,$J43:$AO43+$J48:$AO48))</f>
        <v>8.9127282073615213</v>
      </c>
      <c r="O222" s="163">
        <f t="array" ref="O222">MIN(IF($J149:$AO149=O149,$J43:$AO43+$J48:$AO48))</f>
        <v>8.9127282073615213</v>
      </c>
      <c r="P222" s="163">
        <f t="array" ref="P222">MIN(IF($J149:$AO149=P149,$J43:$AO43+$J48:$AO48))</f>
        <v>8.9127282073615213</v>
      </c>
      <c r="Q222" s="163">
        <f t="array" ref="Q222">MIN(IF($J149:$AO149=Q149,$J43:$AO43+$J48:$AO48))</f>
        <v>0</v>
      </c>
      <c r="R222" s="163">
        <f t="array" ref="R222">MIN(IF($J149:$AO149=R149,$J43:$AO43+$J48:$AO48))</f>
        <v>0</v>
      </c>
      <c r="S222" s="163">
        <f t="array" ref="S222">MIN(IF($J149:$AO149=S149,$J43:$AO43+$J48:$AO48))</f>
        <v>9.8156261980148898</v>
      </c>
      <c r="T222" s="163">
        <f t="array" ref="T222">MIN(IF($J149:$AO149=T149,$J43:$AO43+$J48:$AO48))</f>
        <v>9.8156261980148898</v>
      </c>
      <c r="U222" s="163">
        <f t="array" ref="U222">MIN(IF($J149:$AO149=U149,$J43:$AO43+$J48:$AO48))</f>
        <v>9.8156261980148898</v>
      </c>
      <c r="V222" s="163">
        <f t="array" ref="V222">MIN(IF($J149:$AO149=V149,$J43:$AO43+$J48:$AO48))</f>
        <v>9.8156261980148898</v>
      </c>
      <c r="W222" s="163">
        <f t="array" ref="W222">MIN(IF($J149:$AO149=W149,$J43:$AO43+$J48:$AO48))</f>
        <v>0</v>
      </c>
      <c r="X222" s="163">
        <f t="array" ref="X222">MIN(IF($J149:$AO149=X149,$J43:$AO43+$J48:$AO48))</f>
        <v>9.8156261980148898</v>
      </c>
      <c r="Y222" s="163">
        <f t="array" ref="Y222">MIN(IF($J149:$AO149=Y149,$J43:$AO43+$J48:$AO48))</f>
        <v>9.8156261980148898</v>
      </c>
      <c r="Z222" s="163">
        <f t="array" ref="Z222">MIN(IF($J149:$AO149=Z149,$J43:$AO43+$J48:$AO48))</f>
        <v>9.8156261980148898</v>
      </c>
      <c r="AA222" s="163">
        <f t="array" ref="AA222">MIN(IF($J149:$AO149=AA149,$J43:$AO43+$J48:$AO48))</f>
        <v>9.8156261980148898</v>
      </c>
      <c r="AB222" s="163">
        <f t="array" ref="AB222">MIN(IF($J149:$AO149=AB149,$J43:$AO43+$J48:$AO48))</f>
        <v>0</v>
      </c>
      <c r="AC222" s="163">
        <f t="array" ref="AC222">MIN(IF($J149:$AO149=AC149,$J43:$AO43+$J48:$AO48))</f>
        <v>90.062994117510286</v>
      </c>
      <c r="AD222" s="163">
        <f t="array" ref="AD222">MIN(IF($J149:$AO149=AD149,$J43:$AO43+$J48:$AO48))</f>
        <v>90.062994117510286</v>
      </c>
      <c r="AE222" s="163">
        <f t="array" ref="AE222">MIN(IF($J149:$AO149=AE149,$J43:$AO43+$J48:$AO48))</f>
        <v>90.062994117510286</v>
      </c>
      <c r="AF222" s="163">
        <f t="array" ref="AF222">MIN(IF($J149:$AO149=AF149,$J43:$AO43+$J48:$AO48))</f>
        <v>90.062994117510286</v>
      </c>
      <c r="AG222" s="163">
        <f t="array" ref="AG222">MIN(IF($J149:$AO149=AG149,$J43:$AO43+$J48:$AO48))</f>
        <v>0</v>
      </c>
      <c r="AH222" s="163">
        <f t="array" ref="AH222">MIN(IF($J149:$AO149=AH149,$J43:$AO43+$J48:$AO48))</f>
        <v>0</v>
      </c>
      <c r="AI222" s="163">
        <f t="array" ref="AI222">MIN(IF($J149:$AO149=AI149,$J43:$AO43+$J48:$AO48))</f>
        <v>0</v>
      </c>
      <c r="AJ222" s="163">
        <f t="array" ref="AJ222">MIN(IF($J149:$AO149=AJ149,$J43:$AO43+$J48:$AO48))</f>
        <v>0</v>
      </c>
      <c r="AK222" s="163">
        <f t="array" ref="AK222">MIN(IF($J149:$AO149=AK149,$J43:$AO43+$J48:$AO48))</f>
        <v>0</v>
      </c>
      <c r="AL222" s="163">
        <f t="array" ref="AL222">MIN(IF($J149:$AO149=AL149,$J43:$AO43+$J48:$AO48))</f>
        <v>0</v>
      </c>
      <c r="AM222" s="163">
        <f t="array" ref="AM222">MIN(IF($J149:$AO149=AM149,$J43:$AO43+$J48:$AO48))</f>
        <v>0</v>
      </c>
      <c r="AN222" s="163">
        <f t="array" ref="AN222">MIN(IF($J149:$AO149=AN149,$J43:$AO43+$J48:$AO48))</f>
        <v>0</v>
      </c>
      <c r="AO222" s="163">
        <f t="array" ref="AO222">MIN(IF($J149:$AO149=AO149,$J43:$AO43+$J48:$AO48))</f>
        <v>0</v>
      </c>
    </row>
    <row r="223" spans="2:43" x14ac:dyDescent="0.3">
      <c r="C223" s="29"/>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row>
    <row r="224" spans="2:43" x14ac:dyDescent="0.3">
      <c r="C224" s="29"/>
      <c r="E224" t="s">
        <v>1050</v>
      </c>
      <c r="G224" t="s">
        <v>270</v>
      </c>
      <c r="J224" s="163">
        <f>MAX(-J222,J198)</f>
        <v>11.575615863772923</v>
      </c>
      <c r="K224" s="163">
        <f t="shared" ref="K224:AO224" si="112">MAX(-K222,K198)</f>
        <v>0</v>
      </c>
      <c r="L224" s="163">
        <f t="shared" si="112"/>
        <v>0</v>
      </c>
      <c r="M224" s="163">
        <f t="shared" si="112"/>
        <v>4.4663173911016418</v>
      </c>
      <c r="N224" s="163">
        <f t="shared" si="112"/>
        <v>24.839839843761769</v>
      </c>
      <c r="O224" s="163">
        <f t="shared" si="112"/>
        <v>60.911589683145792</v>
      </c>
      <c r="P224" s="163">
        <f t="shared" si="112"/>
        <v>196.41678410719729</v>
      </c>
      <c r="Q224" s="163">
        <f t="shared" si="112"/>
        <v>0</v>
      </c>
      <c r="R224" s="163">
        <f t="shared" si="112"/>
        <v>0</v>
      </c>
      <c r="S224" s="163">
        <f t="shared" si="112"/>
        <v>290.94073529026377</v>
      </c>
      <c r="T224" s="163">
        <f t="shared" si="112"/>
        <v>537.71688363377314</v>
      </c>
      <c r="U224" s="163">
        <f t="shared" si="112"/>
        <v>833.72913964977818</v>
      </c>
      <c r="V224" s="163">
        <f t="shared" si="112"/>
        <v>1301.6689879388696</v>
      </c>
      <c r="W224" s="163">
        <f t="shared" si="112"/>
        <v>0</v>
      </c>
      <c r="X224" s="163">
        <f t="shared" si="112"/>
        <v>290.94073529026377</v>
      </c>
      <c r="Y224" s="163">
        <f t="shared" si="112"/>
        <v>537.71688363377314</v>
      </c>
      <c r="Z224" s="163">
        <f t="shared" si="112"/>
        <v>833.72913964977806</v>
      </c>
      <c r="AA224" s="163">
        <f t="shared" si="112"/>
        <v>1301.6689879388691</v>
      </c>
      <c r="AB224" s="163">
        <f t="shared" si="112"/>
        <v>0</v>
      </c>
      <c r="AC224" s="163">
        <f t="shared" si="112"/>
        <v>1409.0034056808445</v>
      </c>
      <c r="AD224" s="163">
        <f t="shared" si="112"/>
        <v>4655.9457790267297</v>
      </c>
      <c r="AE224" s="163">
        <f t="shared" si="112"/>
        <v>10378.732203202106</v>
      </c>
      <c r="AF224" s="163">
        <f t="shared" si="112"/>
        <v>32016.033355852258</v>
      </c>
      <c r="AG224" s="163">
        <f t="shared" si="112"/>
        <v>0</v>
      </c>
      <c r="AH224" s="163">
        <f t="shared" si="112"/>
        <v>0</v>
      </c>
      <c r="AI224" s="163">
        <f t="shared" si="112"/>
        <v>0</v>
      </c>
      <c r="AJ224" s="163">
        <f t="shared" si="112"/>
        <v>0</v>
      </c>
      <c r="AK224" s="163">
        <f t="shared" si="112"/>
        <v>0</v>
      </c>
      <c r="AL224" s="163">
        <f t="shared" si="112"/>
        <v>0</v>
      </c>
      <c r="AM224" s="163">
        <f t="shared" si="112"/>
        <v>0</v>
      </c>
      <c r="AN224" s="163">
        <f t="shared" si="112"/>
        <v>0</v>
      </c>
      <c r="AO224" s="163">
        <f t="shared" si="112"/>
        <v>0</v>
      </c>
    </row>
    <row r="225" spans="3:43" x14ac:dyDescent="0.3">
      <c r="C225" s="29"/>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row>
    <row r="226" spans="3:43" x14ac:dyDescent="0.3">
      <c r="C226" s="29"/>
      <c r="E226" t="s">
        <v>1051</v>
      </c>
      <c r="G226" t="s">
        <v>270</v>
      </c>
      <c r="J226" s="163">
        <f xml:space="preserve"> J198 - J224</f>
        <v>0</v>
      </c>
      <c r="K226" s="163">
        <f t="shared" ref="K226:AO226" si="113" xml:space="preserve"> K198 - K224</f>
        <v>0</v>
      </c>
      <c r="L226" s="163">
        <f t="shared" si="113"/>
        <v>0</v>
      </c>
      <c r="M226" s="163">
        <f t="shared" si="113"/>
        <v>0</v>
      </c>
      <c r="N226" s="163">
        <f t="shared" si="113"/>
        <v>0</v>
      </c>
      <c r="O226" s="163">
        <f t="shared" si="113"/>
        <v>0</v>
      </c>
      <c r="P226" s="163">
        <f t="shared" si="113"/>
        <v>0</v>
      </c>
      <c r="Q226" s="163">
        <f t="shared" si="113"/>
        <v>0</v>
      </c>
      <c r="R226" s="163">
        <f t="shared" si="113"/>
        <v>0</v>
      </c>
      <c r="S226" s="163">
        <f t="shared" si="113"/>
        <v>0</v>
      </c>
      <c r="T226" s="163">
        <f t="shared" si="113"/>
        <v>0</v>
      </c>
      <c r="U226" s="163">
        <f t="shared" si="113"/>
        <v>0</v>
      </c>
      <c r="V226" s="163">
        <f t="shared" si="113"/>
        <v>0</v>
      </c>
      <c r="W226" s="163">
        <f t="shared" si="113"/>
        <v>0</v>
      </c>
      <c r="X226" s="163">
        <f t="shared" si="113"/>
        <v>0</v>
      </c>
      <c r="Y226" s="163">
        <f t="shared" si="113"/>
        <v>0</v>
      </c>
      <c r="Z226" s="163">
        <f t="shared" si="113"/>
        <v>0</v>
      </c>
      <c r="AA226" s="163">
        <f t="shared" si="113"/>
        <v>0</v>
      </c>
      <c r="AB226" s="163">
        <f t="shared" si="113"/>
        <v>0</v>
      </c>
      <c r="AC226" s="163">
        <f t="shared" si="113"/>
        <v>0</v>
      </c>
      <c r="AD226" s="163">
        <f t="shared" si="113"/>
        <v>0</v>
      </c>
      <c r="AE226" s="163">
        <f t="shared" si="113"/>
        <v>0</v>
      </c>
      <c r="AF226" s="163">
        <f t="shared" si="113"/>
        <v>0</v>
      </c>
      <c r="AG226" s="163">
        <f t="shared" si="113"/>
        <v>0</v>
      </c>
      <c r="AH226" s="163">
        <f t="shared" si="113"/>
        <v>0</v>
      </c>
      <c r="AI226" s="163">
        <f t="shared" si="113"/>
        <v>0</v>
      </c>
      <c r="AJ226" s="163">
        <f t="shared" si="113"/>
        <v>0</v>
      </c>
      <c r="AK226" s="163">
        <f t="shared" si="113"/>
        <v>0</v>
      </c>
      <c r="AL226" s="163">
        <f t="shared" si="113"/>
        <v>0</v>
      </c>
      <c r="AM226" s="163">
        <f t="shared" si="113"/>
        <v>0</v>
      </c>
      <c r="AN226" s="163">
        <f t="shared" si="113"/>
        <v>0</v>
      </c>
      <c r="AO226" s="163">
        <f t="shared" si="113"/>
        <v>0</v>
      </c>
    </row>
    <row r="227" spans="3:43" x14ac:dyDescent="0.3">
      <c r="C227" s="29"/>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row>
    <row r="228" spans="3:43" x14ac:dyDescent="0.3">
      <c r="C228" s="29"/>
      <c r="E228" t="s">
        <v>1052</v>
      </c>
      <c r="G228" t="s">
        <v>936</v>
      </c>
      <c r="J228" s="163">
        <f t="shared" ref="J228:AO228" si="114">J226 * days_in_year / hundred * J153</f>
        <v>0</v>
      </c>
      <c r="K228" s="163">
        <f t="shared" si="114"/>
        <v>0</v>
      </c>
      <c r="L228" s="163">
        <f t="shared" si="114"/>
        <v>0</v>
      </c>
      <c r="M228" s="163">
        <f t="shared" si="114"/>
        <v>0</v>
      </c>
      <c r="N228" s="163">
        <f t="shared" si="114"/>
        <v>0</v>
      </c>
      <c r="O228" s="163">
        <f t="shared" si="114"/>
        <v>0</v>
      </c>
      <c r="P228" s="163">
        <f t="shared" si="114"/>
        <v>0</v>
      </c>
      <c r="Q228" s="163">
        <f t="shared" si="114"/>
        <v>0</v>
      </c>
      <c r="R228" s="163">
        <f t="shared" si="114"/>
        <v>0</v>
      </c>
      <c r="S228" s="163">
        <f t="shared" si="114"/>
        <v>0</v>
      </c>
      <c r="T228" s="163">
        <f t="shared" si="114"/>
        <v>0</v>
      </c>
      <c r="U228" s="163">
        <f t="shared" si="114"/>
        <v>0</v>
      </c>
      <c r="V228" s="163">
        <f t="shared" si="114"/>
        <v>0</v>
      </c>
      <c r="W228" s="163">
        <f t="shared" si="114"/>
        <v>0</v>
      </c>
      <c r="X228" s="163">
        <f t="shared" si="114"/>
        <v>0</v>
      </c>
      <c r="Y228" s="163">
        <f t="shared" si="114"/>
        <v>0</v>
      </c>
      <c r="Z228" s="163">
        <f t="shared" si="114"/>
        <v>0</v>
      </c>
      <c r="AA228" s="163">
        <f t="shared" si="114"/>
        <v>0</v>
      </c>
      <c r="AB228" s="163">
        <f t="shared" si="114"/>
        <v>0</v>
      </c>
      <c r="AC228" s="163">
        <f t="shared" si="114"/>
        <v>0</v>
      </c>
      <c r="AD228" s="163">
        <f t="shared" si="114"/>
        <v>0</v>
      </c>
      <c r="AE228" s="163">
        <f t="shared" si="114"/>
        <v>0</v>
      </c>
      <c r="AF228" s="163">
        <f t="shared" si="114"/>
        <v>0</v>
      </c>
      <c r="AG228" s="163">
        <f t="shared" si="114"/>
        <v>0</v>
      </c>
      <c r="AH228" s="163">
        <f t="shared" si="114"/>
        <v>0</v>
      </c>
      <c r="AI228" s="163">
        <f t="shared" si="114"/>
        <v>0</v>
      </c>
      <c r="AJ228" s="163">
        <f t="shared" si="114"/>
        <v>0</v>
      </c>
      <c r="AK228" s="163">
        <f t="shared" si="114"/>
        <v>0</v>
      </c>
      <c r="AL228" s="163">
        <f t="shared" si="114"/>
        <v>0</v>
      </c>
      <c r="AM228" s="163">
        <f t="shared" si="114"/>
        <v>0</v>
      </c>
      <c r="AN228" s="163">
        <f t="shared" si="114"/>
        <v>0</v>
      </c>
      <c r="AO228" s="163">
        <f t="shared" si="114"/>
        <v>0</v>
      </c>
    </row>
    <row r="229" spans="3:43" x14ac:dyDescent="0.3">
      <c r="C229" s="29"/>
      <c r="D229"/>
      <c r="E229"/>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row>
    <row r="230" spans="3:43" x14ac:dyDescent="0.3">
      <c r="C230" s="29"/>
      <c r="D230"/>
      <c r="E230" t="s">
        <v>1053</v>
      </c>
      <c r="G230" t="s">
        <v>936</v>
      </c>
      <c r="H230" s="89">
        <f>SUM(J228:AO228)</f>
        <v>0</v>
      </c>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row>
    <row r="231" spans="3:43" x14ac:dyDescent="0.3">
      <c r="C231" s="29"/>
      <c r="D231"/>
      <c r="E231"/>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row>
    <row r="232" spans="3:43" x14ac:dyDescent="0.3">
      <c r="C232" s="31" t="str">
        <f ca="1">INDEX('Version control'!$H$34:$H$57,MATCH($A$1,'Version control'!$F$34:$F$57,0),1)&amp;"-J: Ranking unit rate volumes and tariffs"</f>
        <v>Section 116-J: Ranking unit rate volumes and tariffs</v>
      </c>
      <c r="D232" s="31"/>
      <c r="E232" s="31"/>
      <c r="F232" s="31"/>
      <c r="G232" s="31"/>
      <c r="H232" s="31"/>
      <c r="I232" s="31"/>
      <c r="J232" s="189"/>
      <c r="K232" s="189"/>
      <c r="L232" s="189"/>
      <c r="M232" s="189"/>
      <c r="N232" s="189"/>
      <c r="O232" s="189"/>
      <c r="P232" s="189"/>
      <c r="Q232" s="189"/>
      <c r="R232" s="189"/>
      <c r="S232" s="189"/>
      <c r="T232" s="189"/>
      <c r="U232" s="189"/>
      <c r="V232" s="189"/>
      <c r="W232" s="189"/>
      <c r="X232" s="189"/>
      <c r="Y232" s="189"/>
      <c r="Z232" s="189"/>
      <c r="AA232" s="189"/>
      <c r="AB232" s="189"/>
      <c r="AC232" s="189"/>
      <c r="AD232" s="189"/>
      <c r="AE232" s="189"/>
      <c r="AF232" s="189"/>
      <c r="AG232" s="189"/>
      <c r="AH232" s="189"/>
      <c r="AI232" s="189"/>
      <c r="AJ232" s="189"/>
      <c r="AK232" s="189"/>
      <c r="AL232" s="189"/>
      <c r="AM232" s="189"/>
      <c r="AN232" s="189"/>
      <c r="AO232" s="189"/>
    </row>
    <row r="233" spans="3:43" x14ac:dyDescent="0.3">
      <c r="C233" s="29"/>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row>
    <row r="234" spans="3:43" x14ac:dyDescent="0.3">
      <c r="C234" s="29"/>
      <c r="D234" s="29" t="s">
        <v>1054</v>
      </c>
      <c r="I234" t="s">
        <v>154</v>
      </c>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Q234" t="s">
        <v>1128</v>
      </c>
    </row>
    <row r="235" spans="3:43" x14ac:dyDescent="0.3">
      <c r="C235" s="29"/>
      <c r="D235" s="29" t="s">
        <v>1055</v>
      </c>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row>
    <row r="236" spans="3:43" x14ac:dyDescent="0.3">
      <c r="C236" s="29"/>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row>
    <row r="237" spans="3:43" x14ac:dyDescent="0.3">
      <c r="C237" s="29"/>
      <c r="E237" s="410" t="s">
        <v>1056</v>
      </c>
      <c r="G237" t="s">
        <v>912</v>
      </c>
      <c r="J237" s="14" t="b">
        <f>J228&lt;0</f>
        <v>0</v>
      </c>
      <c r="K237" s="14" t="b">
        <f t="shared" ref="K237:AO237" si="115">K228&lt;0</f>
        <v>0</v>
      </c>
      <c r="L237" s="14" t="b">
        <f t="shared" si="115"/>
        <v>0</v>
      </c>
      <c r="M237" s="14" t="b">
        <f t="shared" si="115"/>
        <v>0</v>
      </c>
      <c r="N237" s="14" t="b">
        <f t="shared" si="115"/>
        <v>0</v>
      </c>
      <c r="O237" s="14" t="b">
        <f t="shared" si="115"/>
        <v>0</v>
      </c>
      <c r="P237" s="14" t="b">
        <f t="shared" si="115"/>
        <v>0</v>
      </c>
      <c r="Q237" s="14" t="b">
        <f t="shared" si="115"/>
        <v>0</v>
      </c>
      <c r="R237" s="14" t="b">
        <f t="shared" si="115"/>
        <v>0</v>
      </c>
      <c r="S237" s="14" t="b">
        <f t="shared" si="115"/>
        <v>0</v>
      </c>
      <c r="T237" s="14" t="b">
        <f t="shared" si="115"/>
        <v>0</v>
      </c>
      <c r="U237" s="14" t="b">
        <f t="shared" si="115"/>
        <v>0</v>
      </c>
      <c r="V237" s="14" t="b">
        <f t="shared" si="115"/>
        <v>0</v>
      </c>
      <c r="W237" s="14" t="b">
        <f t="shared" si="115"/>
        <v>0</v>
      </c>
      <c r="X237" s="14" t="b">
        <f t="shared" si="115"/>
        <v>0</v>
      </c>
      <c r="Y237" s="14" t="b">
        <f t="shared" si="115"/>
        <v>0</v>
      </c>
      <c r="Z237" s="14" t="b">
        <f t="shared" si="115"/>
        <v>0</v>
      </c>
      <c r="AA237" s="14" t="b">
        <f t="shared" si="115"/>
        <v>0</v>
      </c>
      <c r="AB237" s="14" t="b">
        <f t="shared" si="115"/>
        <v>0</v>
      </c>
      <c r="AC237" s="14" t="b">
        <f t="shared" si="115"/>
        <v>0</v>
      </c>
      <c r="AD237" s="14" t="b">
        <f t="shared" si="115"/>
        <v>0</v>
      </c>
      <c r="AE237" s="14" t="b">
        <f t="shared" si="115"/>
        <v>0</v>
      </c>
      <c r="AF237" s="14" t="b">
        <f t="shared" si="115"/>
        <v>0</v>
      </c>
      <c r="AG237" s="14" t="b">
        <f t="shared" si="115"/>
        <v>0</v>
      </c>
      <c r="AH237" s="14" t="b">
        <f t="shared" si="115"/>
        <v>0</v>
      </c>
      <c r="AI237" s="14" t="b">
        <f t="shared" si="115"/>
        <v>0</v>
      </c>
      <c r="AJ237" s="14" t="b">
        <f t="shared" si="115"/>
        <v>0</v>
      </c>
      <c r="AK237" s="14" t="b">
        <f t="shared" si="115"/>
        <v>0</v>
      </c>
      <c r="AL237" s="14" t="b">
        <f t="shared" si="115"/>
        <v>0</v>
      </c>
      <c r="AM237" s="14" t="b">
        <f t="shared" si="115"/>
        <v>0</v>
      </c>
      <c r="AN237" s="14" t="b">
        <f t="shared" si="115"/>
        <v>0</v>
      </c>
      <c r="AO237" s="14" t="b">
        <f t="shared" si="115"/>
        <v>0</v>
      </c>
    </row>
    <row r="238" spans="3:43" x14ac:dyDescent="0.3">
      <c r="C238" s="29"/>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row>
    <row r="239" spans="3:43" x14ac:dyDescent="0.3">
      <c r="C239" s="29"/>
      <c r="E239" s="29" t="s">
        <v>1057</v>
      </c>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row>
    <row r="240" spans="3:43" x14ac:dyDescent="0.3">
      <c r="C240" s="29"/>
      <c r="E240" s="29" t="s">
        <v>1058</v>
      </c>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row>
    <row r="241" spans="3:43" x14ac:dyDescent="0.3">
      <c r="C241" s="29"/>
      <c r="E241" s="29" t="s">
        <v>1059</v>
      </c>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row>
    <row r="242" spans="3:43" x14ac:dyDescent="0.3">
      <c r="C242" s="29"/>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row>
    <row r="243" spans="3:43" x14ac:dyDescent="0.3">
      <c r="C243" s="29"/>
      <c r="E243" s="32" t="s">
        <v>1060</v>
      </c>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row>
    <row r="244" spans="3:43" x14ac:dyDescent="0.3">
      <c r="C244" s="29"/>
      <c r="F244" s="23" t="s">
        <v>1061</v>
      </c>
      <c r="G244" s="23" t="s">
        <v>149</v>
      </c>
      <c r="H244" s="325">
        <v>1</v>
      </c>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row>
    <row r="245" spans="3:43" x14ac:dyDescent="0.3">
      <c r="C245" s="29"/>
      <c r="F245" t="s">
        <v>1062</v>
      </c>
      <c r="G245" t="s">
        <v>149</v>
      </c>
      <c r="H245" s="337">
        <v>2</v>
      </c>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row>
    <row r="246" spans="3:43" x14ac:dyDescent="0.3">
      <c r="C246" s="29"/>
      <c r="F246" s="37" t="s">
        <v>1063</v>
      </c>
      <c r="G246" s="37" t="s">
        <v>149</v>
      </c>
      <c r="H246" s="326">
        <v>3</v>
      </c>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row>
    <row r="247" spans="3:43" x14ac:dyDescent="0.3">
      <c r="C247" s="29"/>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row>
    <row r="248" spans="3:43" x14ac:dyDescent="0.3">
      <c r="C248" s="29"/>
      <c r="E248" s="32" t="s">
        <v>1064</v>
      </c>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row>
    <row r="249" spans="3:43" x14ac:dyDescent="0.3">
      <c r="C249" s="29"/>
      <c r="F249" s="23" t="s">
        <v>1061</v>
      </c>
      <c r="G249" s="23" t="s">
        <v>269</v>
      </c>
      <c r="H249" s="23"/>
      <c r="I249" s="23"/>
      <c r="J249" s="411">
        <f t="shared" ref="J249:AO249" si="116">IF(J$237, SMALL(J$40:J$42,$H244), 0)</f>
        <v>0</v>
      </c>
      <c r="K249" s="411">
        <f t="shared" si="116"/>
        <v>0</v>
      </c>
      <c r="L249" s="411">
        <f t="shared" si="116"/>
        <v>0</v>
      </c>
      <c r="M249" s="411">
        <f t="shared" si="116"/>
        <v>0</v>
      </c>
      <c r="N249" s="411">
        <f t="shared" si="116"/>
        <v>0</v>
      </c>
      <c r="O249" s="411">
        <f t="shared" si="116"/>
        <v>0</v>
      </c>
      <c r="P249" s="411">
        <f t="shared" si="116"/>
        <v>0</v>
      </c>
      <c r="Q249" s="411">
        <f t="shared" si="116"/>
        <v>0</v>
      </c>
      <c r="R249" s="411">
        <f t="shared" si="116"/>
        <v>0</v>
      </c>
      <c r="S249" s="411">
        <f t="shared" si="116"/>
        <v>0</v>
      </c>
      <c r="T249" s="411">
        <f t="shared" si="116"/>
        <v>0</v>
      </c>
      <c r="U249" s="411">
        <f t="shared" si="116"/>
        <v>0</v>
      </c>
      <c r="V249" s="411">
        <f t="shared" si="116"/>
        <v>0</v>
      </c>
      <c r="W249" s="411">
        <f t="shared" si="116"/>
        <v>0</v>
      </c>
      <c r="X249" s="411">
        <f t="shared" si="116"/>
        <v>0</v>
      </c>
      <c r="Y249" s="411">
        <f t="shared" si="116"/>
        <v>0</v>
      </c>
      <c r="Z249" s="411">
        <f t="shared" si="116"/>
        <v>0</v>
      </c>
      <c r="AA249" s="411">
        <f t="shared" si="116"/>
        <v>0</v>
      </c>
      <c r="AB249" s="411">
        <f t="shared" si="116"/>
        <v>0</v>
      </c>
      <c r="AC249" s="411">
        <f t="shared" si="116"/>
        <v>0</v>
      </c>
      <c r="AD249" s="411">
        <f t="shared" si="116"/>
        <v>0</v>
      </c>
      <c r="AE249" s="411">
        <f t="shared" si="116"/>
        <v>0</v>
      </c>
      <c r="AF249" s="411">
        <f t="shared" si="116"/>
        <v>0</v>
      </c>
      <c r="AG249" s="411">
        <f t="shared" si="116"/>
        <v>0</v>
      </c>
      <c r="AH249" s="411">
        <f t="shared" si="116"/>
        <v>0</v>
      </c>
      <c r="AI249" s="411">
        <f t="shared" si="116"/>
        <v>0</v>
      </c>
      <c r="AJ249" s="411">
        <f t="shared" si="116"/>
        <v>0</v>
      </c>
      <c r="AK249" s="411">
        <f t="shared" si="116"/>
        <v>0</v>
      </c>
      <c r="AL249" s="411">
        <f t="shared" si="116"/>
        <v>0</v>
      </c>
      <c r="AM249" s="411">
        <f t="shared" si="116"/>
        <v>0</v>
      </c>
      <c r="AN249" s="411">
        <f t="shared" si="116"/>
        <v>0</v>
      </c>
      <c r="AO249" s="411">
        <f t="shared" si="116"/>
        <v>0</v>
      </c>
    </row>
    <row r="250" spans="3:43" x14ac:dyDescent="0.3">
      <c r="C250" s="29"/>
      <c r="F250" t="s">
        <v>1062</v>
      </c>
      <c r="G250" t="s">
        <v>269</v>
      </c>
      <c r="J250" s="338">
        <f t="shared" ref="J250:AO250" si="117">IF(J$237, SMALL(J$40:J$42,$H245), 0)</f>
        <v>0</v>
      </c>
      <c r="K250" s="338">
        <f t="shared" si="117"/>
        <v>0</v>
      </c>
      <c r="L250" s="338">
        <f t="shared" si="117"/>
        <v>0</v>
      </c>
      <c r="M250" s="338">
        <f t="shared" si="117"/>
        <v>0</v>
      </c>
      <c r="N250" s="338">
        <f t="shared" si="117"/>
        <v>0</v>
      </c>
      <c r="O250" s="338">
        <f t="shared" si="117"/>
        <v>0</v>
      </c>
      <c r="P250" s="338">
        <f t="shared" si="117"/>
        <v>0</v>
      </c>
      <c r="Q250" s="338">
        <f t="shared" si="117"/>
        <v>0</v>
      </c>
      <c r="R250" s="338">
        <f t="shared" si="117"/>
        <v>0</v>
      </c>
      <c r="S250" s="338">
        <f t="shared" si="117"/>
        <v>0</v>
      </c>
      <c r="T250" s="338">
        <f t="shared" si="117"/>
        <v>0</v>
      </c>
      <c r="U250" s="338">
        <f t="shared" si="117"/>
        <v>0</v>
      </c>
      <c r="V250" s="338">
        <f t="shared" si="117"/>
        <v>0</v>
      </c>
      <c r="W250" s="338">
        <f t="shared" si="117"/>
        <v>0</v>
      </c>
      <c r="X250" s="338">
        <f t="shared" si="117"/>
        <v>0</v>
      </c>
      <c r="Y250" s="338">
        <f t="shared" si="117"/>
        <v>0</v>
      </c>
      <c r="Z250" s="338">
        <f t="shared" si="117"/>
        <v>0</v>
      </c>
      <c r="AA250" s="338">
        <f t="shared" si="117"/>
        <v>0</v>
      </c>
      <c r="AB250" s="338">
        <f t="shared" si="117"/>
        <v>0</v>
      </c>
      <c r="AC250" s="338">
        <f t="shared" si="117"/>
        <v>0</v>
      </c>
      <c r="AD250" s="338">
        <f t="shared" si="117"/>
        <v>0</v>
      </c>
      <c r="AE250" s="338">
        <f t="shared" si="117"/>
        <v>0</v>
      </c>
      <c r="AF250" s="338">
        <f t="shared" si="117"/>
        <v>0</v>
      </c>
      <c r="AG250" s="338">
        <f t="shared" si="117"/>
        <v>0</v>
      </c>
      <c r="AH250" s="338">
        <f t="shared" si="117"/>
        <v>0</v>
      </c>
      <c r="AI250" s="338">
        <f t="shared" si="117"/>
        <v>0</v>
      </c>
      <c r="AJ250" s="338">
        <f t="shared" si="117"/>
        <v>0</v>
      </c>
      <c r="AK250" s="338">
        <f t="shared" si="117"/>
        <v>0</v>
      </c>
      <c r="AL250" s="338">
        <f t="shared" si="117"/>
        <v>0</v>
      </c>
      <c r="AM250" s="338">
        <f t="shared" si="117"/>
        <v>0</v>
      </c>
      <c r="AN250" s="338">
        <f t="shared" si="117"/>
        <v>0</v>
      </c>
      <c r="AO250" s="338">
        <f t="shared" si="117"/>
        <v>0</v>
      </c>
    </row>
    <row r="251" spans="3:43" x14ac:dyDescent="0.3">
      <c r="C251" s="29"/>
      <c r="F251" s="37" t="s">
        <v>1063</v>
      </c>
      <c r="G251" s="37" t="s">
        <v>269</v>
      </c>
      <c r="H251" s="37"/>
      <c r="I251" s="37"/>
      <c r="J251" s="412">
        <f t="shared" ref="J251:AO251" si="118">IF(J$237, SMALL(J$40:J$42,$H246), 0)</f>
        <v>0</v>
      </c>
      <c r="K251" s="412">
        <f t="shared" si="118"/>
        <v>0</v>
      </c>
      <c r="L251" s="412">
        <f t="shared" si="118"/>
        <v>0</v>
      </c>
      <c r="M251" s="412">
        <f t="shared" si="118"/>
        <v>0</v>
      </c>
      <c r="N251" s="412">
        <f t="shared" si="118"/>
        <v>0</v>
      </c>
      <c r="O251" s="412">
        <f t="shared" si="118"/>
        <v>0</v>
      </c>
      <c r="P251" s="412">
        <f t="shared" si="118"/>
        <v>0</v>
      </c>
      <c r="Q251" s="412">
        <f t="shared" si="118"/>
        <v>0</v>
      </c>
      <c r="R251" s="412">
        <f t="shared" si="118"/>
        <v>0</v>
      </c>
      <c r="S251" s="412">
        <f t="shared" si="118"/>
        <v>0</v>
      </c>
      <c r="T251" s="412">
        <f t="shared" si="118"/>
        <v>0</v>
      </c>
      <c r="U251" s="412">
        <f t="shared" si="118"/>
        <v>0</v>
      </c>
      <c r="V251" s="412">
        <f t="shared" si="118"/>
        <v>0</v>
      </c>
      <c r="W251" s="412">
        <f t="shared" si="118"/>
        <v>0</v>
      </c>
      <c r="X251" s="412">
        <f t="shared" si="118"/>
        <v>0</v>
      </c>
      <c r="Y251" s="412">
        <f t="shared" si="118"/>
        <v>0</v>
      </c>
      <c r="Z251" s="412">
        <f t="shared" si="118"/>
        <v>0</v>
      </c>
      <c r="AA251" s="412">
        <f t="shared" si="118"/>
        <v>0</v>
      </c>
      <c r="AB251" s="412">
        <f t="shared" si="118"/>
        <v>0</v>
      </c>
      <c r="AC251" s="412">
        <f t="shared" si="118"/>
        <v>0</v>
      </c>
      <c r="AD251" s="412">
        <f t="shared" si="118"/>
        <v>0</v>
      </c>
      <c r="AE251" s="412">
        <f t="shared" si="118"/>
        <v>0</v>
      </c>
      <c r="AF251" s="412">
        <f t="shared" si="118"/>
        <v>0</v>
      </c>
      <c r="AG251" s="412">
        <f t="shared" si="118"/>
        <v>0</v>
      </c>
      <c r="AH251" s="412">
        <f t="shared" si="118"/>
        <v>0</v>
      </c>
      <c r="AI251" s="412">
        <f t="shared" si="118"/>
        <v>0</v>
      </c>
      <c r="AJ251" s="412">
        <f t="shared" si="118"/>
        <v>0</v>
      </c>
      <c r="AK251" s="412">
        <f t="shared" si="118"/>
        <v>0</v>
      </c>
      <c r="AL251" s="412">
        <f t="shared" si="118"/>
        <v>0</v>
      </c>
      <c r="AM251" s="412">
        <f t="shared" si="118"/>
        <v>0</v>
      </c>
      <c r="AN251" s="412">
        <f t="shared" si="118"/>
        <v>0</v>
      </c>
      <c r="AO251" s="412">
        <f t="shared" si="118"/>
        <v>0</v>
      </c>
    </row>
    <row r="252" spans="3:43" x14ac:dyDescent="0.3">
      <c r="C252" s="29"/>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row>
    <row r="253" spans="3:43" x14ac:dyDescent="0.3">
      <c r="C253" s="29"/>
      <c r="E253" s="2" t="s">
        <v>1065</v>
      </c>
      <c r="I253" t="s">
        <v>154</v>
      </c>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Q253" t="s">
        <v>1156</v>
      </c>
    </row>
    <row r="254" spans="3:43" x14ac:dyDescent="0.3">
      <c r="C254" s="29"/>
      <c r="E254" s="2" t="s">
        <v>1066</v>
      </c>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row>
    <row r="255" spans="3:43" x14ac:dyDescent="0.3">
      <c r="C255" s="29"/>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row>
    <row r="256" spans="3:43" x14ac:dyDescent="0.3">
      <c r="C256" s="29"/>
      <c r="E256" s="32" t="s">
        <v>1067</v>
      </c>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row>
    <row r="257" spans="3:41" x14ac:dyDescent="0.3">
      <c r="C257" s="29"/>
      <c r="F257" s="23" t="s">
        <v>1061</v>
      </c>
      <c r="G257" s="23" t="s">
        <v>269</v>
      </c>
      <c r="H257" s="23"/>
      <c r="I257" s="23"/>
      <c r="J257" s="411">
        <f t="array" ref="J257">MIN(IF($J$149:$AO$149=J$149,$J249:$AO249))</f>
        <v>0</v>
      </c>
      <c r="K257" s="411">
        <f t="array" ref="K257">MIN(IF($J$149:$AO$149=K$149,$J249:$AO249))</f>
        <v>0</v>
      </c>
      <c r="L257" s="411">
        <f t="array" ref="L257">MIN(IF($J$149:$AO$149=L$149,$J249:$AO249))</f>
        <v>0</v>
      </c>
      <c r="M257" s="411">
        <f t="array" ref="M257">MIN(IF($J$149:$AO$149=M$149,$J249:$AO249))</f>
        <v>0</v>
      </c>
      <c r="N257" s="411">
        <f t="array" ref="N257">MIN(IF($J$149:$AO$149=N$149,$J249:$AO249))</f>
        <v>0</v>
      </c>
      <c r="O257" s="411">
        <f t="array" ref="O257">MIN(IF($J$149:$AO$149=O$149,$J249:$AO249))</f>
        <v>0</v>
      </c>
      <c r="P257" s="411">
        <f t="array" ref="P257">MIN(IF($J$149:$AO$149=P$149,$J249:$AO249))</f>
        <v>0</v>
      </c>
      <c r="Q257" s="411">
        <f t="array" ref="Q257">MIN(IF($J$149:$AO$149=Q$149,$J249:$AO249))</f>
        <v>0</v>
      </c>
      <c r="R257" s="411">
        <f t="array" ref="R257">MIN(IF($J$149:$AO$149=R$149,$J249:$AO249))</f>
        <v>0</v>
      </c>
      <c r="S257" s="411">
        <f t="array" ref="S257">MIN(IF($J$149:$AO$149=S$149,$J249:$AO249))</f>
        <v>0</v>
      </c>
      <c r="T257" s="411">
        <f t="array" ref="T257">MIN(IF($J$149:$AO$149=T$149,$J249:$AO249))</f>
        <v>0</v>
      </c>
      <c r="U257" s="411">
        <f t="array" ref="U257">MIN(IF($J$149:$AO$149=U$149,$J249:$AO249))</f>
        <v>0</v>
      </c>
      <c r="V257" s="411">
        <f t="array" ref="V257">MIN(IF($J$149:$AO$149=V$149,$J249:$AO249))</f>
        <v>0</v>
      </c>
      <c r="W257" s="411">
        <f t="array" ref="W257">MIN(IF($J$149:$AO$149=W$149,$J249:$AO249))</f>
        <v>0</v>
      </c>
      <c r="X257" s="411">
        <f t="array" ref="X257">MIN(IF($J$149:$AO$149=X$149,$J249:$AO249))</f>
        <v>0</v>
      </c>
      <c r="Y257" s="411">
        <f t="array" ref="Y257">MIN(IF($J$149:$AO$149=Y$149,$J249:$AO249))</f>
        <v>0</v>
      </c>
      <c r="Z257" s="411">
        <f t="array" ref="Z257">MIN(IF($J$149:$AO$149=Z$149,$J249:$AO249))</f>
        <v>0</v>
      </c>
      <c r="AA257" s="411">
        <f t="array" ref="AA257">MIN(IF($J$149:$AO$149=AA$149,$J249:$AO249))</f>
        <v>0</v>
      </c>
      <c r="AB257" s="411">
        <f t="array" ref="AB257">MIN(IF($J$149:$AO$149=AB$149,$J249:$AO249))</f>
        <v>0</v>
      </c>
      <c r="AC257" s="411">
        <f t="array" ref="AC257">MIN(IF($J$149:$AO$149=AC$149,$J249:$AO249))</f>
        <v>0</v>
      </c>
      <c r="AD257" s="411">
        <f t="array" ref="AD257">MIN(IF($J$149:$AO$149=AD$149,$J249:$AO249))</f>
        <v>0</v>
      </c>
      <c r="AE257" s="411">
        <f t="array" ref="AE257">MIN(IF($J$149:$AO$149=AE$149,$J249:$AO249))</f>
        <v>0</v>
      </c>
      <c r="AF257" s="411">
        <f t="array" ref="AF257">MIN(IF($J$149:$AO$149=AF$149,$J249:$AO249))</f>
        <v>0</v>
      </c>
      <c r="AG257" s="411">
        <f t="array" ref="AG257">MIN(IF($J$149:$AO$149=AG$149,$J249:$AO249))</f>
        <v>0</v>
      </c>
      <c r="AH257" s="411">
        <f t="array" ref="AH257">MIN(IF($J$149:$AO$149=AH$149,$J249:$AO249))</f>
        <v>0</v>
      </c>
      <c r="AI257" s="411">
        <f t="array" ref="AI257">MIN(IF($J$149:$AO$149=AI$149,$J249:$AO249))</f>
        <v>0</v>
      </c>
      <c r="AJ257" s="411">
        <f t="array" ref="AJ257">MIN(IF($J$149:$AO$149=AJ$149,$J249:$AO249))</f>
        <v>0</v>
      </c>
      <c r="AK257" s="411">
        <f t="array" ref="AK257">MIN(IF($J$149:$AO$149=AK$149,$J249:$AO249))</f>
        <v>0</v>
      </c>
      <c r="AL257" s="411">
        <f t="array" ref="AL257">MIN(IF($J$149:$AO$149=AL$149,$J249:$AO249))</f>
        <v>0</v>
      </c>
      <c r="AM257" s="411">
        <f t="array" ref="AM257">MIN(IF($J$149:$AO$149=AM$149,$J249:$AO249))</f>
        <v>0</v>
      </c>
      <c r="AN257" s="411">
        <f t="array" ref="AN257">MIN(IF($J$149:$AO$149=AN$149,$J249:$AO249))</f>
        <v>0</v>
      </c>
      <c r="AO257" s="411">
        <f t="array" ref="AO257">MIN(IF($J$149:$AO$149=AO$149,$J249:$AO249))</f>
        <v>0</v>
      </c>
    </row>
    <row r="258" spans="3:41" x14ac:dyDescent="0.3">
      <c r="C258" s="29"/>
      <c r="F258" t="s">
        <v>1062</v>
      </c>
      <c r="G258" t="s">
        <v>269</v>
      </c>
      <c r="J258" s="338">
        <f t="array" ref="J258">MIN(IF($J$149:$AO$149=J$149,$J250:$AO250))</f>
        <v>0</v>
      </c>
      <c r="K258" s="338">
        <f t="array" ref="K258">MIN(IF($J$149:$AO$149=K$149,$J250:$AO250))</f>
        <v>0</v>
      </c>
      <c r="L258" s="338">
        <f t="array" ref="L258">MIN(IF($J$149:$AO$149=L$149,$J250:$AO250))</f>
        <v>0</v>
      </c>
      <c r="M258" s="338">
        <f t="array" ref="M258">MIN(IF($J$149:$AO$149=M$149,$J250:$AO250))</f>
        <v>0</v>
      </c>
      <c r="N258" s="338">
        <f t="array" ref="N258">MIN(IF($J$149:$AO$149=N$149,$J250:$AO250))</f>
        <v>0</v>
      </c>
      <c r="O258" s="338">
        <f t="array" ref="O258">MIN(IF($J$149:$AO$149=O$149,$J250:$AO250))</f>
        <v>0</v>
      </c>
      <c r="P258" s="338">
        <f t="array" ref="P258">MIN(IF($J$149:$AO$149=P$149,$J250:$AO250))</f>
        <v>0</v>
      </c>
      <c r="Q258" s="338">
        <f t="array" ref="Q258">MIN(IF($J$149:$AO$149=Q$149,$J250:$AO250))</f>
        <v>0</v>
      </c>
      <c r="R258" s="338">
        <f t="array" ref="R258">MIN(IF($J$149:$AO$149=R$149,$J250:$AO250))</f>
        <v>0</v>
      </c>
      <c r="S258" s="338">
        <f t="array" ref="S258">MIN(IF($J$149:$AO$149=S$149,$J250:$AO250))</f>
        <v>0</v>
      </c>
      <c r="T258" s="338">
        <f t="array" ref="T258">MIN(IF($J$149:$AO$149=T$149,$J250:$AO250))</f>
        <v>0</v>
      </c>
      <c r="U258" s="338">
        <f t="array" ref="U258">MIN(IF($J$149:$AO$149=U$149,$J250:$AO250))</f>
        <v>0</v>
      </c>
      <c r="V258" s="338">
        <f t="array" ref="V258">MIN(IF($J$149:$AO$149=V$149,$J250:$AO250))</f>
        <v>0</v>
      </c>
      <c r="W258" s="338">
        <f t="array" ref="W258">MIN(IF($J$149:$AO$149=W$149,$J250:$AO250))</f>
        <v>0</v>
      </c>
      <c r="X258" s="338">
        <f t="array" ref="X258">MIN(IF($J$149:$AO$149=X$149,$J250:$AO250))</f>
        <v>0</v>
      </c>
      <c r="Y258" s="338">
        <f t="array" ref="Y258">MIN(IF($J$149:$AO$149=Y$149,$J250:$AO250))</f>
        <v>0</v>
      </c>
      <c r="Z258" s="338">
        <f t="array" ref="Z258">MIN(IF($J$149:$AO$149=Z$149,$J250:$AO250))</f>
        <v>0</v>
      </c>
      <c r="AA258" s="338">
        <f t="array" ref="AA258">MIN(IF($J$149:$AO$149=AA$149,$J250:$AO250))</f>
        <v>0</v>
      </c>
      <c r="AB258" s="338">
        <f t="array" ref="AB258">MIN(IF($J$149:$AO$149=AB$149,$J250:$AO250))</f>
        <v>0</v>
      </c>
      <c r="AC258" s="338">
        <f t="array" ref="AC258">MIN(IF($J$149:$AO$149=AC$149,$J250:$AO250))</f>
        <v>0</v>
      </c>
      <c r="AD258" s="338">
        <f t="array" ref="AD258">MIN(IF($J$149:$AO$149=AD$149,$J250:$AO250))</f>
        <v>0</v>
      </c>
      <c r="AE258" s="338">
        <f t="array" ref="AE258">MIN(IF($J$149:$AO$149=AE$149,$J250:$AO250))</f>
        <v>0</v>
      </c>
      <c r="AF258" s="338">
        <f t="array" ref="AF258">MIN(IF($J$149:$AO$149=AF$149,$J250:$AO250))</f>
        <v>0</v>
      </c>
      <c r="AG258" s="338">
        <f t="array" ref="AG258">MIN(IF($J$149:$AO$149=AG$149,$J250:$AO250))</f>
        <v>0</v>
      </c>
      <c r="AH258" s="338">
        <f t="array" ref="AH258">MIN(IF($J$149:$AO$149=AH$149,$J250:$AO250))</f>
        <v>0</v>
      </c>
      <c r="AI258" s="338">
        <f t="array" ref="AI258">MIN(IF($J$149:$AO$149=AI$149,$J250:$AO250))</f>
        <v>0</v>
      </c>
      <c r="AJ258" s="338">
        <f t="array" ref="AJ258">MIN(IF($J$149:$AO$149=AJ$149,$J250:$AO250))</f>
        <v>0</v>
      </c>
      <c r="AK258" s="338">
        <f t="array" ref="AK258">MIN(IF($J$149:$AO$149=AK$149,$J250:$AO250))</f>
        <v>0</v>
      </c>
      <c r="AL258" s="338">
        <f t="array" ref="AL258">MIN(IF($J$149:$AO$149=AL$149,$J250:$AO250))</f>
        <v>0</v>
      </c>
      <c r="AM258" s="338">
        <f t="array" ref="AM258">MIN(IF($J$149:$AO$149=AM$149,$J250:$AO250))</f>
        <v>0</v>
      </c>
      <c r="AN258" s="338">
        <f t="array" ref="AN258">MIN(IF($J$149:$AO$149=AN$149,$J250:$AO250))</f>
        <v>0</v>
      </c>
      <c r="AO258" s="338">
        <f t="array" ref="AO258">MIN(IF($J$149:$AO$149=AO$149,$J250:$AO250))</f>
        <v>0</v>
      </c>
    </row>
    <row r="259" spans="3:41" x14ac:dyDescent="0.3">
      <c r="C259" s="29"/>
      <c r="F259" s="37" t="s">
        <v>1063</v>
      </c>
      <c r="G259" s="37" t="s">
        <v>269</v>
      </c>
      <c r="H259" s="37"/>
      <c r="I259" s="37"/>
      <c r="J259" s="412">
        <f t="array" ref="J259">MIN(IF($J$149:$AO$149=J$149,$J251:$AO251))</f>
        <v>0</v>
      </c>
      <c r="K259" s="412">
        <f t="array" ref="K259">MIN(IF($J$149:$AO$149=K$149,$J251:$AO251))</f>
        <v>0</v>
      </c>
      <c r="L259" s="412">
        <f t="array" ref="L259">MIN(IF($J$149:$AO$149=L$149,$J251:$AO251))</f>
        <v>0</v>
      </c>
      <c r="M259" s="412">
        <f t="array" ref="M259">MIN(IF($J$149:$AO$149=M$149,$J251:$AO251))</f>
        <v>0</v>
      </c>
      <c r="N259" s="412">
        <f t="array" ref="N259">MIN(IF($J$149:$AO$149=N$149,$J251:$AO251))</f>
        <v>0</v>
      </c>
      <c r="O259" s="412">
        <f t="array" ref="O259">MIN(IF($J$149:$AO$149=O$149,$J251:$AO251))</f>
        <v>0</v>
      </c>
      <c r="P259" s="412">
        <f t="array" ref="P259">MIN(IF($J$149:$AO$149=P$149,$J251:$AO251))</f>
        <v>0</v>
      </c>
      <c r="Q259" s="412">
        <f t="array" ref="Q259">MIN(IF($J$149:$AO$149=Q$149,$J251:$AO251))</f>
        <v>0</v>
      </c>
      <c r="R259" s="412">
        <f t="array" ref="R259">MIN(IF($J$149:$AO$149=R$149,$J251:$AO251))</f>
        <v>0</v>
      </c>
      <c r="S259" s="412">
        <f t="array" ref="S259">MIN(IF($J$149:$AO$149=S$149,$J251:$AO251))</f>
        <v>0</v>
      </c>
      <c r="T259" s="412">
        <f t="array" ref="T259">MIN(IF($J$149:$AO$149=T$149,$J251:$AO251))</f>
        <v>0</v>
      </c>
      <c r="U259" s="412">
        <f t="array" ref="U259">MIN(IF($J$149:$AO$149=U$149,$J251:$AO251))</f>
        <v>0</v>
      </c>
      <c r="V259" s="412">
        <f t="array" ref="V259">MIN(IF($J$149:$AO$149=V$149,$J251:$AO251))</f>
        <v>0</v>
      </c>
      <c r="W259" s="412">
        <f t="array" ref="W259">MIN(IF($J$149:$AO$149=W$149,$J251:$AO251))</f>
        <v>0</v>
      </c>
      <c r="X259" s="412">
        <f t="array" ref="X259">MIN(IF($J$149:$AO$149=X$149,$J251:$AO251))</f>
        <v>0</v>
      </c>
      <c r="Y259" s="412">
        <f t="array" ref="Y259">MIN(IF($J$149:$AO$149=Y$149,$J251:$AO251))</f>
        <v>0</v>
      </c>
      <c r="Z259" s="412">
        <f t="array" ref="Z259">MIN(IF($J$149:$AO$149=Z$149,$J251:$AO251))</f>
        <v>0</v>
      </c>
      <c r="AA259" s="412">
        <f t="array" ref="AA259">MIN(IF($J$149:$AO$149=AA$149,$J251:$AO251))</f>
        <v>0</v>
      </c>
      <c r="AB259" s="412">
        <f t="array" ref="AB259">MIN(IF($J$149:$AO$149=AB$149,$J251:$AO251))</f>
        <v>0</v>
      </c>
      <c r="AC259" s="412">
        <f t="array" ref="AC259">MIN(IF($J$149:$AO$149=AC$149,$J251:$AO251))</f>
        <v>0</v>
      </c>
      <c r="AD259" s="412">
        <f t="array" ref="AD259">MIN(IF($J$149:$AO$149=AD$149,$J251:$AO251))</f>
        <v>0</v>
      </c>
      <c r="AE259" s="412">
        <f t="array" ref="AE259">MIN(IF($J$149:$AO$149=AE$149,$J251:$AO251))</f>
        <v>0</v>
      </c>
      <c r="AF259" s="412">
        <f t="array" ref="AF259">MIN(IF($J$149:$AO$149=AF$149,$J251:$AO251))</f>
        <v>0</v>
      </c>
      <c r="AG259" s="412">
        <f t="array" ref="AG259">MIN(IF($J$149:$AO$149=AG$149,$J251:$AO251))</f>
        <v>0</v>
      </c>
      <c r="AH259" s="412">
        <f t="array" ref="AH259">MIN(IF($J$149:$AO$149=AH$149,$J251:$AO251))</f>
        <v>0</v>
      </c>
      <c r="AI259" s="412">
        <f t="array" ref="AI259">MIN(IF($J$149:$AO$149=AI$149,$J251:$AO251))</f>
        <v>0</v>
      </c>
      <c r="AJ259" s="412">
        <f t="array" ref="AJ259">MIN(IF($J$149:$AO$149=AJ$149,$J251:$AO251))</f>
        <v>0</v>
      </c>
      <c r="AK259" s="412">
        <f t="array" ref="AK259">MIN(IF($J$149:$AO$149=AK$149,$J251:$AO251))</f>
        <v>0</v>
      </c>
      <c r="AL259" s="412">
        <f t="array" ref="AL259">MIN(IF($J$149:$AO$149=AL$149,$J251:$AO251))</f>
        <v>0</v>
      </c>
      <c r="AM259" s="412">
        <f t="array" ref="AM259">MIN(IF($J$149:$AO$149=AM$149,$J251:$AO251))</f>
        <v>0</v>
      </c>
      <c r="AN259" s="412">
        <f t="array" ref="AN259">MIN(IF($J$149:$AO$149=AN$149,$J251:$AO251))</f>
        <v>0</v>
      </c>
      <c r="AO259" s="412">
        <f t="array" ref="AO259">MIN(IF($J$149:$AO$149=AO$149,$J251:$AO251))</f>
        <v>0</v>
      </c>
    </row>
    <row r="260" spans="3:41" x14ac:dyDescent="0.3">
      <c r="C260" s="29"/>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row>
    <row r="261" spans="3:41" x14ac:dyDescent="0.3">
      <c r="C261" s="29"/>
      <c r="E261" s="32" t="s">
        <v>1068</v>
      </c>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row>
    <row r="262" spans="3:41" x14ac:dyDescent="0.3">
      <c r="C262" s="29"/>
      <c r="F262" s="23" t="s">
        <v>1061</v>
      </c>
      <c r="G262" s="23" t="s">
        <v>269</v>
      </c>
      <c r="H262" s="23"/>
      <c r="I262" s="23"/>
      <c r="J262" s="411">
        <f xml:space="preserve"> - J257</f>
        <v>0</v>
      </c>
      <c r="K262" s="411">
        <f t="shared" ref="K262:AO262" si="119" xml:space="preserve"> - K257</f>
        <v>0</v>
      </c>
      <c r="L262" s="411">
        <f t="shared" si="119"/>
        <v>0</v>
      </c>
      <c r="M262" s="411">
        <f t="shared" si="119"/>
        <v>0</v>
      </c>
      <c r="N262" s="411">
        <f t="shared" si="119"/>
        <v>0</v>
      </c>
      <c r="O262" s="411">
        <f t="shared" si="119"/>
        <v>0</v>
      </c>
      <c r="P262" s="411">
        <f t="shared" si="119"/>
        <v>0</v>
      </c>
      <c r="Q262" s="411">
        <f t="shared" si="119"/>
        <v>0</v>
      </c>
      <c r="R262" s="411">
        <f t="shared" si="119"/>
        <v>0</v>
      </c>
      <c r="S262" s="411">
        <f t="shared" si="119"/>
        <v>0</v>
      </c>
      <c r="T262" s="411">
        <f t="shared" si="119"/>
        <v>0</v>
      </c>
      <c r="U262" s="411">
        <f t="shared" si="119"/>
        <v>0</v>
      </c>
      <c r="V262" s="411">
        <f t="shared" si="119"/>
        <v>0</v>
      </c>
      <c r="W262" s="411">
        <f t="shared" si="119"/>
        <v>0</v>
      </c>
      <c r="X262" s="411">
        <f t="shared" si="119"/>
        <v>0</v>
      </c>
      <c r="Y262" s="411">
        <f t="shared" si="119"/>
        <v>0</v>
      </c>
      <c r="Z262" s="411">
        <f t="shared" si="119"/>
        <v>0</v>
      </c>
      <c r="AA262" s="411">
        <f t="shared" si="119"/>
        <v>0</v>
      </c>
      <c r="AB262" s="411">
        <f t="shared" si="119"/>
        <v>0</v>
      </c>
      <c r="AC262" s="411">
        <f t="shared" si="119"/>
        <v>0</v>
      </c>
      <c r="AD262" s="411">
        <f t="shared" si="119"/>
        <v>0</v>
      </c>
      <c r="AE262" s="411">
        <f t="shared" si="119"/>
        <v>0</v>
      </c>
      <c r="AF262" s="411">
        <f t="shared" si="119"/>
        <v>0</v>
      </c>
      <c r="AG262" s="411">
        <f t="shared" si="119"/>
        <v>0</v>
      </c>
      <c r="AH262" s="411">
        <f t="shared" si="119"/>
        <v>0</v>
      </c>
      <c r="AI262" s="411">
        <f t="shared" si="119"/>
        <v>0</v>
      </c>
      <c r="AJ262" s="411">
        <f t="shared" si="119"/>
        <v>0</v>
      </c>
      <c r="AK262" s="411">
        <f t="shared" si="119"/>
        <v>0</v>
      </c>
      <c r="AL262" s="411">
        <f t="shared" si="119"/>
        <v>0</v>
      </c>
      <c r="AM262" s="411">
        <f t="shared" si="119"/>
        <v>0</v>
      </c>
      <c r="AN262" s="411">
        <f t="shared" si="119"/>
        <v>0</v>
      </c>
      <c r="AO262" s="411">
        <f t="shared" si="119"/>
        <v>0</v>
      </c>
    </row>
    <row r="263" spans="3:41" x14ac:dyDescent="0.3">
      <c r="C263" s="29"/>
      <c r="F263" t="s">
        <v>1062</v>
      </c>
      <c r="G263" t="s">
        <v>269</v>
      </c>
      <c r="J263" s="338">
        <f t="shared" ref="J263:AO264" si="120" xml:space="preserve"> - J258</f>
        <v>0</v>
      </c>
      <c r="K263" s="338">
        <f t="shared" si="120"/>
        <v>0</v>
      </c>
      <c r="L263" s="338">
        <f t="shared" si="120"/>
        <v>0</v>
      </c>
      <c r="M263" s="338">
        <f t="shared" si="120"/>
        <v>0</v>
      </c>
      <c r="N263" s="338">
        <f t="shared" si="120"/>
        <v>0</v>
      </c>
      <c r="O263" s="338">
        <f t="shared" si="120"/>
        <v>0</v>
      </c>
      <c r="P263" s="338">
        <f t="shared" si="120"/>
        <v>0</v>
      </c>
      <c r="Q263" s="338">
        <f t="shared" si="120"/>
        <v>0</v>
      </c>
      <c r="R263" s="338">
        <f t="shared" si="120"/>
        <v>0</v>
      </c>
      <c r="S263" s="338">
        <f t="shared" si="120"/>
        <v>0</v>
      </c>
      <c r="T263" s="338">
        <f t="shared" si="120"/>
        <v>0</v>
      </c>
      <c r="U263" s="338">
        <f t="shared" si="120"/>
        <v>0</v>
      </c>
      <c r="V263" s="338">
        <f t="shared" si="120"/>
        <v>0</v>
      </c>
      <c r="W263" s="338">
        <f t="shared" si="120"/>
        <v>0</v>
      </c>
      <c r="X263" s="338">
        <f t="shared" si="120"/>
        <v>0</v>
      </c>
      <c r="Y263" s="338">
        <f t="shared" si="120"/>
        <v>0</v>
      </c>
      <c r="Z263" s="338">
        <f t="shared" si="120"/>
        <v>0</v>
      </c>
      <c r="AA263" s="338">
        <f t="shared" si="120"/>
        <v>0</v>
      </c>
      <c r="AB263" s="338">
        <f t="shared" si="120"/>
        <v>0</v>
      </c>
      <c r="AC263" s="338">
        <f t="shared" si="120"/>
        <v>0</v>
      </c>
      <c r="AD263" s="338">
        <f t="shared" si="120"/>
        <v>0</v>
      </c>
      <c r="AE263" s="338">
        <f t="shared" si="120"/>
        <v>0</v>
      </c>
      <c r="AF263" s="338">
        <f t="shared" si="120"/>
        <v>0</v>
      </c>
      <c r="AG263" s="338">
        <f t="shared" si="120"/>
        <v>0</v>
      </c>
      <c r="AH263" s="338">
        <f t="shared" si="120"/>
        <v>0</v>
      </c>
      <c r="AI263" s="338">
        <f t="shared" si="120"/>
        <v>0</v>
      </c>
      <c r="AJ263" s="338">
        <f t="shared" si="120"/>
        <v>0</v>
      </c>
      <c r="AK263" s="338">
        <f t="shared" si="120"/>
        <v>0</v>
      </c>
      <c r="AL263" s="338">
        <f t="shared" si="120"/>
        <v>0</v>
      </c>
      <c r="AM263" s="338">
        <f t="shared" si="120"/>
        <v>0</v>
      </c>
      <c r="AN263" s="338">
        <f t="shared" si="120"/>
        <v>0</v>
      </c>
      <c r="AO263" s="338">
        <f t="shared" si="120"/>
        <v>0</v>
      </c>
    </row>
    <row r="264" spans="3:41" x14ac:dyDescent="0.3">
      <c r="C264" s="29"/>
      <c r="F264" s="37" t="s">
        <v>1063</v>
      </c>
      <c r="G264" s="37" t="s">
        <v>269</v>
      </c>
      <c r="H264" s="37"/>
      <c r="I264" s="37"/>
      <c r="J264" s="412">
        <f t="shared" si="120"/>
        <v>0</v>
      </c>
      <c r="K264" s="412">
        <f t="shared" si="120"/>
        <v>0</v>
      </c>
      <c r="L264" s="412">
        <f t="shared" si="120"/>
        <v>0</v>
      </c>
      <c r="M264" s="412">
        <f t="shared" si="120"/>
        <v>0</v>
      </c>
      <c r="N264" s="412">
        <f t="shared" si="120"/>
        <v>0</v>
      </c>
      <c r="O264" s="412">
        <f t="shared" si="120"/>
        <v>0</v>
      </c>
      <c r="P264" s="412">
        <f t="shared" si="120"/>
        <v>0</v>
      </c>
      <c r="Q264" s="412">
        <f t="shared" si="120"/>
        <v>0</v>
      </c>
      <c r="R264" s="412">
        <f t="shared" si="120"/>
        <v>0</v>
      </c>
      <c r="S264" s="412">
        <f t="shared" si="120"/>
        <v>0</v>
      </c>
      <c r="T264" s="412">
        <f t="shared" si="120"/>
        <v>0</v>
      </c>
      <c r="U264" s="412">
        <f t="shared" si="120"/>
        <v>0</v>
      </c>
      <c r="V264" s="412">
        <f t="shared" si="120"/>
        <v>0</v>
      </c>
      <c r="W264" s="412">
        <f t="shared" si="120"/>
        <v>0</v>
      </c>
      <c r="X264" s="412">
        <f t="shared" si="120"/>
        <v>0</v>
      </c>
      <c r="Y264" s="412">
        <f t="shared" si="120"/>
        <v>0</v>
      </c>
      <c r="Z264" s="412">
        <f t="shared" si="120"/>
        <v>0</v>
      </c>
      <c r="AA264" s="412">
        <f t="shared" si="120"/>
        <v>0</v>
      </c>
      <c r="AB264" s="412">
        <f t="shared" si="120"/>
        <v>0</v>
      </c>
      <c r="AC264" s="412">
        <f t="shared" si="120"/>
        <v>0</v>
      </c>
      <c r="AD264" s="412">
        <f t="shared" si="120"/>
        <v>0</v>
      </c>
      <c r="AE264" s="412">
        <f t="shared" si="120"/>
        <v>0</v>
      </c>
      <c r="AF264" s="412">
        <f t="shared" si="120"/>
        <v>0</v>
      </c>
      <c r="AG264" s="412">
        <f t="shared" si="120"/>
        <v>0</v>
      </c>
      <c r="AH264" s="412">
        <f t="shared" si="120"/>
        <v>0</v>
      </c>
      <c r="AI264" s="412">
        <f t="shared" si="120"/>
        <v>0</v>
      </c>
      <c r="AJ264" s="412">
        <f t="shared" si="120"/>
        <v>0</v>
      </c>
      <c r="AK264" s="412">
        <f t="shared" si="120"/>
        <v>0</v>
      </c>
      <c r="AL264" s="412">
        <f t="shared" si="120"/>
        <v>0</v>
      </c>
      <c r="AM264" s="412">
        <f t="shared" si="120"/>
        <v>0</v>
      </c>
      <c r="AN264" s="412">
        <f t="shared" si="120"/>
        <v>0</v>
      </c>
      <c r="AO264" s="412">
        <f t="shared" si="120"/>
        <v>0</v>
      </c>
    </row>
    <row r="265" spans="3:41" x14ac:dyDescent="0.3">
      <c r="C265" s="29"/>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row>
    <row r="266" spans="3:41" x14ac:dyDescent="0.3">
      <c r="C266" s="29"/>
      <c r="E266" s="32" t="s">
        <v>1069</v>
      </c>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row>
    <row r="267" spans="3:41" x14ac:dyDescent="0.3">
      <c r="C267" s="29"/>
      <c r="F267" s="23" t="s">
        <v>1061</v>
      </c>
      <c r="G267" s="23" t="s">
        <v>149</v>
      </c>
      <c r="H267" s="23"/>
      <c r="I267" s="23"/>
      <c r="J267" s="361">
        <f t="shared" ref="J267:AO267" si="121">IF(J$237,MATCH(J249,J$40:J$42,0), 0)</f>
        <v>0</v>
      </c>
      <c r="K267" s="361">
        <f t="shared" si="121"/>
        <v>0</v>
      </c>
      <c r="L267" s="361">
        <f t="shared" si="121"/>
        <v>0</v>
      </c>
      <c r="M267" s="361">
        <f t="shared" si="121"/>
        <v>0</v>
      </c>
      <c r="N267" s="361">
        <f t="shared" si="121"/>
        <v>0</v>
      </c>
      <c r="O267" s="361">
        <f t="shared" si="121"/>
        <v>0</v>
      </c>
      <c r="P267" s="361">
        <f t="shared" si="121"/>
        <v>0</v>
      </c>
      <c r="Q267" s="361">
        <f t="shared" si="121"/>
        <v>0</v>
      </c>
      <c r="R267" s="361">
        <f t="shared" si="121"/>
        <v>0</v>
      </c>
      <c r="S267" s="361">
        <f t="shared" si="121"/>
        <v>0</v>
      </c>
      <c r="T267" s="361">
        <f t="shared" si="121"/>
        <v>0</v>
      </c>
      <c r="U267" s="361">
        <f t="shared" si="121"/>
        <v>0</v>
      </c>
      <c r="V267" s="361">
        <f t="shared" si="121"/>
        <v>0</v>
      </c>
      <c r="W267" s="361">
        <f t="shared" si="121"/>
        <v>0</v>
      </c>
      <c r="X267" s="361">
        <f t="shared" si="121"/>
        <v>0</v>
      </c>
      <c r="Y267" s="361">
        <f t="shared" si="121"/>
        <v>0</v>
      </c>
      <c r="Z267" s="361">
        <f t="shared" si="121"/>
        <v>0</v>
      </c>
      <c r="AA267" s="361">
        <f t="shared" si="121"/>
        <v>0</v>
      </c>
      <c r="AB267" s="361">
        <f t="shared" si="121"/>
        <v>0</v>
      </c>
      <c r="AC267" s="361">
        <f t="shared" si="121"/>
        <v>0</v>
      </c>
      <c r="AD267" s="361">
        <f t="shared" si="121"/>
        <v>0</v>
      </c>
      <c r="AE267" s="361">
        <f t="shared" si="121"/>
        <v>0</v>
      </c>
      <c r="AF267" s="361">
        <f t="shared" si="121"/>
        <v>0</v>
      </c>
      <c r="AG267" s="361">
        <f t="shared" si="121"/>
        <v>0</v>
      </c>
      <c r="AH267" s="361">
        <f t="shared" si="121"/>
        <v>0</v>
      </c>
      <c r="AI267" s="361">
        <f t="shared" si="121"/>
        <v>0</v>
      </c>
      <c r="AJ267" s="361">
        <f t="shared" si="121"/>
        <v>0</v>
      </c>
      <c r="AK267" s="361">
        <f t="shared" si="121"/>
        <v>0</v>
      </c>
      <c r="AL267" s="361">
        <f t="shared" si="121"/>
        <v>0</v>
      </c>
      <c r="AM267" s="361">
        <f t="shared" si="121"/>
        <v>0</v>
      </c>
      <c r="AN267" s="361">
        <f t="shared" si="121"/>
        <v>0</v>
      </c>
      <c r="AO267" s="361">
        <f t="shared" si="121"/>
        <v>0</v>
      </c>
    </row>
    <row r="268" spans="3:41" x14ac:dyDescent="0.3">
      <c r="C268" s="29"/>
      <c r="F268" t="s">
        <v>1062</v>
      </c>
      <c r="G268" t="s">
        <v>149</v>
      </c>
      <c r="J268" s="334">
        <f t="shared" ref="J268:AO268" si="122">IF(J$237,MATCH(J250,J$40:J$42,0), 0)</f>
        <v>0</v>
      </c>
      <c r="K268" s="334">
        <f t="shared" si="122"/>
        <v>0</v>
      </c>
      <c r="L268" s="334">
        <f t="shared" si="122"/>
        <v>0</v>
      </c>
      <c r="M268" s="334">
        <f t="shared" si="122"/>
        <v>0</v>
      </c>
      <c r="N268" s="334">
        <f t="shared" si="122"/>
        <v>0</v>
      </c>
      <c r="O268" s="334">
        <f t="shared" si="122"/>
        <v>0</v>
      </c>
      <c r="P268" s="334">
        <f t="shared" si="122"/>
        <v>0</v>
      </c>
      <c r="Q268" s="334">
        <f t="shared" si="122"/>
        <v>0</v>
      </c>
      <c r="R268" s="334">
        <f t="shared" si="122"/>
        <v>0</v>
      </c>
      <c r="S268" s="334">
        <f t="shared" si="122"/>
        <v>0</v>
      </c>
      <c r="T268" s="334">
        <f t="shared" si="122"/>
        <v>0</v>
      </c>
      <c r="U268" s="334">
        <f t="shared" si="122"/>
        <v>0</v>
      </c>
      <c r="V268" s="334">
        <f t="shared" si="122"/>
        <v>0</v>
      </c>
      <c r="W268" s="334">
        <f t="shared" si="122"/>
        <v>0</v>
      </c>
      <c r="X268" s="334">
        <f t="shared" si="122"/>
        <v>0</v>
      </c>
      <c r="Y268" s="334">
        <f t="shared" si="122"/>
        <v>0</v>
      </c>
      <c r="Z268" s="334">
        <f t="shared" si="122"/>
        <v>0</v>
      </c>
      <c r="AA268" s="334">
        <f t="shared" si="122"/>
        <v>0</v>
      </c>
      <c r="AB268" s="334">
        <f t="shared" si="122"/>
        <v>0</v>
      </c>
      <c r="AC268" s="334">
        <f t="shared" si="122"/>
        <v>0</v>
      </c>
      <c r="AD268" s="334">
        <f t="shared" si="122"/>
        <v>0</v>
      </c>
      <c r="AE268" s="334">
        <f t="shared" si="122"/>
        <v>0</v>
      </c>
      <c r="AF268" s="334">
        <f t="shared" si="122"/>
        <v>0</v>
      </c>
      <c r="AG268" s="334">
        <f t="shared" si="122"/>
        <v>0</v>
      </c>
      <c r="AH268" s="334">
        <f t="shared" si="122"/>
        <v>0</v>
      </c>
      <c r="AI268" s="334">
        <f t="shared" si="122"/>
        <v>0</v>
      </c>
      <c r="AJ268" s="334">
        <f t="shared" si="122"/>
        <v>0</v>
      </c>
      <c r="AK268" s="334">
        <f t="shared" si="122"/>
        <v>0</v>
      </c>
      <c r="AL268" s="334">
        <f t="shared" si="122"/>
        <v>0</v>
      </c>
      <c r="AM268" s="334">
        <f t="shared" si="122"/>
        <v>0</v>
      </c>
      <c r="AN268" s="334">
        <f t="shared" si="122"/>
        <v>0</v>
      </c>
      <c r="AO268" s="334">
        <f t="shared" si="122"/>
        <v>0</v>
      </c>
    </row>
    <row r="269" spans="3:41" x14ac:dyDescent="0.3">
      <c r="C269" s="29"/>
      <c r="F269" s="37" t="s">
        <v>1063</v>
      </c>
      <c r="G269" s="37" t="s">
        <v>149</v>
      </c>
      <c r="H269" s="37"/>
      <c r="I269" s="37"/>
      <c r="J269" s="363">
        <f t="shared" ref="J269:AO269" si="123">IF(J$237,MATCH(J251,J$40:J$42,0), 0)</f>
        <v>0</v>
      </c>
      <c r="K269" s="363">
        <f t="shared" si="123"/>
        <v>0</v>
      </c>
      <c r="L269" s="363">
        <f t="shared" si="123"/>
        <v>0</v>
      </c>
      <c r="M269" s="363">
        <f t="shared" si="123"/>
        <v>0</v>
      </c>
      <c r="N269" s="363">
        <f t="shared" si="123"/>
        <v>0</v>
      </c>
      <c r="O269" s="363">
        <f t="shared" si="123"/>
        <v>0</v>
      </c>
      <c r="P269" s="363">
        <f t="shared" si="123"/>
        <v>0</v>
      </c>
      <c r="Q269" s="363">
        <f t="shared" si="123"/>
        <v>0</v>
      </c>
      <c r="R269" s="363">
        <f t="shared" si="123"/>
        <v>0</v>
      </c>
      <c r="S269" s="363">
        <f t="shared" si="123"/>
        <v>0</v>
      </c>
      <c r="T269" s="363">
        <f t="shared" si="123"/>
        <v>0</v>
      </c>
      <c r="U269" s="363">
        <f t="shared" si="123"/>
        <v>0</v>
      </c>
      <c r="V269" s="363">
        <f t="shared" si="123"/>
        <v>0</v>
      </c>
      <c r="W269" s="363">
        <f t="shared" si="123"/>
        <v>0</v>
      </c>
      <c r="X269" s="363">
        <f t="shared" si="123"/>
        <v>0</v>
      </c>
      <c r="Y269" s="363">
        <f t="shared" si="123"/>
        <v>0</v>
      </c>
      <c r="Z269" s="363">
        <f t="shared" si="123"/>
        <v>0</v>
      </c>
      <c r="AA269" s="363">
        <f t="shared" si="123"/>
        <v>0</v>
      </c>
      <c r="AB269" s="363">
        <f t="shared" si="123"/>
        <v>0</v>
      </c>
      <c r="AC269" s="363">
        <f t="shared" si="123"/>
        <v>0</v>
      </c>
      <c r="AD269" s="363">
        <f t="shared" si="123"/>
        <v>0</v>
      </c>
      <c r="AE269" s="363">
        <f t="shared" si="123"/>
        <v>0</v>
      </c>
      <c r="AF269" s="363">
        <f t="shared" si="123"/>
        <v>0</v>
      </c>
      <c r="AG269" s="363">
        <f t="shared" si="123"/>
        <v>0</v>
      </c>
      <c r="AH269" s="363">
        <f t="shared" si="123"/>
        <v>0</v>
      </c>
      <c r="AI269" s="363">
        <f t="shared" si="123"/>
        <v>0</v>
      </c>
      <c r="AJ269" s="363">
        <f t="shared" si="123"/>
        <v>0</v>
      </c>
      <c r="AK269" s="363">
        <f t="shared" si="123"/>
        <v>0</v>
      </c>
      <c r="AL269" s="363">
        <f t="shared" si="123"/>
        <v>0</v>
      </c>
      <c r="AM269" s="363">
        <f t="shared" si="123"/>
        <v>0</v>
      </c>
      <c r="AN269" s="363">
        <f t="shared" si="123"/>
        <v>0</v>
      </c>
      <c r="AO269" s="363">
        <f t="shared" si="123"/>
        <v>0</v>
      </c>
    </row>
    <row r="270" spans="3:41" x14ac:dyDescent="0.3">
      <c r="C270" s="29"/>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row>
    <row r="271" spans="3:41" x14ac:dyDescent="0.3">
      <c r="C271" s="29"/>
      <c r="E271" s="32" t="s">
        <v>1070</v>
      </c>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row>
    <row r="272" spans="3:41" x14ac:dyDescent="0.3">
      <c r="C272" s="29"/>
      <c r="F272" s="23" t="s">
        <v>1061</v>
      </c>
      <c r="G272" s="23" t="s">
        <v>207</v>
      </c>
      <c r="H272" s="23"/>
      <c r="I272" s="23"/>
      <c r="J272" s="413">
        <f t="shared" ref="J272:AO272" si="124">IF(J$237, INDEX(J$53:J$55,J267), 0)</f>
        <v>0</v>
      </c>
      <c r="K272" s="413">
        <f t="shared" si="124"/>
        <v>0</v>
      </c>
      <c r="L272" s="413">
        <f t="shared" si="124"/>
        <v>0</v>
      </c>
      <c r="M272" s="413">
        <f t="shared" si="124"/>
        <v>0</v>
      </c>
      <c r="N272" s="413">
        <f t="shared" si="124"/>
        <v>0</v>
      </c>
      <c r="O272" s="413">
        <f t="shared" si="124"/>
        <v>0</v>
      </c>
      <c r="P272" s="413">
        <f t="shared" si="124"/>
        <v>0</v>
      </c>
      <c r="Q272" s="413">
        <f t="shared" si="124"/>
        <v>0</v>
      </c>
      <c r="R272" s="413">
        <f t="shared" si="124"/>
        <v>0</v>
      </c>
      <c r="S272" s="413">
        <f t="shared" si="124"/>
        <v>0</v>
      </c>
      <c r="T272" s="413">
        <f t="shared" si="124"/>
        <v>0</v>
      </c>
      <c r="U272" s="413">
        <f t="shared" si="124"/>
        <v>0</v>
      </c>
      <c r="V272" s="413">
        <f t="shared" si="124"/>
        <v>0</v>
      </c>
      <c r="W272" s="413">
        <f t="shared" si="124"/>
        <v>0</v>
      </c>
      <c r="X272" s="413">
        <f t="shared" si="124"/>
        <v>0</v>
      </c>
      <c r="Y272" s="413">
        <f t="shared" si="124"/>
        <v>0</v>
      </c>
      <c r="Z272" s="413">
        <f t="shared" si="124"/>
        <v>0</v>
      </c>
      <c r="AA272" s="413">
        <f t="shared" si="124"/>
        <v>0</v>
      </c>
      <c r="AB272" s="413">
        <f t="shared" si="124"/>
        <v>0</v>
      </c>
      <c r="AC272" s="413">
        <f t="shared" si="124"/>
        <v>0</v>
      </c>
      <c r="AD272" s="413">
        <f t="shared" si="124"/>
        <v>0</v>
      </c>
      <c r="AE272" s="413">
        <f t="shared" si="124"/>
        <v>0</v>
      </c>
      <c r="AF272" s="413">
        <f t="shared" si="124"/>
        <v>0</v>
      </c>
      <c r="AG272" s="413">
        <f t="shared" si="124"/>
        <v>0</v>
      </c>
      <c r="AH272" s="413">
        <f t="shared" si="124"/>
        <v>0</v>
      </c>
      <c r="AI272" s="413">
        <f t="shared" si="124"/>
        <v>0</v>
      </c>
      <c r="AJ272" s="413">
        <f t="shared" si="124"/>
        <v>0</v>
      </c>
      <c r="AK272" s="413">
        <f t="shared" si="124"/>
        <v>0</v>
      </c>
      <c r="AL272" s="413">
        <f t="shared" si="124"/>
        <v>0</v>
      </c>
      <c r="AM272" s="413">
        <f t="shared" si="124"/>
        <v>0</v>
      </c>
      <c r="AN272" s="413">
        <f t="shared" si="124"/>
        <v>0</v>
      </c>
      <c r="AO272" s="413">
        <f t="shared" si="124"/>
        <v>0</v>
      </c>
    </row>
    <row r="273" spans="3:43" x14ac:dyDescent="0.3">
      <c r="C273" s="29"/>
      <c r="F273" t="s">
        <v>1062</v>
      </c>
      <c r="G273" t="s">
        <v>207</v>
      </c>
      <c r="J273" s="163">
        <f t="shared" ref="J273:AO273" si="125">IF(J$237, INDEX(J$53:J$55,J268), 0)</f>
        <v>0</v>
      </c>
      <c r="K273" s="163">
        <f t="shared" si="125"/>
        <v>0</v>
      </c>
      <c r="L273" s="163">
        <f t="shared" si="125"/>
        <v>0</v>
      </c>
      <c r="M273" s="163">
        <f t="shared" si="125"/>
        <v>0</v>
      </c>
      <c r="N273" s="163">
        <f t="shared" si="125"/>
        <v>0</v>
      </c>
      <c r="O273" s="163">
        <f t="shared" si="125"/>
        <v>0</v>
      </c>
      <c r="P273" s="163">
        <f t="shared" si="125"/>
        <v>0</v>
      </c>
      <c r="Q273" s="163">
        <f t="shared" si="125"/>
        <v>0</v>
      </c>
      <c r="R273" s="163">
        <f t="shared" si="125"/>
        <v>0</v>
      </c>
      <c r="S273" s="163">
        <f t="shared" si="125"/>
        <v>0</v>
      </c>
      <c r="T273" s="163">
        <f t="shared" si="125"/>
        <v>0</v>
      </c>
      <c r="U273" s="163">
        <f t="shared" si="125"/>
        <v>0</v>
      </c>
      <c r="V273" s="163">
        <f t="shared" si="125"/>
        <v>0</v>
      </c>
      <c r="W273" s="163">
        <f t="shared" si="125"/>
        <v>0</v>
      </c>
      <c r="X273" s="163">
        <f t="shared" si="125"/>
        <v>0</v>
      </c>
      <c r="Y273" s="163">
        <f t="shared" si="125"/>
        <v>0</v>
      </c>
      <c r="Z273" s="163">
        <f t="shared" si="125"/>
        <v>0</v>
      </c>
      <c r="AA273" s="163">
        <f t="shared" si="125"/>
        <v>0</v>
      </c>
      <c r="AB273" s="163">
        <f t="shared" si="125"/>
        <v>0</v>
      </c>
      <c r="AC273" s="163">
        <f t="shared" si="125"/>
        <v>0</v>
      </c>
      <c r="AD273" s="163">
        <f t="shared" si="125"/>
        <v>0</v>
      </c>
      <c r="AE273" s="163">
        <f t="shared" si="125"/>
        <v>0</v>
      </c>
      <c r="AF273" s="163">
        <f t="shared" si="125"/>
        <v>0</v>
      </c>
      <c r="AG273" s="163">
        <f t="shared" si="125"/>
        <v>0</v>
      </c>
      <c r="AH273" s="163">
        <f t="shared" si="125"/>
        <v>0</v>
      </c>
      <c r="AI273" s="163">
        <f t="shared" si="125"/>
        <v>0</v>
      </c>
      <c r="AJ273" s="163">
        <f t="shared" si="125"/>
        <v>0</v>
      </c>
      <c r="AK273" s="163">
        <f t="shared" si="125"/>
        <v>0</v>
      </c>
      <c r="AL273" s="163">
        <f t="shared" si="125"/>
        <v>0</v>
      </c>
      <c r="AM273" s="163">
        <f t="shared" si="125"/>
        <v>0</v>
      </c>
      <c r="AN273" s="163">
        <f t="shared" si="125"/>
        <v>0</v>
      </c>
      <c r="AO273" s="163">
        <f t="shared" si="125"/>
        <v>0</v>
      </c>
    </row>
    <row r="274" spans="3:43" x14ac:dyDescent="0.3">
      <c r="C274" s="29"/>
      <c r="F274" s="37" t="s">
        <v>1063</v>
      </c>
      <c r="G274" s="37" t="s">
        <v>207</v>
      </c>
      <c r="H274" s="37"/>
      <c r="I274" s="37"/>
      <c r="J274" s="414">
        <f t="shared" ref="J274:AO274" si="126">IF(J$237, INDEX(J$53:J$55,J269), 0)</f>
        <v>0</v>
      </c>
      <c r="K274" s="414">
        <f t="shared" si="126"/>
        <v>0</v>
      </c>
      <c r="L274" s="414">
        <f t="shared" si="126"/>
        <v>0</v>
      </c>
      <c r="M274" s="414">
        <f t="shared" si="126"/>
        <v>0</v>
      </c>
      <c r="N274" s="414">
        <f t="shared" si="126"/>
        <v>0</v>
      </c>
      <c r="O274" s="414">
        <f t="shared" si="126"/>
        <v>0</v>
      </c>
      <c r="P274" s="414">
        <f t="shared" si="126"/>
        <v>0</v>
      </c>
      <c r="Q274" s="414">
        <f t="shared" si="126"/>
        <v>0</v>
      </c>
      <c r="R274" s="414">
        <f t="shared" si="126"/>
        <v>0</v>
      </c>
      <c r="S274" s="414">
        <f t="shared" si="126"/>
        <v>0</v>
      </c>
      <c r="T274" s="414">
        <f t="shared" si="126"/>
        <v>0</v>
      </c>
      <c r="U274" s="414">
        <f t="shared" si="126"/>
        <v>0</v>
      </c>
      <c r="V274" s="414">
        <f t="shared" si="126"/>
        <v>0</v>
      </c>
      <c r="W274" s="414">
        <f t="shared" si="126"/>
        <v>0</v>
      </c>
      <c r="X274" s="414">
        <f t="shared" si="126"/>
        <v>0</v>
      </c>
      <c r="Y274" s="414">
        <f t="shared" si="126"/>
        <v>0</v>
      </c>
      <c r="Z274" s="414">
        <f t="shared" si="126"/>
        <v>0</v>
      </c>
      <c r="AA274" s="414">
        <f t="shared" si="126"/>
        <v>0</v>
      </c>
      <c r="AB274" s="414">
        <f t="shared" si="126"/>
        <v>0</v>
      </c>
      <c r="AC274" s="414">
        <f t="shared" si="126"/>
        <v>0</v>
      </c>
      <c r="AD274" s="414">
        <f t="shared" si="126"/>
        <v>0</v>
      </c>
      <c r="AE274" s="414">
        <f t="shared" si="126"/>
        <v>0</v>
      </c>
      <c r="AF274" s="414">
        <f t="shared" si="126"/>
        <v>0</v>
      </c>
      <c r="AG274" s="414">
        <f t="shared" si="126"/>
        <v>0</v>
      </c>
      <c r="AH274" s="414">
        <f t="shared" si="126"/>
        <v>0</v>
      </c>
      <c r="AI274" s="414">
        <f t="shared" si="126"/>
        <v>0</v>
      </c>
      <c r="AJ274" s="414">
        <f t="shared" si="126"/>
        <v>0</v>
      </c>
      <c r="AK274" s="414">
        <f t="shared" si="126"/>
        <v>0</v>
      </c>
      <c r="AL274" s="414">
        <f t="shared" si="126"/>
        <v>0</v>
      </c>
      <c r="AM274" s="414">
        <f t="shared" si="126"/>
        <v>0</v>
      </c>
      <c r="AN274" s="414">
        <f t="shared" si="126"/>
        <v>0</v>
      </c>
      <c r="AO274" s="414">
        <f t="shared" si="126"/>
        <v>0</v>
      </c>
    </row>
    <row r="275" spans="3:43" x14ac:dyDescent="0.3">
      <c r="C275" s="29"/>
      <c r="J275" s="163"/>
      <c r="K275" s="163"/>
      <c r="L275" s="163"/>
      <c r="M275" s="163"/>
      <c r="N275" s="163"/>
      <c r="O275" s="163"/>
      <c r="P275" s="163"/>
      <c r="Q275" s="163"/>
      <c r="R275" s="163"/>
      <c r="S275" s="163"/>
      <c r="T275" s="163"/>
      <c r="U275" s="163"/>
      <c r="V275" s="163"/>
      <c r="W275" s="163"/>
      <c r="X275" s="163"/>
      <c r="Y275" s="163"/>
      <c r="Z275" s="163"/>
      <c r="AA275" s="163"/>
      <c r="AB275" s="163"/>
      <c r="AC275" s="163"/>
      <c r="AD275" s="163"/>
      <c r="AE275" s="163"/>
      <c r="AF275" s="163"/>
      <c r="AG275" s="163"/>
      <c r="AH275" s="163"/>
      <c r="AI275" s="163"/>
      <c r="AJ275" s="163"/>
      <c r="AK275" s="163"/>
      <c r="AL275" s="163"/>
      <c r="AM275" s="163"/>
      <c r="AN275" s="163"/>
      <c r="AO275" s="163"/>
    </row>
    <row r="276" spans="3:43" x14ac:dyDescent="0.3">
      <c r="C276" s="29"/>
      <c r="E276" s="32" t="s">
        <v>1071</v>
      </c>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row>
    <row r="277" spans="3:43" x14ac:dyDescent="0.3">
      <c r="C277" s="29"/>
      <c r="F277" s="23" t="s">
        <v>1061</v>
      </c>
      <c r="G277" s="23" t="s">
        <v>207</v>
      </c>
      <c r="H277" s="23"/>
      <c r="I277" s="23"/>
      <c r="J277" s="413">
        <f t="shared" ref="J277:AO279" si="127">SUMIF($J$149:$AO$149,J$149,$J272:$AO272)</f>
        <v>0</v>
      </c>
      <c r="K277" s="413">
        <f t="shared" si="127"/>
        <v>0</v>
      </c>
      <c r="L277" s="413">
        <f t="shared" si="127"/>
        <v>0</v>
      </c>
      <c r="M277" s="413">
        <f t="shared" si="127"/>
        <v>0</v>
      </c>
      <c r="N277" s="413">
        <f t="shared" si="127"/>
        <v>0</v>
      </c>
      <c r="O277" s="413">
        <f t="shared" si="127"/>
        <v>0</v>
      </c>
      <c r="P277" s="413">
        <f t="shared" si="127"/>
        <v>0</v>
      </c>
      <c r="Q277" s="413">
        <f t="shared" si="127"/>
        <v>0</v>
      </c>
      <c r="R277" s="413">
        <f t="shared" si="127"/>
        <v>0</v>
      </c>
      <c r="S277" s="413">
        <f t="shared" si="127"/>
        <v>0</v>
      </c>
      <c r="T277" s="413">
        <f t="shared" si="127"/>
        <v>0</v>
      </c>
      <c r="U277" s="413">
        <f t="shared" si="127"/>
        <v>0</v>
      </c>
      <c r="V277" s="413">
        <f t="shared" si="127"/>
        <v>0</v>
      </c>
      <c r="W277" s="413">
        <f t="shared" si="127"/>
        <v>0</v>
      </c>
      <c r="X277" s="413">
        <f t="shared" si="127"/>
        <v>0</v>
      </c>
      <c r="Y277" s="413">
        <f t="shared" si="127"/>
        <v>0</v>
      </c>
      <c r="Z277" s="413">
        <f t="shared" si="127"/>
        <v>0</v>
      </c>
      <c r="AA277" s="413">
        <f t="shared" si="127"/>
        <v>0</v>
      </c>
      <c r="AB277" s="413">
        <f t="shared" si="127"/>
        <v>0</v>
      </c>
      <c r="AC277" s="413">
        <f t="shared" si="127"/>
        <v>0</v>
      </c>
      <c r="AD277" s="413">
        <f t="shared" si="127"/>
        <v>0</v>
      </c>
      <c r="AE277" s="413">
        <f t="shared" si="127"/>
        <v>0</v>
      </c>
      <c r="AF277" s="413">
        <f t="shared" si="127"/>
        <v>0</v>
      </c>
      <c r="AG277" s="413">
        <f t="shared" si="127"/>
        <v>0</v>
      </c>
      <c r="AH277" s="413">
        <f t="shared" si="127"/>
        <v>0</v>
      </c>
      <c r="AI277" s="413">
        <f t="shared" si="127"/>
        <v>0</v>
      </c>
      <c r="AJ277" s="413">
        <f t="shared" si="127"/>
        <v>0</v>
      </c>
      <c r="AK277" s="413">
        <f t="shared" si="127"/>
        <v>0</v>
      </c>
      <c r="AL277" s="413">
        <f t="shared" si="127"/>
        <v>0</v>
      </c>
      <c r="AM277" s="413">
        <f t="shared" si="127"/>
        <v>0</v>
      </c>
      <c r="AN277" s="413">
        <f t="shared" si="127"/>
        <v>0</v>
      </c>
      <c r="AO277" s="413">
        <f t="shared" si="127"/>
        <v>0</v>
      </c>
    </row>
    <row r="278" spans="3:43" x14ac:dyDescent="0.3">
      <c r="C278" s="29"/>
      <c r="F278" t="s">
        <v>1062</v>
      </c>
      <c r="G278" t="s">
        <v>207</v>
      </c>
      <c r="J278" s="163">
        <f t="shared" si="127"/>
        <v>0</v>
      </c>
      <c r="K278" s="163">
        <f t="shared" si="127"/>
        <v>0</v>
      </c>
      <c r="L278" s="163">
        <f t="shared" si="127"/>
        <v>0</v>
      </c>
      <c r="M278" s="163">
        <f t="shared" si="127"/>
        <v>0</v>
      </c>
      <c r="N278" s="163">
        <f t="shared" si="127"/>
        <v>0</v>
      </c>
      <c r="O278" s="163">
        <f t="shared" si="127"/>
        <v>0</v>
      </c>
      <c r="P278" s="163">
        <f t="shared" si="127"/>
        <v>0</v>
      </c>
      <c r="Q278" s="163">
        <f t="shared" si="127"/>
        <v>0</v>
      </c>
      <c r="R278" s="163">
        <f t="shared" si="127"/>
        <v>0</v>
      </c>
      <c r="S278" s="163">
        <f t="shared" si="127"/>
        <v>0</v>
      </c>
      <c r="T278" s="163">
        <f t="shared" si="127"/>
        <v>0</v>
      </c>
      <c r="U278" s="163">
        <f t="shared" si="127"/>
        <v>0</v>
      </c>
      <c r="V278" s="163">
        <f t="shared" si="127"/>
        <v>0</v>
      </c>
      <c r="W278" s="163">
        <f t="shared" si="127"/>
        <v>0</v>
      </c>
      <c r="X278" s="163">
        <f t="shared" si="127"/>
        <v>0</v>
      </c>
      <c r="Y278" s="163">
        <f t="shared" si="127"/>
        <v>0</v>
      </c>
      <c r="Z278" s="163">
        <f t="shared" si="127"/>
        <v>0</v>
      </c>
      <c r="AA278" s="163">
        <f t="shared" si="127"/>
        <v>0</v>
      </c>
      <c r="AB278" s="163">
        <f t="shared" si="127"/>
        <v>0</v>
      </c>
      <c r="AC278" s="163">
        <f t="shared" si="127"/>
        <v>0</v>
      </c>
      <c r="AD278" s="163">
        <f t="shared" si="127"/>
        <v>0</v>
      </c>
      <c r="AE278" s="163">
        <f t="shared" si="127"/>
        <v>0</v>
      </c>
      <c r="AF278" s="163">
        <f t="shared" si="127"/>
        <v>0</v>
      </c>
      <c r="AG278" s="163">
        <f t="shared" si="127"/>
        <v>0</v>
      </c>
      <c r="AH278" s="163">
        <f t="shared" si="127"/>
        <v>0</v>
      </c>
      <c r="AI278" s="163">
        <f t="shared" si="127"/>
        <v>0</v>
      </c>
      <c r="AJ278" s="163">
        <f t="shared" si="127"/>
        <v>0</v>
      </c>
      <c r="AK278" s="163">
        <f t="shared" si="127"/>
        <v>0</v>
      </c>
      <c r="AL278" s="163">
        <f t="shared" si="127"/>
        <v>0</v>
      </c>
      <c r="AM278" s="163">
        <f t="shared" si="127"/>
        <v>0</v>
      </c>
      <c r="AN278" s="163">
        <f t="shared" si="127"/>
        <v>0</v>
      </c>
      <c r="AO278" s="163">
        <f t="shared" si="127"/>
        <v>0</v>
      </c>
    </row>
    <row r="279" spans="3:43" x14ac:dyDescent="0.3">
      <c r="C279" s="29"/>
      <c r="F279" s="37" t="s">
        <v>1063</v>
      </c>
      <c r="G279" s="37" t="s">
        <v>207</v>
      </c>
      <c r="H279" s="37"/>
      <c r="I279" s="37"/>
      <c r="J279" s="414">
        <f t="shared" si="127"/>
        <v>0</v>
      </c>
      <c r="K279" s="414">
        <f t="shared" si="127"/>
        <v>0</v>
      </c>
      <c r="L279" s="414">
        <f t="shared" si="127"/>
        <v>0</v>
      </c>
      <c r="M279" s="414">
        <f t="shared" si="127"/>
        <v>0</v>
      </c>
      <c r="N279" s="414">
        <f t="shared" si="127"/>
        <v>0</v>
      </c>
      <c r="O279" s="414">
        <f t="shared" si="127"/>
        <v>0</v>
      </c>
      <c r="P279" s="414">
        <f t="shared" si="127"/>
        <v>0</v>
      </c>
      <c r="Q279" s="414">
        <f t="shared" si="127"/>
        <v>0</v>
      </c>
      <c r="R279" s="414">
        <f t="shared" si="127"/>
        <v>0</v>
      </c>
      <c r="S279" s="414">
        <f t="shared" si="127"/>
        <v>0</v>
      </c>
      <c r="T279" s="414">
        <f t="shared" si="127"/>
        <v>0</v>
      </c>
      <c r="U279" s="414">
        <f t="shared" si="127"/>
        <v>0</v>
      </c>
      <c r="V279" s="414">
        <f t="shared" si="127"/>
        <v>0</v>
      </c>
      <c r="W279" s="414">
        <f t="shared" si="127"/>
        <v>0</v>
      </c>
      <c r="X279" s="414">
        <f t="shared" si="127"/>
        <v>0</v>
      </c>
      <c r="Y279" s="414">
        <f t="shared" si="127"/>
        <v>0</v>
      </c>
      <c r="Z279" s="414">
        <f t="shared" si="127"/>
        <v>0</v>
      </c>
      <c r="AA279" s="414">
        <f t="shared" si="127"/>
        <v>0</v>
      </c>
      <c r="AB279" s="414">
        <f t="shared" si="127"/>
        <v>0</v>
      </c>
      <c r="AC279" s="414">
        <f t="shared" si="127"/>
        <v>0</v>
      </c>
      <c r="AD279" s="414">
        <f t="shared" si="127"/>
        <v>0</v>
      </c>
      <c r="AE279" s="414">
        <f t="shared" si="127"/>
        <v>0</v>
      </c>
      <c r="AF279" s="414">
        <f t="shared" si="127"/>
        <v>0</v>
      </c>
      <c r="AG279" s="414">
        <f t="shared" si="127"/>
        <v>0</v>
      </c>
      <c r="AH279" s="414">
        <f t="shared" si="127"/>
        <v>0</v>
      </c>
      <c r="AI279" s="414">
        <f t="shared" si="127"/>
        <v>0</v>
      </c>
      <c r="AJ279" s="414">
        <f t="shared" si="127"/>
        <v>0</v>
      </c>
      <c r="AK279" s="414">
        <f t="shared" si="127"/>
        <v>0</v>
      </c>
      <c r="AL279" s="414">
        <f t="shared" si="127"/>
        <v>0</v>
      </c>
      <c r="AM279" s="414">
        <f t="shared" si="127"/>
        <v>0</v>
      </c>
      <c r="AN279" s="414">
        <f t="shared" si="127"/>
        <v>0</v>
      </c>
      <c r="AO279" s="414">
        <f t="shared" si="127"/>
        <v>0</v>
      </c>
    </row>
    <row r="280" spans="3:43" x14ac:dyDescent="0.3">
      <c r="C280" s="29"/>
      <c r="J280" s="163"/>
      <c r="K280" s="163"/>
      <c r="L280" s="163"/>
      <c r="M280" s="163"/>
      <c r="N280" s="163"/>
      <c r="O280" s="163"/>
      <c r="P280" s="163"/>
      <c r="Q280" s="163"/>
      <c r="R280" s="163"/>
      <c r="S280" s="163"/>
      <c r="T280" s="163"/>
      <c r="U280" s="163"/>
      <c r="V280" s="163"/>
      <c r="W280" s="163"/>
      <c r="X280" s="163"/>
      <c r="Y280" s="163"/>
      <c r="Z280" s="163"/>
      <c r="AA280" s="163"/>
      <c r="AB280" s="163"/>
      <c r="AC280" s="163"/>
      <c r="AD280" s="163"/>
      <c r="AE280" s="163"/>
      <c r="AF280" s="163"/>
      <c r="AG280" s="163"/>
      <c r="AH280" s="163"/>
      <c r="AI280" s="163"/>
      <c r="AJ280" s="163"/>
      <c r="AK280" s="163"/>
      <c r="AL280" s="163"/>
      <c r="AM280" s="163"/>
      <c r="AN280" s="163"/>
      <c r="AO280" s="163"/>
    </row>
    <row r="281" spans="3:43" x14ac:dyDescent="0.3">
      <c r="C281" s="29"/>
      <c r="E281" s="32" t="s">
        <v>1072</v>
      </c>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row>
    <row r="282" spans="3:43" x14ac:dyDescent="0.3">
      <c r="C282" s="29"/>
      <c r="F282" s="23" t="s">
        <v>1061</v>
      </c>
      <c r="G282" s="23" t="s">
        <v>207</v>
      </c>
      <c r="H282" s="23"/>
      <c r="I282" s="23"/>
      <c r="J282" s="413">
        <f>J277 * J$157</f>
        <v>0</v>
      </c>
      <c r="K282" s="413">
        <f t="shared" ref="K282:AO282" si="128">K277 * K$157</f>
        <v>0</v>
      </c>
      <c r="L282" s="413">
        <f t="shared" si="128"/>
        <v>0</v>
      </c>
      <c r="M282" s="413">
        <f t="shared" si="128"/>
        <v>0</v>
      </c>
      <c r="N282" s="413">
        <f t="shared" si="128"/>
        <v>0</v>
      </c>
      <c r="O282" s="413">
        <f t="shared" si="128"/>
        <v>0</v>
      </c>
      <c r="P282" s="413">
        <f t="shared" si="128"/>
        <v>0</v>
      </c>
      <c r="Q282" s="413">
        <f t="shared" si="128"/>
        <v>0</v>
      </c>
      <c r="R282" s="413">
        <f t="shared" si="128"/>
        <v>0</v>
      </c>
      <c r="S282" s="413">
        <f t="shared" si="128"/>
        <v>0</v>
      </c>
      <c r="T282" s="413">
        <f t="shared" si="128"/>
        <v>0</v>
      </c>
      <c r="U282" s="413">
        <f t="shared" si="128"/>
        <v>0</v>
      </c>
      <c r="V282" s="413">
        <f t="shared" si="128"/>
        <v>0</v>
      </c>
      <c r="W282" s="413">
        <f t="shared" si="128"/>
        <v>0</v>
      </c>
      <c r="X282" s="413">
        <f t="shared" si="128"/>
        <v>0</v>
      </c>
      <c r="Y282" s="413">
        <f t="shared" si="128"/>
        <v>0</v>
      </c>
      <c r="Z282" s="413">
        <f t="shared" si="128"/>
        <v>0</v>
      </c>
      <c r="AA282" s="413">
        <f t="shared" si="128"/>
        <v>0</v>
      </c>
      <c r="AB282" s="413">
        <f t="shared" si="128"/>
        <v>0</v>
      </c>
      <c r="AC282" s="413">
        <f t="shared" si="128"/>
        <v>0</v>
      </c>
      <c r="AD282" s="413">
        <f t="shared" si="128"/>
        <v>0</v>
      </c>
      <c r="AE282" s="413">
        <f t="shared" si="128"/>
        <v>0</v>
      </c>
      <c r="AF282" s="413">
        <f t="shared" si="128"/>
        <v>0</v>
      </c>
      <c r="AG282" s="413">
        <f t="shared" si="128"/>
        <v>0</v>
      </c>
      <c r="AH282" s="413">
        <f t="shared" si="128"/>
        <v>0</v>
      </c>
      <c r="AI282" s="413">
        <f t="shared" si="128"/>
        <v>0</v>
      </c>
      <c r="AJ282" s="413">
        <f t="shared" si="128"/>
        <v>0</v>
      </c>
      <c r="AK282" s="413">
        <f t="shared" si="128"/>
        <v>0</v>
      </c>
      <c r="AL282" s="413">
        <f t="shared" si="128"/>
        <v>0</v>
      </c>
      <c r="AM282" s="413">
        <f t="shared" si="128"/>
        <v>0</v>
      </c>
      <c r="AN282" s="413">
        <f t="shared" si="128"/>
        <v>0</v>
      </c>
      <c r="AO282" s="413">
        <f t="shared" si="128"/>
        <v>0</v>
      </c>
    </row>
    <row r="283" spans="3:43" x14ac:dyDescent="0.3">
      <c r="C283" s="29"/>
      <c r="F283" t="s">
        <v>1062</v>
      </c>
      <c r="G283" t="s">
        <v>207</v>
      </c>
      <c r="J283" s="163">
        <f t="shared" ref="J283:AO284" si="129">J278 * J$157</f>
        <v>0</v>
      </c>
      <c r="K283" s="163">
        <f t="shared" si="129"/>
        <v>0</v>
      </c>
      <c r="L283" s="163">
        <f t="shared" si="129"/>
        <v>0</v>
      </c>
      <c r="M283" s="163">
        <f t="shared" si="129"/>
        <v>0</v>
      </c>
      <c r="N283" s="163">
        <f t="shared" si="129"/>
        <v>0</v>
      </c>
      <c r="O283" s="163">
        <f t="shared" si="129"/>
        <v>0</v>
      </c>
      <c r="P283" s="163">
        <f t="shared" si="129"/>
        <v>0</v>
      </c>
      <c r="Q283" s="163">
        <f t="shared" si="129"/>
        <v>0</v>
      </c>
      <c r="R283" s="163">
        <f t="shared" si="129"/>
        <v>0</v>
      </c>
      <c r="S283" s="163">
        <f t="shared" si="129"/>
        <v>0</v>
      </c>
      <c r="T283" s="163">
        <f t="shared" si="129"/>
        <v>0</v>
      </c>
      <c r="U283" s="163">
        <f t="shared" si="129"/>
        <v>0</v>
      </c>
      <c r="V283" s="163">
        <f t="shared" si="129"/>
        <v>0</v>
      </c>
      <c r="W283" s="163">
        <f t="shared" si="129"/>
        <v>0</v>
      </c>
      <c r="X283" s="163">
        <f t="shared" si="129"/>
        <v>0</v>
      </c>
      <c r="Y283" s="163">
        <f t="shared" si="129"/>
        <v>0</v>
      </c>
      <c r="Z283" s="163">
        <f t="shared" si="129"/>
        <v>0</v>
      </c>
      <c r="AA283" s="163">
        <f t="shared" si="129"/>
        <v>0</v>
      </c>
      <c r="AB283" s="163">
        <f t="shared" si="129"/>
        <v>0</v>
      </c>
      <c r="AC283" s="163">
        <f t="shared" si="129"/>
        <v>0</v>
      </c>
      <c r="AD283" s="163">
        <f t="shared" si="129"/>
        <v>0</v>
      </c>
      <c r="AE283" s="163">
        <f t="shared" si="129"/>
        <v>0</v>
      </c>
      <c r="AF283" s="163">
        <f t="shared" si="129"/>
        <v>0</v>
      </c>
      <c r="AG283" s="163">
        <f t="shared" si="129"/>
        <v>0</v>
      </c>
      <c r="AH283" s="163">
        <f t="shared" si="129"/>
        <v>0</v>
      </c>
      <c r="AI283" s="163">
        <f t="shared" si="129"/>
        <v>0</v>
      </c>
      <c r="AJ283" s="163">
        <f t="shared" si="129"/>
        <v>0</v>
      </c>
      <c r="AK283" s="163">
        <f t="shared" si="129"/>
        <v>0</v>
      </c>
      <c r="AL283" s="163">
        <f t="shared" si="129"/>
        <v>0</v>
      </c>
      <c r="AM283" s="163">
        <f t="shared" si="129"/>
        <v>0</v>
      </c>
      <c r="AN283" s="163">
        <f t="shared" si="129"/>
        <v>0</v>
      </c>
      <c r="AO283" s="163">
        <f t="shared" si="129"/>
        <v>0</v>
      </c>
    </row>
    <row r="284" spans="3:43" x14ac:dyDescent="0.3">
      <c r="C284" s="29"/>
      <c r="F284" s="37" t="s">
        <v>1063</v>
      </c>
      <c r="G284" s="37" t="s">
        <v>207</v>
      </c>
      <c r="H284" s="37"/>
      <c r="I284" s="37"/>
      <c r="J284" s="414">
        <f t="shared" si="129"/>
        <v>0</v>
      </c>
      <c r="K284" s="414">
        <f t="shared" si="129"/>
        <v>0</v>
      </c>
      <c r="L284" s="414">
        <f t="shared" si="129"/>
        <v>0</v>
      </c>
      <c r="M284" s="414">
        <f t="shared" si="129"/>
        <v>0</v>
      </c>
      <c r="N284" s="414">
        <f t="shared" si="129"/>
        <v>0</v>
      </c>
      <c r="O284" s="414">
        <f t="shared" si="129"/>
        <v>0</v>
      </c>
      <c r="P284" s="414">
        <f t="shared" si="129"/>
        <v>0</v>
      </c>
      <c r="Q284" s="414">
        <f t="shared" si="129"/>
        <v>0</v>
      </c>
      <c r="R284" s="414">
        <f t="shared" si="129"/>
        <v>0</v>
      </c>
      <c r="S284" s="414">
        <f t="shared" si="129"/>
        <v>0</v>
      </c>
      <c r="T284" s="414">
        <f t="shared" si="129"/>
        <v>0</v>
      </c>
      <c r="U284" s="414">
        <f t="shared" si="129"/>
        <v>0</v>
      </c>
      <c r="V284" s="414">
        <f t="shared" si="129"/>
        <v>0</v>
      </c>
      <c r="W284" s="414">
        <f t="shared" si="129"/>
        <v>0</v>
      </c>
      <c r="X284" s="414">
        <f t="shared" si="129"/>
        <v>0</v>
      </c>
      <c r="Y284" s="414">
        <f t="shared" si="129"/>
        <v>0</v>
      </c>
      <c r="Z284" s="414">
        <f t="shared" si="129"/>
        <v>0</v>
      </c>
      <c r="AA284" s="414">
        <f t="shared" si="129"/>
        <v>0</v>
      </c>
      <c r="AB284" s="414">
        <f t="shared" si="129"/>
        <v>0</v>
      </c>
      <c r="AC284" s="414">
        <f t="shared" si="129"/>
        <v>0</v>
      </c>
      <c r="AD284" s="414">
        <f t="shared" si="129"/>
        <v>0</v>
      </c>
      <c r="AE284" s="414">
        <f t="shared" si="129"/>
        <v>0</v>
      </c>
      <c r="AF284" s="414">
        <f t="shared" si="129"/>
        <v>0</v>
      </c>
      <c r="AG284" s="414">
        <f t="shared" si="129"/>
        <v>0</v>
      </c>
      <c r="AH284" s="414">
        <f t="shared" si="129"/>
        <v>0</v>
      </c>
      <c r="AI284" s="414">
        <f t="shared" si="129"/>
        <v>0</v>
      </c>
      <c r="AJ284" s="414">
        <f t="shared" si="129"/>
        <v>0</v>
      </c>
      <c r="AK284" s="414">
        <f t="shared" si="129"/>
        <v>0</v>
      </c>
      <c r="AL284" s="414">
        <f t="shared" si="129"/>
        <v>0</v>
      </c>
      <c r="AM284" s="414">
        <f t="shared" si="129"/>
        <v>0</v>
      </c>
      <c r="AN284" s="414">
        <f t="shared" si="129"/>
        <v>0</v>
      </c>
      <c r="AO284" s="414">
        <f t="shared" si="129"/>
        <v>0</v>
      </c>
    </row>
    <row r="285" spans="3:43" x14ac:dyDescent="0.3">
      <c r="C285" s="29"/>
      <c r="E285" s="32"/>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row>
    <row r="286" spans="3:43" x14ac:dyDescent="0.3">
      <c r="C286" s="31" t="str">
        <f ca="1">INDEX('Version control'!$H$34:$H$57,MATCH($A$1,'Version control'!$F$34:$F$57,0),1)&amp;"-K: Revenue matching for three timebands"</f>
        <v>Section 116-K: Revenue matching for three timebands</v>
      </c>
      <c r="D286" s="31"/>
      <c r="E286" s="31"/>
      <c r="F286" s="31"/>
      <c r="G286" s="31"/>
      <c r="H286" s="31"/>
      <c r="I286" s="31"/>
      <c r="J286" s="189"/>
      <c r="K286" s="189"/>
      <c r="L286" s="189"/>
      <c r="M286" s="189"/>
      <c r="N286" s="189"/>
      <c r="O286" s="189"/>
      <c r="P286" s="189"/>
      <c r="Q286" s="189"/>
      <c r="R286" s="189"/>
      <c r="S286" s="189"/>
      <c r="T286" s="189"/>
      <c r="U286" s="189"/>
      <c r="V286" s="189"/>
      <c r="W286" s="189"/>
      <c r="X286" s="189"/>
      <c r="Y286" s="189"/>
      <c r="Z286" s="189"/>
      <c r="AA286" s="189"/>
      <c r="AB286" s="189"/>
      <c r="AC286" s="189"/>
      <c r="AD286" s="189"/>
      <c r="AE286" s="189"/>
      <c r="AF286" s="189"/>
      <c r="AG286" s="189"/>
      <c r="AH286" s="189"/>
      <c r="AI286" s="189"/>
      <c r="AJ286" s="189"/>
      <c r="AK286" s="189"/>
      <c r="AL286" s="189"/>
      <c r="AM286" s="189"/>
      <c r="AN286" s="189"/>
      <c r="AO286" s="189"/>
      <c r="AP286" s="31"/>
      <c r="AQ286" s="31"/>
    </row>
    <row r="287" spans="3:43" x14ac:dyDescent="0.3">
      <c r="C287" s="29"/>
      <c r="E287" s="32"/>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row>
    <row r="288" spans="3:43" x14ac:dyDescent="0.3">
      <c r="C288" s="29"/>
      <c r="D288" s="29" t="s">
        <v>1073</v>
      </c>
      <c r="E288" s="32"/>
      <c r="I288" t="s">
        <v>154</v>
      </c>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Q288" t="s">
        <v>1128</v>
      </c>
    </row>
    <row r="289" spans="3:44" x14ac:dyDescent="0.3">
      <c r="C289" s="29"/>
      <c r="D289" s="29" t="s">
        <v>1074</v>
      </c>
      <c r="E289" s="32"/>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row>
    <row r="290" spans="3:44" x14ac:dyDescent="0.3">
      <c r="C290" s="29"/>
      <c r="D290" s="29" t="s">
        <v>1075</v>
      </c>
      <c r="E290" s="32"/>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row>
    <row r="291" spans="3:44" x14ac:dyDescent="0.3">
      <c r="C291" s="29"/>
      <c r="E291" s="32"/>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row>
    <row r="292" spans="3:44" x14ac:dyDescent="0.3">
      <c r="C292" s="29"/>
      <c r="E292" s="32" t="s">
        <v>1076</v>
      </c>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row>
    <row r="293" spans="3:44" x14ac:dyDescent="0.3">
      <c r="C293" s="29"/>
      <c r="F293" t="s">
        <v>1077</v>
      </c>
      <c r="G293" t="s">
        <v>936</v>
      </c>
      <c r="J293" s="163">
        <f t="shared" ref="J293:AO293" si="130">SUMIF($J149:$AO149,J149,$J228:$AO228)</f>
        <v>0</v>
      </c>
      <c r="K293" s="163">
        <f t="shared" si="130"/>
        <v>0</v>
      </c>
      <c r="L293" s="163">
        <f t="shared" si="130"/>
        <v>0</v>
      </c>
      <c r="M293" s="163">
        <f t="shared" si="130"/>
        <v>0</v>
      </c>
      <c r="N293" s="163">
        <f t="shared" si="130"/>
        <v>0</v>
      </c>
      <c r="O293" s="163">
        <f t="shared" si="130"/>
        <v>0</v>
      </c>
      <c r="P293" s="163">
        <f t="shared" si="130"/>
        <v>0</v>
      </c>
      <c r="Q293" s="163">
        <f t="shared" si="130"/>
        <v>0</v>
      </c>
      <c r="R293" s="163">
        <f t="shared" si="130"/>
        <v>0</v>
      </c>
      <c r="S293" s="163">
        <f t="shared" si="130"/>
        <v>0</v>
      </c>
      <c r="T293" s="163">
        <f t="shared" si="130"/>
        <v>0</v>
      </c>
      <c r="U293" s="163">
        <f t="shared" si="130"/>
        <v>0</v>
      </c>
      <c r="V293" s="163">
        <f t="shared" si="130"/>
        <v>0</v>
      </c>
      <c r="W293" s="163">
        <f t="shared" si="130"/>
        <v>0</v>
      </c>
      <c r="X293" s="163">
        <f t="shared" si="130"/>
        <v>0</v>
      </c>
      <c r="Y293" s="163">
        <f t="shared" si="130"/>
        <v>0</v>
      </c>
      <c r="Z293" s="163">
        <f t="shared" si="130"/>
        <v>0</v>
      </c>
      <c r="AA293" s="163">
        <f t="shared" si="130"/>
        <v>0</v>
      </c>
      <c r="AB293" s="163">
        <f t="shared" si="130"/>
        <v>0</v>
      </c>
      <c r="AC293" s="163">
        <f t="shared" si="130"/>
        <v>0</v>
      </c>
      <c r="AD293" s="163">
        <f t="shared" si="130"/>
        <v>0</v>
      </c>
      <c r="AE293" s="163">
        <f t="shared" si="130"/>
        <v>0</v>
      </c>
      <c r="AF293" s="163">
        <f t="shared" si="130"/>
        <v>0</v>
      </c>
      <c r="AG293" s="163">
        <f t="shared" si="130"/>
        <v>0</v>
      </c>
      <c r="AH293" s="163">
        <f t="shared" si="130"/>
        <v>0</v>
      </c>
      <c r="AI293" s="163">
        <f t="shared" si="130"/>
        <v>0</v>
      </c>
      <c r="AJ293" s="163">
        <f t="shared" si="130"/>
        <v>0</v>
      </c>
      <c r="AK293" s="163">
        <f t="shared" si="130"/>
        <v>0</v>
      </c>
      <c r="AL293" s="163">
        <f t="shared" si="130"/>
        <v>0</v>
      </c>
      <c r="AM293" s="163">
        <f t="shared" si="130"/>
        <v>0</v>
      </c>
      <c r="AN293" s="163">
        <f t="shared" si="130"/>
        <v>0</v>
      </c>
      <c r="AO293" s="163">
        <f t="shared" si="130"/>
        <v>0</v>
      </c>
    </row>
    <row r="294" spans="3:44" x14ac:dyDescent="0.3">
      <c r="C294" s="29"/>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row>
    <row r="295" spans="3:44" x14ac:dyDescent="0.3">
      <c r="C295" s="29"/>
      <c r="F295" t="s">
        <v>1078</v>
      </c>
      <c r="G295" t="s">
        <v>936</v>
      </c>
      <c r="J295" s="163">
        <f t="shared" ref="J295:AO295" si="131" xml:space="preserve"> J293 * J157</f>
        <v>0</v>
      </c>
      <c r="K295" s="163">
        <f t="shared" si="131"/>
        <v>0</v>
      </c>
      <c r="L295" s="163">
        <f t="shared" si="131"/>
        <v>0</v>
      </c>
      <c r="M295" s="163">
        <f t="shared" si="131"/>
        <v>0</v>
      </c>
      <c r="N295" s="163">
        <f t="shared" si="131"/>
        <v>0</v>
      </c>
      <c r="O295" s="163">
        <f t="shared" si="131"/>
        <v>0</v>
      </c>
      <c r="P295" s="163">
        <f t="shared" si="131"/>
        <v>0</v>
      </c>
      <c r="Q295" s="163">
        <f t="shared" si="131"/>
        <v>0</v>
      </c>
      <c r="R295" s="163">
        <f t="shared" si="131"/>
        <v>0</v>
      </c>
      <c r="S295" s="163">
        <f t="shared" si="131"/>
        <v>0</v>
      </c>
      <c r="T295" s="163">
        <f t="shared" si="131"/>
        <v>0</v>
      </c>
      <c r="U295" s="163">
        <f t="shared" si="131"/>
        <v>0</v>
      </c>
      <c r="V295" s="163">
        <f t="shared" si="131"/>
        <v>0</v>
      </c>
      <c r="W295" s="163">
        <f t="shared" si="131"/>
        <v>0</v>
      </c>
      <c r="X295" s="163">
        <f t="shared" si="131"/>
        <v>0</v>
      </c>
      <c r="Y295" s="163">
        <f t="shared" si="131"/>
        <v>0</v>
      </c>
      <c r="Z295" s="163">
        <f t="shared" si="131"/>
        <v>0</v>
      </c>
      <c r="AA295" s="163">
        <f t="shared" si="131"/>
        <v>0</v>
      </c>
      <c r="AB295" s="163">
        <f t="shared" si="131"/>
        <v>0</v>
      </c>
      <c r="AC295" s="163">
        <f t="shared" si="131"/>
        <v>0</v>
      </c>
      <c r="AD295" s="163">
        <f t="shared" si="131"/>
        <v>0</v>
      </c>
      <c r="AE295" s="163">
        <f t="shared" si="131"/>
        <v>0</v>
      </c>
      <c r="AF295" s="163">
        <f t="shared" si="131"/>
        <v>0</v>
      </c>
      <c r="AG295" s="163">
        <f t="shared" si="131"/>
        <v>0</v>
      </c>
      <c r="AH295" s="163">
        <f t="shared" si="131"/>
        <v>0</v>
      </c>
      <c r="AI295" s="163">
        <f t="shared" si="131"/>
        <v>0</v>
      </c>
      <c r="AJ295" s="163">
        <f t="shared" si="131"/>
        <v>0</v>
      </c>
      <c r="AK295" s="163">
        <f t="shared" si="131"/>
        <v>0</v>
      </c>
      <c r="AL295" s="163">
        <f t="shared" si="131"/>
        <v>0</v>
      </c>
      <c r="AM295" s="163">
        <f t="shared" si="131"/>
        <v>0</v>
      </c>
      <c r="AN295" s="163">
        <f t="shared" si="131"/>
        <v>0</v>
      </c>
      <c r="AO295" s="163">
        <f t="shared" si="131"/>
        <v>0</v>
      </c>
    </row>
    <row r="296" spans="3:44" x14ac:dyDescent="0.3">
      <c r="C296" s="29"/>
      <c r="F296" s="2"/>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row>
    <row r="297" spans="3:44" x14ac:dyDescent="0.3">
      <c r="C297" s="29"/>
      <c r="E297" s="32" t="s">
        <v>1026</v>
      </c>
      <c r="F297" s="2"/>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row>
    <row r="298" spans="3:44" x14ac:dyDescent="0.3">
      <c r="C298" s="29"/>
      <c r="F298" s="410" t="s">
        <v>1079</v>
      </c>
      <c r="G298" t="s">
        <v>207</v>
      </c>
      <c r="J298" s="163">
        <f t="shared" ref="J298:AO298" si="132">SUM(J282:J284)</f>
        <v>0</v>
      </c>
      <c r="K298" s="163">
        <f t="shared" si="132"/>
        <v>0</v>
      </c>
      <c r="L298" s="163">
        <f t="shared" si="132"/>
        <v>0</v>
      </c>
      <c r="M298" s="163">
        <f t="shared" si="132"/>
        <v>0</v>
      </c>
      <c r="N298" s="163">
        <f t="shared" si="132"/>
        <v>0</v>
      </c>
      <c r="O298" s="163">
        <f t="shared" si="132"/>
        <v>0</v>
      </c>
      <c r="P298" s="163">
        <f t="shared" si="132"/>
        <v>0</v>
      </c>
      <c r="Q298" s="163">
        <f t="shared" si="132"/>
        <v>0</v>
      </c>
      <c r="R298" s="163">
        <f t="shared" si="132"/>
        <v>0</v>
      </c>
      <c r="S298" s="163">
        <f t="shared" si="132"/>
        <v>0</v>
      </c>
      <c r="T298" s="163">
        <f t="shared" si="132"/>
        <v>0</v>
      </c>
      <c r="U298" s="163">
        <f t="shared" si="132"/>
        <v>0</v>
      </c>
      <c r="V298" s="163">
        <f t="shared" si="132"/>
        <v>0</v>
      </c>
      <c r="W298" s="163">
        <f t="shared" si="132"/>
        <v>0</v>
      </c>
      <c r="X298" s="163">
        <f t="shared" si="132"/>
        <v>0</v>
      </c>
      <c r="Y298" s="163">
        <f t="shared" si="132"/>
        <v>0</v>
      </c>
      <c r="Z298" s="163">
        <f t="shared" si="132"/>
        <v>0</v>
      </c>
      <c r="AA298" s="163">
        <f t="shared" si="132"/>
        <v>0</v>
      </c>
      <c r="AB298" s="163">
        <f t="shared" si="132"/>
        <v>0</v>
      </c>
      <c r="AC298" s="163">
        <f t="shared" si="132"/>
        <v>0</v>
      </c>
      <c r="AD298" s="163">
        <f t="shared" si="132"/>
        <v>0</v>
      </c>
      <c r="AE298" s="163">
        <f t="shared" si="132"/>
        <v>0</v>
      </c>
      <c r="AF298" s="163">
        <f t="shared" si="132"/>
        <v>0</v>
      </c>
      <c r="AG298" s="163">
        <f t="shared" si="132"/>
        <v>0</v>
      </c>
      <c r="AH298" s="163">
        <f t="shared" si="132"/>
        <v>0</v>
      </c>
      <c r="AI298" s="163">
        <f t="shared" si="132"/>
        <v>0</v>
      </c>
      <c r="AJ298" s="163">
        <f t="shared" si="132"/>
        <v>0</v>
      </c>
      <c r="AK298" s="163">
        <f t="shared" si="132"/>
        <v>0</v>
      </c>
      <c r="AL298" s="163">
        <f t="shared" si="132"/>
        <v>0</v>
      </c>
      <c r="AM298" s="163">
        <f t="shared" si="132"/>
        <v>0</v>
      </c>
      <c r="AN298" s="163">
        <f t="shared" si="132"/>
        <v>0</v>
      </c>
      <c r="AO298" s="163">
        <f t="shared" si="132"/>
        <v>0</v>
      </c>
    </row>
    <row r="299" spans="3:44" x14ac:dyDescent="0.3">
      <c r="C299" s="29"/>
      <c r="F299" s="2"/>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row>
    <row r="300" spans="3:44" x14ac:dyDescent="0.3">
      <c r="C300" s="29"/>
      <c r="F300" t="s">
        <v>1028</v>
      </c>
      <c r="G300" t="s">
        <v>207</v>
      </c>
      <c r="J300" s="163">
        <f t="shared" ref="J300:AO300" si="133">SUMIF($J149:$AO149,J149,$J298:$AOJ298)</f>
        <v>0</v>
      </c>
      <c r="K300" s="163">
        <f t="shared" si="133"/>
        <v>0</v>
      </c>
      <c r="L300" s="163">
        <f t="shared" si="133"/>
        <v>0</v>
      </c>
      <c r="M300" s="163">
        <f t="shared" si="133"/>
        <v>0</v>
      </c>
      <c r="N300" s="163">
        <f t="shared" si="133"/>
        <v>0</v>
      </c>
      <c r="O300" s="163">
        <f t="shared" si="133"/>
        <v>0</v>
      </c>
      <c r="P300" s="163">
        <f t="shared" si="133"/>
        <v>0</v>
      </c>
      <c r="Q300" s="163">
        <f t="shared" si="133"/>
        <v>0</v>
      </c>
      <c r="R300" s="163">
        <f t="shared" si="133"/>
        <v>0</v>
      </c>
      <c r="S300" s="163">
        <f t="shared" si="133"/>
        <v>0</v>
      </c>
      <c r="T300" s="163">
        <f t="shared" si="133"/>
        <v>0</v>
      </c>
      <c r="U300" s="163">
        <f t="shared" si="133"/>
        <v>0</v>
      </c>
      <c r="V300" s="163">
        <f t="shared" si="133"/>
        <v>0</v>
      </c>
      <c r="W300" s="163">
        <f t="shared" si="133"/>
        <v>0</v>
      </c>
      <c r="X300" s="163">
        <f t="shared" si="133"/>
        <v>0</v>
      </c>
      <c r="Y300" s="163">
        <f t="shared" si="133"/>
        <v>0</v>
      </c>
      <c r="Z300" s="163">
        <f t="shared" si="133"/>
        <v>0</v>
      </c>
      <c r="AA300" s="163">
        <f t="shared" si="133"/>
        <v>0</v>
      </c>
      <c r="AB300" s="163">
        <f t="shared" si="133"/>
        <v>0</v>
      </c>
      <c r="AC300" s="163">
        <f t="shared" si="133"/>
        <v>0</v>
      </c>
      <c r="AD300" s="163">
        <f t="shared" si="133"/>
        <v>0</v>
      </c>
      <c r="AE300" s="163">
        <f t="shared" si="133"/>
        <v>0</v>
      </c>
      <c r="AF300" s="163">
        <f t="shared" si="133"/>
        <v>0</v>
      </c>
      <c r="AG300" s="163">
        <f t="shared" si="133"/>
        <v>0</v>
      </c>
      <c r="AH300" s="163">
        <f t="shared" si="133"/>
        <v>0</v>
      </c>
      <c r="AI300" s="163">
        <f t="shared" si="133"/>
        <v>0</v>
      </c>
      <c r="AJ300" s="163">
        <f t="shared" si="133"/>
        <v>0</v>
      </c>
      <c r="AK300" s="163">
        <f t="shared" si="133"/>
        <v>0</v>
      </c>
      <c r="AL300" s="163">
        <f t="shared" si="133"/>
        <v>0</v>
      </c>
      <c r="AM300" s="163">
        <f t="shared" si="133"/>
        <v>0</v>
      </c>
      <c r="AN300" s="163">
        <f t="shared" si="133"/>
        <v>0</v>
      </c>
      <c r="AO300" s="163">
        <f t="shared" si="133"/>
        <v>0</v>
      </c>
    </row>
    <row r="301" spans="3:44" x14ac:dyDescent="0.3">
      <c r="C301" s="29"/>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row>
    <row r="302" spans="3:44" x14ac:dyDescent="0.3">
      <c r="C302" s="29"/>
      <c r="F302" t="s">
        <v>1030</v>
      </c>
      <c r="G302" t="s">
        <v>207</v>
      </c>
      <c r="J302" s="163">
        <f t="shared" ref="J302:AO302" si="134" xml:space="preserve"> J300 * J157</f>
        <v>0</v>
      </c>
      <c r="K302" s="163">
        <f t="shared" si="134"/>
        <v>0</v>
      </c>
      <c r="L302" s="163">
        <f t="shared" si="134"/>
        <v>0</v>
      </c>
      <c r="M302" s="163">
        <f t="shared" si="134"/>
        <v>0</v>
      </c>
      <c r="N302" s="163">
        <f t="shared" si="134"/>
        <v>0</v>
      </c>
      <c r="O302" s="163">
        <f t="shared" si="134"/>
        <v>0</v>
      </c>
      <c r="P302" s="163">
        <f t="shared" si="134"/>
        <v>0</v>
      </c>
      <c r="Q302" s="163">
        <f t="shared" si="134"/>
        <v>0</v>
      </c>
      <c r="R302" s="163">
        <f t="shared" si="134"/>
        <v>0</v>
      </c>
      <c r="S302" s="163">
        <f t="shared" si="134"/>
        <v>0</v>
      </c>
      <c r="T302" s="163">
        <f t="shared" si="134"/>
        <v>0</v>
      </c>
      <c r="U302" s="163">
        <f t="shared" si="134"/>
        <v>0</v>
      </c>
      <c r="V302" s="163">
        <f t="shared" si="134"/>
        <v>0</v>
      </c>
      <c r="W302" s="163">
        <f t="shared" si="134"/>
        <v>0</v>
      </c>
      <c r="X302" s="163">
        <f t="shared" si="134"/>
        <v>0</v>
      </c>
      <c r="Y302" s="163">
        <f t="shared" si="134"/>
        <v>0</v>
      </c>
      <c r="Z302" s="163">
        <f t="shared" si="134"/>
        <v>0</v>
      </c>
      <c r="AA302" s="163">
        <f t="shared" si="134"/>
        <v>0</v>
      </c>
      <c r="AB302" s="163">
        <f t="shared" si="134"/>
        <v>0</v>
      </c>
      <c r="AC302" s="163">
        <f t="shared" si="134"/>
        <v>0</v>
      </c>
      <c r="AD302" s="163">
        <f t="shared" si="134"/>
        <v>0</v>
      </c>
      <c r="AE302" s="163">
        <f t="shared" si="134"/>
        <v>0</v>
      </c>
      <c r="AF302" s="163">
        <f t="shared" si="134"/>
        <v>0</v>
      </c>
      <c r="AG302" s="163">
        <f t="shared" si="134"/>
        <v>0</v>
      </c>
      <c r="AH302" s="163">
        <f t="shared" si="134"/>
        <v>0</v>
      </c>
      <c r="AI302" s="163">
        <f t="shared" si="134"/>
        <v>0</v>
      </c>
      <c r="AJ302" s="163">
        <f t="shared" si="134"/>
        <v>0</v>
      </c>
      <c r="AK302" s="163">
        <f t="shared" si="134"/>
        <v>0</v>
      </c>
      <c r="AL302" s="163">
        <f t="shared" si="134"/>
        <v>0</v>
      </c>
      <c r="AM302" s="163">
        <f t="shared" si="134"/>
        <v>0</v>
      </c>
      <c r="AN302" s="163">
        <f t="shared" si="134"/>
        <v>0</v>
      </c>
      <c r="AO302" s="163">
        <f t="shared" si="134"/>
        <v>0</v>
      </c>
      <c r="AP302" s="14"/>
      <c r="AQ302" s="14"/>
      <c r="AR302" s="14"/>
    </row>
    <row r="303" spans="3:44" x14ac:dyDescent="0.3">
      <c r="C303" s="29"/>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row>
    <row r="304" spans="3:44" x14ac:dyDescent="0.3">
      <c r="C304" s="29"/>
      <c r="E304" s="28" t="s">
        <v>1080</v>
      </c>
      <c r="G304" t="s">
        <v>269</v>
      </c>
      <c r="J304" s="338">
        <f t="shared" ref="J304:AO304" si="135">IF( J298&lt;&gt;0, J295/J302, 0)*hundred/thousand</f>
        <v>0</v>
      </c>
      <c r="K304" s="338">
        <f t="shared" si="135"/>
        <v>0</v>
      </c>
      <c r="L304" s="338">
        <f t="shared" si="135"/>
        <v>0</v>
      </c>
      <c r="M304" s="338">
        <f t="shared" si="135"/>
        <v>0</v>
      </c>
      <c r="N304" s="338">
        <f t="shared" si="135"/>
        <v>0</v>
      </c>
      <c r="O304" s="338">
        <f t="shared" si="135"/>
        <v>0</v>
      </c>
      <c r="P304" s="338">
        <f t="shared" si="135"/>
        <v>0</v>
      </c>
      <c r="Q304" s="338">
        <f t="shared" si="135"/>
        <v>0</v>
      </c>
      <c r="R304" s="338">
        <f t="shared" si="135"/>
        <v>0</v>
      </c>
      <c r="S304" s="338">
        <f t="shared" si="135"/>
        <v>0</v>
      </c>
      <c r="T304" s="338">
        <f t="shared" si="135"/>
        <v>0</v>
      </c>
      <c r="U304" s="338">
        <f t="shared" si="135"/>
        <v>0</v>
      </c>
      <c r="V304" s="338">
        <f t="shared" si="135"/>
        <v>0</v>
      </c>
      <c r="W304" s="338">
        <f t="shared" si="135"/>
        <v>0</v>
      </c>
      <c r="X304" s="338">
        <f t="shared" si="135"/>
        <v>0</v>
      </c>
      <c r="Y304" s="338">
        <f t="shared" si="135"/>
        <v>0</v>
      </c>
      <c r="Z304" s="338">
        <f t="shared" si="135"/>
        <v>0</v>
      </c>
      <c r="AA304" s="338">
        <f t="shared" si="135"/>
        <v>0</v>
      </c>
      <c r="AB304" s="338">
        <f t="shared" si="135"/>
        <v>0</v>
      </c>
      <c r="AC304" s="338">
        <f t="shared" si="135"/>
        <v>0</v>
      </c>
      <c r="AD304" s="338">
        <f t="shared" si="135"/>
        <v>0</v>
      </c>
      <c r="AE304" s="338">
        <f t="shared" si="135"/>
        <v>0</v>
      </c>
      <c r="AF304" s="338">
        <f t="shared" si="135"/>
        <v>0</v>
      </c>
      <c r="AG304" s="338">
        <f t="shared" si="135"/>
        <v>0</v>
      </c>
      <c r="AH304" s="338">
        <f t="shared" si="135"/>
        <v>0</v>
      </c>
      <c r="AI304" s="338">
        <f t="shared" si="135"/>
        <v>0</v>
      </c>
      <c r="AJ304" s="338">
        <f t="shared" si="135"/>
        <v>0</v>
      </c>
      <c r="AK304" s="338">
        <f t="shared" si="135"/>
        <v>0</v>
      </c>
      <c r="AL304" s="338">
        <f t="shared" si="135"/>
        <v>0</v>
      </c>
      <c r="AM304" s="338">
        <f t="shared" si="135"/>
        <v>0</v>
      </c>
      <c r="AN304" s="338">
        <f t="shared" si="135"/>
        <v>0</v>
      </c>
      <c r="AO304" s="338">
        <f t="shared" si="135"/>
        <v>0</v>
      </c>
    </row>
    <row r="305" spans="3:43" x14ac:dyDescent="0.3">
      <c r="C305" s="29"/>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row>
    <row r="306" spans="3:43" x14ac:dyDescent="0.3">
      <c r="C306" s="29"/>
      <c r="E306" s="32" t="s">
        <v>1081</v>
      </c>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row>
    <row r="307" spans="3:43" x14ac:dyDescent="0.3">
      <c r="C307" s="29"/>
      <c r="F307" s="23" t="s">
        <v>1061</v>
      </c>
      <c r="G307" s="23" t="s">
        <v>912</v>
      </c>
      <c r="H307" s="23"/>
      <c r="I307" s="23"/>
      <c r="J307" s="415" t="b">
        <f t="shared" ref="J307:AO307" si="136">IF(J$32, - J262+J$304&gt;=0, TRUE)</f>
        <v>1</v>
      </c>
      <c r="K307" s="415" t="b">
        <f t="shared" si="136"/>
        <v>1</v>
      </c>
      <c r="L307" s="415" t="b">
        <f t="shared" si="136"/>
        <v>1</v>
      </c>
      <c r="M307" s="415" t="b">
        <f t="shared" si="136"/>
        <v>1</v>
      </c>
      <c r="N307" s="415" t="b">
        <f t="shared" si="136"/>
        <v>1</v>
      </c>
      <c r="O307" s="415" t="b">
        <f t="shared" si="136"/>
        <v>1</v>
      </c>
      <c r="P307" s="415" t="b">
        <f t="shared" si="136"/>
        <v>1</v>
      </c>
      <c r="Q307" s="415" t="b">
        <f t="shared" si="136"/>
        <v>1</v>
      </c>
      <c r="R307" s="415" t="b">
        <f t="shared" si="136"/>
        <v>1</v>
      </c>
      <c r="S307" s="415" t="b">
        <f t="shared" si="136"/>
        <v>1</v>
      </c>
      <c r="T307" s="415" t="b">
        <f t="shared" si="136"/>
        <v>1</v>
      </c>
      <c r="U307" s="415" t="b">
        <f t="shared" si="136"/>
        <v>1</v>
      </c>
      <c r="V307" s="415" t="b">
        <f t="shared" si="136"/>
        <v>1</v>
      </c>
      <c r="W307" s="415" t="b">
        <f t="shared" si="136"/>
        <v>1</v>
      </c>
      <c r="X307" s="415" t="b">
        <f t="shared" si="136"/>
        <v>1</v>
      </c>
      <c r="Y307" s="415" t="b">
        <f t="shared" si="136"/>
        <v>1</v>
      </c>
      <c r="Z307" s="415" t="b">
        <f t="shared" si="136"/>
        <v>1</v>
      </c>
      <c r="AA307" s="415" t="b">
        <f t="shared" si="136"/>
        <v>1</v>
      </c>
      <c r="AB307" s="415" t="b">
        <f t="shared" si="136"/>
        <v>1</v>
      </c>
      <c r="AC307" s="415" t="b">
        <f t="shared" si="136"/>
        <v>1</v>
      </c>
      <c r="AD307" s="415" t="b">
        <f t="shared" si="136"/>
        <v>1</v>
      </c>
      <c r="AE307" s="415" t="b">
        <f t="shared" si="136"/>
        <v>1</v>
      </c>
      <c r="AF307" s="415" t="b">
        <f t="shared" si="136"/>
        <v>1</v>
      </c>
      <c r="AG307" s="415" t="b">
        <f t="shared" si="136"/>
        <v>1</v>
      </c>
      <c r="AH307" s="415" t="b">
        <f t="shared" si="136"/>
        <v>1</v>
      </c>
      <c r="AI307" s="415" t="b">
        <f t="shared" si="136"/>
        <v>1</v>
      </c>
      <c r="AJ307" s="415" t="b">
        <f t="shared" si="136"/>
        <v>1</v>
      </c>
      <c r="AK307" s="415" t="b">
        <f t="shared" si="136"/>
        <v>1</v>
      </c>
      <c r="AL307" s="415" t="b">
        <f t="shared" si="136"/>
        <v>1</v>
      </c>
      <c r="AM307" s="415" t="b">
        <f t="shared" si="136"/>
        <v>1</v>
      </c>
      <c r="AN307" s="415" t="b">
        <f t="shared" si="136"/>
        <v>1</v>
      </c>
      <c r="AO307" s="415" t="b">
        <f t="shared" si="136"/>
        <v>1</v>
      </c>
    </row>
    <row r="308" spans="3:43" x14ac:dyDescent="0.3">
      <c r="C308" s="29"/>
      <c r="F308" t="s">
        <v>1062</v>
      </c>
      <c r="G308" t="s">
        <v>912</v>
      </c>
      <c r="J308" s="14" t="b">
        <f t="shared" ref="J308:AO308" si="137">IF(J$32, - J263+J$304&gt;=0, TRUE)</f>
        <v>1</v>
      </c>
      <c r="K308" s="14" t="b">
        <f t="shared" si="137"/>
        <v>1</v>
      </c>
      <c r="L308" s="14" t="b">
        <f t="shared" si="137"/>
        <v>1</v>
      </c>
      <c r="M308" s="14" t="b">
        <f t="shared" si="137"/>
        <v>1</v>
      </c>
      <c r="N308" s="14" t="b">
        <f t="shared" si="137"/>
        <v>1</v>
      </c>
      <c r="O308" s="14" t="b">
        <f t="shared" si="137"/>
        <v>1</v>
      </c>
      <c r="P308" s="14" t="b">
        <f t="shared" si="137"/>
        <v>1</v>
      </c>
      <c r="Q308" s="14" t="b">
        <f t="shared" si="137"/>
        <v>1</v>
      </c>
      <c r="R308" s="14" t="b">
        <f t="shared" si="137"/>
        <v>1</v>
      </c>
      <c r="S308" s="14" t="b">
        <f t="shared" si="137"/>
        <v>1</v>
      </c>
      <c r="T308" s="14" t="b">
        <f t="shared" si="137"/>
        <v>1</v>
      </c>
      <c r="U308" s="14" t="b">
        <f t="shared" si="137"/>
        <v>1</v>
      </c>
      <c r="V308" s="14" t="b">
        <f t="shared" si="137"/>
        <v>1</v>
      </c>
      <c r="W308" s="14" t="b">
        <f t="shared" si="137"/>
        <v>1</v>
      </c>
      <c r="X308" s="14" t="b">
        <f t="shared" si="137"/>
        <v>1</v>
      </c>
      <c r="Y308" s="14" t="b">
        <f t="shared" si="137"/>
        <v>1</v>
      </c>
      <c r="Z308" s="14" t="b">
        <f t="shared" si="137"/>
        <v>1</v>
      </c>
      <c r="AA308" s="14" t="b">
        <f t="shared" si="137"/>
        <v>1</v>
      </c>
      <c r="AB308" s="14" t="b">
        <f t="shared" si="137"/>
        <v>1</v>
      </c>
      <c r="AC308" s="14" t="b">
        <f t="shared" si="137"/>
        <v>1</v>
      </c>
      <c r="AD308" s="14" t="b">
        <f t="shared" si="137"/>
        <v>1</v>
      </c>
      <c r="AE308" s="14" t="b">
        <f t="shared" si="137"/>
        <v>1</v>
      </c>
      <c r="AF308" s="14" t="b">
        <f t="shared" si="137"/>
        <v>1</v>
      </c>
      <c r="AG308" s="14" t="b">
        <f t="shared" si="137"/>
        <v>1</v>
      </c>
      <c r="AH308" s="14" t="b">
        <f t="shared" si="137"/>
        <v>1</v>
      </c>
      <c r="AI308" s="14" t="b">
        <f t="shared" si="137"/>
        <v>1</v>
      </c>
      <c r="AJ308" s="14" t="b">
        <f t="shared" si="137"/>
        <v>1</v>
      </c>
      <c r="AK308" s="14" t="b">
        <f t="shared" si="137"/>
        <v>1</v>
      </c>
      <c r="AL308" s="14" t="b">
        <f t="shared" si="137"/>
        <v>1</v>
      </c>
      <c r="AM308" s="14" t="b">
        <f t="shared" si="137"/>
        <v>1</v>
      </c>
      <c r="AN308" s="14" t="b">
        <f t="shared" si="137"/>
        <v>1</v>
      </c>
      <c r="AO308" s="14" t="b">
        <f t="shared" si="137"/>
        <v>1</v>
      </c>
    </row>
    <row r="309" spans="3:43" x14ac:dyDescent="0.3">
      <c r="C309" s="29"/>
      <c r="F309" s="37" t="s">
        <v>1063</v>
      </c>
      <c r="G309" s="37" t="s">
        <v>912</v>
      </c>
      <c r="H309" s="37"/>
      <c r="I309" s="37"/>
      <c r="J309" s="416" t="b">
        <f t="shared" ref="J309:AO309" si="138">IF(J$32, - J264+J$304&gt;=0, TRUE)</f>
        <v>1</v>
      </c>
      <c r="K309" s="416" t="b">
        <f t="shared" si="138"/>
        <v>1</v>
      </c>
      <c r="L309" s="416" t="b">
        <f t="shared" si="138"/>
        <v>1</v>
      </c>
      <c r="M309" s="416" t="b">
        <f t="shared" si="138"/>
        <v>1</v>
      </c>
      <c r="N309" s="416" t="b">
        <f t="shared" si="138"/>
        <v>1</v>
      </c>
      <c r="O309" s="416" t="b">
        <f t="shared" si="138"/>
        <v>1</v>
      </c>
      <c r="P309" s="416" t="b">
        <f t="shared" si="138"/>
        <v>1</v>
      </c>
      <c r="Q309" s="416" t="b">
        <f t="shared" si="138"/>
        <v>1</v>
      </c>
      <c r="R309" s="416" t="b">
        <f t="shared" si="138"/>
        <v>1</v>
      </c>
      <c r="S309" s="416" t="b">
        <f t="shared" si="138"/>
        <v>1</v>
      </c>
      <c r="T309" s="416" t="b">
        <f t="shared" si="138"/>
        <v>1</v>
      </c>
      <c r="U309" s="416" t="b">
        <f t="shared" si="138"/>
        <v>1</v>
      </c>
      <c r="V309" s="416" t="b">
        <f t="shared" si="138"/>
        <v>1</v>
      </c>
      <c r="W309" s="416" t="b">
        <f t="shared" si="138"/>
        <v>1</v>
      </c>
      <c r="X309" s="416" t="b">
        <f t="shared" si="138"/>
        <v>1</v>
      </c>
      <c r="Y309" s="416" t="b">
        <f t="shared" si="138"/>
        <v>1</v>
      </c>
      <c r="Z309" s="416" t="b">
        <f t="shared" si="138"/>
        <v>1</v>
      </c>
      <c r="AA309" s="416" t="b">
        <f t="shared" si="138"/>
        <v>1</v>
      </c>
      <c r="AB309" s="416" t="b">
        <f t="shared" si="138"/>
        <v>1</v>
      </c>
      <c r="AC309" s="416" t="b">
        <f t="shared" si="138"/>
        <v>1</v>
      </c>
      <c r="AD309" s="416" t="b">
        <f t="shared" si="138"/>
        <v>1</v>
      </c>
      <c r="AE309" s="416" t="b">
        <f t="shared" si="138"/>
        <v>1</v>
      </c>
      <c r="AF309" s="416" t="b">
        <f t="shared" si="138"/>
        <v>1</v>
      </c>
      <c r="AG309" s="416" t="b">
        <f t="shared" si="138"/>
        <v>1</v>
      </c>
      <c r="AH309" s="416" t="b">
        <f t="shared" si="138"/>
        <v>1</v>
      </c>
      <c r="AI309" s="416" t="b">
        <f t="shared" si="138"/>
        <v>1</v>
      </c>
      <c r="AJ309" s="416" t="b">
        <f t="shared" si="138"/>
        <v>1</v>
      </c>
      <c r="AK309" s="416" t="b">
        <f t="shared" si="138"/>
        <v>1</v>
      </c>
      <c r="AL309" s="416" t="b">
        <f t="shared" si="138"/>
        <v>1</v>
      </c>
      <c r="AM309" s="416" t="b">
        <f t="shared" si="138"/>
        <v>1</v>
      </c>
      <c r="AN309" s="416" t="b">
        <f t="shared" si="138"/>
        <v>1</v>
      </c>
      <c r="AO309" s="416" t="b">
        <f t="shared" si="138"/>
        <v>1</v>
      </c>
    </row>
    <row r="310" spans="3:43" x14ac:dyDescent="0.3">
      <c r="C310" s="29"/>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row>
    <row r="311" spans="3:43" x14ac:dyDescent="0.3">
      <c r="C311" s="29"/>
      <c r="E311" t="s">
        <v>1082</v>
      </c>
      <c r="G311" t="s">
        <v>912</v>
      </c>
      <c r="J311" s="14" t="b">
        <f>COUNTIF(J307:J309,TRUE)=3</f>
        <v>1</v>
      </c>
      <c r="K311" s="14" t="b">
        <f t="shared" ref="K311:AO311" si="139">COUNTIF(K307:K309,TRUE)=3</f>
        <v>1</v>
      </c>
      <c r="L311" s="14" t="b">
        <f t="shared" si="139"/>
        <v>1</v>
      </c>
      <c r="M311" s="14" t="b">
        <f t="shared" si="139"/>
        <v>1</v>
      </c>
      <c r="N311" s="14" t="b">
        <f t="shared" si="139"/>
        <v>1</v>
      </c>
      <c r="O311" s="14" t="b">
        <f t="shared" si="139"/>
        <v>1</v>
      </c>
      <c r="P311" s="14" t="b">
        <f t="shared" si="139"/>
        <v>1</v>
      </c>
      <c r="Q311" s="14" t="b">
        <f t="shared" si="139"/>
        <v>1</v>
      </c>
      <c r="R311" s="14" t="b">
        <f t="shared" si="139"/>
        <v>1</v>
      </c>
      <c r="S311" s="14" t="b">
        <f t="shared" si="139"/>
        <v>1</v>
      </c>
      <c r="T311" s="14" t="b">
        <f t="shared" si="139"/>
        <v>1</v>
      </c>
      <c r="U311" s="14" t="b">
        <f t="shared" si="139"/>
        <v>1</v>
      </c>
      <c r="V311" s="14" t="b">
        <f t="shared" si="139"/>
        <v>1</v>
      </c>
      <c r="W311" s="14" t="b">
        <f t="shared" si="139"/>
        <v>1</v>
      </c>
      <c r="X311" s="14" t="b">
        <f t="shared" si="139"/>
        <v>1</v>
      </c>
      <c r="Y311" s="14" t="b">
        <f t="shared" si="139"/>
        <v>1</v>
      </c>
      <c r="Z311" s="14" t="b">
        <f t="shared" si="139"/>
        <v>1</v>
      </c>
      <c r="AA311" s="14" t="b">
        <f t="shared" si="139"/>
        <v>1</v>
      </c>
      <c r="AB311" s="14" t="b">
        <f t="shared" si="139"/>
        <v>1</v>
      </c>
      <c r="AC311" s="14" t="b">
        <f t="shared" si="139"/>
        <v>1</v>
      </c>
      <c r="AD311" s="14" t="b">
        <f t="shared" si="139"/>
        <v>1</v>
      </c>
      <c r="AE311" s="14" t="b">
        <f t="shared" si="139"/>
        <v>1</v>
      </c>
      <c r="AF311" s="14" t="b">
        <f t="shared" si="139"/>
        <v>1</v>
      </c>
      <c r="AG311" s="14" t="b">
        <f t="shared" si="139"/>
        <v>1</v>
      </c>
      <c r="AH311" s="14" t="b">
        <f t="shared" si="139"/>
        <v>1</v>
      </c>
      <c r="AI311" s="14" t="b">
        <f t="shared" si="139"/>
        <v>1</v>
      </c>
      <c r="AJ311" s="14" t="b">
        <f t="shared" si="139"/>
        <v>1</v>
      </c>
      <c r="AK311" s="14" t="b">
        <f t="shared" si="139"/>
        <v>1</v>
      </c>
      <c r="AL311" s="14" t="b">
        <f t="shared" si="139"/>
        <v>1</v>
      </c>
      <c r="AM311" s="14" t="b">
        <f t="shared" si="139"/>
        <v>1</v>
      </c>
      <c r="AN311" s="14" t="b">
        <f t="shared" si="139"/>
        <v>1</v>
      </c>
      <c r="AO311" s="14" t="b">
        <f t="shared" si="139"/>
        <v>1</v>
      </c>
    </row>
    <row r="312" spans="3:43" x14ac:dyDescent="0.3">
      <c r="C312" s="29"/>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row>
    <row r="313" spans="3:43" x14ac:dyDescent="0.3">
      <c r="C313" s="31" t="str">
        <f ca="1">INDEX('Version control'!$H$34:$H$57,MATCH($A$1,'Version control'!$F$34:$F$57,0),1)&amp;"-L: Revenue matching for two timebands"</f>
        <v>Section 116-L: Revenue matching for two timebands</v>
      </c>
      <c r="D313" s="31"/>
      <c r="E313" s="31"/>
      <c r="F313" s="31"/>
      <c r="G313" s="31"/>
      <c r="H313" s="31"/>
      <c r="I313" s="31"/>
      <c r="J313" s="189"/>
      <c r="K313" s="189"/>
      <c r="L313" s="189"/>
      <c r="M313" s="189"/>
      <c r="N313" s="189"/>
      <c r="O313" s="189"/>
      <c r="P313" s="189"/>
      <c r="Q313" s="189"/>
      <c r="R313" s="189"/>
      <c r="S313" s="189"/>
      <c r="T313" s="189"/>
      <c r="U313" s="189"/>
      <c r="V313" s="189"/>
      <c r="W313" s="189"/>
      <c r="X313" s="189"/>
      <c r="Y313" s="189"/>
      <c r="Z313" s="189"/>
      <c r="AA313" s="189"/>
      <c r="AB313" s="189"/>
      <c r="AC313" s="189"/>
      <c r="AD313" s="189"/>
      <c r="AE313" s="189"/>
      <c r="AF313" s="189"/>
      <c r="AG313" s="189"/>
      <c r="AH313" s="189"/>
      <c r="AI313" s="189"/>
      <c r="AJ313" s="189"/>
      <c r="AK313" s="189"/>
      <c r="AL313" s="189"/>
      <c r="AM313" s="189"/>
      <c r="AN313" s="189"/>
      <c r="AO313" s="189"/>
      <c r="AP313" s="31"/>
      <c r="AQ313" s="31"/>
    </row>
    <row r="314" spans="3:43" x14ac:dyDescent="0.3">
      <c r="C314" s="29"/>
      <c r="E314" s="32"/>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row>
    <row r="315" spans="3:43" x14ac:dyDescent="0.3">
      <c r="C315" s="29"/>
      <c r="D315" s="29" t="s">
        <v>1152</v>
      </c>
      <c r="E315" s="32"/>
      <c r="I315" t="s">
        <v>154</v>
      </c>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Q315" t="s">
        <v>1128</v>
      </c>
    </row>
    <row r="316" spans="3:43" x14ac:dyDescent="0.3">
      <c r="C316" s="29"/>
      <c r="D316" s="29" t="s">
        <v>1083</v>
      </c>
      <c r="E316" s="32"/>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row>
    <row r="317" spans="3:43" x14ac:dyDescent="0.3">
      <c r="C317" s="29"/>
      <c r="D317" s="29" t="s">
        <v>1084</v>
      </c>
      <c r="E317" s="32"/>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row>
    <row r="318" spans="3:43" x14ac:dyDescent="0.3">
      <c r="C318" s="29"/>
      <c r="D318" s="29" t="s">
        <v>1085</v>
      </c>
      <c r="E318" s="32"/>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row>
    <row r="319" spans="3:43" x14ac:dyDescent="0.3">
      <c r="C319" s="29"/>
      <c r="E319" s="32"/>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row>
    <row r="320" spans="3:43" x14ac:dyDescent="0.3">
      <c r="C320" s="29"/>
      <c r="E320" s="32" t="s">
        <v>1086</v>
      </c>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row>
    <row r="321" spans="3:44" x14ac:dyDescent="0.3">
      <c r="C321" s="29"/>
      <c r="F321" s="24" t="s">
        <v>1087</v>
      </c>
      <c r="G321" t="s">
        <v>936</v>
      </c>
      <c r="J321" s="163">
        <f t="shared" ref="J321:AO321" si="140">J262*J282*thousand/hundred</f>
        <v>0</v>
      </c>
      <c r="K321" s="163">
        <f t="shared" si="140"/>
        <v>0</v>
      </c>
      <c r="L321" s="163">
        <f t="shared" si="140"/>
        <v>0</v>
      </c>
      <c r="M321" s="163">
        <f t="shared" si="140"/>
        <v>0</v>
      </c>
      <c r="N321" s="163">
        <f t="shared" si="140"/>
        <v>0</v>
      </c>
      <c r="O321" s="163">
        <f t="shared" si="140"/>
        <v>0</v>
      </c>
      <c r="P321" s="163">
        <f t="shared" si="140"/>
        <v>0</v>
      </c>
      <c r="Q321" s="163">
        <f t="shared" si="140"/>
        <v>0</v>
      </c>
      <c r="R321" s="163">
        <f t="shared" si="140"/>
        <v>0</v>
      </c>
      <c r="S321" s="163">
        <f t="shared" si="140"/>
        <v>0</v>
      </c>
      <c r="T321" s="163">
        <f t="shared" si="140"/>
        <v>0</v>
      </c>
      <c r="U321" s="163">
        <f t="shared" si="140"/>
        <v>0</v>
      </c>
      <c r="V321" s="163">
        <f t="shared" si="140"/>
        <v>0</v>
      </c>
      <c r="W321" s="163">
        <f t="shared" si="140"/>
        <v>0</v>
      </c>
      <c r="X321" s="163">
        <f t="shared" si="140"/>
        <v>0</v>
      </c>
      <c r="Y321" s="163">
        <f t="shared" si="140"/>
        <v>0</v>
      </c>
      <c r="Z321" s="163">
        <f t="shared" si="140"/>
        <v>0</v>
      </c>
      <c r="AA321" s="163">
        <f t="shared" si="140"/>
        <v>0</v>
      </c>
      <c r="AB321" s="163">
        <f t="shared" si="140"/>
        <v>0</v>
      </c>
      <c r="AC321" s="163">
        <f t="shared" si="140"/>
        <v>0</v>
      </c>
      <c r="AD321" s="163">
        <f t="shared" si="140"/>
        <v>0</v>
      </c>
      <c r="AE321" s="163">
        <f t="shared" si="140"/>
        <v>0</v>
      </c>
      <c r="AF321" s="163">
        <f t="shared" si="140"/>
        <v>0</v>
      </c>
      <c r="AG321" s="163">
        <f t="shared" si="140"/>
        <v>0</v>
      </c>
      <c r="AH321" s="163">
        <f t="shared" si="140"/>
        <v>0</v>
      </c>
      <c r="AI321" s="163">
        <f t="shared" si="140"/>
        <v>0</v>
      </c>
      <c r="AJ321" s="163">
        <f t="shared" si="140"/>
        <v>0</v>
      </c>
      <c r="AK321" s="163">
        <f t="shared" si="140"/>
        <v>0</v>
      </c>
      <c r="AL321" s="163">
        <f t="shared" si="140"/>
        <v>0</v>
      </c>
      <c r="AM321" s="163">
        <f t="shared" si="140"/>
        <v>0</v>
      </c>
      <c r="AN321" s="163">
        <f t="shared" si="140"/>
        <v>0</v>
      </c>
      <c r="AO321" s="163">
        <f t="shared" si="140"/>
        <v>0</v>
      </c>
    </row>
    <row r="322" spans="3:44" x14ac:dyDescent="0.3">
      <c r="C322" s="29"/>
      <c r="F322" s="32"/>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row>
    <row r="323" spans="3:44" x14ac:dyDescent="0.3">
      <c r="C323" s="29"/>
      <c r="F323" s="417" t="s">
        <v>1088</v>
      </c>
      <c r="G323" t="s">
        <v>936</v>
      </c>
      <c r="J323" s="163">
        <f t="shared" ref="J323:AO323" si="141">J228 - J321</f>
        <v>0</v>
      </c>
      <c r="K323" s="163">
        <f t="shared" si="141"/>
        <v>0</v>
      </c>
      <c r="L323" s="163">
        <f t="shared" si="141"/>
        <v>0</v>
      </c>
      <c r="M323" s="163">
        <f t="shared" si="141"/>
        <v>0</v>
      </c>
      <c r="N323" s="163">
        <f t="shared" si="141"/>
        <v>0</v>
      </c>
      <c r="O323" s="163">
        <f t="shared" si="141"/>
        <v>0</v>
      </c>
      <c r="P323" s="163">
        <f t="shared" si="141"/>
        <v>0</v>
      </c>
      <c r="Q323" s="163">
        <f t="shared" si="141"/>
        <v>0</v>
      </c>
      <c r="R323" s="163">
        <f t="shared" si="141"/>
        <v>0</v>
      </c>
      <c r="S323" s="163">
        <f t="shared" si="141"/>
        <v>0</v>
      </c>
      <c r="T323" s="163">
        <f t="shared" si="141"/>
        <v>0</v>
      </c>
      <c r="U323" s="163">
        <f t="shared" si="141"/>
        <v>0</v>
      </c>
      <c r="V323" s="163">
        <f t="shared" si="141"/>
        <v>0</v>
      </c>
      <c r="W323" s="163">
        <f t="shared" si="141"/>
        <v>0</v>
      </c>
      <c r="X323" s="163">
        <f t="shared" si="141"/>
        <v>0</v>
      </c>
      <c r="Y323" s="163">
        <f t="shared" si="141"/>
        <v>0</v>
      </c>
      <c r="Z323" s="163">
        <f t="shared" si="141"/>
        <v>0</v>
      </c>
      <c r="AA323" s="163">
        <f t="shared" si="141"/>
        <v>0</v>
      </c>
      <c r="AB323" s="163">
        <f t="shared" si="141"/>
        <v>0</v>
      </c>
      <c r="AC323" s="163">
        <f t="shared" si="141"/>
        <v>0</v>
      </c>
      <c r="AD323" s="163">
        <f t="shared" si="141"/>
        <v>0</v>
      </c>
      <c r="AE323" s="163">
        <f t="shared" si="141"/>
        <v>0</v>
      </c>
      <c r="AF323" s="163">
        <f t="shared" si="141"/>
        <v>0</v>
      </c>
      <c r="AG323" s="163">
        <f t="shared" si="141"/>
        <v>0</v>
      </c>
      <c r="AH323" s="163">
        <f t="shared" si="141"/>
        <v>0</v>
      </c>
      <c r="AI323" s="163">
        <f t="shared" si="141"/>
        <v>0</v>
      </c>
      <c r="AJ323" s="163">
        <f t="shared" si="141"/>
        <v>0</v>
      </c>
      <c r="AK323" s="163">
        <f t="shared" si="141"/>
        <v>0</v>
      </c>
      <c r="AL323" s="163">
        <f t="shared" si="141"/>
        <v>0</v>
      </c>
      <c r="AM323" s="163">
        <f t="shared" si="141"/>
        <v>0</v>
      </c>
      <c r="AN323" s="163">
        <f t="shared" si="141"/>
        <v>0</v>
      </c>
      <c r="AO323" s="163">
        <f t="shared" si="141"/>
        <v>0</v>
      </c>
    </row>
    <row r="324" spans="3:44" x14ac:dyDescent="0.3">
      <c r="C324" s="29"/>
      <c r="F324" s="32"/>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row>
    <row r="325" spans="3:44" x14ac:dyDescent="0.3">
      <c r="C325" s="29"/>
      <c r="F325" t="s">
        <v>1077</v>
      </c>
      <c r="G325" t="s">
        <v>936</v>
      </c>
      <c r="J325" s="163">
        <f>SUMIF($J$149:$AO$149,J$149,$J323:$AO323)</f>
        <v>0</v>
      </c>
      <c r="K325" s="163">
        <f t="shared" ref="K325:AO325" si="142">SUMIF($J$149:$AO$149,K$149,$J323:$AO323)</f>
        <v>0</v>
      </c>
      <c r="L325" s="163">
        <f t="shared" si="142"/>
        <v>0</v>
      </c>
      <c r="M325" s="163">
        <f t="shared" si="142"/>
        <v>0</v>
      </c>
      <c r="N325" s="163">
        <f t="shared" si="142"/>
        <v>0</v>
      </c>
      <c r="O325" s="163">
        <f t="shared" si="142"/>
        <v>0</v>
      </c>
      <c r="P325" s="163">
        <f t="shared" si="142"/>
        <v>0</v>
      </c>
      <c r="Q325" s="163">
        <f t="shared" si="142"/>
        <v>0</v>
      </c>
      <c r="R325" s="163">
        <f t="shared" si="142"/>
        <v>0</v>
      </c>
      <c r="S325" s="163">
        <f t="shared" si="142"/>
        <v>0</v>
      </c>
      <c r="T325" s="163">
        <f t="shared" si="142"/>
        <v>0</v>
      </c>
      <c r="U325" s="163">
        <f t="shared" si="142"/>
        <v>0</v>
      </c>
      <c r="V325" s="163">
        <f t="shared" si="142"/>
        <v>0</v>
      </c>
      <c r="W325" s="163">
        <f t="shared" si="142"/>
        <v>0</v>
      </c>
      <c r="X325" s="163">
        <f t="shared" si="142"/>
        <v>0</v>
      </c>
      <c r="Y325" s="163">
        <f t="shared" si="142"/>
        <v>0</v>
      </c>
      <c r="Z325" s="163">
        <f t="shared" si="142"/>
        <v>0</v>
      </c>
      <c r="AA325" s="163">
        <f t="shared" si="142"/>
        <v>0</v>
      </c>
      <c r="AB325" s="163">
        <f t="shared" si="142"/>
        <v>0</v>
      </c>
      <c r="AC325" s="163">
        <f t="shared" si="142"/>
        <v>0</v>
      </c>
      <c r="AD325" s="163">
        <f t="shared" si="142"/>
        <v>0</v>
      </c>
      <c r="AE325" s="163">
        <f t="shared" si="142"/>
        <v>0</v>
      </c>
      <c r="AF325" s="163">
        <f t="shared" si="142"/>
        <v>0</v>
      </c>
      <c r="AG325" s="163">
        <f t="shared" si="142"/>
        <v>0</v>
      </c>
      <c r="AH325" s="163">
        <f t="shared" si="142"/>
        <v>0</v>
      </c>
      <c r="AI325" s="163">
        <f t="shared" si="142"/>
        <v>0</v>
      </c>
      <c r="AJ325" s="163">
        <f t="shared" si="142"/>
        <v>0</v>
      </c>
      <c r="AK325" s="163">
        <f t="shared" si="142"/>
        <v>0</v>
      </c>
      <c r="AL325" s="163">
        <f t="shared" si="142"/>
        <v>0</v>
      </c>
      <c r="AM325" s="163">
        <f t="shared" si="142"/>
        <v>0</v>
      </c>
      <c r="AN325" s="163">
        <f t="shared" si="142"/>
        <v>0</v>
      </c>
      <c r="AO325" s="163">
        <f t="shared" si="142"/>
        <v>0</v>
      </c>
    </row>
    <row r="326" spans="3:44" x14ac:dyDescent="0.3">
      <c r="C326" s="29"/>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row>
    <row r="327" spans="3:44" x14ac:dyDescent="0.3">
      <c r="C327" s="29"/>
      <c r="F327" t="s">
        <v>1078</v>
      </c>
      <c r="G327" t="s">
        <v>936</v>
      </c>
      <c r="J327" s="163">
        <f t="shared" ref="J327:AO327" si="143" xml:space="preserve"> J325 * J157</f>
        <v>0</v>
      </c>
      <c r="K327" s="163">
        <f t="shared" si="143"/>
        <v>0</v>
      </c>
      <c r="L327" s="163">
        <f t="shared" si="143"/>
        <v>0</v>
      </c>
      <c r="M327" s="163">
        <f t="shared" si="143"/>
        <v>0</v>
      </c>
      <c r="N327" s="163">
        <f t="shared" si="143"/>
        <v>0</v>
      </c>
      <c r="O327" s="163">
        <f t="shared" si="143"/>
        <v>0</v>
      </c>
      <c r="P327" s="163">
        <f t="shared" si="143"/>
        <v>0</v>
      </c>
      <c r="Q327" s="163">
        <f t="shared" si="143"/>
        <v>0</v>
      </c>
      <c r="R327" s="163">
        <f t="shared" si="143"/>
        <v>0</v>
      </c>
      <c r="S327" s="163">
        <f t="shared" si="143"/>
        <v>0</v>
      </c>
      <c r="T327" s="163">
        <f t="shared" si="143"/>
        <v>0</v>
      </c>
      <c r="U327" s="163">
        <f t="shared" si="143"/>
        <v>0</v>
      </c>
      <c r="V327" s="163">
        <f t="shared" si="143"/>
        <v>0</v>
      </c>
      <c r="W327" s="163">
        <f t="shared" si="143"/>
        <v>0</v>
      </c>
      <c r="X327" s="163">
        <f t="shared" si="143"/>
        <v>0</v>
      </c>
      <c r="Y327" s="163">
        <f t="shared" si="143"/>
        <v>0</v>
      </c>
      <c r="Z327" s="163">
        <f t="shared" si="143"/>
        <v>0</v>
      </c>
      <c r="AA327" s="163">
        <f t="shared" si="143"/>
        <v>0</v>
      </c>
      <c r="AB327" s="163">
        <f t="shared" si="143"/>
        <v>0</v>
      </c>
      <c r="AC327" s="163">
        <f t="shared" si="143"/>
        <v>0</v>
      </c>
      <c r="AD327" s="163">
        <f t="shared" si="143"/>
        <v>0</v>
      </c>
      <c r="AE327" s="163">
        <f t="shared" si="143"/>
        <v>0</v>
      </c>
      <c r="AF327" s="163">
        <f t="shared" si="143"/>
        <v>0</v>
      </c>
      <c r="AG327" s="163">
        <f t="shared" si="143"/>
        <v>0</v>
      </c>
      <c r="AH327" s="163">
        <f t="shared" si="143"/>
        <v>0</v>
      </c>
      <c r="AI327" s="163">
        <f t="shared" si="143"/>
        <v>0</v>
      </c>
      <c r="AJ327" s="163">
        <f t="shared" si="143"/>
        <v>0</v>
      </c>
      <c r="AK327" s="163">
        <f t="shared" si="143"/>
        <v>0</v>
      </c>
      <c r="AL327" s="163">
        <f t="shared" si="143"/>
        <v>0</v>
      </c>
      <c r="AM327" s="163">
        <f t="shared" si="143"/>
        <v>0</v>
      </c>
      <c r="AN327" s="163">
        <f t="shared" si="143"/>
        <v>0</v>
      </c>
      <c r="AO327" s="163">
        <f t="shared" si="143"/>
        <v>0</v>
      </c>
    </row>
    <row r="328" spans="3:44" x14ac:dyDescent="0.3">
      <c r="C328" s="29"/>
      <c r="F328" s="2"/>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row>
    <row r="329" spans="3:44" x14ac:dyDescent="0.3">
      <c r="C329" s="29"/>
      <c r="E329" s="32" t="s">
        <v>1026</v>
      </c>
      <c r="F329" s="2"/>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row>
    <row r="330" spans="3:44" x14ac:dyDescent="0.3">
      <c r="C330" s="29"/>
      <c r="F330" s="410" t="s">
        <v>1089</v>
      </c>
      <c r="G330" t="s">
        <v>207</v>
      </c>
      <c r="J330" s="163">
        <f t="shared" ref="J330:AO330" si="144">SUM(J283:J284)</f>
        <v>0</v>
      </c>
      <c r="K330" s="163">
        <f t="shared" si="144"/>
        <v>0</v>
      </c>
      <c r="L330" s="163">
        <f t="shared" si="144"/>
        <v>0</v>
      </c>
      <c r="M330" s="163">
        <f t="shared" si="144"/>
        <v>0</v>
      </c>
      <c r="N330" s="163">
        <f t="shared" si="144"/>
        <v>0</v>
      </c>
      <c r="O330" s="163">
        <f t="shared" si="144"/>
        <v>0</v>
      </c>
      <c r="P330" s="163">
        <f t="shared" si="144"/>
        <v>0</v>
      </c>
      <c r="Q330" s="163">
        <f t="shared" si="144"/>
        <v>0</v>
      </c>
      <c r="R330" s="163">
        <f t="shared" si="144"/>
        <v>0</v>
      </c>
      <c r="S330" s="163">
        <f t="shared" si="144"/>
        <v>0</v>
      </c>
      <c r="T330" s="163">
        <f t="shared" si="144"/>
        <v>0</v>
      </c>
      <c r="U330" s="163">
        <f t="shared" si="144"/>
        <v>0</v>
      </c>
      <c r="V330" s="163">
        <f t="shared" si="144"/>
        <v>0</v>
      </c>
      <c r="W330" s="163">
        <f t="shared" si="144"/>
        <v>0</v>
      </c>
      <c r="X330" s="163">
        <f t="shared" si="144"/>
        <v>0</v>
      </c>
      <c r="Y330" s="163">
        <f t="shared" si="144"/>
        <v>0</v>
      </c>
      <c r="Z330" s="163">
        <f t="shared" si="144"/>
        <v>0</v>
      </c>
      <c r="AA330" s="163">
        <f t="shared" si="144"/>
        <v>0</v>
      </c>
      <c r="AB330" s="163">
        <f t="shared" si="144"/>
        <v>0</v>
      </c>
      <c r="AC330" s="163">
        <f t="shared" si="144"/>
        <v>0</v>
      </c>
      <c r="AD330" s="163">
        <f t="shared" si="144"/>
        <v>0</v>
      </c>
      <c r="AE330" s="163">
        <f t="shared" si="144"/>
        <v>0</v>
      </c>
      <c r="AF330" s="163">
        <f t="shared" si="144"/>
        <v>0</v>
      </c>
      <c r="AG330" s="163">
        <f t="shared" si="144"/>
        <v>0</v>
      </c>
      <c r="AH330" s="163">
        <f t="shared" si="144"/>
        <v>0</v>
      </c>
      <c r="AI330" s="163">
        <f t="shared" si="144"/>
        <v>0</v>
      </c>
      <c r="AJ330" s="163">
        <f t="shared" si="144"/>
        <v>0</v>
      </c>
      <c r="AK330" s="163">
        <f t="shared" si="144"/>
        <v>0</v>
      </c>
      <c r="AL330" s="163">
        <f t="shared" si="144"/>
        <v>0</v>
      </c>
      <c r="AM330" s="163">
        <f t="shared" si="144"/>
        <v>0</v>
      </c>
      <c r="AN330" s="163">
        <f t="shared" si="144"/>
        <v>0</v>
      </c>
      <c r="AO330" s="163">
        <f t="shared" si="144"/>
        <v>0</v>
      </c>
    </row>
    <row r="331" spans="3:44" x14ac:dyDescent="0.3">
      <c r="C331" s="29"/>
      <c r="F331" s="2"/>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row>
    <row r="332" spans="3:44" x14ac:dyDescent="0.3">
      <c r="C332" s="29"/>
      <c r="F332" t="s">
        <v>1028</v>
      </c>
      <c r="G332" t="s">
        <v>207</v>
      </c>
      <c r="J332" s="163">
        <f>SUMIF($J$149:$AO$149,J$149,$J330:$AO330)</f>
        <v>0</v>
      </c>
      <c r="K332" s="163">
        <f t="shared" ref="K332:AO332" si="145">SUMIF($J$149:$AO$149,K$149,$J330:$AO330)</f>
        <v>0</v>
      </c>
      <c r="L332" s="163">
        <f t="shared" si="145"/>
        <v>0</v>
      </c>
      <c r="M332" s="163">
        <f t="shared" si="145"/>
        <v>0</v>
      </c>
      <c r="N332" s="163">
        <f t="shared" si="145"/>
        <v>0</v>
      </c>
      <c r="O332" s="163">
        <f t="shared" si="145"/>
        <v>0</v>
      </c>
      <c r="P332" s="163">
        <f t="shared" si="145"/>
        <v>0</v>
      </c>
      <c r="Q332" s="163">
        <f t="shared" si="145"/>
        <v>0</v>
      </c>
      <c r="R332" s="163">
        <f t="shared" si="145"/>
        <v>0</v>
      </c>
      <c r="S332" s="163">
        <f t="shared" si="145"/>
        <v>0</v>
      </c>
      <c r="T332" s="163">
        <f t="shared" si="145"/>
        <v>0</v>
      </c>
      <c r="U332" s="163">
        <f t="shared" si="145"/>
        <v>0</v>
      </c>
      <c r="V332" s="163">
        <f t="shared" si="145"/>
        <v>0</v>
      </c>
      <c r="W332" s="163">
        <f t="shared" si="145"/>
        <v>0</v>
      </c>
      <c r="X332" s="163">
        <f t="shared" si="145"/>
        <v>0</v>
      </c>
      <c r="Y332" s="163">
        <f t="shared" si="145"/>
        <v>0</v>
      </c>
      <c r="Z332" s="163">
        <f t="shared" si="145"/>
        <v>0</v>
      </c>
      <c r="AA332" s="163">
        <f t="shared" si="145"/>
        <v>0</v>
      </c>
      <c r="AB332" s="163">
        <f t="shared" si="145"/>
        <v>0</v>
      </c>
      <c r="AC332" s="163">
        <f t="shared" si="145"/>
        <v>0</v>
      </c>
      <c r="AD332" s="163">
        <f t="shared" si="145"/>
        <v>0</v>
      </c>
      <c r="AE332" s="163">
        <f t="shared" si="145"/>
        <v>0</v>
      </c>
      <c r="AF332" s="163">
        <f t="shared" si="145"/>
        <v>0</v>
      </c>
      <c r="AG332" s="163">
        <f t="shared" si="145"/>
        <v>0</v>
      </c>
      <c r="AH332" s="163">
        <f t="shared" si="145"/>
        <v>0</v>
      </c>
      <c r="AI332" s="163">
        <f t="shared" si="145"/>
        <v>0</v>
      </c>
      <c r="AJ332" s="163">
        <f t="shared" si="145"/>
        <v>0</v>
      </c>
      <c r="AK332" s="163">
        <f t="shared" si="145"/>
        <v>0</v>
      </c>
      <c r="AL332" s="163">
        <f t="shared" si="145"/>
        <v>0</v>
      </c>
      <c r="AM332" s="163">
        <f t="shared" si="145"/>
        <v>0</v>
      </c>
      <c r="AN332" s="163">
        <f t="shared" si="145"/>
        <v>0</v>
      </c>
      <c r="AO332" s="163">
        <f t="shared" si="145"/>
        <v>0</v>
      </c>
    </row>
    <row r="333" spans="3:44" x14ac:dyDescent="0.3">
      <c r="C333" s="29"/>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row>
    <row r="334" spans="3:44" x14ac:dyDescent="0.3">
      <c r="C334" s="29"/>
      <c r="F334" t="s">
        <v>1030</v>
      </c>
      <c r="G334" t="s">
        <v>207</v>
      </c>
      <c r="J334" s="163">
        <f xml:space="preserve"> J332 * J$157</f>
        <v>0</v>
      </c>
      <c r="K334" s="163">
        <f t="shared" ref="K334:AO334" si="146" xml:space="preserve"> K332 * K$157</f>
        <v>0</v>
      </c>
      <c r="L334" s="163">
        <f t="shared" si="146"/>
        <v>0</v>
      </c>
      <c r="M334" s="163">
        <f t="shared" si="146"/>
        <v>0</v>
      </c>
      <c r="N334" s="163">
        <f t="shared" si="146"/>
        <v>0</v>
      </c>
      <c r="O334" s="163">
        <f t="shared" si="146"/>
        <v>0</v>
      </c>
      <c r="P334" s="163">
        <f t="shared" si="146"/>
        <v>0</v>
      </c>
      <c r="Q334" s="163">
        <f t="shared" si="146"/>
        <v>0</v>
      </c>
      <c r="R334" s="163">
        <f t="shared" si="146"/>
        <v>0</v>
      </c>
      <c r="S334" s="163">
        <f t="shared" si="146"/>
        <v>0</v>
      </c>
      <c r="T334" s="163">
        <f t="shared" si="146"/>
        <v>0</v>
      </c>
      <c r="U334" s="163">
        <f t="shared" si="146"/>
        <v>0</v>
      </c>
      <c r="V334" s="163">
        <f t="shared" si="146"/>
        <v>0</v>
      </c>
      <c r="W334" s="163">
        <f t="shared" si="146"/>
        <v>0</v>
      </c>
      <c r="X334" s="163">
        <f t="shared" si="146"/>
        <v>0</v>
      </c>
      <c r="Y334" s="163">
        <f t="shared" si="146"/>
        <v>0</v>
      </c>
      <c r="Z334" s="163">
        <f t="shared" si="146"/>
        <v>0</v>
      </c>
      <c r="AA334" s="163">
        <f t="shared" si="146"/>
        <v>0</v>
      </c>
      <c r="AB334" s="163">
        <f t="shared" si="146"/>
        <v>0</v>
      </c>
      <c r="AC334" s="163">
        <f t="shared" si="146"/>
        <v>0</v>
      </c>
      <c r="AD334" s="163">
        <f t="shared" si="146"/>
        <v>0</v>
      </c>
      <c r="AE334" s="163">
        <f t="shared" si="146"/>
        <v>0</v>
      </c>
      <c r="AF334" s="163">
        <f t="shared" si="146"/>
        <v>0</v>
      </c>
      <c r="AG334" s="163">
        <f t="shared" si="146"/>
        <v>0</v>
      </c>
      <c r="AH334" s="163">
        <f t="shared" si="146"/>
        <v>0</v>
      </c>
      <c r="AI334" s="163">
        <f t="shared" si="146"/>
        <v>0</v>
      </c>
      <c r="AJ334" s="163">
        <f t="shared" si="146"/>
        <v>0</v>
      </c>
      <c r="AK334" s="163">
        <f t="shared" si="146"/>
        <v>0</v>
      </c>
      <c r="AL334" s="163">
        <f t="shared" si="146"/>
        <v>0</v>
      </c>
      <c r="AM334" s="163">
        <f t="shared" si="146"/>
        <v>0</v>
      </c>
      <c r="AN334" s="163">
        <f t="shared" si="146"/>
        <v>0</v>
      </c>
      <c r="AO334" s="163">
        <f t="shared" si="146"/>
        <v>0</v>
      </c>
      <c r="AP334" s="14"/>
      <c r="AQ334" s="14"/>
      <c r="AR334" s="14"/>
    </row>
    <row r="335" spans="3:44" x14ac:dyDescent="0.3">
      <c r="C335" s="29"/>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row>
    <row r="336" spans="3:44" x14ac:dyDescent="0.3">
      <c r="C336" s="29"/>
      <c r="E336" s="410" t="s">
        <v>1090</v>
      </c>
      <c r="G336" t="s">
        <v>269</v>
      </c>
      <c r="J336" s="338">
        <f t="shared" ref="J336:AO336" si="147">IF( J334&lt;&gt;0, J327/J334, 0)*hundred/thousand</f>
        <v>0</v>
      </c>
      <c r="K336" s="338">
        <f t="shared" si="147"/>
        <v>0</v>
      </c>
      <c r="L336" s="338">
        <f t="shared" si="147"/>
        <v>0</v>
      </c>
      <c r="M336" s="338">
        <f t="shared" si="147"/>
        <v>0</v>
      </c>
      <c r="N336" s="338">
        <f t="shared" si="147"/>
        <v>0</v>
      </c>
      <c r="O336" s="338">
        <f t="shared" si="147"/>
        <v>0</v>
      </c>
      <c r="P336" s="338">
        <f t="shared" si="147"/>
        <v>0</v>
      </c>
      <c r="Q336" s="338">
        <f t="shared" si="147"/>
        <v>0</v>
      </c>
      <c r="R336" s="338">
        <f t="shared" si="147"/>
        <v>0</v>
      </c>
      <c r="S336" s="338">
        <f t="shared" si="147"/>
        <v>0</v>
      </c>
      <c r="T336" s="338">
        <f t="shared" si="147"/>
        <v>0</v>
      </c>
      <c r="U336" s="338">
        <f t="shared" si="147"/>
        <v>0</v>
      </c>
      <c r="V336" s="338">
        <f t="shared" si="147"/>
        <v>0</v>
      </c>
      <c r="W336" s="338">
        <f t="shared" si="147"/>
        <v>0</v>
      </c>
      <c r="X336" s="338">
        <f t="shared" si="147"/>
        <v>0</v>
      </c>
      <c r="Y336" s="338">
        <f t="shared" si="147"/>
        <v>0</v>
      </c>
      <c r="Z336" s="338">
        <f t="shared" si="147"/>
        <v>0</v>
      </c>
      <c r="AA336" s="338">
        <f t="shared" si="147"/>
        <v>0</v>
      </c>
      <c r="AB336" s="338">
        <f t="shared" si="147"/>
        <v>0</v>
      </c>
      <c r="AC336" s="338">
        <f t="shared" si="147"/>
        <v>0</v>
      </c>
      <c r="AD336" s="338">
        <f t="shared" si="147"/>
        <v>0</v>
      </c>
      <c r="AE336" s="338">
        <f t="shared" si="147"/>
        <v>0</v>
      </c>
      <c r="AF336" s="338">
        <f t="shared" si="147"/>
        <v>0</v>
      </c>
      <c r="AG336" s="338">
        <f t="shared" si="147"/>
        <v>0</v>
      </c>
      <c r="AH336" s="338">
        <f t="shared" si="147"/>
        <v>0</v>
      </c>
      <c r="AI336" s="338">
        <f t="shared" si="147"/>
        <v>0</v>
      </c>
      <c r="AJ336" s="338">
        <f t="shared" si="147"/>
        <v>0</v>
      </c>
      <c r="AK336" s="338">
        <f t="shared" si="147"/>
        <v>0</v>
      </c>
      <c r="AL336" s="338">
        <f t="shared" si="147"/>
        <v>0</v>
      </c>
      <c r="AM336" s="338">
        <f t="shared" si="147"/>
        <v>0</v>
      </c>
      <c r="AN336" s="338">
        <f t="shared" si="147"/>
        <v>0</v>
      </c>
      <c r="AO336" s="338">
        <f t="shared" si="147"/>
        <v>0</v>
      </c>
    </row>
    <row r="337" spans="3:43" x14ac:dyDescent="0.3">
      <c r="C337" s="29"/>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row>
    <row r="338" spans="3:43" x14ac:dyDescent="0.3">
      <c r="C338" s="29"/>
      <c r="E338" s="32" t="s">
        <v>1091</v>
      </c>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row>
    <row r="339" spans="3:43" x14ac:dyDescent="0.3">
      <c r="C339" s="29"/>
      <c r="F339" s="23" t="s">
        <v>1061</v>
      </c>
      <c r="G339" s="23" t="s">
        <v>912</v>
      </c>
      <c r="H339" s="23"/>
      <c r="I339" s="23"/>
      <c r="J339" s="418"/>
      <c r="K339" s="418"/>
      <c r="L339" s="418"/>
      <c r="M339" s="418"/>
      <c r="N339" s="418"/>
      <c r="O339" s="418"/>
      <c r="P339" s="418"/>
      <c r="Q339" s="418"/>
      <c r="R339" s="418"/>
      <c r="S339" s="418"/>
      <c r="T339" s="418"/>
      <c r="U339" s="418"/>
      <c r="V339" s="418"/>
      <c r="W339" s="418"/>
      <c r="X339" s="418"/>
      <c r="Y339" s="418"/>
      <c r="Z339" s="418"/>
      <c r="AA339" s="418"/>
      <c r="AB339" s="418"/>
      <c r="AC339" s="418"/>
      <c r="AD339" s="418"/>
      <c r="AE339" s="418"/>
      <c r="AF339" s="418"/>
      <c r="AG339" s="418"/>
      <c r="AH339" s="418"/>
      <c r="AI339" s="418"/>
      <c r="AJ339" s="418"/>
      <c r="AK339" s="418"/>
      <c r="AL339" s="418"/>
      <c r="AM339" s="418"/>
      <c r="AN339" s="418"/>
      <c r="AO339" s="418"/>
    </row>
    <row r="340" spans="3:43" x14ac:dyDescent="0.3">
      <c r="C340" s="29"/>
      <c r="F340" t="s">
        <v>1062</v>
      </c>
      <c r="G340" t="s">
        <v>912</v>
      </c>
      <c r="J340" s="14" t="b">
        <f t="shared" ref="J340:AO340" si="148">IF(J$32, -J263+J$336&gt;=0, TRUE)</f>
        <v>1</v>
      </c>
      <c r="K340" s="14" t="b">
        <f t="shared" si="148"/>
        <v>1</v>
      </c>
      <c r="L340" s="14" t="b">
        <f t="shared" si="148"/>
        <v>1</v>
      </c>
      <c r="M340" s="14" t="b">
        <f t="shared" si="148"/>
        <v>1</v>
      </c>
      <c r="N340" s="14" t="b">
        <f t="shared" si="148"/>
        <v>1</v>
      </c>
      <c r="O340" s="14" t="b">
        <f t="shared" si="148"/>
        <v>1</v>
      </c>
      <c r="P340" s="14" t="b">
        <f t="shared" si="148"/>
        <v>1</v>
      </c>
      <c r="Q340" s="14" t="b">
        <f t="shared" si="148"/>
        <v>1</v>
      </c>
      <c r="R340" s="14" t="b">
        <f t="shared" si="148"/>
        <v>1</v>
      </c>
      <c r="S340" s="14" t="b">
        <f t="shared" si="148"/>
        <v>1</v>
      </c>
      <c r="T340" s="14" t="b">
        <f t="shared" si="148"/>
        <v>1</v>
      </c>
      <c r="U340" s="14" t="b">
        <f t="shared" si="148"/>
        <v>1</v>
      </c>
      <c r="V340" s="14" t="b">
        <f t="shared" si="148"/>
        <v>1</v>
      </c>
      <c r="W340" s="14" t="b">
        <f t="shared" si="148"/>
        <v>1</v>
      </c>
      <c r="X340" s="14" t="b">
        <f t="shared" si="148"/>
        <v>1</v>
      </c>
      <c r="Y340" s="14" t="b">
        <f t="shared" si="148"/>
        <v>1</v>
      </c>
      <c r="Z340" s="14" t="b">
        <f t="shared" si="148"/>
        <v>1</v>
      </c>
      <c r="AA340" s="14" t="b">
        <f t="shared" si="148"/>
        <v>1</v>
      </c>
      <c r="AB340" s="14" t="b">
        <f t="shared" si="148"/>
        <v>1</v>
      </c>
      <c r="AC340" s="14" t="b">
        <f t="shared" si="148"/>
        <v>1</v>
      </c>
      <c r="AD340" s="14" t="b">
        <f t="shared" si="148"/>
        <v>1</v>
      </c>
      <c r="AE340" s="14" t="b">
        <f t="shared" si="148"/>
        <v>1</v>
      </c>
      <c r="AF340" s="14" t="b">
        <f t="shared" si="148"/>
        <v>1</v>
      </c>
      <c r="AG340" s="14" t="b">
        <f t="shared" si="148"/>
        <v>1</v>
      </c>
      <c r="AH340" s="14" t="b">
        <f t="shared" si="148"/>
        <v>1</v>
      </c>
      <c r="AI340" s="14" t="b">
        <f t="shared" si="148"/>
        <v>1</v>
      </c>
      <c r="AJ340" s="14" t="b">
        <f t="shared" si="148"/>
        <v>1</v>
      </c>
      <c r="AK340" s="14" t="b">
        <f t="shared" si="148"/>
        <v>1</v>
      </c>
      <c r="AL340" s="14" t="b">
        <f t="shared" si="148"/>
        <v>1</v>
      </c>
      <c r="AM340" s="14" t="b">
        <f t="shared" si="148"/>
        <v>1</v>
      </c>
      <c r="AN340" s="14" t="b">
        <f t="shared" si="148"/>
        <v>1</v>
      </c>
      <c r="AO340" s="14" t="b">
        <f t="shared" si="148"/>
        <v>1</v>
      </c>
    </row>
    <row r="341" spans="3:43" x14ac:dyDescent="0.3">
      <c r="C341" s="29"/>
      <c r="F341" s="37" t="s">
        <v>1063</v>
      </c>
      <c r="G341" s="37" t="s">
        <v>912</v>
      </c>
      <c r="H341" s="37"/>
      <c r="I341" s="37"/>
      <c r="J341" s="416" t="b">
        <f t="shared" ref="J341:AO341" si="149">IF(J$32, -J264+J$336&gt;=0, TRUE)</f>
        <v>1</v>
      </c>
      <c r="K341" s="416" t="b">
        <f t="shared" si="149"/>
        <v>1</v>
      </c>
      <c r="L341" s="416" t="b">
        <f t="shared" si="149"/>
        <v>1</v>
      </c>
      <c r="M341" s="416" t="b">
        <f t="shared" si="149"/>
        <v>1</v>
      </c>
      <c r="N341" s="416" t="b">
        <f t="shared" si="149"/>
        <v>1</v>
      </c>
      <c r="O341" s="416" t="b">
        <f t="shared" si="149"/>
        <v>1</v>
      </c>
      <c r="P341" s="416" t="b">
        <f t="shared" si="149"/>
        <v>1</v>
      </c>
      <c r="Q341" s="416" t="b">
        <f t="shared" si="149"/>
        <v>1</v>
      </c>
      <c r="R341" s="416" t="b">
        <f t="shared" si="149"/>
        <v>1</v>
      </c>
      <c r="S341" s="416" t="b">
        <f t="shared" si="149"/>
        <v>1</v>
      </c>
      <c r="T341" s="416" t="b">
        <f t="shared" si="149"/>
        <v>1</v>
      </c>
      <c r="U341" s="416" t="b">
        <f t="shared" si="149"/>
        <v>1</v>
      </c>
      <c r="V341" s="416" t="b">
        <f t="shared" si="149"/>
        <v>1</v>
      </c>
      <c r="W341" s="416" t="b">
        <f t="shared" si="149"/>
        <v>1</v>
      </c>
      <c r="X341" s="416" t="b">
        <f t="shared" si="149"/>
        <v>1</v>
      </c>
      <c r="Y341" s="416" t="b">
        <f t="shared" si="149"/>
        <v>1</v>
      </c>
      <c r="Z341" s="416" t="b">
        <f t="shared" si="149"/>
        <v>1</v>
      </c>
      <c r="AA341" s="416" t="b">
        <f t="shared" si="149"/>
        <v>1</v>
      </c>
      <c r="AB341" s="416" t="b">
        <f t="shared" si="149"/>
        <v>1</v>
      </c>
      <c r="AC341" s="416" t="b">
        <f t="shared" si="149"/>
        <v>1</v>
      </c>
      <c r="AD341" s="416" t="b">
        <f t="shared" si="149"/>
        <v>1</v>
      </c>
      <c r="AE341" s="416" t="b">
        <f t="shared" si="149"/>
        <v>1</v>
      </c>
      <c r="AF341" s="416" t="b">
        <f t="shared" si="149"/>
        <v>1</v>
      </c>
      <c r="AG341" s="416" t="b">
        <f t="shared" si="149"/>
        <v>1</v>
      </c>
      <c r="AH341" s="416" t="b">
        <f t="shared" si="149"/>
        <v>1</v>
      </c>
      <c r="AI341" s="416" t="b">
        <f t="shared" si="149"/>
        <v>1</v>
      </c>
      <c r="AJ341" s="416" t="b">
        <f t="shared" si="149"/>
        <v>1</v>
      </c>
      <c r="AK341" s="416" t="b">
        <f t="shared" si="149"/>
        <v>1</v>
      </c>
      <c r="AL341" s="416" t="b">
        <f t="shared" si="149"/>
        <v>1</v>
      </c>
      <c r="AM341" s="416" t="b">
        <f t="shared" si="149"/>
        <v>1</v>
      </c>
      <c r="AN341" s="416" t="b">
        <f t="shared" si="149"/>
        <v>1</v>
      </c>
      <c r="AO341" s="416" t="b">
        <f t="shared" si="149"/>
        <v>1</v>
      </c>
    </row>
    <row r="342" spans="3:43" x14ac:dyDescent="0.3">
      <c r="C342" s="29"/>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row>
    <row r="343" spans="3:43" x14ac:dyDescent="0.3">
      <c r="C343" s="29"/>
      <c r="E343" t="s">
        <v>1092</v>
      </c>
      <c r="G343" t="s">
        <v>912</v>
      </c>
      <c r="J343" s="14" t="b">
        <f>COUNTIF(J340:J341, TRUE) = 2</f>
        <v>1</v>
      </c>
      <c r="K343" s="14" t="b">
        <f t="shared" ref="K343:AO343" si="150">COUNTIF(K340:K341, TRUE) = 2</f>
        <v>1</v>
      </c>
      <c r="L343" s="14" t="b">
        <f t="shared" si="150"/>
        <v>1</v>
      </c>
      <c r="M343" s="14" t="b">
        <f t="shared" si="150"/>
        <v>1</v>
      </c>
      <c r="N343" s="14" t="b">
        <f t="shared" si="150"/>
        <v>1</v>
      </c>
      <c r="O343" s="14" t="b">
        <f t="shared" si="150"/>
        <v>1</v>
      </c>
      <c r="P343" s="14" t="b">
        <f t="shared" si="150"/>
        <v>1</v>
      </c>
      <c r="Q343" s="14" t="b">
        <f t="shared" si="150"/>
        <v>1</v>
      </c>
      <c r="R343" s="14" t="b">
        <f t="shared" si="150"/>
        <v>1</v>
      </c>
      <c r="S343" s="14" t="b">
        <f t="shared" si="150"/>
        <v>1</v>
      </c>
      <c r="T343" s="14" t="b">
        <f t="shared" si="150"/>
        <v>1</v>
      </c>
      <c r="U343" s="14" t="b">
        <f t="shared" si="150"/>
        <v>1</v>
      </c>
      <c r="V343" s="14" t="b">
        <f t="shared" si="150"/>
        <v>1</v>
      </c>
      <c r="W343" s="14" t="b">
        <f t="shared" si="150"/>
        <v>1</v>
      </c>
      <c r="X343" s="14" t="b">
        <f t="shared" si="150"/>
        <v>1</v>
      </c>
      <c r="Y343" s="14" t="b">
        <f t="shared" si="150"/>
        <v>1</v>
      </c>
      <c r="Z343" s="14" t="b">
        <f t="shared" si="150"/>
        <v>1</v>
      </c>
      <c r="AA343" s="14" t="b">
        <f t="shared" si="150"/>
        <v>1</v>
      </c>
      <c r="AB343" s="14" t="b">
        <f t="shared" si="150"/>
        <v>1</v>
      </c>
      <c r="AC343" s="14" t="b">
        <f t="shared" si="150"/>
        <v>1</v>
      </c>
      <c r="AD343" s="14" t="b">
        <f t="shared" si="150"/>
        <v>1</v>
      </c>
      <c r="AE343" s="14" t="b">
        <f t="shared" si="150"/>
        <v>1</v>
      </c>
      <c r="AF343" s="14" t="b">
        <f t="shared" si="150"/>
        <v>1</v>
      </c>
      <c r="AG343" s="14" t="b">
        <f t="shared" si="150"/>
        <v>1</v>
      </c>
      <c r="AH343" s="14" t="b">
        <f t="shared" si="150"/>
        <v>1</v>
      </c>
      <c r="AI343" s="14" t="b">
        <f t="shared" si="150"/>
        <v>1</v>
      </c>
      <c r="AJ343" s="14" t="b">
        <f t="shared" si="150"/>
        <v>1</v>
      </c>
      <c r="AK343" s="14" t="b">
        <f t="shared" si="150"/>
        <v>1</v>
      </c>
      <c r="AL343" s="14" t="b">
        <f t="shared" si="150"/>
        <v>1</v>
      </c>
      <c r="AM343" s="14" t="b">
        <f t="shared" si="150"/>
        <v>1</v>
      </c>
      <c r="AN343" s="14" t="b">
        <f t="shared" si="150"/>
        <v>1</v>
      </c>
      <c r="AO343" s="14" t="b">
        <f t="shared" si="150"/>
        <v>1</v>
      </c>
    </row>
    <row r="344" spans="3:43" x14ac:dyDescent="0.3">
      <c r="C344" s="29"/>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row>
    <row r="345" spans="3:43" x14ac:dyDescent="0.3">
      <c r="C345" s="31" t="str">
        <f ca="1">INDEX('Version control'!$H$34:$H$57,MATCH($A$1,'Version control'!$F$34:$F$57,0),1)&amp;"-M: Revenue matching for one timeband"</f>
        <v>Section 116-M: Revenue matching for one timeband</v>
      </c>
      <c r="D345" s="31"/>
      <c r="E345" s="31"/>
      <c r="F345" s="31"/>
      <c r="G345" s="31"/>
      <c r="H345" s="31"/>
      <c r="I345" s="31"/>
      <c r="J345" s="189"/>
      <c r="K345" s="189"/>
      <c r="L345" s="189"/>
      <c r="M345" s="189"/>
      <c r="N345" s="189"/>
      <c r="O345" s="189"/>
      <c r="P345" s="189"/>
      <c r="Q345" s="189"/>
      <c r="R345" s="189"/>
      <c r="S345" s="189"/>
      <c r="T345" s="189"/>
      <c r="U345" s="189"/>
      <c r="V345" s="189"/>
      <c r="W345" s="189"/>
      <c r="X345" s="189"/>
      <c r="Y345" s="189"/>
      <c r="Z345" s="189"/>
      <c r="AA345" s="189"/>
      <c r="AB345" s="189"/>
      <c r="AC345" s="189"/>
      <c r="AD345" s="189"/>
      <c r="AE345" s="189"/>
      <c r="AF345" s="189"/>
      <c r="AG345" s="189"/>
      <c r="AH345" s="189"/>
      <c r="AI345" s="189"/>
      <c r="AJ345" s="189"/>
      <c r="AK345" s="189"/>
      <c r="AL345" s="189"/>
      <c r="AM345" s="189"/>
      <c r="AN345" s="189"/>
      <c r="AO345" s="189"/>
      <c r="AP345" s="31"/>
      <c r="AQ345" s="31"/>
    </row>
    <row r="346" spans="3:43" x14ac:dyDescent="0.3">
      <c r="C346" s="29"/>
      <c r="E346" s="32"/>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row>
    <row r="347" spans="3:43" x14ac:dyDescent="0.3">
      <c r="C347" s="29"/>
      <c r="D347" s="29" t="s">
        <v>1152</v>
      </c>
      <c r="E347" s="32"/>
      <c r="I347" t="s">
        <v>154</v>
      </c>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Q347" t="s">
        <v>1128</v>
      </c>
    </row>
    <row r="348" spans="3:43" x14ac:dyDescent="0.3">
      <c r="C348" s="29"/>
      <c r="D348" s="29" t="s">
        <v>1093</v>
      </c>
      <c r="E348" s="32"/>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row>
    <row r="349" spans="3:43" x14ac:dyDescent="0.3">
      <c r="C349" s="29"/>
      <c r="D349" s="29" t="s">
        <v>1084</v>
      </c>
      <c r="E349" s="32"/>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row>
    <row r="350" spans="3:43" x14ac:dyDescent="0.3">
      <c r="C350" s="29"/>
      <c r="D350" s="29" t="s">
        <v>1085</v>
      </c>
      <c r="E350" s="32"/>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row>
    <row r="351" spans="3:43" x14ac:dyDescent="0.3">
      <c r="C351" s="29"/>
      <c r="E351" s="32"/>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row>
    <row r="352" spans="3:43" x14ac:dyDescent="0.3">
      <c r="C352" s="29"/>
      <c r="E352" s="32" t="s">
        <v>1094</v>
      </c>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row>
    <row r="353" spans="3:44" x14ac:dyDescent="0.3">
      <c r="C353" s="29"/>
      <c r="F353" s="24" t="s">
        <v>1095</v>
      </c>
      <c r="G353" t="s">
        <v>936</v>
      </c>
      <c r="J353" s="163">
        <f t="shared" ref="J353:AO353" si="151">SUMPRODUCT(J262:J263, J282:J283)*thousand/hundred</f>
        <v>0</v>
      </c>
      <c r="K353" s="163">
        <f t="shared" si="151"/>
        <v>0</v>
      </c>
      <c r="L353" s="163">
        <f t="shared" si="151"/>
        <v>0</v>
      </c>
      <c r="M353" s="163">
        <f t="shared" si="151"/>
        <v>0</v>
      </c>
      <c r="N353" s="163">
        <f t="shared" si="151"/>
        <v>0</v>
      </c>
      <c r="O353" s="163">
        <f t="shared" si="151"/>
        <v>0</v>
      </c>
      <c r="P353" s="163">
        <f t="shared" si="151"/>
        <v>0</v>
      </c>
      <c r="Q353" s="163">
        <f t="shared" si="151"/>
        <v>0</v>
      </c>
      <c r="R353" s="163">
        <f t="shared" si="151"/>
        <v>0</v>
      </c>
      <c r="S353" s="163">
        <f t="shared" si="151"/>
        <v>0</v>
      </c>
      <c r="T353" s="163">
        <f t="shared" si="151"/>
        <v>0</v>
      </c>
      <c r="U353" s="163">
        <f t="shared" si="151"/>
        <v>0</v>
      </c>
      <c r="V353" s="163">
        <f t="shared" si="151"/>
        <v>0</v>
      </c>
      <c r="W353" s="163">
        <f t="shared" si="151"/>
        <v>0</v>
      </c>
      <c r="X353" s="163">
        <f t="shared" si="151"/>
        <v>0</v>
      </c>
      <c r="Y353" s="163">
        <f t="shared" si="151"/>
        <v>0</v>
      </c>
      <c r="Z353" s="163">
        <f t="shared" si="151"/>
        <v>0</v>
      </c>
      <c r="AA353" s="163">
        <f t="shared" si="151"/>
        <v>0</v>
      </c>
      <c r="AB353" s="163">
        <f t="shared" si="151"/>
        <v>0</v>
      </c>
      <c r="AC353" s="163">
        <f t="shared" si="151"/>
        <v>0</v>
      </c>
      <c r="AD353" s="163">
        <f t="shared" si="151"/>
        <v>0</v>
      </c>
      <c r="AE353" s="163">
        <f t="shared" si="151"/>
        <v>0</v>
      </c>
      <c r="AF353" s="163">
        <f t="shared" si="151"/>
        <v>0</v>
      </c>
      <c r="AG353" s="163">
        <f t="shared" si="151"/>
        <v>0</v>
      </c>
      <c r="AH353" s="163">
        <f t="shared" si="151"/>
        <v>0</v>
      </c>
      <c r="AI353" s="163">
        <f t="shared" si="151"/>
        <v>0</v>
      </c>
      <c r="AJ353" s="163">
        <f t="shared" si="151"/>
        <v>0</v>
      </c>
      <c r="AK353" s="163">
        <f t="shared" si="151"/>
        <v>0</v>
      </c>
      <c r="AL353" s="163">
        <f t="shared" si="151"/>
        <v>0</v>
      </c>
      <c r="AM353" s="163">
        <f t="shared" si="151"/>
        <v>0</v>
      </c>
      <c r="AN353" s="163">
        <f t="shared" si="151"/>
        <v>0</v>
      </c>
      <c r="AO353" s="163">
        <f t="shared" si="151"/>
        <v>0</v>
      </c>
    </row>
    <row r="354" spans="3:44" x14ac:dyDescent="0.3">
      <c r="C354" s="29"/>
      <c r="F354" s="32"/>
      <c r="J354" s="14"/>
      <c r="K354" s="14"/>
      <c r="L354" s="14"/>
      <c r="M354" s="14"/>
      <c r="N354" s="14"/>
      <c r="O354" s="14"/>
      <c r="P354" s="14"/>
      <c r="Q354" s="14"/>
      <c r="R354" s="14"/>
      <c r="S354" s="14"/>
      <c r="T354" s="14"/>
      <c r="U354" s="14"/>
      <c r="V354" s="14"/>
      <c r="W354" s="14"/>
      <c r="X354" s="14"/>
      <c r="Y354" s="14"/>
      <c r="Z354" s="14"/>
      <c r="AA354" s="14"/>
      <c r="AB354" s="14"/>
      <c r="AC354" s="14"/>
      <c r="AD354" s="14"/>
      <c r="AE354" s="14"/>
      <c r="AF354" s="14"/>
      <c r="AG354" s="14"/>
      <c r="AH354" s="14"/>
      <c r="AI354" s="14"/>
      <c r="AJ354" s="14"/>
      <c r="AK354" s="14"/>
      <c r="AL354" s="14"/>
      <c r="AM354" s="14"/>
      <c r="AN354" s="14"/>
      <c r="AO354" s="14"/>
    </row>
    <row r="355" spans="3:44" x14ac:dyDescent="0.3">
      <c r="C355" s="29"/>
      <c r="F355" s="417" t="s">
        <v>1088</v>
      </c>
      <c r="G355" t="s">
        <v>936</v>
      </c>
      <c r="J355" s="163">
        <f t="shared" ref="J355:AO355" si="152">J228 - J353</f>
        <v>0</v>
      </c>
      <c r="K355" s="163">
        <f t="shared" si="152"/>
        <v>0</v>
      </c>
      <c r="L355" s="163">
        <f t="shared" si="152"/>
        <v>0</v>
      </c>
      <c r="M355" s="163">
        <f t="shared" si="152"/>
        <v>0</v>
      </c>
      <c r="N355" s="163">
        <f t="shared" si="152"/>
        <v>0</v>
      </c>
      <c r="O355" s="163">
        <f t="shared" si="152"/>
        <v>0</v>
      </c>
      <c r="P355" s="163">
        <f t="shared" si="152"/>
        <v>0</v>
      </c>
      <c r="Q355" s="163">
        <f t="shared" si="152"/>
        <v>0</v>
      </c>
      <c r="R355" s="163">
        <f t="shared" si="152"/>
        <v>0</v>
      </c>
      <c r="S355" s="163">
        <f t="shared" si="152"/>
        <v>0</v>
      </c>
      <c r="T355" s="163">
        <f t="shared" si="152"/>
        <v>0</v>
      </c>
      <c r="U355" s="163">
        <f t="shared" si="152"/>
        <v>0</v>
      </c>
      <c r="V355" s="163">
        <f t="shared" si="152"/>
        <v>0</v>
      </c>
      <c r="W355" s="163">
        <f t="shared" si="152"/>
        <v>0</v>
      </c>
      <c r="X355" s="163">
        <f t="shared" si="152"/>
        <v>0</v>
      </c>
      <c r="Y355" s="163">
        <f t="shared" si="152"/>
        <v>0</v>
      </c>
      <c r="Z355" s="163">
        <f t="shared" si="152"/>
        <v>0</v>
      </c>
      <c r="AA355" s="163">
        <f t="shared" si="152"/>
        <v>0</v>
      </c>
      <c r="AB355" s="163">
        <f t="shared" si="152"/>
        <v>0</v>
      </c>
      <c r="AC355" s="163">
        <f t="shared" si="152"/>
        <v>0</v>
      </c>
      <c r="AD355" s="163">
        <f t="shared" si="152"/>
        <v>0</v>
      </c>
      <c r="AE355" s="163">
        <f t="shared" si="152"/>
        <v>0</v>
      </c>
      <c r="AF355" s="163">
        <f t="shared" si="152"/>
        <v>0</v>
      </c>
      <c r="AG355" s="163">
        <f t="shared" si="152"/>
        <v>0</v>
      </c>
      <c r="AH355" s="163">
        <f t="shared" si="152"/>
        <v>0</v>
      </c>
      <c r="AI355" s="163">
        <f t="shared" si="152"/>
        <v>0</v>
      </c>
      <c r="AJ355" s="163">
        <f t="shared" si="152"/>
        <v>0</v>
      </c>
      <c r="AK355" s="163">
        <f t="shared" si="152"/>
        <v>0</v>
      </c>
      <c r="AL355" s="163">
        <f t="shared" si="152"/>
        <v>0</v>
      </c>
      <c r="AM355" s="163">
        <f t="shared" si="152"/>
        <v>0</v>
      </c>
      <c r="AN355" s="163">
        <f t="shared" si="152"/>
        <v>0</v>
      </c>
      <c r="AO355" s="163">
        <f t="shared" si="152"/>
        <v>0</v>
      </c>
    </row>
    <row r="356" spans="3:44" x14ac:dyDescent="0.3">
      <c r="C356" s="29"/>
      <c r="F356" s="32"/>
      <c r="J356" s="14"/>
      <c r="K356" s="14"/>
      <c r="L356" s="14"/>
      <c r="M356" s="14"/>
      <c r="N356" s="14"/>
      <c r="O356" s="14"/>
      <c r="P356" s="14"/>
      <c r="Q356" s="14"/>
      <c r="R356" s="14"/>
      <c r="S356" s="14"/>
      <c r="T356" s="14"/>
      <c r="U356" s="14"/>
      <c r="V356" s="14"/>
      <c r="W356" s="14"/>
      <c r="X356" s="14"/>
      <c r="Y356" s="14"/>
      <c r="Z356" s="14"/>
      <c r="AA356" s="14"/>
      <c r="AB356" s="14"/>
      <c r="AC356" s="14"/>
      <c r="AD356" s="14"/>
      <c r="AE356" s="14"/>
      <c r="AF356" s="14"/>
      <c r="AG356" s="14"/>
      <c r="AH356" s="14"/>
      <c r="AI356" s="14"/>
      <c r="AJ356" s="14"/>
      <c r="AK356" s="14"/>
      <c r="AL356" s="14"/>
      <c r="AM356" s="14"/>
      <c r="AN356" s="14"/>
      <c r="AO356" s="14"/>
    </row>
    <row r="357" spans="3:44" x14ac:dyDescent="0.3">
      <c r="C357" s="29"/>
      <c r="F357" t="s">
        <v>1077</v>
      </c>
      <c r="G357" t="s">
        <v>936</v>
      </c>
      <c r="J357" s="163">
        <f>SUMIF($J$149:$AO$149,J$149,$J355:$AO355)</f>
        <v>0</v>
      </c>
      <c r="K357" s="163">
        <f t="shared" ref="K357:AO357" si="153">SUMIF($J$149:$AO$149,K$149,$J355:$AO355)</f>
        <v>0</v>
      </c>
      <c r="L357" s="163">
        <f t="shared" si="153"/>
        <v>0</v>
      </c>
      <c r="M357" s="163">
        <f t="shared" si="153"/>
        <v>0</v>
      </c>
      <c r="N357" s="163">
        <f t="shared" si="153"/>
        <v>0</v>
      </c>
      <c r="O357" s="163">
        <f t="shared" si="153"/>
        <v>0</v>
      </c>
      <c r="P357" s="163">
        <f t="shared" si="153"/>
        <v>0</v>
      </c>
      <c r="Q357" s="163">
        <f t="shared" si="153"/>
        <v>0</v>
      </c>
      <c r="R357" s="163">
        <f t="shared" si="153"/>
        <v>0</v>
      </c>
      <c r="S357" s="163">
        <f t="shared" si="153"/>
        <v>0</v>
      </c>
      <c r="T357" s="163">
        <f t="shared" si="153"/>
        <v>0</v>
      </c>
      <c r="U357" s="163">
        <f t="shared" si="153"/>
        <v>0</v>
      </c>
      <c r="V357" s="163">
        <f t="shared" si="153"/>
        <v>0</v>
      </c>
      <c r="W357" s="163">
        <f t="shared" si="153"/>
        <v>0</v>
      </c>
      <c r="X357" s="163">
        <f t="shared" si="153"/>
        <v>0</v>
      </c>
      <c r="Y357" s="163">
        <f t="shared" si="153"/>
        <v>0</v>
      </c>
      <c r="Z357" s="163">
        <f t="shared" si="153"/>
        <v>0</v>
      </c>
      <c r="AA357" s="163">
        <f t="shared" si="153"/>
        <v>0</v>
      </c>
      <c r="AB357" s="163">
        <f t="shared" si="153"/>
        <v>0</v>
      </c>
      <c r="AC357" s="163">
        <f t="shared" si="153"/>
        <v>0</v>
      </c>
      <c r="AD357" s="163">
        <f t="shared" si="153"/>
        <v>0</v>
      </c>
      <c r="AE357" s="163">
        <f t="shared" si="153"/>
        <v>0</v>
      </c>
      <c r="AF357" s="163">
        <f t="shared" si="153"/>
        <v>0</v>
      </c>
      <c r="AG357" s="163">
        <f t="shared" si="153"/>
        <v>0</v>
      </c>
      <c r="AH357" s="163">
        <f t="shared" si="153"/>
        <v>0</v>
      </c>
      <c r="AI357" s="163">
        <f t="shared" si="153"/>
        <v>0</v>
      </c>
      <c r="AJ357" s="163">
        <f t="shared" si="153"/>
        <v>0</v>
      </c>
      <c r="AK357" s="163">
        <f t="shared" si="153"/>
        <v>0</v>
      </c>
      <c r="AL357" s="163">
        <f t="shared" si="153"/>
        <v>0</v>
      </c>
      <c r="AM357" s="163">
        <f t="shared" si="153"/>
        <v>0</v>
      </c>
      <c r="AN357" s="163">
        <f t="shared" si="153"/>
        <v>0</v>
      </c>
      <c r="AO357" s="163">
        <f t="shared" si="153"/>
        <v>0</v>
      </c>
    </row>
    <row r="358" spans="3:44" x14ac:dyDescent="0.3">
      <c r="C358" s="29"/>
      <c r="J358" s="14"/>
      <c r="K358" s="14"/>
      <c r="L358" s="14"/>
      <c r="M358" s="14"/>
      <c r="N358" s="14"/>
      <c r="O358" s="14"/>
      <c r="P358" s="14"/>
      <c r="Q358" s="14"/>
      <c r="R358" s="14"/>
      <c r="S358" s="14"/>
      <c r="T358" s="14"/>
      <c r="U358" s="14"/>
      <c r="V358" s="14"/>
      <c r="W358" s="14"/>
      <c r="X358" s="14"/>
      <c r="Y358" s="14"/>
      <c r="Z358" s="14"/>
      <c r="AA358" s="14"/>
      <c r="AB358" s="14"/>
      <c r="AC358" s="14"/>
      <c r="AD358" s="14"/>
      <c r="AE358" s="14"/>
      <c r="AF358" s="14"/>
      <c r="AG358" s="14"/>
      <c r="AH358" s="14"/>
      <c r="AI358" s="14"/>
      <c r="AJ358" s="14"/>
      <c r="AK358" s="14"/>
      <c r="AL358" s="14"/>
      <c r="AM358" s="14"/>
      <c r="AN358" s="14"/>
      <c r="AO358" s="14"/>
    </row>
    <row r="359" spans="3:44" x14ac:dyDescent="0.3">
      <c r="C359" s="29"/>
      <c r="F359" t="s">
        <v>1078</v>
      </c>
      <c r="G359" t="s">
        <v>936</v>
      </c>
      <c r="J359" s="163">
        <f xml:space="preserve"> J357 * J$157</f>
        <v>0</v>
      </c>
      <c r="K359" s="163">
        <f t="shared" ref="K359:AO359" si="154" xml:space="preserve"> K357 * K$157</f>
        <v>0</v>
      </c>
      <c r="L359" s="163">
        <f t="shared" si="154"/>
        <v>0</v>
      </c>
      <c r="M359" s="163">
        <f t="shared" si="154"/>
        <v>0</v>
      </c>
      <c r="N359" s="163">
        <f t="shared" si="154"/>
        <v>0</v>
      </c>
      <c r="O359" s="163">
        <f t="shared" si="154"/>
        <v>0</v>
      </c>
      <c r="P359" s="163">
        <f t="shared" si="154"/>
        <v>0</v>
      </c>
      <c r="Q359" s="163">
        <f t="shared" si="154"/>
        <v>0</v>
      </c>
      <c r="R359" s="163">
        <f t="shared" si="154"/>
        <v>0</v>
      </c>
      <c r="S359" s="163">
        <f t="shared" si="154"/>
        <v>0</v>
      </c>
      <c r="T359" s="163">
        <f t="shared" si="154"/>
        <v>0</v>
      </c>
      <c r="U359" s="163">
        <f t="shared" si="154"/>
        <v>0</v>
      </c>
      <c r="V359" s="163">
        <f t="shared" si="154"/>
        <v>0</v>
      </c>
      <c r="W359" s="163">
        <f t="shared" si="154"/>
        <v>0</v>
      </c>
      <c r="X359" s="163">
        <f t="shared" si="154"/>
        <v>0</v>
      </c>
      <c r="Y359" s="163">
        <f t="shared" si="154"/>
        <v>0</v>
      </c>
      <c r="Z359" s="163">
        <f t="shared" si="154"/>
        <v>0</v>
      </c>
      <c r="AA359" s="163">
        <f t="shared" si="154"/>
        <v>0</v>
      </c>
      <c r="AB359" s="163">
        <f t="shared" si="154"/>
        <v>0</v>
      </c>
      <c r="AC359" s="163">
        <f t="shared" si="154"/>
        <v>0</v>
      </c>
      <c r="AD359" s="163">
        <f t="shared" si="154"/>
        <v>0</v>
      </c>
      <c r="AE359" s="163">
        <f t="shared" si="154"/>
        <v>0</v>
      </c>
      <c r="AF359" s="163">
        <f t="shared" si="154"/>
        <v>0</v>
      </c>
      <c r="AG359" s="163">
        <f t="shared" si="154"/>
        <v>0</v>
      </c>
      <c r="AH359" s="163">
        <f t="shared" si="154"/>
        <v>0</v>
      </c>
      <c r="AI359" s="163">
        <f t="shared" si="154"/>
        <v>0</v>
      </c>
      <c r="AJ359" s="163">
        <f t="shared" si="154"/>
        <v>0</v>
      </c>
      <c r="AK359" s="163">
        <f t="shared" si="154"/>
        <v>0</v>
      </c>
      <c r="AL359" s="163">
        <f t="shared" si="154"/>
        <v>0</v>
      </c>
      <c r="AM359" s="163">
        <f t="shared" si="154"/>
        <v>0</v>
      </c>
      <c r="AN359" s="163">
        <f t="shared" si="154"/>
        <v>0</v>
      </c>
      <c r="AO359" s="163">
        <f t="shared" si="154"/>
        <v>0</v>
      </c>
    </row>
    <row r="360" spans="3:44" x14ac:dyDescent="0.3">
      <c r="C360" s="29"/>
      <c r="F360" s="2"/>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row>
    <row r="361" spans="3:44" x14ac:dyDescent="0.3">
      <c r="C361" s="29"/>
      <c r="E361" s="32" t="s">
        <v>1026</v>
      </c>
      <c r="F361" s="2"/>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row>
    <row r="362" spans="3:44" x14ac:dyDescent="0.3">
      <c r="C362" s="29"/>
      <c r="F362" s="410" t="s">
        <v>1089</v>
      </c>
      <c r="G362" t="s">
        <v>207</v>
      </c>
      <c r="J362" s="163">
        <f t="shared" ref="J362:AO362" si="155">J284</f>
        <v>0</v>
      </c>
      <c r="K362" s="163">
        <f t="shared" si="155"/>
        <v>0</v>
      </c>
      <c r="L362" s="163">
        <f t="shared" si="155"/>
        <v>0</v>
      </c>
      <c r="M362" s="163">
        <f t="shared" si="155"/>
        <v>0</v>
      </c>
      <c r="N362" s="163">
        <f t="shared" si="155"/>
        <v>0</v>
      </c>
      <c r="O362" s="163">
        <f t="shared" si="155"/>
        <v>0</v>
      </c>
      <c r="P362" s="163">
        <f t="shared" si="155"/>
        <v>0</v>
      </c>
      <c r="Q362" s="163">
        <f t="shared" si="155"/>
        <v>0</v>
      </c>
      <c r="R362" s="163">
        <f t="shared" si="155"/>
        <v>0</v>
      </c>
      <c r="S362" s="163">
        <f t="shared" si="155"/>
        <v>0</v>
      </c>
      <c r="T362" s="163">
        <f t="shared" si="155"/>
        <v>0</v>
      </c>
      <c r="U362" s="163">
        <f t="shared" si="155"/>
        <v>0</v>
      </c>
      <c r="V362" s="163">
        <f t="shared" si="155"/>
        <v>0</v>
      </c>
      <c r="W362" s="163">
        <f t="shared" si="155"/>
        <v>0</v>
      </c>
      <c r="X362" s="163">
        <f t="shared" si="155"/>
        <v>0</v>
      </c>
      <c r="Y362" s="163">
        <f t="shared" si="155"/>
        <v>0</v>
      </c>
      <c r="Z362" s="163">
        <f t="shared" si="155"/>
        <v>0</v>
      </c>
      <c r="AA362" s="163">
        <f t="shared" si="155"/>
        <v>0</v>
      </c>
      <c r="AB362" s="163">
        <f t="shared" si="155"/>
        <v>0</v>
      </c>
      <c r="AC362" s="163">
        <f t="shared" si="155"/>
        <v>0</v>
      </c>
      <c r="AD362" s="163">
        <f t="shared" si="155"/>
        <v>0</v>
      </c>
      <c r="AE362" s="163">
        <f t="shared" si="155"/>
        <v>0</v>
      </c>
      <c r="AF362" s="163">
        <f t="shared" si="155"/>
        <v>0</v>
      </c>
      <c r="AG362" s="163">
        <f t="shared" si="155"/>
        <v>0</v>
      </c>
      <c r="AH362" s="163">
        <f t="shared" si="155"/>
        <v>0</v>
      </c>
      <c r="AI362" s="163">
        <f t="shared" si="155"/>
        <v>0</v>
      </c>
      <c r="AJ362" s="163">
        <f t="shared" si="155"/>
        <v>0</v>
      </c>
      <c r="AK362" s="163">
        <f t="shared" si="155"/>
        <v>0</v>
      </c>
      <c r="AL362" s="163">
        <f t="shared" si="155"/>
        <v>0</v>
      </c>
      <c r="AM362" s="163">
        <f t="shared" si="155"/>
        <v>0</v>
      </c>
      <c r="AN362" s="163">
        <f t="shared" si="155"/>
        <v>0</v>
      </c>
      <c r="AO362" s="163">
        <f t="shared" si="155"/>
        <v>0</v>
      </c>
    </row>
    <row r="363" spans="3:44" x14ac:dyDescent="0.3">
      <c r="C363" s="29"/>
      <c r="F363" s="2"/>
      <c r="J363" s="14"/>
      <c r="K363" s="14"/>
      <c r="L363" s="14"/>
      <c r="M363" s="14"/>
      <c r="N363" s="14"/>
      <c r="O363" s="14"/>
      <c r="P363" s="14"/>
      <c r="Q363" s="14"/>
      <c r="R363" s="14"/>
      <c r="S363" s="14"/>
      <c r="T363" s="14"/>
      <c r="U363" s="14"/>
      <c r="V363" s="14"/>
      <c r="W363" s="14"/>
      <c r="X363" s="14"/>
      <c r="Y363" s="14"/>
      <c r="Z363" s="14"/>
      <c r="AA363" s="14"/>
      <c r="AB363" s="14"/>
      <c r="AC363" s="14"/>
      <c r="AD363" s="14"/>
      <c r="AE363" s="14"/>
      <c r="AF363" s="14"/>
      <c r="AG363" s="14"/>
      <c r="AH363" s="14"/>
      <c r="AI363" s="14"/>
      <c r="AJ363" s="14"/>
      <c r="AK363" s="14"/>
      <c r="AL363" s="14"/>
      <c r="AM363" s="14"/>
      <c r="AN363" s="14"/>
      <c r="AO363" s="14"/>
    </row>
    <row r="364" spans="3:44" x14ac:dyDescent="0.3">
      <c r="C364" s="29"/>
      <c r="F364" t="s">
        <v>1028</v>
      </c>
      <c r="G364" t="s">
        <v>207</v>
      </c>
      <c r="J364" s="163">
        <f>SUMIF($J$149:$AO$149,J$149,$J362:$AO362)</f>
        <v>0</v>
      </c>
      <c r="K364" s="163">
        <f t="shared" ref="K364:AO364" si="156">SUMIF($J$149:$AO$149,K$149,$J362:$AO362)</f>
        <v>0</v>
      </c>
      <c r="L364" s="163">
        <f t="shared" si="156"/>
        <v>0</v>
      </c>
      <c r="M364" s="163">
        <f t="shared" si="156"/>
        <v>0</v>
      </c>
      <c r="N364" s="163">
        <f t="shared" si="156"/>
        <v>0</v>
      </c>
      <c r="O364" s="163">
        <f t="shared" si="156"/>
        <v>0</v>
      </c>
      <c r="P364" s="163">
        <f t="shared" si="156"/>
        <v>0</v>
      </c>
      <c r="Q364" s="163">
        <f t="shared" si="156"/>
        <v>0</v>
      </c>
      <c r="R364" s="163">
        <f t="shared" si="156"/>
        <v>0</v>
      </c>
      <c r="S364" s="163">
        <f t="shared" si="156"/>
        <v>0</v>
      </c>
      <c r="T364" s="163">
        <f t="shared" si="156"/>
        <v>0</v>
      </c>
      <c r="U364" s="163">
        <f t="shared" si="156"/>
        <v>0</v>
      </c>
      <c r="V364" s="163">
        <f t="shared" si="156"/>
        <v>0</v>
      </c>
      <c r="W364" s="163">
        <f t="shared" si="156"/>
        <v>0</v>
      </c>
      <c r="X364" s="163">
        <f t="shared" si="156"/>
        <v>0</v>
      </c>
      <c r="Y364" s="163">
        <f t="shared" si="156"/>
        <v>0</v>
      </c>
      <c r="Z364" s="163">
        <f t="shared" si="156"/>
        <v>0</v>
      </c>
      <c r="AA364" s="163">
        <f t="shared" si="156"/>
        <v>0</v>
      </c>
      <c r="AB364" s="163">
        <f t="shared" si="156"/>
        <v>0</v>
      </c>
      <c r="AC364" s="163">
        <f t="shared" si="156"/>
        <v>0</v>
      </c>
      <c r="AD364" s="163">
        <f t="shared" si="156"/>
        <v>0</v>
      </c>
      <c r="AE364" s="163">
        <f t="shared" si="156"/>
        <v>0</v>
      </c>
      <c r="AF364" s="163">
        <f t="shared" si="156"/>
        <v>0</v>
      </c>
      <c r="AG364" s="163">
        <f t="shared" si="156"/>
        <v>0</v>
      </c>
      <c r="AH364" s="163">
        <f t="shared" si="156"/>
        <v>0</v>
      </c>
      <c r="AI364" s="163">
        <f t="shared" si="156"/>
        <v>0</v>
      </c>
      <c r="AJ364" s="163">
        <f t="shared" si="156"/>
        <v>0</v>
      </c>
      <c r="AK364" s="163">
        <f t="shared" si="156"/>
        <v>0</v>
      </c>
      <c r="AL364" s="163">
        <f t="shared" si="156"/>
        <v>0</v>
      </c>
      <c r="AM364" s="163">
        <f t="shared" si="156"/>
        <v>0</v>
      </c>
      <c r="AN364" s="163">
        <f t="shared" si="156"/>
        <v>0</v>
      </c>
      <c r="AO364" s="163">
        <f t="shared" si="156"/>
        <v>0</v>
      </c>
    </row>
    <row r="365" spans="3:44" x14ac:dyDescent="0.3">
      <c r="C365" s="29"/>
      <c r="J365" s="14"/>
      <c r="K365" s="14"/>
      <c r="L365" s="14"/>
      <c r="M365" s="14"/>
      <c r="N365" s="14"/>
      <c r="O365" s="14"/>
      <c r="P365" s="14"/>
      <c r="Q365" s="14"/>
      <c r="R365" s="14"/>
      <c r="S365" s="14"/>
      <c r="T365" s="14"/>
      <c r="U365" s="14"/>
      <c r="V365" s="14"/>
      <c r="W365" s="14"/>
      <c r="X365" s="14"/>
      <c r="Y365" s="14"/>
      <c r="Z365" s="14"/>
      <c r="AA365" s="14"/>
      <c r="AB365" s="14"/>
      <c r="AC365" s="14"/>
      <c r="AD365" s="14"/>
      <c r="AE365" s="14"/>
      <c r="AF365" s="14"/>
      <c r="AG365" s="14"/>
      <c r="AH365" s="14"/>
      <c r="AI365" s="14"/>
      <c r="AJ365" s="14"/>
      <c r="AK365" s="14"/>
      <c r="AL365" s="14"/>
      <c r="AM365" s="14"/>
      <c r="AN365" s="14"/>
      <c r="AO365" s="14"/>
    </row>
    <row r="366" spans="3:44" x14ac:dyDescent="0.3">
      <c r="C366" s="29"/>
      <c r="F366" t="s">
        <v>1030</v>
      </c>
      <c r="G366" t="s">
        <v>207</v>
      </c>
      <c r="J366" s="163">
        <f xml:space="preserve"> J364 * J$157</f>
        <v>0</v>
      </c>
      <c r="K366" s="163">
        <f t="shared" ref="K366:AO366" si="157" xml:space="preserve"> K364 * K$157</f>
        <v>0</v>
      </c>
      <c r="L366" s="163">
        <f t="shared" si="157"/>
        <v>0</v>
      </c>
      <c r="M366" s="163">
        <f t="shared" si="157"/>
        <v>0</v>
      </c>
      <c r="N366" s="163">
        <f t="shared" si="157"/>
        <v>0</v>
      </c>
      <c r="O366" s="163">
        <f t="shared" si="157"/>
        <v>0</v>
      </c>
      <c r="P366" s="163">
        <f t="shared" si="157"/>
        <v>0</v>
      </c>
      <c r="Q366" s="163">
        <f t="shared" si="157"/>
        <v>0</v>
      </c>
      <c r="R366" s="163">
        <f t="shared" si="157"/>
        <v>0</v>
      </c>
      <c r="S366" s="163">
        <f t="shared" si="157"/>
        <v>0</v>
      </c>
      <c r="T366" s="163">
        <f t="shared" si="157"/>
        <v>0</v>
      </c>
      <c r="U366" s="163">
        <f t="shared" si="157"/>
        <v>0</v>
      </c>
      <c r="V366" s="163">
        <f t="shared" si="157"/>
        <v>0</v>
      </c>
      <c r="W366" s="163">
        <f t="shared" si="157"/>
        <v>0</v>
      </c>
      <c r="X366" s="163">
        <f t="shared" si="157"/>
        <v>0</v>
      </c>
      <c r="Y366" s="163">
        <f t="shared" si="157"/>
        <v>0</v>
      </c>
      <c r="Z366" s="163">
        <f t="shared" si="157"/>
        <v>0</v>
      </c>
      <c r="AA366" s="163">
        <f t="shared" si="157"/>
        <v>0</v>
      </c>
      <c r="AB366" s="163">
        <f t="shared" si="157"/>
        <v>0</v>
      </c>
      <c r="AC366" s="163">
        <f t="shared" si="157"/>
        <v>0</v>
      </c>
      <c r="AD366" s="163">
        <f t="shared" si="157"/>
        <v>0</v>
      </c>
      <c r="AE366" s="163">
        <f t="shared" si="157"/>
        <v>0</v>
      </c>
      <c r="AF366" s="163">
        <f t="shared" si="157"/>
        <v>0</v>
      </c>
      <c r="AG366" s="163">
        <f t="shared" si="157"/>
        <v>0</v>
      </c>
      <c r="AH366" s="163">
        <f t="shared" si="157"/>
        <v>0</v>
      </c>
      <c r="AI366" s="163">
        <f t="shared" si="157"/>
        <v>0</v>
      </c>
      <c r="AJ366" s="163">
        <f t="shared" si="157"/>
        <v>0</v>
      </c>
      <c r="AK366" s="163">
        <f t="shared" si="157"/>
        <v>0</v>
      </c>
      <c r="AL366" s="163">
        <f t="shared" si="157"/>
        <v>0</v>
      </c>
      <c r="AM366" s="163">
        <f t="shared" si="157"/>
        <v>0</v>
      </c>
      <c r="AN366" s="163">
        <f t="shared" si="157"/>
        <v>0</v>
      </c>
      <c r="AO366" s="163">
        <f t="shared" si="157"/>
        <v>0</v>
      </c>
      <c r="AP366" s="14"/>
      <c r="AQ366" s="14"/>
      <c r="AR366" s="14"/>
    </row>
    <row r="367" spans="3:44" x14ac:dyDescent="0.3">
      <c r="C367" s="29"/>
      <c r="J367" s="14"/>
      <c r="K367" s="14"/>
      <c r="L367" s="14"/>
      <c r="M367" s="14"/>
      <c r="N367" s="14"/>
      <c r="O367" s="14"/>
      <c r="P367" s="14"/>
      <c r="Q367" s="14"/>
      <c r="R367" s="14"/>
      <c r="S367" s="14"/>
      <c r="T367" s="14"/>
      <c r="U367" s="14"/>
      <c r="V367" s="14"/>
      <c r="W367" s="14"/>
      <c r="X367" s="14"/>
      <c r="Y367" s="14"/>
      <c r="Z367" s="14"/>
      <c r="AA367" s="14"/>
      <c r="AB367" s="14"/>
      <c r="AC367" s="14"/>
      <c r="AD367" s="14"/>
      <c r="AE367" s="14"/>
      <c r="AF367" s="14"/>
      <c r="AG367" s="14"/>
      <c r="AH367" s="14"/>
      <c r="AI367" s="14"/>
      <c r="AJ367" s="14"/>
      <c r="AK367" s="14"/>
      <c r="AL367" s="14"/>
      <c r="AM367" s="14"/>
      <c r="AN367" s="14"/>
      <c r="AO367" s="14"/>
    </row>
    <row r="368" spans="3:44" x14ac:dyDescent="0.3">
      <c r="C368" s="29"/>
      <c r="E368" s="28" t="s">
        <v>1096</v>
      </c>
      <c r="G368" t="s">
        <v>269</v>
      </c>
      <c r="J368" s="338">
        <f t="shared" ref="J368:AO368" si="158">IF( J366&lt;&gt;0, J359/J366, 0)*hundred/thousand</f>
        <v>0</v>
      </c>
      <c r="K368" s="338">
        <f t="shared" si="158"/>
        <v>0</v>
      </c>
      <c r="L368" s="338">
        <f t="shared" si="158"/>
        <v>0</v>
      </c>
      <c r="M368" s="338">
        <f t="shared" si="158"/>
        <v>0</v>
      </c>
      <c r="N368" s="338">
        <f t="shared" si="158"/>
        <v>0</v>
      </c>
      <c r="O368" s="338">
        <f t="shared" si="158"/>
        <v>0</v>
      </c>
      <c r="P368" s="338">
        <f t="shared" si="158"/>
        <v>0</v>
      </c>
      <c r="Q368" s="338">
        <f t="shared" si="158"/>
        <v>0</v>
      </c>
      <c r="R368" s="338">
        <f t="shared" si="158"/>
        <v>0</v>
      </c>
      <c r="S368" s="338">
        <f t="shared" si="158"/>
        <v>0</v>
      </c>
      <c r="T368" s="338">
        <f t="shared" si="158"/>
        <v>0</v>
      </c>
      <c r="U368" s="338">
        <f t="shared" si="158"/>
        <v>0</v>
      </c>
      <c r="V368" s="338">
        <f t="shared" si="158"/>
        <v>0</v>
      </c>
      <c r="W368" s="338">
        <f t="shared" si="158"/>
        <v>0</v>
      </c>
      <c r="X368" s="338">
        <f t="shared" si="158"/>
        <v>0</v>
      </c>
      <c r="Y368" s="338">
        <f t="shared" si="158"/>
        <v>0</v>
      </c>
      <c r="Z368" s="338">
        <f t="shared" si="158"/>
        <v>0</v>
      </c>
      <c r="AA368" s="338">
        <f t="shared" si="158"/>
        <v>0</v>
      </c>
      <c r="AB368" s="338">
        <f t="shared" si="158"/>
        <v>0</v>
      </c>
      <c r="AC368" s="338">
        <f t="shared" si="158"/>
        <v>0</v>
      </c>
      <c r="AD368" s="338">
        <f t="shared" si="158"/>
        <v>0</v>
      </c>
      <c r="AE368" s="338">
        <f t="shared" si="158"/>
        <v>0</v>
      </c>
      <c r="AF368" s="338">
        <f t="shared" si="158"/>
        <v>0</v>
      </c>
      <c r="AG368" s="338">
        <f t="shared" si="158"/>
        <v>0</v>
      </c>
      <c r="AH368" s="338">
        <f t="shared" si="158"/>
        <v>0</v>
      </c>
      <c r="AI368" s="338">
        <f t="shared" si="158"/>
        <v>0</v>
      </c>
      <c r="AJ368" s="338">
        <f t="shared" si="158"/>
        <v>0</v>
      </c>
      <c r="AK368" s="338">
        <f t="shared" si="158"/>
        <v>0</v>
      </c>
      <c r="AL368" s="338">
        <f t="shared" si="158"/>
        <v>0</v>
      </c>
      <c r="AM368" s="338">
        <f t="shared" si="158"/>
        <v>0</v>
      </c>
      <c r="AN368" s="338">
        <f t="shared" si="158"/>
        <v>0</v>
      </c>
      <c r="AO368" s="338">
        <f t="shared" si="158"/>
        <v>0</v>
      </c>
    </row>
    <row r="369" spans="3:43" x14ac:dyDescent="0.3">
      <c r="C369" s="29"/>
      <c r="J369" s="14"/>
      <c r="K369" s="14"/>
      <c r="L369" s="14"/>
      <c r="M369" s="14"/>
      <c r="N369" s="14"/>
      <c r="O369" s="14"/>
      <c r="P369" s="14"/>
      <c r="Q369" s="14"/>
      <c r="R369" s="14"/>
      <c r="S369" s="14"/>
      <c r="T369" s="14"/>
      <c r="U369" s="14"/>
      <c r="V369" s="14"/>
      <c r="W369" s="14"/>
      <c r="X369" s="14"/>
      <c r="Y369" s="14"/>
      <c r="Z369" s="14"/>
      <c r="AA369" s="14"/>
      <c r="AB369" s="14"/>
      <c r="AC369" s="14"/>
      <c r="AD369" s="14"/>
      <c r="AE369" s="14"/>
      <c r="AF369" s="14"/>
      <c r="AG369" s="14"/>
      <c r="AH369" s="14"/>
      <c r="AI369" s="14"/>
      <c r="AJ369" s="14"/>
      <c r="AK369" s="14"/>
      <c r="AL369" s="14"/>
      <c r="AM369" s="14"/>
      <c r="AN369" s="14"/>
      <c r="AO369" s="14"/>
    </row>
    <row r="370" spans="3:43" x14ac:dyDescent="0.3">
      <c r="C370" s="29"/>
      <c r="E370" s="32" t="s">
        <v>1097</v>
      </c>
      <c r="J370" s="14"/>
      <c r="K370" s="14"/>
      <c r="L370" s="14"/>
      <c r="M370" s="14"/>
      <c r="N370" s="14"/>
      <c r="O370" s="14"/>
      <c r="P370" s="14"/>
      <c r="Q370" s="14"/>
      <c r="R370" s="14"/>
      <c r="S370" s="14"/>
      <c r="T370" s="14"/>
      <c r="U370" s="14"/>
      <c r="V370" s="14"/>
      <c r="W370" s="14"/>
      <c r="X370" s="14"/>
      <c r="Y370" s="14"/>
      <c r="Z370" s="14"/>
      <c r="AA370" s="14"/>
      <c r="AB370" s="14"/>
      <c r="AC370" s="14"/>
      <c r="AD370" s="14"/>
      <c r="AE370" s="14"/>
      <c r="AF370" s="14"/>
      <c r="AG370" s="14"/>
      <c r="AH370" s="14"/>
      <c r="AI370" s="14"/>
      <c r="AJ370" s="14"/>
      <c r="AK370" s="14"/>
      <c r="AL370" s="14"/>
      <c r="AM370" s="14"/>
      <c r="AN370" s="14"/>
      <c r="AO370" s="14"/>
    </row>
    <row r="371" spans="3:43" x14ac:dyDescent="0.3">
      <c r="C371" s="29"/>
      <c r="F371" s="23" t="s">
        <v>1061</v>
      </c>
      <c r="G371" s="23" t="s">
        <v>912</v>
      </c>
      <c r="H371" s="23"/>
      <c r="I371" s="23"/>
      <c r="J371" s="418"/>
      <c r="K371" s="418"/>
      <c r="L371" s="418"/>
      <c r="M371" s="418"/>
      <c r="N371" s="418"/>
      <c r="O371" s="418"/>
      <c r="P371" s="418"/>
      <c r="Q371" s="418"/>
      <c r="R371" s="418"/>
      <c r="S371" s="418"/>
      <c r="T371" s="418"/>
      <c r="U371" s="418"/>
      <c r="V371" s="418"/>
      <c r="W371" s="418"/>
      <c r="X371" s="418"/>
      <c r="Y371" s="418"/>
      <c r="Z371" s="418"/>
      <c r="AA371" s="418"/>
      <c r="AB371" s="418"/>
      <c r="AC371" s="418"/>
      <c r="AD371" s="418"/>
      <c r="AE371" s="418"/>
      <c r="AF371" s="418"/>
      <c r="AG371" s="418"/>
      <c r="AH371" s="418"/>
      <c r="AI371" s="418"/>
      <c r="AJ371" s="418"/>
      <c r="AK371" s="418"/>
      <c r="AL371" s="418"/>
      <c r="AM371" s="418"/>
      <c r="AN371" s="418"/>
      <c r="AO371" s="418"/>
    </row>
    <row r="372" spans="3:43" x14ac:dyDescent="0.3">
      <c r="C372" s="29"/>
      <c r="F372" t="s">
        <v>1062</v>
      </c>
      <c r="G372" t="s">
        <v>912</v>
      </c>
      <c r="J372" s="419"/>
      <c r="K372" s="419"/>
      <c r="L372" s="419"/>
      <c r="M372" s="419"/>
      <c r="N372" s="419"/>
      <c r="O372" s="419"/>
      <c r="P372" s="419"/>
      <c r="Q372" s="419"/>
      <c r="R372" s="419"/>
      <c r="S372" s="419"/>
      <c r="T372" s="419"/>
      <c r="U372" s="419"/>
      <c r="V372" s="419"/>
      <c r="W372" s="419"/>
      <c r="X372" s="419"/>
      <c r="Y372" s="419"/>
      <c r="Z372" s="419"/>
      <c r="AA372" s="419"/>
      <c r="AB372" s="419"/>
      <c r="AC372" s="419"/>
      <c r="AD372" s="419"/>
      <c r="AE372" s="419"/>
      <c r="AF372" s="419"/>
      <c r="AG372" s="419"/>
      <c r="AH372" s="419"/>
      <c r="AI372" s="419"/>
      <c r="AJ372" s="419"/>
      <c r="AK372" s="419"/>
      <c r="AL372" s="419"/>
      <c r="AM372" s="419"/>
      <c r="AN372" s="419"/>
      <c r="AO372" s="419"/>
    </row>
    <row r="373" spans="3:43" x14ac:dyDescent="0.3">
      <c r="C373" s="29"/>
      <c r="F373" s="37" t="s">
        <v>1063</v>
      </c>
      <c r="G373" s="37" t="s">
        <v>912</v>
      </c>
      <c r="H373" s="37"/>
      <c r="I373" s="37"/>
      <c r="J373" s="416" t="b">
        <f t="shared" ref="J373:AO373" si="159">IF(J$32, -J264+J$368&gt;=0, TRUE)</f>
        <v>1</v>
      </c>
      <c r="K373" s="416" t="b">
        <f t="shared" si="159"/>
        <v>1</v>
      </c>
      <c r="L373" s="416" t="b">
        <f t="shared" si="159"/>
        <v>1</v>
      </c>
      <c r="M373" s="416" t="b">
        <f t="shared" si="159"/>
        <v>1</v>
      </c>
      <c r="N373" s="416" t="b">
        <f t="shared" si="159"/>
        <v>1</v>
      </c>
      <c r="O373" s="416" t="b">
        <f t="shared" si="159"/>
        <v>1</v>
      </c>
      <c r="P373" s="416" t="b">
        <f t="shared" si="159"/>
        <v>1</v>
      </c>
      <c r="Q373" s="416" t="b">
        <f t="shared" si="159"/>
        <v>1</v>
      </c>
      <c r="R373" s="416" t="b">
        <f t="shared" si="159"/>
        <v>1</v>
      </c>
      <c r="S373" s="416" t="b">
        <f t="shared" si="159"/>
        <v>1</v>
      </c>
      <c r="T373" s="416" t="b">
        <f t="shared" si="159"/>
        <v>1</v>
      </c>
      <c r="U373" s="416" t="b">
        <f t="shared" si="159"/>
        <v>1</v>
      </c>
      <c r="V373" s="416" t="b">
        <f t="shared" si="159"/>
        <v>1</v>
      </c>
      <c r="W373" s="416" t="b">
        <f t="shared" si="159"/>
        <v>1</v>
      </c>
      <c r="X373" s="416" t="b">
        <f t="shared" si="159"/>
        <v>1</v>
      </c>
      <c r="Y373" s="416" t="b">
        <f t="shared" si="159"/>
        <v>1</v>
      </c>
      <c r="Z373" s="416" t="b">
        <f t="shared" si="159"/>
        <v>1</v>
      </c>
      <c r="AA373" s="416" t="b">
        <f t="shared" si="159"/>
        <v>1</v>
      </c>
      <c r="AB373" s="416" t="b">
        <f t="shared" si="159"/>
        <v>1</v>
      </c>
      <c r="AC373" s="416" t="b">
        <f t="shared" si="159"/>
        <v>1</v>
      </c>
      <c r="AD373" s="416" t="b">
        <f t="shared" si="159"/>
        <v>1</v>
      </c>
      <c r="AE373" s="416" t="b">
        <f t="shared" si="159"/>
        <v>1</v>
      </c>
      <c r="AF373" s="416" t="b">
        <f t="shared" si="159"/>
        <v>1</v>
      </c>
      <c r="AG373" s="416" t="b">
        <f t="shared" si="159"/>
        <v>1</v>
      </c>
      <c r="AH373" s="416" t="b">
        <f t="shared" si="159"/>
        <v>1</v>
      </c>
      <c r="AI373" s="416" t="b">
        <f t="shared" si="159"/>
        <v>1</v>
      </c>
      <c r="AJ373" s="416" t="b">
        <f t="shared" si="159"/>
        <v>1</v>
      </c>
      <c r="AK373" s="416" t="b">
        <f t="shared" si="159"/>
        <v>1</v>
      </c>
      <c r="AL373" s="416" t="b">
        <f t="shared" si="159"/>
        <v>1</v>
      </c>
      <c r="AM373" s="416" t="b">
        <f t="shared" si="159"/>
        <v>1</v>
      </c>
      <c r="AN373" s="416" t="b">
        <f t="shared" si="159"/>
        <v>1</v>
      </c>
      <c r="AO373" s="416" t="b">
        <f t="shared" si="159"/>
        <v>1</v>
      </c>
    </row>
    <row r="374" spans="3:43" x14ac:dyDescent="0.3">
      <c r="C374" s="29"/>
      <c r="J374" s="14"/>
      <c r="K374" s="14"/>
      <c r="L374" s="14"/>
      <c r="M374" s="14"/>
      <c r="N374" s="14"/>
      <c r="O374" s="14"/>
      <c r="P374" s="14"/>
      <c r="Q374" s="14"/>
      <c r="R374" s="14"/>
      <c r="S374" s="14"/>
      <c r="T374" s="14"/>
      <c r="U374" s="14"/>
      <c r="V374" s="14"/>
      <c r="W374" s="14"/>
      <c r="X374" s="14"/>
      <c r="Y374" s="14"/>
      <c r="Z374" s="14"/>
      <c r="AA374" s="14"/>
      <c r="AB374" s="14"/>
      <c r="AC374" s="14"/>
      <c r="AD374" s="14"/>
      <c r="AE374" s="14"/>
      <c r="AF374" s="14"/>
      <c r="AG374" s="14"/>
      <c r="AH374" s="14"/>
      <c r="AI374" s="14"/>
      <c r="AJ374" s="14"/>
      <c r="AK374" s="14"/>
      <c r="AL374" s="14"/>
      <c r="AM374" s="14"/>
      <c r="AN374" s="14"/>
      <c r="AO374" s="14"/>
    </row>
    <row r="375" spans="3:43" x14ac:dyDescent="0.3">
      <c r="C375" s="29"/>
      <c r="E375" t="s">
        <v>1098</v>
      </c>
      <c r="G375" t="s">
        <v>912</v>
      </c>
      <c r="J375" s="14" t="b">
        <f>J373</f>
        <v>1</v>
      </c>
      <c r="K375" s="14" t="b">
        <f t="shared" ref="K375:AO375" si="160">K373</f>
        <v>1</v>
      </c>
      <c r="L375" s="14" t="b">
        <f t="shared" si="160"/>
        <v>1</v>
      </c>
      <c r="M375" s="14" t="b">
        <f t="shared" si="160"/>
        <v>1</v>
      </c>
      <c r="N375" s="14" t="b">
        <f t="shared" si="160"/>
        <v>1</v>
      </c>
      <c r="O375" s="14" t="b">
        <f t="shared" si="160"/>
        <v>1</v>
      </c>
      <c r="P375" s="14" t="b">
        <f t="shared" si="160"/>
        <v>1</v>
      </c>
      <c r="Q375" s="14" t="b">
        <f t="shared" si="160"/>
        <v>1</v>
      </c>
      <c r="R375" s="14" t="b">
        <f t="shared" si="160"/>
        <v>1</v>
      </c>
      <c r="S375" s="14" t="b">
        <f t="shared" si="160"/>
        <v>1</v>
      </c>
      <c r="T375" s="14" t="b">
        <f t="shared" si="160"/>
        <v>1</v>
      </c>
      <c r="U375" s="14" t="b">
        <f t="shared" si="160"/>
        <v>1</v>
      </c>
      <c r="V375" s="14" t="b">
        <f t="shared" si="160"/>
        <v>1</v>
      </c>
      <c r="W375" s="14" t="b">
        <f t="shared" si="160"/>
        <v>1</v>
      </c>
      <c r="X375" s="14" t="b">
        <f t="shared" si="160"/>
        <v>1</v>
      </c>
      <c r="Y375" s="14" t="b">
        <f t="shared" si="160"/>
        <v>1</v>
      </c>
      <c r="Z375" s="14" t="b">
        <f t="shared" si="160"/>
        <v>1</v>
      </c>
      <c r="AA375" s="14" t="b">
        <f t="shared" si="160"/>
        <v>1</v>
      </c>
      <c r="AB375" s="14" t="b">
        <f t="shared" si="160"/>
        <v>1</v>
      </c>
      <c r="AC375" s="14" t="b">
        <f t="shared" si="160"/>
        <v>1</v>
      </c>
      <c r="AD375" s="14" t="b">
        <f t="shared" si="160"/>
        <v>1</v>
      </c>
      <c r="AE375" s="14" t="b">
        <f t="shared" si="160"/>
        <v>1</v>
      </c>
      <c r="AF375" s="14" t="b">
        <f t="shared" si="160"/>
        <v>1</v>
      </c>
      <c r="AG375" s="14" t="b">
        <f t="shared" si="160"/>
        <v>1</v>
      </c>
      <c r="AH375" s="14" t="b">
        <f t="shared" si="160"/>
        <v>1</v>
      </c>
      <c r="AI375" s="14" t="b">
        <f t="shared" si="160"/>
        <v>1</v>
      </c>
      <c r="AJ375" s="14" t="b">
        <f t="shared" si="160"/>
        <v>1</v>
      </c>
      <c r="AK375" s="14" t="b">
        <f t="shared" si="160"/>
        <v>1</v>
      </c>
      <c r="AL375" s="14" t="b">
        <f t="shared" si="160"/>
        <v>1</v>
      </c>
      <c r="AM375" s="14" t="b">
        <f t="shared" si="160"/>
        <v>1</v>
      </c>
      <c r="AN375" s="14" t="b">
        <f t="shared" si="160"/>
        <v>1</v>
      </c>
      <c r="AO375" s="14" t="b">
        <f t="shared" si="160"/>
        <v>1</v>
      </c>
    </row>
    <row r="376" spans="3:43" x14ac:dyDescent="0.3">
      <c r="C376" s="29"/>
      <c r="J376" s="14"/>
      <c r="K376" s="14"/>
      <c r="L376" s="14"/>
      <c r="M376" s="14"/>
      <c r="N376" s="14"/>
      <c r="O376" s="14"/>
      <c r="P376" s="14"/>
      <c r="Q376" s="14"/>
      <c r="R376" s="14"/>
      <c r="S376" s="14"/>
      <c r="T376" s="14"/>
      <c r="U376" s="14"/>
      <c r="V376" s="14"/>
      <c r="W376" s="14"/>
      <c r="X376" s="14"/>
      <c r="Y376" s="14"/>
      <c r="Z376" s="14"/>
      <c r="AA376" s="14"/>
      <c r="AB376" s="14"/>
      <c r="AC376" s="14"/>
      <c r="AD376" s="14"/>
      <c r="AE376" s="14"/>
      <c r="AF376" s="14"/>
      <c r="AG376" s="14"/>
      <c r="AH376" s="14"/>
      <c r="AI376" s="14"/>
      <c r="AJ376" s="14"/>
      <c r="AK376" s="14"/>
      <c r="AL376" s="14"/>
      <c r="AM376" s="14"/>
      <c r="AN376" s="14"/>
      <c r="AO376" s="14"/>
    </row>
    <row r="377" spans="3:43" x14ac:dyDescent="0.3">
      <c r="C377" s="31" t="str">
        <f ca="1">INDEX('Version control'!$H$34:$H$57,MATCH($A$1,'Version control'!$F$34:$F$57,0),1)&amp;"-N: Revenue matching adders by timeband"</f>
        <v>Section 116-N: Revenue matching adders by timeband</v>
      </c>
      <c r="D377" s="31"/>
      <c r="E377" s="31"/>
      <c r="F377" s="31"/>
      <c r="G377" s="31"/>
      <c r="H377" s="31"/>
      <c r="I377" s="31"/>
      <c r="J377" s="189"/>
      <c r="K377" s="189"/>
      <c r="L377" s="189"/>
      <c r="M377" s="189"/>
      <c r="N377" s="189"/>
      <c r="O377" s="189"/>
      <c r="P377" s="189"/>
      <c r="Q377" s="189"/>
      <c r="R377" s="189"/>
      <c r="S377" s="189"/>
      <c r="T377" s="189"/>
      <c r="U377" s="189"/>
      <c r="V377" s="189"/>
      <c r="W377" s="189"/>
      <c r="X377" s="189"/>
      <c r="Y377" s="189"/>
      <c r="Z377" s="189"/>
      <c r="AA377" s="189"/>
      <c r="AB377" s="189"/>
      <c r="AC377" s="189"/>
      <c r="AD377" s="189"/>
      <c r="AE377" s="189"/>
      <c r="AF377" s="189"/>
      <c r="AG377" s="189"/>
      <c r="AH377" s="189"/>
      <c r="AI377" s="189"/>
      <c r="AJ377" s="189"/>
      <c r="AK377" s="189"/>
      <c r="AL377" s="189"/>
      <c r="AM377" s="189"/>
      <c r="AN377" s="189"/>
      <c r="AO377" s="189"/>
      <c r="AP377" s="31"/>
      <c r="AQ377" s="31"/>
    </row>
    <row r="378" spans="3:43" x14ac:dyDescent="0.3">
      <c r="C378" s="29"/>
      <c r="E378" s="32"/>
      <c r="J378" s="14"/>
      <c r="K378" s="14"/>
      <c r="L378" s="14"/>
      <c r="M378" s="14"/>
      <c r="N378" s="14"/>
      <c r="O378" s="14"/>
      <c r="P378" s="14"/>
      <c r="Q378" s="14"/>
      <c r="R378" s="14"/>
      <c r="S378" s="14"/>
      <c r="T378" s="14"/>
      <c r="U378" s="14"/>
      <c r="V378" s="14"/>
      <c r="W378" s="14"/>
      <c r="X378" s="14"/>
      <c r="Y378" s="14"/>
      <c r="Z378" s="14"/>
      <c r="AA378" s="14"/>
      <c r="AB378" s="14"/>
      <c r="AC378" s="14"/>
      <c r="AD378" s="14"/>
      <c r="AE378" s="14"/>
      <c r="AF378" s="14"/>
      <c r="AG378" s="14"/>
      <c r="AH378" s="14"/>
      <c r="AI378" s="14"/>
      <c r="AJ378" s="14"/>
      <c r="AK378" s="14"/>
      <c r="AL378" s="14"/>
      <c r="AM378" s="14"/>
      <c r="AN378" s="14"/>
      <c r="AO378" s="14"/>
    </row>
    <row r="379" spans="3:43" x14ac:dyDescent="0.3">
      <c r="C379" s="29"/>
      <c r="D379" s="29" t="s">
        <v>1148</v>
      </c>
      <c r="E379" s="32"/>
      <c r="I379" t="s">
        <v>154</v>
      </c>
      <c r="J379" s="14"/>
      <c r="K379" s="14"/>
      <c r="L379" s="14"/>
      <c r="M379" s="14"/>
      <c r="N379" s="14"/>
      <c r="O379" s="14"/>
      <c r="P379" s="14"/>
      <c r="Q379" s="14"/>
      <c r="R379" s="14"/>
      <c r="S379" s="14"/>
      <c r="T379" s="14"/>
      <c r="U379" s="14"/>
      <c r="V379" s="14"/>
      <c r="W379" s="14"/>
      <c r="X379" s="14"/>
      <c r="Y379" s="14"/>
      <c r="Z379" s="14"/>
      <c r="AA379" s="14"/>
      <c r="AB379" s="14"/>
      <c r="AC379" s="14"/>
      <c r="AD379" s="14"/>
      <c r="AE379" s="14"/>
      <c r="AF379" s="14"/>
      <c r="AG379" s="14"/>
      <c r="AH379" s="14"/>
      <c r="AI379" s="14"/>
      <c r="AJ379" s="14"/>
      <c r="AK379" s="14"/>
      <c r="AL379" s="14"/>
      <c r="AM379" s="14"/>
      <c r="AN379" s="14"/>
      <c r="AO379" s="14"/>
      <c r="AQ379" t="s">
        <v>1128</v>
      </c>
    </row>
    <row r="380" spans="3:43" x14ac:dyDescent="0.3">
      <c r="C380" s="29"/>
      <c r="D380" s="29" t="s">
        <v>1099</v>
      </c>
      <c r="E380" s="32"/>
      <c r="J380" s="14"/>
      <c r="K380" s="14"/>
      <c r="L380" s="14"/>
      <c r="M380" s="14"/>
      <c r="N380" s="14"/>
      <c r="O380" s="14"/>
      <c r="P380" s="14"/>
      <c r="Q380" s="14"/>
      <c r="R380" s="14"/>
      <c r="S380" s="14"/>
      <c r="T380" s="14"/>
      <c r="U380" s="14"/>
      <c r="V380" s="14"/>
      <c r="W380" s="14"/>
      <c r="X380" s="14"/>
      <c r="Y380" s="14"/>
      <c r="Z380" s="14"/>
      <c r="AA380" s="14"/>
      <c r="AB380" s="14"/>
      <c r="AC380" s="14"/>
      <c r="AD380" s="14"/>
      <c r="AE380" s="14"/>
      <c r="AF380" s="14"/>
      <c r="AG380" s="14"/>
      <c r="AH380" s="14"/>
      <c r="AI380" s="14"/>
      <c r="AJ380" s="14"/>
      <c r="AK380" s="14"/>
      <c r="AL380" s="14"/>
      <c r="AM380" s="14"/>
      <c r="AN380" s="14"/>
      <c r="AO380" s="14"/>
    </row>
    <row r="381" spans="3:43" x14ac:dyDescent="0.3">
      <c r="C381" s="29"/>
      <c r="D381" s="29" t="s">
        <v>1100</v>
      </c>
      <c r="E381" s="32"/>
      <c r="J381" s="14"/>
      <c r="K381" s="14"/>
      <c r="L381" s="14"/>
      <c r="M381" s="14"/>
      <c r="N381" s="14"/>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4"/>
    </row>
    <row r="382" spans="3:43" x14ac:dyDescent="0.3">
      <c r="C382" s="29"/>
      <c r="E382" s="32"/>
      <c r="J382" s="14"/>
      <c r="K382" s="14"/>
      <c r="L382" s="14"/>
      <c r="M382" s="14"/>
      <c r="N382" s="14"/>
      <c r="O382" s="14"/>
      <c r="P382" s="14"/>
      <c r="Q382" s="14"/>
      <c r="R382" s="14"/>
      <c r="S382" s="14"/>
      <c r="T382" s="14"/>
      <c r="U382" s="14"/>
      <c r="V382" s="14"/>
      <c r="W382" s="14"/>
      <c r="X382" s="14"/>
      <c r="Y382" s="14"/>
      <c r="Z382" s="14"/>
      <c r="AA382" s="14"/>
      <c r="AB382" s="14"/>
      <c r="AC382" s="14"/>
      <c r="AD382" s="14"/>
      <c r="AE382" s="14"/>
      <c r="AF382" s="14"/>
      <c r="AG382" s="14"/>
      <c r="AH382" s="14"/>
      <c r="AI382" s="14"/>
      <c r="AJ382" s="14"/>
      <c r="AK382" s="14"/>
      <c r="AL382" s="14"/>
      <c r="AM382" s="14"/>
      <c r="AN382" s="14"/>
      <c r="AO382" s="14"/>
    </row>
    <row r="383" spans="3:43" x14ac:dyDescent="0.3">
      <c r="C383" s="29"/>
      <c r="E383" s="32" t="s">
        <v>1101</v>
      </c>
      <c r="J383" s="14"/>
      <c r="K383" s="14"/>
      <c r="L383" s="14"/>
      <c r="M383" s="14"/>
      <c r="N383" s="14"/>
      <c r="O383" s="14"/>
      <c r="P383" s="14"/>
      <c r="Q383" s="14"/>
      <c r="R383" s="14"/>
      <c r="S383" s="14"/>
      <c r="T383" s="14"/>
      <c r="U383" s="14"/>
      <c r="V383" s="14"/>
      <c r="W383" s="14"/>
      <c r="X383" s="14"/>
      <c r="Y383" s="14"/>
      <c r="Z383" s="14"/>
      <c r="AA383" s="14"/>
      <c r="AB383" s="14"/>
      <c r="AC383" s="14"/>
      <c r="AD383" s="14"/>
      <c r="AE383" s="14"/>
      <c r="AF383" s="14"/>
      <c r="AG383" s="14"/>
      <c r="AH383" s="14"/>
      <c r="AI383" s="14"/>
      <c r="AJ383" s="14"/>
      <c r="AK383" s="14"/>
      <c r="AL383" s="14"/>
      <c r="AM383" s="14"/>
      <c r="AN383" s="14"/>
      <c r="AO383" s="14"/>
    </row>
    <row r="384" spans="3:43" x14ac:dyDescent="0.3">
      <c r="C384" s="29"/>
      <c r="F384" s="23" t="s">
        <v>1102</v>
      </c>
      <c r="G384" s="23" t="s">
        <v>912</v>
      </c>
      <c r="H384" s="23"/>
      <c r="I384" s="23"/>
      <c r="J384" s="420" t="b">
        <f t="shared" ref="J384:AO384" si="161">J311</f>
        <v>1</v>
      </c>
      <c r="K384" s="420" t="b">
        <f t="shared" si="161"/>
        <v>1</v>
      </c>
      <c r="L384" s="420" t="b">
        <f t="shared" si="161"/>
        <v>1</v>
      </c>
      <c r="M384" s="420" t="b">
        <f t="shared" si="161"/>
        <v>1</v>
      </c>
      <c r="N384" s="420" t="b">
        <f t="shared" si="161"/>
        <v>1</v>
      </c>
      <c r="O384" s="420" t="b">
        <f t="shared" si="161"/>
        <v>1</v>
      </c>
      <c r="P384" s="420" t="b">
        <f t="shared" si="161"/>
        <v>1</v>
      </c>
      <c r="Q384" s="420" t="b">
        <f t="shared" si="161"/>
        <v>1</v>
      </c>
      <c r="R384" s="420" t="b">
        <f t="shared" si="161"/>
        <v>1</v>
      </c>
      <c r="S384" s="420" t="b">
        <f t="shared" si="161"/>
        <v>1</v>
      </c>
      <c r="T384" s="420" t="b">
        <f t="shared" si="161"/>
        <v>1</v>
      </c>
      <c r="U384" s="420" t="b">
        <f t="shared" si="161"/>
        <v>1</v>
      </c>
      <c r="V384" s="420" t="b">
        <f t="shared" si="161"/>
        <v>1</v>
      </c>
      <c r="W384" s="420" t="b">
        <f t="shared" si="161"/>
        <v>1</v>
      </c>
      <c r="X384" s="420" t="b">
        <f t="shared" si="161"/>
        <v>1</v>
      </c>
      <c r="Y384" s="420" t="b">
        <f t="shared" si="161"/>
        <v>1</v>
      </c>
      <c r="Z384" s="420" t="b">
        <f t="shared" si="161"/>
        <v>1</v>
      </c>
      <c r="AA384" s="420" t="b">
        <f t="shared" si="161"/>
        <v>1</v>
      </c>
      <c r="AB384" s="420" t="b">
        <f t="shared" si="161"/>
        <v>1</v>
      </c>
      <c r="AC384" s="420" t="b">
        <f t="shared" si="161"/>
        <v>1</v>
      </c>
      <c r="AD384" s="420" t="b">
        <f t="shared" si="161"/>
        <v>1</v>
      </c>
      <c r="AE384" s="420" t="b">
        <f t="shared" si="161"/>
        <v>1</v>
      </c>
      <c r="AF384" s="420" t="b">
        <f t="shared" si="161"/>
        <v>1</v>
      </c>
      <c r="AG384" s="420" t="b">
        <f t="shared" si="161"/>
        <v>1</v>
      </c>
      <c r="AH384" s="420" t="b">
        <f t="shared" si="161"/>
        <v>1</v>
      </c>
      <c r="AI384" s="420" t="b">
        <f t="shared" si="161"/>
        <v>1</v>
      </c>
      <c r="AJ384" s="420" t="b">
        <f t="shared" si="161"/>
        <v>1</v>
      </c>
      <c r="AK384" s="420" t="b">
        <f t="shared" si="161"/>
        <v>1</v>
      </c>
      <c r="AL384" s="420" t="b">
        <f t="shared" si="161"/>
        <v>1</v>
      </c>
      <c r="AM384" s="420" t="b">
        <f t="shared" si="161"/>
        <v>1</v>
      </c>
      <c r="AN384" s="420" t="b">
        <f t="shared" si="161"/>
        <v>1</v>
      </c>
      <c r="AO384" s="420" t="b">
        <f t="shared" si="161"/>
        <v>1</v>
      </c>
    </row>
    <row r="385" spans="3:41" x14ac:dyDescent="0.3">
      <c r="C385" s="29"/>
      <c r="F385" t="s">
        <v>1103</v>
      </c>
      <c r="G385" t="s">
        <v>912</v>
      </c>
      <c r="J385" s="420" t="b">
        <f t="shared" ref="J385:AO385" si="162">J343</f>
        <v>1</v>
      </c>
      <c r="K385" s="420" t="b">
        <f t="shared" si="162"/>
        <v>1</v>
      </c>
      <c r="L385" s="420" t="b">
        <f t="shared" si="162"/>
        <v>1</v>
      </c>
      <c r="M385" s="420" t="b">
        <f t="shared" si="162"/>
        <v>1</v>
      </c>
      <c r="N385" s="420" t="b">
        <f t="shared" si="162"/>
        <v>1</v>
      </c>
      <c r="O385" s="420" t="b">
        <f t="shared" si="162"/>
        <v>1</v>
      </c>
      <c r="P385" s="420" t="b">
        <f t="shared" si="162"/>
        <v>1</v>
      </c>
      <c r="Q385" s="420" t="b">
        <f t="shared" si="162"/>
        <v>1</v>
      </c>
      <c r="R385" s="420" t="b">
        <f t="shared" si="162"/>
        <v>1</v>
      </c>
      <c r="S385" s="420" t="b">
        <f t="shared" si="162"/>
        <v>1</v>
      </c>
      <c r="T385" s="420" t="b">
        <f t="shared" si="162"/>
        <v>1</v>
      </c>
      <c r="U385" s="420" t="b">
        <f t="shared" si="162"/>
        <v>1</v>
      </c>
      <c r="V385" s="420" t="b">
        <f t="shared" si="162"/>
        <v>1</v>
      </c>
      <c r="W385" s="420" t="b">
        <f t="shared" si="162"/>
        <v>1</v>
      </c>
      <c r="X385" s="420" t="b">
        <f t="shared" si="162"/>
        <v>1</v>
      </c>
      <c r="Y385" s="420" t="b">
        <f t="shared" si="162"/>
        <v>1</v>
      </c>
      <c r="Z385" s="420" t="b">
        <f t="shared" si="162"/>
        <v>1</v>
      </c>
      <c r="AA385" s="420" t="b">
        <f t="shared" si="162"/>
        <v>1</v>
      </c>
      <c r="AB385" s="420" t="b">
        <f t="shared" si="162"/>
        <v>1</v>
      </c>
      <c r="AC385" s="420" t="b">
        <f t="shared" si="162"/>
        <v>1</v>
      </c>
      <c r="AD385" s="420" t="b">
        <f t="shared" si="162"/>
        <v>1</v>
      </c>
      <c r="AE385" s="420" t="b">
        <f t="shared" si="162"/>
        <v>1</v>
      </c>
      <c r="AF385" s="420" t="b">
        <f t="shared" si="162"/>
        <v>1</v>
      </c>
      <c r="AG385" s="420" t="b">
        <f t="shared" si="162"/>
        <v>1</v>
      </c>
      <c r="AH385" s="420" t="b">
        <f t="shared" si="162"/>
        <v>1</v>
      </c>
      <c r="AI385" s="420" t="b">
        <f t="shared" si="162"/>
        <v>1</v>
      </c>
      <c r="AJ385" s="420" t="b">
        <f t="shared" si="162"/>
        <v>1</v>
      </c>
      <c r="AK385" s="420" t="b">
        <f t="shared" si="162"/>
        <v>1</v>
      </c>
      <c r="AL385" s="420" t="b">
        <f t="shared" si="162"/>
        <v>1</v>
      </c>
      <c r="AM385" s="420" t="b">
        <f t="shared" si="162"/>
        <v>1</v>
      </c>
      <c r="AN385" s="420" t="b">
        <f t="shared" si="162"/>
        <v>1</v>
      </c>
      <c r="AO385" s="420" t="b">
        <f t="shared" si="162"/>
        <v>1</v>
      </c>
    </row>
    <row r="386" spans="3:41" x14ac:dyDescent="0.3">
      <c r="C386" s="29"/>
      <c r="F386" s="37" t="s">
        <v>1104</v>
      </c>
      <c r="G386" s="37" t="s">
        <v>912</v>
      </c>
      <c r="H386" s="37"/>
      <c r="I386" s="37"/>
      <c r="J386" s="416" t="b">
        <f>J375</f>
        <v>1</v>
      </c>
      <c r="K386" s="416" t="b">
        <f t="shared" ref="K386:AO386" si="163">K375</f>
        <v>1</v>
      </c>
      <c r="L386" s="416" t="b">
        <f t="shared" si="163"/>
        <v>1</v>
      </c>
      <c r="M386" s="416" t="b">
        <f t="shared" si="163"/>
        <v>1</v>
      </c>
      <c r="N386" s="416" t="b">
        <f t="shared" si="163"/>
        <v>1</v>
      </c>
      <c r="O386" s="416" t="b">
        <f t="shared" si="163"/>
        <v>1</v>
      </c>
      <c r="P386" s="416" t="b">
        <f t="shared" si="163"/>
        <v>1</v>
      </c>
      <c r="Q386" s="416" t="b">
        <f t="shared" si="163"/>
        <v>1</v>
      </c>
      <c r="R386" s="416" t="b">
        <f t="shared" si="163"/>
        <v>1</v>
      </c>
      <c r="S386" s="416" t="b">
        <f t="shared" si="163"/>
        <v>1</v>
      </c>
      <c r="T386" s="416" t="b">
        <f t="shared" si="163"/>
        <v>1</v>
      </c>
      <c r="U386" s="416" t="b">
        <f t="shared" si="163"/>
        <v>1</v>
      </c>
      <c r="V386" s="416" t="b">
        <f t="shared" si="163"/>
        <v>1</v>
      </c>
      <c r="W386" s="416" t="b">
        <f t="shared" si="163"/>
        <v>1</v>
      </c>
      <c r="X386" s="416" t="b">
        <f t="shared" si="163"/>
        <v>1</v>
      </c>
      <c r="Y386" s="416" t="b">
        <f t="shared" si="163"/>
        <v>1</v>
      </c>
      <c r="Z386" s="416" t="b">
        <f t="shared" si="163"/>
        <v>1</v>
      </c>
      <c r="AA386" s="416" t="b">
        <f t="shared" si="163"/>
        <v>1</v>
      </c>
      <c r="AB386" s="416" t="b">
        <f t="shared" si="163"/>
        <v>1</v>
      </c>
      <c r="AC386" s="416" t="b">
        <f t="shared" si="163"/>
        <v>1</v>
      </c>
      <c r="AD386" s="416" t="b">
        <f t="shared" si="163"/>
        <v>1</v>
      </c>
      <c r="AE386" s="416" t="b">
        <f t="shared" si="163"/>
        <v>1</v>
      </c>
      <c r="AF386" s="416" t="b">
        <f t="shared" si="163"/>
        <v>1</v>
      </c>
      <c r="AG386" s="416" t="b">
        <f t="shared" si="163"/>
        <v>1</v>
      </c>
      <c r="AH386" s="416" t="b">
        <f t="shared" si="163"/>
        <v>1</v>
      </c>
      <c r="AI386" s="416" t="b">
        <f t="shared" si="163"/>
        <v>1</v>
      </c>
      <c r="AJ386" s="416" t="b">
        <f t="shared" si="163"/>
        <v>1</v>
      </c>
      <c r="AK386" s="416" t="b">
        <f t="shared" si="163"/>
        <v>1</v>
      </c>
      <c r="AL386" s="416" t="b">
        <f t="shared" si="163"/>
        <v>1</v>
      </c>
      <c r="AM386" s="416" t="b">
        <f t="shared" si="163"/>
        <v>1</v>
      </c>
      <c r="AN386" s="416" t="b">
        <f t="shared" si="163"/>
        <v>1</v>
      </c>
      <c r="AO386" s="416" t="b">
        <f t="shared" si="163"/>
        <v>1</v>
      </c>
    </row>
    <row r="387" spans="3:41" x14ac:dyDescent="0.3">
      <c r="C387" s="29"/>
      <c r="J387" s="14"/>
      <c r="K387" s="14"/>
      <c r="L387" s="14"/>
      <c r="M387" s="14"/>
      <c r="N387" s="14"/>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4"/>
    </row>
    <row r="388" spans="3:41" x14ac:dyDescent="0.3">
      <c r="C388" s="29"/>
      <c r="E388" s="32" t="s">
        <v>1105</v>
      </c>
      <c r="G388" t="s">
        <v>149</v>
      </c>
      <c r="J388" s="14">
        <f>COUNTIF(J384:J386, FALSE)+1</f>
        <v>1</v>
      </c>
      <c r="K388" s="14">
        <f t="shared" ref="K388:AO388" si="164">COUNTIF(K384:K386, FALSE)+1</f>
        <v>1</v>
      </c>
      <c r="L388" s="14">
        <f t="shared" si="164"/>
        <v>1</v>
      </c>
      <c r="M388" s="14">
        <f t="shared" si="164"/>
        <v>1</v>
      </c>
      <c r="N388" s="14">
        <f t="shared" si="164"/>
        <v>1</v>
      </c>
      <c r="O388" s="14">
        <f t="shared" si="164"/>
        <v>1</v>
      </c>
      <c r="P388" s="14">
        <f t="shared" si="164"/>
        <v>1</v>
      </c>
      <c r="Q388" s="14">
        <f t="shared" si="164"/>
        <v>1</v>
      </c>
      <c r="R388" s="14">
        <f t="shared" si="164"/>
        <v>1</v>
      </c>
      <c r="S388" s="14">
        <f t="shared" si="164"/>
        <v>1</v>
      </c>
      <c r="T388" s="14">
        <f t="shared" si="164"/>
        <v>1</v>
      </c>
      <c r="U388" s="14">
        <f t="shared" si="164"/>
        <v>1</v>
      </c>
      <c r="V388" s="14">
        <f t="shared" si="164"/>
        <v>1</v>
      </c>
      <c r="W388" s="14">
        <f t="shared" si="164"/>
        <v>1</v>
      </c>
      <c r="X388" s="14">
        <f t="shared" si="164"/>
        <v>1</v>
      </c>
      <c r="Y388" s="14">
        <f t="shared" si="164"/>
        <v>1</v>
      </c>
      <c r="Z388" s="14">
        <f t="shared" si="164"/>
        <v>1</v>
      </c>
      <c r="AA388" s="14">
        <f t="shared" si="164"/>
        <v>1</v>
      </c>
      <c r="AB388" s="14">
        <f t="shared" si="164"/>
        <v>1</v>
      </c>
      <c r="AC388" s="14">
        <f t="shared" si="164"/>
        <v>1</v>
      </c>
      <c r="AD388" s="14">
        <f t="shared" si="164"/>
        <v>1</v>
      </c>
      <c r="AE388" s="14">
        <f t="shared" si="164"/>
        <v>1</v>
      </c>
      <c r="AF388" s="14">
        <f t="shared" si="164"/>
        <v>1</v>
      </c>
      <c r="AG388" s="14">
        <f t="shared" si="164"/>
        <v>1</v>
      </c>
      <c r="AH388" s="14">
        <f t="shared" si="164"/>
        <v>1</v>
      </c>
      <c r="AI388" s="14">
        <f t="shared" si="164"/>
        <v>1</v>
      </c>
      <c r="AJ388" s="14">
        <f t="shared" si="164"/>
        <v>1</v>
      </c>
      <c r="AK388" s="14">
        <f t="shared" si="164"/>
        <v>1</v>
      </c>
      <c r="AL388" s="14">
        <f t="shared" si="164"/>
        <v>1</v>
      </c>
      <c r="AM388" s="14">
        <f t="shared" si="164"/>
        <v>1</v>
      </c>
      <c r="AN388" s="14">
        <f t="shared" si="164"/>
        <v>1</v>
      </c>
      <c r="AO388" s="14">
        <f t="shared" si="164"/>
        <v>1</v>
      </c>
    </row>
    <row r="389" spans="3:41" x14ac:dyDescent="0.3">
      <c r="C389" s="29"/>
      <c r="E389" s="28"/>
      <c r="J389" s="338"/>
      <c r="K389" s="338"/>
      <c r="L389" s="338"/>
      <c r="M389" s="338"/>
      <c r="N389" s="338"/>
      <c r="O389" s="338"/>
      <c r="P389" s="338"/>
      <c r="Q389" s="338"/>
      <c r="R389" s="338"/>
      <c r="S389" s="338"/>
      <c r="T389" s="338"/>
      <c r="U389" s="338"/>
      <c r="V389" s="338"/>
      <c r="W389" s="338"/>
      <c r="X389" s="338"/>
      <c r="Y389" s="338"/>
      <c r="Z389" s="338"/>
      <c r="AA389" s="338"/>
      <c r="AB389" s="338"/>
      <c r="AC389" s="338"/>
      <c r="AD389" s="338"/>
      <c r="AE389" s="338"/>
      <c r="AF389" s="338"/>
      <c r="AG389" s="338"/>
      <c r="AH389" s="338"/>
      <c r="AI389" s="338"/>
      <c r="AJ389" s="338"/>
      <c r="AK389" s="338"/>
      <c r="AL389" s="338"/>
      <c r="AM389" s="338"/>
      <c r="AN389" s="338"/>
      <c r="AO389" s="338"/>
    </row>
    <row r="390" spans="3:41" x14ac:dyDescent="0.3">
      <c r="C390" s="29"/>
      <c r="E390" s="32" t="s">
        <v>1106</v>
      </c>
      <c r="F390" s="37"/>
      <c r="G390" s="37"/>
      <c r="H390" s="37"/>
      <c r="I390" s="37"/>
      <c r="J390" s="416"/>
      <c r="K390" s="416"/>
      <c r="L390" s="416"/>
      <c r="M390" s="416"/>
      <c r="N390" s="416"/>
      <c r="O390" s="416"/>
      <c r="P390" s="416"/>
      <c r="Q390" s="416"/>
      <c r="R390" s="416"/>
      <c r="S390" s="416"/>
      <c r="T390" s="416"/>
      <c r="U390" s="416"/>
      <c r="V390" s="416"/>
      <c r="W390" s="416"/>
      <c r="X390" s="416"/>
      <c r="Y390" s="416"/>
      <c r="Z390" s="416"/>
      <c r="AA390" s="416"/>
      <c r="AB390" s="416"/>
      <c r="AC390" s="416"/>
      <c r="AD390" s="416"/>
      <c r="AE390" s="416"/>
      <c r="AF390" s="416"/>
      <c r="AG390" s="416"/>
      <c r="AH390" s="416"/>
      <c r="AI390" s="416"/>
      <c r="AJ390" s="416"/>
      <c r="AK390" s="416"/>
      <c r="AL390" s="416"/>
      <c r="AM390" s="416"/>
      <c r="AN390" s="416"/>
      <c r="AO390" s="416"/>
    </row>
    <row r="391" spans="3:41" x14ac:dyDescent="0.3">
      <c r="C391" s="29"/>
      <c r="F391" s="23" t="s">
        <v>1102</v>
      </c>
      <c r="G391" s="23" t="s">
        <v>912</v>
      </c>
      <c r="H391" s="23"/>
      <c r="I391" s="23"/>
      <c r="J391" s="421">
        <f t="shared" ref="J391:AO391" si="165">J304</f>
        <v>0</v>
      </c>
      <c r="K391" s="421">
        <f t="shared" si="165"/>
        <v>0</v>
      </c>
      <c r="L391" s="421">
        <f t="shared" si="165"/>
        <v>0</v>
      </c>
      <c r="M391" s="421">
        <f t="shared" si="165"/>
        <v>0</v>
      </c>
      <c r="N391" s="421">
        <f t="shared" si="165"/>
        <v>0</v>
      </c>
      <c r="O391" s="421">
        <f t="shared" si="165"/>
        <v>0</v>
      </c>
      <c r="P391" s="421">
        <f t="shared" si="165"/>
        <v>0</v>
      </c>
      <c r="Q391" s="421">
        <f t="shared" si="165"/>
        <v>0</v>
      </c>
      <c r="R391" s="421">
        <f t="shared" si="165"/>
        <v>0</v>
      </c>
      <c r="S391" s="421">
        <f t="shared" si="165"/>
        <v>0</v>
      </c>
      <c r="T391" s="421">
        <f t="shared" si="165"/>
        <v>0</v>
      </c>
      <c r="U391" s="421">
        <f t="shared" si="165"/>
        <v>0</v>
      </c>
      <c r="V391" s="421">
        <f t="shared" si="165"/>
        <v>0</v>
      </c>
      <c r="W391" s="421">
        <f t="shared" si="165"/>
        <v>0</v>
      </c>
      <c r="X391" s="421">
        <f t="shared" si="165"/>
        <v>0</v>
      </c>
      <c r="Y391" s="421">
        <f t="shared" si="165"/>
        <v>0</v>
      </c>
      <c r="Z391" s="421">
        <f t="shared" si="165"/>
        <v>0</v>
      </c>
      <c r="AA391" s="421">
        <f t="shared" si="165"/>
        <v>0</v>
      </c>
      <c r="AB391" s="421">
        <f t="shared" si="165"/>
        <v>0</v>
      </c>
      <c r="AC391" s="421">
        <f t="shared" si="165"/>
        <v>0</v>
      </c>
      <c r="AD391" s="421">
        <f t="shared" si="165"/>
        <v>0</v>
      </c>
      <c r="AE391" s="421">
        <f t="shared" si="165"/>
        <v>0</v>
      </c>
      <c r="AF391" s="421">
        <f t="shared" si="165"/>
        <v>0</v>
      </c>
      <c r="AG391" s="421">
        <f t="shared" si="165"/>
        <v>0</v>
      </c>
      <c r="AH391" s="421">
        <f t="shared" si="165"/>
        <v>0</v>
      </c>
      <c r="AI391" s="421">
        <f t="shared" si="165"/>
        <v>0</v>
      </c>
      <c r="AJ391" s="421">
        <f t="shared" si="165"/>
        <v>0</v>
      </c>
      <c r="AK391" s="421">
        <f t="shared" si="165"/>
        <v>0</v>
      </c>
      <c r="AL391" s="421">
        <f t="shared" si="165"/>
        <v>0</v>
      </c>
      <c r="AM391" s="421">
        <f t="shared" si="165"/>
        <v>0</v>
      </c>
      <c r="AN391" s="421">
        <f t="shared" si="165"/>
        <v>0</v>
      </c>
      <c r="AO391" s="421">
        <f t="shared" si="165"/>
        <v>0</v>
      </c>
    </row>
    <row r="392" spans="3:41" x14ac:dyDescent="0.3">
      <c r="C392" s="29"/>
      <c r="F392" t="s">
        <v>1103</v>
      </c>
      <c r="G392" t="s">
        <v>912</v>
      </c>
      <c r="J392" s="421">
        <f t="shared" ref="J392:AO392" si="166">J336</f>
        <v>0</v>
      </c>
      <c r="K392" s="421">
        <f t="shared" si="166"/>
        <v>0</v>
      </c>
      <c r="L392" s="421">
        <f t="shared" si="166"/>
        <v>0</v>
      </c>
      <c r="M392" s="421">
        <f t="shared" si="166"/>
        <v>0</v>
      </c>
      <c r="N392" s="421">
        <f t="shared" si="166"/>
        <v>0</v>
      </c>
      <c r="O392" s="421">
        <f t="shared" si="166"/>
        <v>0</v>
      </c>
      <c r="P392" s="421">
        <f t="shared" si="166"/>
        <v>0</v>
      </c>
      <c r="Q392" s="421">
        <f t="shared" si="166"/>
        <v>0</v>
      </c>
      <c r="R392" s="421">
        <f t="shared" si="166"/>
        <v>0</v>
      </c>
      <c r="S392" s="421">
        <f t="shared" si="166"/>
        <v>0</v>
      </c>
      <c r="T392" s="421">
        <f t="shared" si="166"/>
        <v>0</v>
      </c>
      <c r="U392" s="421">
        <f t="shared" si="166"/>
        <v>0</v>
      </c>
      <c r="V392" s="421">
        <f t="shared" si="166"/>
        <v>0</v>
      </c>
      <c r="W392" s="421">
        <f t="shared" si="166"/>
        <v>0</v>
      </c>
      <c r="X392" s="421">
        <f t="shared" si="166"/>
        <v>0</v>
      </c>
      <c r="Y392" s="421">
        <f t="shared" si="166"/>
        <v>0</v>
      </c>
      <c r="Z392" s="421">
        <f t="shared" si="166"/>
        <v>0</v>
      </c>
      <c r="AA392" s="421">
        <f t="shared" si="166"/>
        <v>0</v>
      </c>
      <c r="AB392" s="421">
        <f t="shared" si="166"/>
        <v>0</v>
      </c>
      <c r="AC392" s="421">
        <f t="shared" si="166"/>
        <v>0</v>
      </c>
      <c r="AD392" s="421">
        <f t="shared" si="166"/>
        <v>0</v>
      </c>
      <c r="AE392" s="421">
        <f t="shared" si="166"/>
        <v>0</v>
      </c>
      <c r="AF392" s="421">
        <f t="shared" si="166"/>
        <v>0</v>
      </c>
      <c r="AG392" s="421">
        <f t="shared" si="166"/>
        <v>0</v>
      </c>
      <c r="AH392" s="421">
        <f t="shared" si="166"/>
        <v>0</v>
      </c>
      <c r="AI392" s="421">
        <f t="shared" si="166"/>
        <v>0</v>
      </c>
      <c r="AJ392" s="421">
        <f t="shared" si="166"/>
        <v>0</v>
      </c>
      <c r="AK392" s="421">
        <f t="shared" si="166"/>
        <v>0</v>
      </c>
      <c r="AL392" s="421">
        <f t="shared" si="166"/>
        <v>0</v>
      </c>
      <c r="AM392" s="421">
        <f t="shared" si="166"/>
        <v>0</v>
      </c>
      <c r="AN392" s="421">
        <f t="shared" si="166"/>
        <v>0</v>
      </c>
      <c r="AO392" s="421">
        <f t="shared" si="166"/>
        <v>0</v>
      </c>
    </row>
    <row r="393" spans="3:41" x14ac:dyDescent="0.3">
      <c r="C393" s="29"/>
      <c r="F393" s="37" t="s">
        <v>1104</v>
      </c>
      <c r="G393" s="37" t="s">
        <v>912</v>
      </c>
      <c r="H393" s="37"/>
      <c r="I393" s="37"/>
      <c r="J393" s="412">
        <f t="shared" ref="J393:AO393" si="167">J368</f>
        <v>0</v>
      </c>
      <c r="K393" s="412">
        <f t="shared" si="167"/>
        <v>0</v>
      </c>
      <c r="L393" s="412">
        <f t="shared" si="167"/>
        <v>0</v>
      </c>
      <c r="M393" s="412">
        <f t="shared" si="167"/>
        <v>0</v>
      </c>
      <c r="N393" s="412">
        <f t="shared" si="167"/>
        <v>0</v>
      </c>
      <c r="O393" s="412">
        <f t="shared" si="167"/>
        <v>0</v>
      </c>
      <c r="P393" s="412">
        <f t="shared" si="167"/>
        <v>0</v>
      </c>
      <c r="Q393" s="412">
        <f t="shared" si="167"/>
        <v>0</v>
      </c>
      <c r="R393" s="412">
        <f t="shared" si="167"/>
        <v>0</v>
      </c>
      <c r="S393" s="412">
        <f t="shared" si="167"/>
        <v>0</v>
      </c>
      <c r="T393" s="412">
        <f t="shared" si="167"/>
        <v>0</v>
      </c>
      <c r="U393" s="412">
        <f t="shared" si="167"/>
        <v>0</v>
      </c>
      <c r="V393" s="412">
        <f t="shared" si="167"/>
        <v>0</v>
      </c>
      <c r="W393" s="412">
        <f t="shared" si="167"/>
        <v>0</v>
      </c>
      <c r="X393" s="412">
        <f t="shared" si="167"/>
        <v>0</v>
      </c>
      <c r="Y393" s="412">
        <f t="shared" si="167"/>
        <v>0</v>
      </c>
      <c r="Z393" s="412">
        <f t="shared" si="167"/>
        <v>0</v>
      </c>
      <c r="AA393" s="412">
        <f t="shared" si="167"/>
        <v>0</v>
      </c>
      <c r="AB393" s="412">
        <f t="shared" si="167"/>
        <v>0</v>
      </c>
      <c r="AC393" s="412">
        <f t="shared" si="167"/>
        <v>0</v>
      </c>
      <c r="AD393" s="412">
        <f t="shared" si="167"/>
        <v>0</v>
      </c>
      <c r="AE393" s="412">
        <f t="shared" si="167"/>
        <v>0</v>
      </c>
      <c r="AF393" s="412">
        <f t="shared" si="167"/>
        <v>0</v>
      </c>
      <c r="AG393" s="412">
        <f t="shared" si="167"/>
        <v>0</v>
      </c>
      <c r="AH393" s="412">
        <f t="shared" si="167"/>
        <v>0</v>
      </c>
      <c r="AI393" s="412">
        <f t="shared" si="167"/>
        <v>0</v>
      </c>
      <c r="AJ393" s="412">
        <f t="shared" si="167"/>
        <v>0</v>
      </c>
      <c r="AK393" s="412">
        <f t="shared" si="167"/>
        <v>0</v>
      </c>
      <c r="AL393" s="412">
        <f t="shared" si="167"/>
        <v>0</v>
      </c>
      <c r="AM393" s="412">
        <f t="shared" si="167"/>
        <v>0</v>
      </c>
      <c r="AN393" s="412">
        <f t="shared" si="167"/>
        <v>0</v>
      </c>
      <c r="AO393" s="412">
        <f t="shared" si="167"/>
        <v>0</v>
      </c>
    </row>
    <row r="394" spans="3:41" x14ac:dyDescent="0.3">
      <c r="C394" s="29"/>
      <c r="J394" s="338"/>
      <c r="K394" s="338"/>
      <c r="L394" s="338"/>
      <c r="M394" s="338"/>
      <c r="N394" s="338"/>
      <c r="O394" s="338"/>
      <c r="P394" s="338"/>
      <c r="Q394" s="338"/>
      <c r="R394" s="338"/>
      <c r="S394" s="338"/>
      <c r="T394" s="338"/>
      <c r="U394" s="338"/>
      <c r="V394" s="338"/>
      <c r="W394" s="338"/>
      <c r="X394" s="338"/>
      <c r="Y394" s="338"/>
      <c r="Z394" s="338"/>
      <c r="AA394" s="338"/>
      <c r="AB394" s="338"/>
      <c r="AC394" s="338"/>
      <c r="AD394" s="338"/>
      <c r="AE394" s="338"/>
      <c r="AF394" s="338"/>
      <c r="AG394" s="338"/>
      <c r="AH394" s="338"/>
      <c r="AI394" s="338"/>
      <c r="AJ394" s="338"/>
      <c r="AK394" s="338"/>
      <c r="AL394" s="338"/>
      <c r="AM394" s="338"/>
      <c r="AN394" s="338"/>
      <c r="AO394" s="338"/>
    </row>
    <row r="395" spans="3:41" x14ac:dyDescent="0.3">
      <c r="C395" s="29"/>
      <c r="E395" s="410" t="s">
        <v>1107</v>
      </c>
      <c r="G395" t="s">
        <v>269</v>
      </c>
      <c r="J395" s="338">
        <f>INDEX(J391:J393,J388)</f>
        <v>0</v>
      </c>
      <c r="K395" s="338">
        <f t="shared" ref="K395:AO395" si="168">INDEX(K391:K393,K388)</f>
        <v>0</v>
      </c>
      <c r="L395" s="338">
        <f t="shared" si="168"/>
        <v>0</v>
      </c>
      <c r="M395" s="338">
        <f t="shared" si="168"/>
        <v>0</v>
      </c>
      <c r="N395" s="338">
        <f t="shared" si="168"/>
        <v>0</v>
      </c>
      <c r="O395" s="338">
        <f t="shared" si="168"/>
        <v>0</v>
      </c>
      <c r="P395" s="338">
        <f t="shared" si="168"/>
        <v>0</v>
      </c>
      <c r="Q395" s="338">
        <f t="shared" si="168"/>
        <v>0</v>
      </c>
      <c r="R395" s="338">
        <f t="shared" si="168"/>
        <v>0</v>
      </c>
      <c r="S395" s="338">
        <f t="shared" si="168"/>
        <v>0</v>
      </c>
      <c r="T395" s="338">
        <f t="shared" si="168"/>
        <v>0</v>
      </c>
      <c r="U395" s="338">
        <f t="shared" si="168"/>
        <v>0</v>
      </c>
      <c r="V395" s="338">
        <f t="shared" si="168"/>
        <v>0</v>
      </c>
      <c r="W395" s="338">
        <f t="shared" si="168"/>
        <v>0</v>
      </c>
      <c r="X395" s="338">
        <f t="shared" si="168"/>
        <v>0</v>
      </c>
      <c r="Y395" s="338">
        <f t="shared" si="168"/>
        <v>0</v>
      </c>
      <c r="Z395" s="338">
        <f t="shared" si="168"/>
        <v>0</v>
      </c>
      <c r="AA395" s="338">
        <f t="shared" si="168"/>
        <v>0</v>
      </c>
      <c r="AB395" s="338">
        <f t="shared" si="168"/>
        <v>0</v>
      </c>
      <c r="AC395" s="338">
        <f t="shared" si="168"/>
        <v>0</v>
      </c>
      <c r="AD395" s="338">
        <f t="shared" si="168"/>
        <v>0</v>
      </c>
      <c r="AE395" s="338">
        <f t="shared" si="168"/>
        <v>0</v>
      </c>
      <c r="AF395" s="338">
        <f t="shared" si="168"/>
        <v>0</v>
      </c>
      <c r="AG395" s="338">
        <f t="shared" si="168"/>
        <v>0</v>
      </c>
      <c r="AH395" s="338">
        <f t="shared" si="168"/>
        <v>0</v>
      </c>
      <c r="AI395" s="338">
        <f t="shared" si="168"/>
        <v>0</v>
      </c>
      <c r="AJ395" s="338">
        <f t="shared" si="168"/>
        <v>0</v>
      </c>
      <c r="AK395" s="338">
        <f t="shared" si="168"/>
        <v>0</v>
      </c>
      <c r="AL395" s="338">
        <f t="shared" si="168"/>
        <v>0</v>
      </c>
      <c r="AM395" s="338">
        <f t="shared" si="168"/>
        <v>0</v>
      </c>
      <c r="AN395" s="338">
        <f t="shared" si="168"/>
        <v>0</v>
      </c>
      <c r="AO395" s="338">
        <f t="shared" si="168"/>
        <v>0</v>
      </c>
    </row>
    <row r="396" spans="3:41" x14ac:dyDescent="0.3">
      <c r="C396" s="29"/>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row>
    <row r="397" spans="3:41" x14ac:dyDescent="0.3">
      <c r="C397" s="29"/>
      <c r="E397" s="32" t="s">
        <v>1108</v>
      </c>
      <c r="J397" s="14"/>
      <c r="K397" s="14"/>
      <c r="L397" s="14"/>
      <c r="M397" s="14"/>
      <c r="N397" s="14"/>
      <c r="O397" s="14"/>
      <c r="P397" s="14"/>
      <c r="Q397" s="14"/>
      <c r="R397" s="14"/>
      <c r="S397" s="14"/>
      <c r="T397" s="14"/>
      <c r="U397" s="14"/>
      <c r="V397" s="14"/>
      <c r="W397" s="14"/>
      <c r="X397" s="14"/>
      <c r="Y397" s="14"/>
      <c r="Z397" s="14"/>
      <c r="AA397" s="14"/>
      <c r="AB397" s="14"/>
      <c r="AC397" s="14"/>
      <c r="AD397" s="14"/>
      <c r="AE397" s="14"/>
      <c r="AF397" s="14"/>
      <c r="AG397" s="14"/>
      <c r="AH397" s="14"/>
      <c r="AI397" s="14"/>
      <c r="AJ397" s="14"/>
      <c r="AK397" s="14"/>
      <c r="AL397" s="14"/>
      <c r="AM397" s="14"/>
      <c r="AN397" s="14"/>
      <c r="AO397" s="14"/>
    </row>
    <row r="398" spans="3:41" x14ac:dyDescent="0.3">
      <c r="C398" s="29"/>
      <c r="F398" s="23" t="s">
        <v>1061</v>
      </c>
      <c r="G398" s="23" t="s">
        <v>269</v>
      </c>
      <c r="H398" s="23"/>
      <c r="I398" s="23"/>
      <c r="J398" s="411">
        <f t="shared" ref="J398:AO400" si="169">MAX(J$395, J262)</f>
        <v>0</v>
      </c>
      <c r="K398" s="411">
        <f t="shared" si="169"/>
        <v>0</v>
      </c>
      <c r="L398" s="411">
        <f t="shared" si="169"/>
        <v>0</v>
      </c>
      <c r="M398" s="411">
        <f t="shared" si="169"/>
        <v>0</v>
      </c>
      <c r="N398" s="411">
        <f t="shared" si="169"/>
        <v>0</v>
      </c>
      <c r="O398" s="411">
        <f t="shared" si="169"/>
        <v>0</v>
      </c>
      <c r="P398" s="411">
        <f t="shared" si="169"/>
        <v>0</v>
      </c>
      <c r="Q398" s="411">
        <f t="shared" si="169"/>
        <v>0</v>
      </c>
      <c r="R398" s="411">
        <f t="shared" si="169"/>
        <v>0</v>
      </c>
      <c r="S398" s="411">
        <f t="shared" si="169"/>
        <v>0</v>
      </c>
      <c r="T398" s="411">
        <f t="shared" si="169"/>
        <v>0</v>
      </c>
      <c r="U398" s="411">
        <f t="shared" si="169"/>
        <v>0</v>
      </c>
      <c r="V398" s="411">
        <f t="shared" si="169"/>
        <v>0</v>
      </c>
      <c r="W398" s="411">
        <f t="shared" si="169"/>
        <v>0</v>
      </c>
      <c r="X398" s="411">
        <f t="shared" si="169"/>
        <v>0</v>
      </c>
      <c r="Y398" s="411">
        <f t="shared" si="169"/>
        <v>0</v>
      </c>
      <c r="Z398" s="411">
        <f t="shared" si="169"/>
        <v>0</v>
      </c>
      <c r="AA398" s="411">
        <f t="shared" si="169"/>
        <v>0</v>
      </c>
      <c r="AB398" s="411">
        <f t="shared" si="169"/>
        <v>0</v>
      </c>
      <c r="AC398" s="411">
        <f t="shared" si="169"/>
        <v>0</v>
      </c>
      <c r="AD398" s="411">
        <f t="shared" si="169"/>
        <v>0</v>
      </c>
      <c r="AE398" s="411">
        <f t="shared" si="169"/>
        <v>0</v>
      </c>
      <c r="AF398" s="411">
        <f t="shared" si="169"/>
        <v>0</v>
      </c>
      <c r="AG398" s="411">
        <f t="shared" si="169"/>
        <v>0</v>
      </c>
      <c r="AH398" s="411">
        <f t="shared" si="169"/>
        <v>0</v>
      </c>
      <c r="AI398" s="411">
        <f t="shared" si="169"/>
        <v>0</v>
      </c>
      <c r="AJ398" s="411">
        <f t="shared" si="169"/>
        <v>0</v>
      </c>
      <c r="AK398" s="411">
        <f t="shared" si="169"/>
        <v>0</v>
      </c>
      <c r="AL398" s="411">
        <f t="shared" si="169"/>
        <v>0</v>
      </c>
      <c r="AM398" s="411">
        <f t="shared" si="169"/>
        <v>0</v>
      </c>
      <c r="AN398" s="411">
        <f t="shared" si="169"/>
        <v>0</v>
      </c>
      <c r="AO398" s="411">
        <f t="shared" si="169"/>
        <v>0</v>
      </c>
    </row>
    <row r="399" spans="3:41" x14ac:dyDescent="0.3">
      <c r="C399" s="29"/>
      <c r="F399" t="s">
        <v>1062</v>
      </c>
      <c r="G399" t="s">
        <v>269</v>
      </c>
      <c r="J399" s="338">
        <f t="shared" si="169"/>
        <v>0</v>
      </c>
      <c r="K399" s="338">
        <f t="shared" si="169"/>
        <v>0</v>
      </c>
      <c r="L399" s="338">
        <f t="shared" si="169"/>
        <v>0</v>
      </c>
      <c r="M399" s="338">
        <f t="shared" si="169"/>
        <v>0</v>
      </c>
      <c r="N399" s="338">
        <f t="shared" si="169"/>
        <v>0</v>
      </c>
      <c r="O399" s="338">
        <f t="shared" si="169"/>
        <v>0</v>
      </c>
      <c r="P399" s="338">
        <f t="shared" si="169"/>
        <v>0</v>
      </c>
      <c r="Q399" s="338">
        <f t="shared" si="169"/>
        <v>0</v>
      </c>
      <c r="R399" s="338">
        <f t="shared" si="169"/>
        <v>0</v>
      </c>
      <c r="S399" s="338">
        <f t="shared" si="169"/>
        <v>0</v>
      </c>
      <c r="T399" s="338">
        <f t="shared" si="169"/>
        <v>0</v>
      </c>
      <c r="U399" s="338">
        <f t="shared" si="169"/>
        <v>0</v>
      </c>
      <c r="V399" s="338">
        <f t="shared" si="169"/>
        <v>0</v>
      </c>
      <c r="W399" s="338">
        <f t="shared" si="169"/>
        <v>0</v>
      </c>
      <c r="X399" s="338">
        <f t="shared" si="169"/>
        <v>0</v>
      </c>
      <c r="Y399" s="338">
        <f t="shared" si="169"/>
        <v>0</v>
      </c>
      <c r="Z399" s="338">
        <f t="shared" si="169"/>
        <v>0</v>
      </c>
      <c r="AA399" s="338">
        <f t="shared" si="169"/>
        <v>0</v>
      </c>
      <c r="AB399" s="338">
        <f t="shared" si="169"/>
        <v>0</v>
      </c>
      <c r="AC399" s="338">
        <f t="shared" si="169"/>
        <v>0</v>
      </c>
      <c r="AD399" s="338">
        <f t="shared" si="169"/>
        <v>0</v>
      </c>
      <c r="AE399" s="338">
        <f t="shared" si="169"/>
        <v>0</v>
      </c>
      <c r="AF399" s="338">
        <f t="shared" si="169"/>
        <v>0</v>
      </c>
      <c r="AG399" s="338">
        <f t="shared" si="169"/>
        <v>0</v>
      </c>
      <c r="AH399" s="338">
        <f t="shared" si="169"/>
        <v>0</v>
      </c>
      <c r="AI399" s="338">
        <f t="shared" si="169"/>
        <v>0</v>
      </c>
      <c r="AJ399" s="338">
        <f t="shared" si="169"/>
        <v>0</v>
      </c>
      <c r="AK399" s="338">
        <f t="shared" si="169"/>
        <v>0</v>
      </c>
      <c r="AL399" s="338">
        <f t="shared" si="169"/>
        <v>0</v>
      </c>
      <c r="AM399" s="338">
        <f t="shared" si="169"/>
        <v>0</v>
      </c>
      <c r="AN399" s="338">
        <f t="shared" si="169"/>
        <v>0</v>
      </c>
      <c r="AO399" s="338">
        <f t="shared" si="169"/>
        <v>0</v>
      </c>
    </row>
    <row r="400" spans="3:41" x14ac:dyDescent="0.3">
      <c r="C400" s="29"/>
      <c r="F400" s="37" t="s">
        <v>1063</v>
      </c>
      <c r="G400" s="37" t="s">
        <v>269</v>
      </c>
      <c r="H400" s="37"/>
      <c r="I400" s="37"/>
      <c r="J400" s="412">
        <f t="shared" si="169"/>
        <v>0</v>
      </c>
      <c r="K400" s="412">
        <f t="shared" si="169"/>
        <v>0</v>
      </c>
      <c r="L400" s="412">
        <f t="shared" si="169"/>
        <v>0</v>
      </c>
      <c r="M400" s="412">
        <f t="shared" si="169"/>
        <v>0</v>
      </c>
      <c r="N400" s="412">
        <f t="shared" si="169"/>
        <v>0</v>
      </c>
      <c r="O400" s="412">
        <f t="shared" si="169"/>
        <v>0</v>
      </c>
      <c r="P400" s="412">
        <f t="shared" si="169"/>
        <v>0</v>
      </c>
      <c r="Q400" s="412">
        <f t="shared" si="169"/>
        <v>0</v>
      </c>
      <c r="R400" s="412">
        <f t="shared" si="169"/>
        <v>0</v>
      </c>
      <c r="S400" s="412">
        <f t="shared" si="169"/>
        <v>0</v>
      </c>
      <c r="T400" s="412">
        <f t="shared" si="169"/>
        <v>0</v>
      </c>
      <c r="U400" s="412">
        <f t="shared" si="169"/>
        <v>0</v>
      </c>
      <c r="V400" s="412">
        <f t="shared" si="169"/>
        <v>0</v>
      </c>
      <c r="W400" s="412">
        <f t="shared" si="169"/>
        <v>0</v>
      </c>
      <c r="X400" s="412">
        <f t="shared" si="169"/>
        <v>0</v>
      </c>
      <c r="Y400" s="412">
        <f t="shared" si="169"/>
        <v>0</v>
      </c>
      <c r="Z400" s="412">
        <f t="shared" si="169"/>
        <v>0</v>
      </c>
      <c r="AA400" s="412">
        <f t="shared" si="169"/>
        <v>0</v>
      </c>
      <c r="AB400" s="412">
        <f t="shared" si="169"/>
        <v>0</v>
      </c>
      <c r="AC400" s="412">
        <f t="shared" si="169"/>
        <v>0</v>
      </c>
      <c r="AD400" s="412">
        <f t="shared" si="169"/>
        <v>0</v>
      </c>
      <c r="AE400" s="412">
        <f t="shared" si="169"/>
        <v>0</v>
      </c>
      <c r="AF400" s="412">
        <f t="shared" si="169"/>
        <v>0</v>
      </c>
      <c r="AG400" s="412">
        <f t="shared" si="169"/>
        <v>0</v>
      </c>
      <c r="AH400" s="412">
        <f t="shared" si="169"/>
        <v>0</v>
      </c>
      <c r="AI400" s="412">
        <f t="shared" si="169"/>
        <v>0</v>
      </c>
      <c r="AJ400" s="412">
        <f t="shared" si="169"/>
        <v>0</v>
      </c>
      <c r="AK400" s="412">
        <f t="shared" si="169"/>
        <v>0</v>
      </c>
      <c r="AL400" s="412">
        <f t="shared" si="169"/>
        <v>0</v>
      </c>
      <c r="AM400" s="412">
        <f t="shared" si="169"/>
        <v>0</v>
      </c>
      <c r="AN400" s="412">
        <f t="shared" si="169"/>
        <v>0</v>
      </c>
      <c r="AO400" s="412">
        <f t="shared" si="169"/>
        <v>0</v>
      </c>
    </row>
    <row r="401" spans="2:43" x14ac:dyDescent="0.3">
      <c r="C401" s="29"/>
      <c r="J401" s="14"/>
      <c r="K401" s="14"/>
      <c r="L401" s="14"/>
      <c r="M401" s="14"/>
      <c r="N401" s="14"/>
      <c r="O401" s="14"/>
      <c r="P401" s="14"/>
      <c r="Q401" s="14"/>
      <c r="R401" s="14"/>
      <c r="S401" s="14"/>
      <c r="T401" s="14"/>
      <c r="U401" s="14"/>
      <c r="V401" s="14"/>
      <c r="W401" s="14"/>
      <c r="X401" s="14"/>
      <c r="Y401" s="14"/>
      <c r="Z401" s="14"/>
      <c r="AA401" s="14"/>
      <c r="AB401" s="14"/>
      <c r="AC401" s="14"/>
      <c r="AD401" s="14"/>
      <c r="AE401" s="14"/>
      <c r="AF401" s="14"/>
      <c r="AG401" s="14"/>
      <c r="AH401" s="14"/>
      <c r="AI401" s="14"/>
      <c r="AJ401" s="14"/>
      <c r="AK401" s="14"/>
      <c r="AL401" s="14"/>
      <c r="AM401" s="14"/>
      <c r="AN401" s="14"/>
      <c r="AO401" s="14"/>
    </row>
    <row r="402" spans="2:43" x14ac:dyDescent="0.3">
      <c r="C402" s="29"/>
      <c r="E402" s="32" t="s">
        <v>1109</v>
      </c>
      <c r="J402" s="14"/>
      <c r="K402" s="14"/>
      <c r="L402" s="14"/>
      <c r="M402" s="14"/>
      <c r="N402" s="14"/>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4"/>
    </row>
    <row r="403" spans="2:43" x14ac:dyDescent="0.3">
      <c r="C403" s="29"/>
      <c r="F403" s="23" t="s">
        <v>156</v>
      </c>
      <c r="G403" s="23" t="s">
        <v>269</v>
      </c>
      <c r="H403" s="23"/>
      <c r="I403" s="23"/>
      <c r="J403" s="411">
        <f t="shared" ref="J403:AO405" si="170">IF(J$237, INDEX(J$398:J$400,J267), 0)</f>
        <v>0</v>
      </c>
      <c r="K403" s="411">
        <f t="shared" si="170"/>
        <v>0</v>
      </c>
      <c r="L403" s="411">
        <f t="shared" si="170"/>
        <v>0</v>
      </c>
      <c r="M403" s="411">
        <f t="shared" si="170"/>
        <v>0</v>
      </c>
      <c r="N403" s="411">
        <f t="shared" si="170"/>
        <v>0</v>
      </c>
      <c r="O403" s="411">
        <f t="shared" si="170"/>
        <v>0</v>
      </c>
      <c r="P403" s="411">
        <f t="shared" si="170"/>
        <v>0</v>
      </c>
      <c r="Q403" s="411">
        <f t="shared" si="170"/>
        <v>0</v>
      </c>
      <c r="R403" s="411">
        <f t="shared" si="170"/>
        <v>0</v>
      </c>
      <c r="S403" s="411">
        <f t="shared" si="170"/>
        <v>0</v>
      </c>
      <c r="T403" s="411">
        <f t="shared" si="170"/>
        <v>0</v>
      </c>
      <c r="U403" s="411">
        <f t="shared" si="170"/>
        <v>0</v>
      </c>
      <c r="V403" s="411">
        <f t="shared" si="170"/>
        <v>0</v>
      </c>
      <c r="W403" s="411">
        <f t="shared" si="170"/>
        <v>0</v>
      </c>
      <c r="X403" s="411">
        <f t="shared" si="170"/>
        <v>0</v>
      </c>
      <c r="Y403" s="411">
        <f t="shared" si="170"/>
        <v>0</v>
      </c>
      <c r="Z403" s="411">
        <f t="shared" si="170"/>
        <v>0</v>
      </c>
      <c r="AA403" s="411">
        <f t="shared" si="170"/>
        <v>0</v>
      </c>
      <c r="AB403" s="411">
        <f t="shared" si="170"/>
        <v>0</v>
      </c>
      <c r="AC403" s="411">
        <f t="shared" si="170"/>
        <v>0</v>
      </c>
      <c r="AD403" s="411">
        <f t="shared" si="170"/>
        <v>0</v>
      </c>
      <c r="AE403" s="411">
        <f t="shared" si="170"/>
        <v>0</v>
      </c>
      <c r="AF403" s="411">
        <f t="shared" si="170"/>
        <v>0</v>
      </c>
      <c r="AG403" s="411">
        <f t="shared" si="170"/>
        <v>0</v>
      </c>
      <c r="AH403" s="411">
        <f t="shared" si="170"/>
        <v>0</v>
      </c>
      <c r="AI403" s="411">
        <f t="shared" si="170"/>
        <v>0</v>
      </c>
      <c r="AJ403" s="411">
        <f t="shared" si="170"/>
        <v>0</v>
      </c>
      <c r="AK403" s="411">
        <f t="shared" si="170"/>
        <v>0</v>
      </c>
      <c r="AL403" s="411">
        <f t="shared" si="170"/>
        <v>0</v>
      </c>
      <c r="AM403" s="411">
        <f t="shared" si="170"/>
        <v>0</v>
      </c>
      <c r="AN403" s="411">
        <f t="shared" si="170"/>
        <v>0</v>
      </c>
      <c r="AO403" s="411">
        <f t="shared" si="170"/>
        <v>0</v>
      </c>
    </row>
    <row r="404" spans="2:43" x14ac:dyDescent="0.3">
      <c r="C404" s="29"/>
      <c r="F404" t="s">
        <v>157</v>
      </c>
      <c r="G404" t="s">
        <v>269</v>
      </c>
      <c r="J404" s="338">
        <f t="shared" si="170"/>
        <v>0</v>
      </c>
      <c r="K404" s="338">
        <f t="shared" si="170"/>
        <v>0</v>
      </c>
      <c r="L404" s="338">
        <f t="shared" si="170"/>
        <v>0</v>
      </c>
      <c r="M404" s="338">
        <f t="shared" si="170"/>
        <v>0</v>
      </c>
      <c r="N404" s="338">
        <f t="shared" si="170"/>
        <v>0</v>
      </c>
      <c r="O404" s="338">
        <f t="shared" si="170"/>
        <v>0</v>
      </c>
      <c r="P404" s="338">
        <f t="shared" si="170"/>
        <v>0</v>
      </c>
      <c r="Q404" s="338">
        <f t="shared" si="170"/>
        <v>0</v>
      </c>
      <c r="R404" s="338">
        <f t="shared" si="170"/>
        <v>0</v>
      </c>
      <c r="S404" s="338">
        <f t="shared" si="170"/>
        <v>0</v>
      </c>
      <c r="T404" s="338">
        <f t="shared" si="170"/>
        <v>0</v>
      </c>
      <c r="U404" s="338">
        <f t="shared" si="170"/>
        <v>0</v>
      </c>
      <c r="V404" s="338">
        <f t="shared" si="170"/>
        <v>0</v>
      </c>
      <c r="W404" s="338">
        <f t="shared" si="170"/>
        <v>0</v>
      </c>
      <c r="X404" s="338">
        <f t="shared" si="170"/>
        <v>0</v>
      </c>
      <c r="Y404" s="338">
        <f t="shared" si="170"/>
        <v>0</v>
      </c>
      <c r="Z404" s="338">
        <f t="shared" si="170"/>
        <v>0</v>
      </c>
      <c r="AA404" s="338">
        <f t="shared" si="170"/>
        <v>0</v>
      </c>
      <c r="AB404" s="338">
        <f t="shared" si="170"/>
        <v>0</v>
      </c>
      <c r="AC404" s="338">
        <f t="shared" si="170"/>
        <v>0</v>
      </c>
      <c r="AD404" s="338">
        <f t="shared" si="170"/>
        <v>0</v>
      </c>
      <c r="AE404" s="338">
        <f t="shared" si="170"/>
        <v>0</v>
      </c>
      <c r="AF404" s="338">
        <f t="shared" si="170"/>
        <v>0</v>
      </c>
      <c r="AG404" s="338">
        <f t="shared" si="170"/>
        <v>0</v>
      </c>
      <c r="AH404" s="338">
        <f t="shared" si="170"/>
        <v>0</v>
      </c>
      <c r="AI404" s="338">
        <f t="shared" si="170"/>
        <v>0</v>
      </c>
      <c r="AJ404" s="338">
        <f t="shared" si="170"/>
        <v>0</v>
      </c>
      <c r="AK404" s="338">
        <f t="shared" si="170"/>
        <v>0</v>
      </c>
      <c r="AL404" s="338">
        <f t="shared" si="170"/>
        <v>0</v>
      </c>
      <c r="AM404" s="338">
        <f t="shared" si="170"/>
        <v>0</v>
      </c>
      <c r="AN404" s="338">
        <f t="shared" si="170"/>
        <v>0</v>
      </c>
      <c r="AO404" s="338">
        <f t="shared" si="170"/>
        <v>0</v>
      </c>
    </row>
    <row r="405" spans="2:43" x14ac:dyDescent="0.3">
      <c r="C405" s="29"/>
      <c r="F405" s="37" t="s">
        <v>158</v>
      </c>
      <c r="G405" s="37" t="s">
        <v>269</v>
      </c>
      <c r="H405" s="37"/>
      <c r="I405" s="37"/>
      <c r="J405" s="412">
        <f t="shared" si="170"/>
        <v>0</v>
      </c>
      <c r="K405" s="412">
        <f t="shared" si="170"/>
        <v>0</v>
      </c>
      <c r="L405" s="412">
        <f t="shared" si="170"/>
        <v>0</v>
      </c>
      <c r="M405" s="412">
        <f t="shared" si="170"/>
        <v>0</v>
      </c>
      <c r="N405" s="412">
        <f t="shared" si="170"/>
        <v>0</v>
      </c>
      <c r="O405" s="412">
        <f t="shared" si="170"/>
        <v>0</v>
      </c>
      <c r="P405" s="412">
        <f t="shared" si="170"/>
        <v>0</v>
      </c>
      <c r="Q405" s="412">
        <f t="shared" si="170"/>
        <v>0</v>
      </c>
      <c r="R405" s="412">
        <f t="shared" si="170"/>
        <v>0</v>
      </c>
      <c r="S405" s="412">
        <f t="shared" si="170"/>
        <v>0</v>
      </c>
      <c r="T405" s="412">
        <f t="shared" si="170"/>
        <v>0</v>
      </c>
      <c r="U405" s="412">
        <f t="shared" si="170"/>
        <v>0</v>
      </c>
      <c r="V405" s="412">
        <f t="shared" si="170"/>
        <v>0</v>
      </c>
      <c r="W405" s="412">
        <f t="shared" si="170"/>
        <v>0</v>
      </c>
      <c r="X405" s="412">
        <f t="shared" si="170"/>
        <v>0</v>
      </c>
      <c r="Y405" s="412">
        <f t="shared" si="170"/>
        <v>0</v>
      </c>
      <c r="Z405" s="412">
        <f t="shared" si="170"/>
        <v>0</v>
      </c>
      <c r="AA405" s="412">
        <f t="shared" si="170"/>
        <v>0</v>
      </c>
      <c r="AB405" s="412">
        <f t="shared" si="170"/>
        <v>0</v>
      </c>
      <c r="AC405" s="412">
        <f t="shared" si="170"/>
        <v>0</v>
      </c>
      <c r="AD405" s="412">
        <f t="shared" si="170"/>
        <v>0</v>
      </c>
      <c r="AE405" s="412">
        <f t="shared" si="170"/>
        <v>0</v>
      </c>
      <c r="AF405" s="412">
        <f t="shared" si="170"/>
        <v>0</v>
      </c>
      <c r="AG405" s="412">
        <f t="shared" si="170"/>
        <v>0</v>
      </c>
      <c r="AH405" s="412">
        <f t="shared" si="170"/>
        <v>0</v>
      </c>
      <c r="AI405" s="412">
        <f t="shared" si="170"/>
        <v>0</v>
      </c>
      <c r="AJ405" s="412">
        <f t="shared" si="170"/>
        <v>0</v>
      </c>
      <c r="AK405" s="412">
        <f t="shared" si="170"/>
        <v>0</v>
      </c>
      <c r="AL405" s="412">
        <f t="shared" si="170"/>
        <v>0</v>
      </c>
      <c r="AM405" s="412">
        <f t="shared" si="170"/>
        <v>0</v>
      </c>
      <c r="AN405" s="412">
        <f t="shared" si="170"/>
        <v>0</v>
      </c>
      <c r="AO405" s="412">
        <f t="shared" si="170"/>
        <v>0</v>
      </c>
    </row>
    <row r="406" spans="2:43" x14ac:dyDescent="0.3">
      <c r="C406" s="29"/>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14"/>
      <c r="AJ406" s="14"/>
      <c r="AK406" s="14"/>
      <c r="AL406" s="14"/>
      <c r="AM406" s="14"/>
      <c r="AN406" s="14"/>
      <c r="AO406" s="14"/>
    </row>
    <row r="407" spans="2:43" x14ac:dyDescent="0.3">
      <c r="B407" s="30" t="s">
        <v>1027</v>
      </c>
      <c r="C407" s="30"/>
      <c r="D407" s="30"/>
      <c r="E407" s="30"/>
      <c r="F407" s="30"/>
      <c r="G407" s="30"/>
      <c r="H407" s="30"/>
      <c r="I407" s="30"/>
      <c r="J407" s="200"/>
      <c r="K407" s="200"/>
      <c r="L407" s="200"/>
      <c r="M407" s="200"/>
      <c r="N407" s="200"/>
      <c r="O407" s="200"/>
      <c r="P407" s="200"/>
      <c r="Q407" s="200"/>
      <c r="R407" s="200"/>
      <c r="S407" s="200"/>
      <c r="T407" s="200"/>
      <c r="U407" s="200"/>
      <c r="V407" s="200"/>
      <c r="W407" s="200"/>
      <c r="X407" s="200"/>
      <c r="Y407" s="200"/>
      <c r="Z407" s="200"/>
      <c r="AA407" s="200"/>
      <c r="AB407" s="200"/>
      <c r="AC407" s="200"/>
      <c r="AD407" s="200"/>
      <c r="AE407" s="200"/>
      <c r="AF407" s="200"/>
      <c r="AG407" s="200"/>
      <c r="AH407" s="200"/>
      <c r="AI407" s="200"/>
      <c r="AJ407" s="200"/>
      <c r="AK407" s="200"/>
      <c r="AL407" s="200"/>
      <c r="AM407" s="200"/>
      <c r="AN407" s="200"/>
      <c r="AO407" s="200"/>
      <c r="AP407" s="105"/>
      <c r="AQ407" s="105"/>
    </row>
    <row r="408" spans="2:43" x14ac:dyDescent="0.3">
      <c r="C408" s="29"/>
      <c r="J408" s="14"/>
      <c r="K408" s="14"/>
      <c r="L408" s="14"/>
      <c r="M408" s="14"/>
      <c r="N408" s="338"/>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4"/>
    </row>
    <row r="409" spans="2:43" x14ac:dyDescent="0.3">
      <c r="C409" s="31" t="str">
        <f ca="1">INDEX('Version control'!$H$34:$H$57,MATCH($A$1,'Version control'!$F$34:$F$57,0),1)&amp;"-O: Final adders"</f>
        <v>Section 116-O: Final adders</v>
      </c>
      <c r="D409" s="31"/>
      <c r="E409" s="31"/>
      <c r="F409" s="31"/>
      <c r="G409" s="31"/>
      <c r="H409" s="31"/>
      <c r="I409" s="31"/>
      <c r="J409" s="189"/>
      <c r="K409" s="189"/>
      <c r="L409" s="189"/>
      <c r="M409" s="189"/>
      <c r="N409" s="189"/>
      <c r="O409" s="189"/>
      <c r="P409" s="189"/>
      <c r="Q409" s="189"/>
      <c r="R409" s="189"/>
      <c r="S409" s="189"/>
      <c r="T409" s="189"/>
      <c r="U409" s="189"/>
      <c r="V409" s="189"/>
      <c r="W409" s="189"/>
      <c r="X409" s="189"/>
      <c r="Y409" s="189"/>
      <c r="Z409" s="189"/>
      <c r="AA409" s="189"/>
      <c r="AB409" s="189"/>
      <c r="AC409" s="189"/>
      <c r="AD409" s="189"/>
      <c r="AE409" s="189"/>
      <c r="AF409" s="189"/>
      <c r="AG409" s="189"/>
      <c r="AH409" s="189"/>
      <c r="AI409" s="189"/>
      <c r="AJ409" s="189"/>
      <c r="AK409" s="189"/>
      <c r="AL409" s="189"/>
      <c r="AM409" s="189"/>
      <c r="AN409" s="189"/>
      <c r="AO409" s="189"/>
      <c r="AP409" s="31"/>
      <c r="AQ409" s="31"/>
    </row>
    <row r="410" spans="2:43" x14ac:dyDescent="0.3">
      <c r="C410" s="29"/>
      <c r="E410" s="32"/>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row>
    <row r="411" spans="2:43" x14ac:dyDescent="0.3">
      <c r="C411" s="29"/>
      <c r="E411" s="88" t="s">
        <v>943</v>
      </c>
      <c r="J411" s="14"/>
      <c r="K411" s="14"/>
      <c r="L411" s="14"/>
      <c r="M411" s="14"/>
      <c r="N411" s="14"/>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4"/>
    </row>
    <row r="412" spans="2:43" x14ac:dyDescent="0.3">
      <c r="C412" s="29"/>
      <c r="F412" s="23" t="s">
        <v>156</v>
      </c>
      <c r="G412" s="23" t="s">
        <v>269</v>
      </c>
      <c r="H412" s="23"/>
      <c r="I412" s="23"/>
      <c r="J412" s="274">
        <f>J403 + J$207</f>
        <v>0</v>
      </c>
      <c r="K412" s="274">
        <f t="shared" ref="K412:AO412" si="171">K403 + K$207</f>
        <v>0</v>
      </c>
      <c r="L412" s="274">
        <f t="shared" si="171"/>
        <v>0</v>
      </c>
      <c r="M412" s="274">
        <f t="shared" si="171"/>
        <v>0</v>
      </c>
      <c r="N412" s="274">
        <f t="shared" si="171"/>
        <v>0</v>
      </c>
      <c r="O412" s="274">
        <f t="shared" si="171"/>
        <v>0</v>
      </c>
      <c r="P412" s="274">
        <f t="shared" si="171"/>
        <v>0</v>
      </c>
      <c r="Q412" s="274">
        <f t="shared" si="171"/>
        <v>0</v>
      </c>
      <c r="R412" s="274">
        <f t="shared" si="171"/>
        <v>0</v>
      </c>
      <c r="S412" s="274">
        <f t="shared" si="171"/>
        <v>0</v>
      </c>
      <c r="T412" s="274">
        <f t="shared" si="171"/>
        <v>0</v>
      </c>
      <c r="U412" s="274">
        <f t="shared" si="171"/>
        <v>0</v>
      </c>
      <c r="V412" s="274">
        <f t="shared" si="171"/>
        <v>0</v>
      </c>
      <c r="W412" s="274">
        <f t="shared" si="171"/>
        <v>0</v>
      </c>
      <c r="X412" s="274">
        <f t="shared" si="171"/>
        <v>0</v>
      </c>
      <c r="Y412" s="274">
        <f t="shared" si="171"/>
        <v>0</v>
      </c>
      <c r="Z412" s="274">
        <f t="shared" si="171"/>
        <v>0</v>
      </c>
      <c r="AA412" s="274">
        <f t="shared" si="171"/>
        <v>0</v>
      </c>
      <c r="AB412" s="274">
        <f t="shared" si="171"/>
        <v>0</v>
      </c>
      <c r="AC412" s="274">
        <f t="shared" si="171"/>
        <v>0</v>
      </c>
      <c r="AD412" s="274">
        <f t="shared" si="171"/>
        <v>0</v>
      </c>
      <c r="AE412" s="274">
        <f t="shared" si="171"/>
        <v>0</v>
      </c>
      <c r="AF412" s="274">
        <f t="shared" si="171"/>
        <v>0</v>
      </c>
      <c r="AG412" s="274">
        <f t="shared" si="171"/>
        <v>1.2130914790855392</v>
      </c>
      <c r="AH412" s="274">
        <f t="shared" si="171"/>
        <v>0</v>
      </c>
      <c r="AI412" s="274">
        <f t="shared" si="171"/>
        <v>0</v>
      </c>
      <c r="AJ412" s="274">
        <f t="shared" si="171"/>
        <v>0</v>
      </c>
      <c r="AK412" s="274">
        <f t="shared" si="171"/>
        <v>0</v>
      </c>
      <c r="AL412" s="274">
        <f t="shared" si="171"/>
        <v>0</v>
      </c>
      <c r="AM412" s="274">
        <f t="shared" si="171"/>
        <v>0</v>
      </c>
      <c r="AN412" s="274">
        <f t="shared" si="171"/>
        <v>0</v>
      </c>
      <c r="AO412" s="274">
        <f t="shared" si="171"/>
        <v>0</v>
      </c>
    </row>
    <row r="413" spans="2:43" x14ac:dyDescent="0.3">
      <c r="C413" s="29"/>
      <c r="F413" t="s">
        <v>157</v>
      </c>
      <c r="G413" t="s">
        <v>269</v>
      </c>
      <c r="J413" s="275">
        <f t="shared" ref="J413:AO414" si="172">J404 + J$207</f>
        <v>0</v>
      </c>
      <c r="K413" s="275">
        <f t="shared" si="172"/>
        <v>0</v>
      </c>
      <c r="L413" s="275">
        <f t="shared" si="172"/>
        <v>0</v>
      </c>
      <c r="M413" s="275">
        <f t="shared" si="172"/>
        <v>0</v>
      </c>
      <c r="N413" s="275">
        <f t="shared" si="172"/>
        <v>0</v>
      </c>
      <c r="O413" s="275">
        <f t="shared" si="172"/>
        <v>0</v>
      </c>
      <c r="P413" s="275">
        <f t="shared" si="172"/>
        <v>0</v>
      </c>
      <c r="Q413" s="275">
        <f t="shared" si="172"/>
        <v>0</v>
      </c>
      <c r="R413" s="275">
        <f t="shared" si="172"/>
        <v>0</v>
      </c>
      <c r="S413" s="275">
        <f t="shared" si="172"/>
        <v>0</v>
      </c>
      <c r="T413" s="275">
        <f t="shared" si="172"/>
        <v>0</v>
      </c>
      <c r="U413" s="275">
        <f t="shared" si="172"/>
        <v>0</v>
      </c>
      <c r="V413" s="275">
        <f t="shared" si="172"/>
        <v>0</v>
      </c>
      <c r="W413" s="275">
        <f t="shared" si="172"/>
        <v>0</v>
      </c>
      <c r="X413" s="275">
        <f t="shared" si="172"/>
        <v>0</v>
      </c>
      <c r="Y413" s="275">
        <f t="shared" si="172"/>
        <v>0</v>
      </c>
      <c r="Z413" s="275">
        <f t="shared" si="172"/>
        <v>0</v>
      </c>
      <c r="AA413" s="275">
        <f t="shared" si="172"/>
        <v>0</v>
      </c>
      <c r="AB413" s="275">
        <f t="shared" si="172"/>
        <v>0</v>
      </c>
      <c r="AC413" s="275">
        <f t="shared" si="172"/>
        <v>0</v>
      </c>
      <c r="AD413" s="275">
        <f t="shared" si="172"/>
        <v>0</v>
      </c>
      <c r="AE413" s="275">
        <f t="shared" si="172"/>
        <v>0</v>
      </c>
      <c r="AF413" s="275">
        <f t="shared" si="172"/>
        <v>0</v>
      </c>
      <c r="AG413" s="275">
        <f t="shared" si="172"/>
        <v>1.2130914790855392</v>
      </c>
      <c r="AH413" s="275">
        <f t="shared" si="172"/>
        <v>0</v>
      </c>
      <c r="AI413" s="275">
        <f t="shared" si="172"/>
        <v>0</v>
      </c>
      <c r="AJ413" s="275">
        <f t="shared" si="172"/>
        <v>0</v>
      </c>
      <c r="AK413" s="275">
        <f t="shared" si="172"/>
        <v>0</v>
      </c>
      <c r="AL413" s="275">
        <f t="shared" si="172"/>
        <v>0</v>
      </c>
      <c r="AM413" s="275">
        <f t="shared" si="172"/>
        <v>0</v>
      </c>
      <c r="AN413" s="275">
        <f t="shared" si="172"/>
        <v>0</v>
      </c>
      <c r="AO413" s="275">
        <f t="shared" si="172"/>
        <v>0</v>
      </c>
    </row>
    <row r="414" spans="2:43" x14ac:dyDescent="0.3">
      <c r="C414" s="29"/>
      <c r="F414" t="s">
        <v>158</v>
      </c>
      <c r="G414" t="s">
        <v>269</v>
      </c>
      <c r="J414" s="276">
        <f t="shared" si="172"/>
        <v>0</v>
      </c>
      <c r="K414" s="276">
        <f t="shared" si="172"/>
        <v>0</v>
      </c>
      <c r="L414" s="276">
        <f t="shared" si="172"/>
        <v>0</v>
      </c>
      <c r="M414" s="276">
        <f t="shared" si="172"/>
        <v>0</v>
      </c>
      <c r="N414" s="276">
        <f t="shared" si="172"/>
        <v>0</v>
      </c>
      <c r="O414" s="276">
        <f t="shared" si="172"/>
        <v>0</v>
      </c>
      <c r="P414" s="276">
        <f t="shared" si="172"/>
        <v>0</v>
      </c>
      <c r="Q414" s="276">
        <f t="shared" si="172"/>
        <v>0</v>
      </c>
      <c r="R414" s="276">
        <f t="shared" si="172"/>
        <v>0</v>
      </c>
      <c r="S414" s="276">
        <f t="shared" si="172"/>
        <v>0</v>
      </c>
      <c r="T414" s="276">
        <f t="shared" si="172"/>
        <v>0</v>
      </c>
      <c r="U414" s="276">
        <f t="shared" si="172"/>
        <v>0</v>
      </c>
      <c r="V414" s="276">
        <f t="shared" si="172"/>
        <v>0</v>
      </c>
      <c r="W414" s="276">
        <f t="shared" si="172"/>
        <v>0</v>
      </c>
      <c r="X414" s="276">
        <f t="shared" si="172"/>
        <v>0</v>
      </c>
      <c r="Y414" s="276">
        <f t="shared" si="172"/>
        <v>0</v>
      </c>
      <c r="Z414" s="276">
        <f t="shared" si="172"/>
        <v>0</v>
      </c>
      <c r="AA414" s="276">
        <f t="shared" si="172"/>
        <v>0</v>
      </c>
      <c r="AB414" s="276">
        <f t="shared" si="172"/>
        <v>0</v>
      </c>
      <c r="AC414" s="276">
        <f t="shared" si="172"/>
        <v>0</v>
      </c>
      <c r="AD414" s="276">
        <f t="shared" si="172"/>
        <v>0</v>
      </c>
      <c r="AE414" s="276">
        <f t="shared" si="172"/>
        <v>0</v>
      </c>
      <c r="AF414" s="276">
        <f t="shared" si="172"/>
        <v>0</v>
      </c>
      <c r="AG414" s="276">
        <f t="shared" si="172"/>
        <v>1.2130914790855392</v>
      </c>
      <c r="AH414" s="276">
        <f t="shared" si="172"/>
        <v>0</v>
      </c>
      <c r="AI414" s="276">
        <f t="shared" si="172"/>
        <v>0</v>
      </c>
      <c r="AJ414" s="276">
        <f t="shared" si="172"/>
        <v>0</v>
      </c>
      <c r="AK414" s="276">
        <f t="shared" si="172"/>
        <v>0</v>
      </c>
      <c r="AL414" s="276">
        <f t="shared" si="172"/>
        <v>0</v>
      </c>
      <c r="AM414" s="276">
        <f t="shared" si="172"/>
        <v>0</v>
      </c>
      <c r="AN414" s="276">
        <f t="shared" si="172"/>
        <v>0</v>
      </c>
      <c r="AO414" s="276">
        <f t="shared" si="172"/>
        <v>0</v>
      </c>
    </row>
    <row r="415" spans="2:43" x14ac:dyDescent="0.3">
      <c r="C415" s="29"/>
      <c r="F415" t="s">
        <v>159</v>
      </c>
      <c r="G415" t="s">
        <v>270</v>
      </c>
      <c r="J415" s="199">
        <f t="shared" ref="J415:AO415" si="173">J224</f>
        <v>11.575615863772923</v>
      </c>
      <c r="K415" s="199">
        <f t="shared" si="173"/>
        <v>0</v>
      </c>
      <c r="L415" s="199">
        <f t="shared" si="173"/>
        <v>0</v>
      </c>
      <c r="M415" s="199">
        <f t="shared" si="173"/>
        <v>4.4663173911016418</v>
      </c>
      <c r="N415" s="199">
        <f t="shared" si="173"/>
        <v>24.839839843761769</v>
      </c>
      <c r="O415" s="199">
        <f t="shared" si="173"/>
        <v>60.911589683145792</v>
      </c>
      <c r="P415" s="199">
        <f t="shared" si="173"/>
        <v>196.41678410719729</v>
      </c>
      <c r="Q415" s="199">
        <f t="shared" si="173"/>
        <v>0</v>
      </c>
      <c r="R415" s="199">
        <f t="shared" si="173"/>
        <v>0</v>
      </c>
      <c r="S415" s="199">
        <f t="shared" si="173"/>
        <v>290.94073529026377</v>
      </c>
      <c r="T415" s="199">
        <f t="shared" si="173"/>
        <v>537.71688363377314</v>
      </c>
      <c r="U415" s="199">
        <f t="shared" si="173"/>
        <v>833.72913964977818</v>
      </c>
      <c r="V415" s="199">
        <f t="shared" si="173"/>
        <v>1301.6689879388696</v>
      </c>
      <c r="W415" s="199">
        <f t="shared" si="173"/>
        <v>0</v>
      </c>
      <c r="X415" s="199">
        <f t="shared" si="173"/>
        <v>290.94073529026377</v>
      </c>
      <c r="Y415" s="199">
        <f t="shared" si="173"/>
        <v>537.71688363377314</v>
      </c>
      <c r="Z415" s="199">
        <f t="shared" si="173"/>
        <v>833.72913964977806</v>
      </c>
      <c r="AA415" s="199">
        <f t="shared" si="173"/>
        <v>1301.6689879388691</v>
      </c>
      <c r="AB415" s="199">
        <f t="shared" si="173"/>
        <v>0</v>
      </c>
      <c r="AC415" s="199">
        <f t="shared" si="173"/>
        <v>1409.0034056808445</v>
      </c>
      <c r="AD415" s="199">
        <f t="shared" si="173"/>
        <v>4655.9457790267297</v>
      </c>
      <c r="AE415" s="199">
        <f t="shared" si="173"/>
        <v>10378.732203202106</v>
      </c>
      <c r="AF415" s="199">
        <f t="shared" si="173"/>
        <v>32016.033355852258</v>
      </c>
      <c r="AG415" s="199">
        <f t="shared" si="173"/>
        <v>0</v>
      </c>
      <c r="AH415" s="199">
        <f t="shared" si="173"/>
        <v>0</v>
      </c>
      <c r="AI415" s="199">
        <f t="shared" si="173"/>
        <v>0</v>
      </c>
      <c r="AJ415" s="199">
        <f t="shared" si="173"/>
        <v>0</v>
      </c>
      <c r="AK415" s="199">
        <f t="shared" si="173"/>
        <v>0</v>
      </c>
      <c r="AL415" s="199">
        <f t="shared" si="173"/>
        <v>0</v>
      </c>
      <c r="AM415" s="199">
        <f t="shared" si="173"/>
        <v>0</v>
      </c>
      <c r="AN415" s="199">
        <f t="shared" si="173"/>
        <v>0</v>
      </c>
      <c r="AO415" s="199">
        <f t="shared" si="173"/>
        <v>0</v>
      </c>
    </row>
    <row r="416" spans="2:43" x14ac:dyDescent="0.3">
      <c r="C416" s="29"/>
      <c r="E416" s="28"/>
      <c r="F416" t="s">
        <v>160</v>
      </c>
      <c r="G416" t="s">
        <v>271</v>
      </c>
      <c r="J416" s="66"/>
      <c r="K416" s="66"/>
      <c r="L416" s="66"/>
      <c r="M416" s="66"/>
      <c r="N416" s="66"/>
      <c r="O416" s="66"/>
      <c r="P416" s="66"/>
      <c r="Q416" s="66"/>
      <c r="R416" s="66"/>
      <c r="S416" s="66"/>
      <c r="T416" s="66"/>
      <c r="U416" s="66"/>
      <c r="V416" s="66"/>
      <c r="W416" s="66"/>
      <c r="X416" s="66"/>
      <c r="Y416" s="66"/>
      <c r="Z416" s="66"/>
      <c r="AA416" s="66"/>
      <c r="AB416" s="66"/>
      <c r="AC416" s="66"/>
      <c r="AD416" s="66"/>
      <c r="AE416" s="66"/>
      <c r="AF416" s="66"/>
      <c r="AG416" s="66"/>
      <c r="AH416" s="66"/>
      <c r="AI416" s="66"/>
      <c r="AJ416" s="66"/>
      <c r="AK416" s="66"/>
      <c r="AL416" s="66"/>
      <c r="AM416" s="66"/>
      <c r="AN416" s="66"/>
      <c r="AO416" s="66"/>
    </row>
    <row r="417" spans="2:43" x14ac:dyDescent="0.3">
      <c r="C417" s="29"/>
      <c r="F417" t="s">
        <v>161</v>
      </c>
      <c r="G417" t="s">
        <v>271</v>
      </c>
      <c r="J417" s="66"/>
      <c r="K417" s="66"/>
      <c r="L417" s="66"/>
      <c r="M417" s="66"/>
      <c r="N417" s="66"/>
      <c r="O417" s="66"/>
      <c r="P417" s="66"/>
      <c r="Q417" s="66"/>
      <c r="R417" s="66"/>
      <c r="S417" s="66"/>
      <c r="T417" s="66"/>
      <c r="U417" s="66"/>
      <c r="V417" s="66"/>
      <c r="W417" s="66"/>
      <c r="X417" s="66"/>
      <c r="Y417" s="66"/>
      <c r="Z417" s="66"/>
      <c r="AA417" s="66"/>
      <c r="AB417" s="66"/>
      <c r="AC417" s="66"/>
      <c r="AD417" s="66"/>
      <c r="AE417" s="66"/>
      <c r="AF417" s="66"/>
      <c r="AG417" s="66"/>
      <c r="AH417" s="66"/>
      <c r="AI417" s="66"/>
      <c r="AJ417" s="66"/>
      <c r="AK417" s="66"/>
      <c r="AL417" s="66"/>
      <c r="AM417" s="66"/>
      <c r="AN417" s="66"/>
      <c r="AO417" s="66"/>
    </row>
    <row r="418" spans="2:43" x14ac:dyDescent="0.3">
      <c r="C418" s="29"/>
      <c r="E418" s="28"/>
      <c r="F418" s="37" t="s">
        <v>162</v>
      </c>
      <c r="G418" s="37" t="s">
        <v>272</v>
      </c>
      <c r="H418" s="37"/>
      <c r="I418" s="37"/>
      <c r="J418" s="68"/>
      <c r="K418" s="68"/>
      <c r="L418" s="68"/>
      <c r="M418" s="68"/>
      <c r="N418" s="68"/>
      <c r="O418" s="68"/>
      <c r="P418" s="68"/>
      <c r="Q418" s="68"/>
      <c r="R418" s="68"/>
      <c r="S418" s="68"/>
      <c r="T418" s="68"/>
      <c r="U418" s="68"/>
      <c r="V418" s="68"/>
      <c r="W418" s="68"/>
      <c r="X418" s="68"/>
      <c r="Y418" s="68"/>
      <c r="Z418" s="68"/>
      <c r="AA418" s="68"/>
      <c r="AB418" s="68"/>
      <c r="AC418" s="68"/>
      <c r="AD418" s="68"/>
      <c r="AE418" s="68"/>
      <c r="AF418" s="68"/>
      <c r="AG418" s="68"/>
      <c r="AH418" s="68"/>
      <c r="AI418" s="68"/>
      <c r="AJ418" s="68"/>
      <c r="AK418" s="68"/>
      <c r="AL418" s="68"/>
      <c r="AM418" s="68"/>
      <c r="AN418" s="68"/>
      <c r="AO418" s="68"/>
    </row>
    <row r="419" spans="2:43" x14ac:dyDescent="0.3">
      <c r="C419" s="29"/>
    </row>
    <row r="420" spans="2:43" x14ac:dyDescent="0.3">
      <c r="B420" s="30" t="s">
        <v>231</v>
      </c>
      <c r="C420" s="30"/>
      <c r="D420" s="30"/>
      <c r="E420" s="30"/>
      <c r="F420" s="30"/>
      <c r="G420" s="30"/>
      <c r="H420" s="30"/>
      <c r="I420" s="30"/>
      <c r="J420" s="200"/>
      <c r="K420" s="200"/>
      <c r="L420" s="200"/>
      <c r="M420" s="200"/>
      <c r="N420" s="200"/>
      <c r="O420" s="200"/>
      <c r="P420" s="200"/>
      <c r="Q420" s="200"/>
      <c r="R420" s="200"/>
      <c r="S420" s="200"/>
      <c r="T420" s="200"/>
      <c r="U420" s="200"/>
      <c r="V420" s="200"/>
      <c r="W420" s="200"/>
      <c r="X420" s="200"/>
      <c r="Y420" s="200"/>
      <c r="Z420" s="200"/>
      <c r="AA420" s="200"/>
      <c r="AB420" s="200"/>
      <c r="AC420" s="200"/>
      <c r="AD420" s="200"/>
      <c r="AE420" s="200"/>
      <c r="AF420" s="200"/>
      <c r="AG420" s="200"/>
      <c r="AH420" s="200"/>
      <c r="AI420" s="200"/>
      <c r="AJ420" s="200"/>
      <c r="AK420" s="200"/>
      <c r="AL420" s="200"/>
      <c r="AM420" s="200"/>
      <c r="AN420" s="200"/>
      <c r="AO420" s="200"/>
      <c r="AP420" s="105"/>
      <c r="AQ420" s="105"/>
    </row>
    <row r="421" spans="2:43" x14ac:dyDescent="0.3">
      <c r="C421" s="29"/>
      <c r="J421" s="14"/>
      <c r="K421" s="14"/>
      <c r="L421" s="14"/>
      <c r="M421" s="14"/>
      <c r="N421" s="14"/>
      <c r="O421" s="14"/>
      <c r="P421" s="14"/>
      <c r="Q421" s="14"/>
      <c r="R421" s="14"/>
      <c r="S421" s="14"/>
      <c r="T421" s="14"/>
      <c r="U421" s="14"/>
      <c r="V421" s="14"/>
      <c r="W421" s="14"/>
      <c r="X421" s="14"/>
      <c r="Y421" s="14"/>
      <c r="Z421" s="14"/>
      <c r="AA421" s="14"/>
      <c r="AB421" s="14"/>
      <c r="AC421" s="14"/>
      <c r="AD421" s="14"/>
      <c r="AE421" s="14"/>
      <c r="AF421" s="14"/>
      <c r="AG421" s="14"/>
      <c r="AH421" s="14"/>
      <c r="AI421" s="14"/>
      <c r="AJ421" s="14"/>
      <c r="AK421" s="14"/>
      <c r="AL421" s="14"/>
      <c r="AM421" s="14"/>
      <c r="AN421" s="14"/>
      <c r="AO421" s="14"/>
    </row>
    <row r="422" spans="2:43" x14ac:dyDescent="0.3">
      <c r="C422" s="29"/>
      <c r="E422" s="28" t="s">
        <v>1110</v>
      </c>
      <c r="F422" s="28"/>
      <c r="G422" t="s">
        <v>936</v>
      </c>
      <c r="H422" s="89">
        <f>SUM(J422:AO422)</f>
        <v>0</v>
      </c>
      <c r="J422" s="163">
        <f t="shared" ref="J422:AO422" si="174">SUMPRODUCT(J398:J400,J282:J284)*thousand/hundred</f>
        <v>0</v>
      </c>
      <c r="K422" s="163">
        <f t="shared" si="174"/>
        <v>0</v>
      </c>
      <c r="L422" s="163">
        <f t="shared" si="174"/>
        <v>0</v>
      </c>
      <c r="M422" s="163">
        <f t="shared" si="174"/>
        <v>0</v>
      </c>
      <c r="N422" s="163">
        <f t="shared" si="174"/>
        <v>0</v>
      </c>
      <c r="O422" s="163">
        <f t="shared" si="174"/>
        <v>0</v>
      </c>
      <c r="P422" s="163">
        <f t="shared" si="174"/>
        <v>0</v>
      </c>
      <c r="Q422" s="163">
        <f t="shared" si="174"/>
        <v>0</v>
      </c>
      <c r="R422" s="163">
        <f t="shared" si="174"/>
        <v>0</v>
      </c>
      <c r="S422" s="163">
        <f t="shared" si="174"/>
        <v>0</v>
      </c>
      <c r="T422" s="163">
        <f t="shared" si="174"/>
        <v>0</v>
      </c>
      <c r="U422" s="163">
        <f t="shared" si="174"/>
        <v>0</v>
      </c>
      <c r="V422" s="163">
        <f t="shared" si="174"/>
        <v>0</v>
      </c>
      <c r="W422" s="163">
        <f t="shared" si="174"/>
        <v>0</v>
      </c>
      <c r="X422" s="163">
        <f t="shared" si="174"/>
        <v>0</v>
      </c>
      <c r="Y422" s="163">
        <f t="shared" si="174"/>
        <v>0</v>
      </c>
      <c r="Z422" s="163">
        <f t="shared" si="174"/>
        <v>0</v>
      </c>
      <c r="AA422" s="163">
        <f t="shared" si="174"/>
        <v>0</v>
      </c>
      <c r="AB422" s="163">
        <f t="shared" si="174"/>
        <v>0</v>
      </c>
      <c r="AC422" s="163">
        <f t="shared" si="174"/>
        <v>0</v>
      </c>
      <c r="AD422" s="163">
        <f t="shared" si="174"/>
        <v>0</v>
      </c>
      <c r="AE422" s="163">
        <f t="shared" si="174"/>
        <v>0</v>
      </c>
      <c r="AF422" s="163">
        <f t="shared" si="174"/>
        <v>0</v>
      </c>
      <c r="AG422" s="163">
        <f t="shared" si="174"/>
        <v>0</v>
      </c>
      <c r="AH422" s="163">
        <f t="shared" si="174"/>
        <v>0</v>
      </c>
      <c r="AI422" s="163">
        <f t="shared" si="174"/>
        <v>0</v>
      </c>
      <c r="AJ422" s="163">
        <f t="shared" si="174"/>
        <v>0</v>
      </c>
      <c r="AK422" s="163">
        <f t="shared" si="174"/>
        <v>0</v>
      </c>
      <c r="AL422" s="163">
        <f t="shared" si="174"/>
        <v>0</v>
      </c>
      <c r="AM422" s="163">
        <f t="shared" si="174"/>
        <v>0</v>
      </c>
      <c r="AN422" s="163">
        <f t="shared" si="174"/>
        <v>0</v>
      </c>
      <c r="AO422" s="163">
        <f t="shared" si="174"/>
        <v>0</v>
      </c>
    </row>
    <row r="423" spans="2:43" x14ac:dyDescent="0.3">
      <c r="C423" s="29"/>
      <c r="E423" s="28"/>
      <c r="F423" s="28"/>
      <c r="J423" s="14"/>
      <c r="K423" s="14"/>
      <c r="L423" s="14"/>
      <c r="M423" s="14"/>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4"/>
    </row>
    <row r="424" spans="2:43" x14ac:dyDescent="0.3">
      <c r="C424" s="29"/>
      <c r="E424" s="28" t="s">
        <v>1111</v>
      </c>
      <c r="F424" s="28"/>
      <c r="G424" t="s">
        <v>936</v>
      </c>
      <c r="H424" s="89">
        <f>SUM(J424:AO424)</f>
        <v>0</v>
      </c>
      <c r="J424" s="163">
        <f t="shared" ref="J424:AO424" si="175">J228</f>
        <v>0</v>
      </c>
      <c r="K424" s="163">
        <f t="shared" si="175"/>
        <v>0</v>
      </c>
      <c r="L424" s="163">
        <f t="shared" si="175"/>
        <v>0</v>
      </c>
      <c r="M424" s="163">
        <f t="shared" si="175"/>
        <v>0</v>
      </c>
      <c r="N424" s="163">
        <f t="shared" si="175"/>
        <v>0</v>
      </c>
      <c r="O424" s="163">
        <f t="shared" si="175"/>
        <v>0</v>
      </c>
      <c r="P424" s="163">
        <f t="shared" si="175"/>
        <v>0</v>
      </c>
      <c r="Q424" s="163">
        <f t="shared" si="175"/>
        <v>0</v>
      </c>
      <c r="R424" s="163">
        <f t="shared" si="175"/>
        <v>0</v>
      </c>
      <c r="S424" s="163">
        <f t="shared" si="175"/>
        <v>0</v>
      </c>
      <c r="T424" s="163">
        <f t="shared" si="175"/>
        <v>0</v>
      </c>
      <c r="U424" s="163">
        <f t="shared" si="175"/>
        <v>0</v>
      </c>
      <c r="V424" s="163">
        <f t="shared" si="175"/>
        <v>0</v>
      </c>
      <c r="W424" s="163">
        <f t="shared" si="175"/>
        <v>0</v>
      </c>
      <c r="X424" s="163">
        <f t="shared" si="175"/>
        <v>0</v>
      </c>
      <c r="Y424" s="163">
        <f t="shared" si="175"/>
        <v>0</v>
      </c>
      <c r="Z424" s="163">
        <f t="shared" si="175"/>
        <v>0</v>
      </c>
      <c r="AA424" s="163">
        <f t="shared" si="175"/>
        <v>0</v>
      </c>
      <c r="AB424" s="163">
        <f t="shared" si="175"/>
        <v>0</v>
      </c>
      <c r="AC424" s="163">
        <f t="shared" si="175"/>
        <v>0</v>
      </c>
      <c r="AD424" s="163">
        <f t="shared" si="175"/>
        <v>0</v>
      </c>
      <c r="AE424" s="163">
        <f t="shared" si="175"/>
        <v>0</v>
      </c>
      <c r="AF424" s="163">
        <f t="shared" si="175"/>
        <v>0</v>
      </c>
      <c r="AG424" s="163">
        <f t="shared" si="175"/>
        <v>0</v>
      </c>
      <c r="AH424" s="163">
        <f t="shared" si="175"/>
        <v>0</v>
      </c>
      <c r="AI424" s="163">
        <f t="shared" si="175"/>
        <v>0</v>
      </c>
      <c r="AJ424" s="163">
        <f t="shared" si="175"/>
        <v>0</v>
      </c>
      <c r="AK424" s="163">
        <f t="shared" si="175"/>
        <v>0</v>
      </c>
      <c r="AL424" s="163">
        <f t="shared" si="175"/>
        <v>0</v>
      </c>
      <c r="AM424" s="163">
        <f t="shared" si="175"/>
        <v>0</v>
      </c>
      <c r="AN424" s="163">
        <f t="shared" si="175"/>
        <v>0</v>
      </c>
      <c r="AO424" s="163">
        <f t="shared" si="175"/>
        <v>0</v>
      </c>
    </row>
    <row r="425" spans="2:43" x14ac:dyDescent="0.3">
      <c r="C425" s="29"/>
      <c r="E425" s="28"/>
      <c r="F425" s="28"/>
      <c r="J425" s="14"/>
      <c r="K425" s="14"/>
      <c r="L425" s="14"/>
      <c r="M425" s="14"/>
      <c r="N425" s="14"/>
      <c r="O425" s="14"/>
      <c r="P425" s="14"/>
      <c r="Q425" s="14"/>
      <c r="R425" s="14"/>
      <c r="S425" s="14"/>
      <c r="T425" s="14"/>
      <c r="U425" s="14"/>
      <c r="V425" s="14"/>
      <c r="W425" s="14"/>
      <c r="X425" s="14"/>
      <c r="Y425" s="14"/>
      <c r="Z425" s="14"/>
      <c r="AA425" s="14"/>
      <c r="AB425" s="14"/>
      <c r="AC425" s="14"/>
      <c r="AD425" s="14"/>
      <c r="AE425" s="14"/>
      <c r="AF425" s="14"/>
      <c r="AG425" s="14"/>
      <c r="AH425" s="14"/>
      <c r="AI425" s="14"/>
      <c r="AJ425" s="14"/>
      <c r="AK425" s="14"/>
      <c r="AL425" s="14"/>
      <c r="AM425" s="14"/>
      <c r="AN425" s="14"/>
      <c r="AO425" s="14"/>
    </row>
    <row r="426" spans="2:43" x14ac:dyDescent="0.3">
      <c r="C426" s="29"/>
      <c r="E426" s="28" t="s">
        <v>1112</v>
      </c>
      <c r="F426" s="28"/>
      <c r="G426" t="s">
        <v>912</v>
      </c>
      <c r="H426" s="187">
        <f>COUNTIF(J426:AO426, FALSE)</f>
        <v>0</v>
      </c>
      <c r="J426" s="14" t="b">
        <f t="shared" ref="J426:AO426" si="176">ROUND(J422, check_decimals)=ROUND(J424, check_decimals)</f>
        <v>1</v>
      </c>
      <c r="K426" s="14" t="b">
        <f t="shared" si="176"/>
        <v>1</v>
      </c>
      <c r="L426" s="14" t="b">
        <f t="shared" si="176"/>
        <v>1</v>
      </c>
      <c r="M426" s="14" t="b">
        <f t="shared" si="176"/>
        <v>1</v>
      </c>
      <c r="N426" s="14" t="b">
        <f t="shared" si="176"/>
        <v>1</v>
      </c>
      <c r="O426" s="14" t="b">
        <f t="shared" si="176"/>
        <v>1</v>
      </c>
      <c r="P426" s="14" t="b">
        <f t="shared" si="176"/>
        <v>1</v>
      </c>
      <c r="Q426" s="14" t="b">
        <f t="shared" si="176"/>
        <v>1</v>
      </c>
      <c r="R426" s="14" t="b">
        <f t="shared" si="176"/>
        <v>1</v>
      </c>
      <c r="S426" s="14" t="b">
        <f t="shared" si="176"/>
        <v>1</v>
      </c>
      <c r="T426" s="14" t="b">
        <f t="shared" si="176"/>
        <v>1</v>
      </c>
      <c r="U426" s="14" t="b">
        <f t="shared" si="176"/>
        <v>1</v>
      </c>
      <c r="V426" s="14" t="b">
        <f t="shared" si="176"/>
        <v>1</v>
      </c>
      <c r="W426" s="14" t="b">
        <f t="shared" si="176"/>
        <v>1</v>
      </c>
      <c r="X426" s="14" t="b">
        <f t="shared" si="176"/>
        <v>1</v>
      </c>
      <c r="Y426" s="14" t="b">
        <f t="shared" si="176"/>
        <v>1</v>
      </c>
      <c r="Z426" s="14" t="b">
        <f t="shared" si="176"/>
        <v>1</v>
      </c>
      <c r="AA426" s="14" t="b">
        <f t="shared" si="176"/>
        <v>1</v>
      </c>
      <c r="AB426" s="14" t="b">
        <f t="shared" si="176"/>
        <v>1</v>
      </c>
      <c r="AC426" s="14" t="b">
        <f t="shared" si="176"/>
        <v>1</v>
      </c>
      <c r="AD426" s="14" t="b">
        <f t="shared" si="176"/>
        <v>1</v>
      </c>
      <c r="AE426" s="14" t="b">
        <f t="shared" si="176"/>
        <v>1</v>
      </c>
      <c r="AF426" s="14" t="b">
        <f t="shared" si="176"/>
        <v>1</v>
      </c>
      <c r="AG426" s="14" t="b">
        <f t="shared" si="176"/>
        <v>1</v>
      </c>
      <c r="AH426" s="14" t="b">
        <f t="shared" si="176"/>
        <v>1</v>
      </c>
      <c r="AI426" s="14" t="b">
        <f t="shared" si="176"/>
        <v>1</v>
      </c>
      <c r="AJ426" s="14" t="b">
        <f t="shared" si="176"/>
        <v>1</v>
      </c>
      <c r="AK426" s="14" t="b">
        <f t="shared" si="176"/>
        <v>1</v>
      </c>
      <c r="AL426" s="14" t="b">
        <f t="shared" si="176"/>
        <v>1</v>
      </c>
      <c r="AM426" s="14" t="b">
        <f t="shared" si="176"/>
        <v>1</v>
      </c>
      <c r="AN426" s="14" t="b">
        <f t="shared" si="176"/>
        <v>1</v>
      </c>
      <c r="AO426" s="14" t="b">
        <f t="shared" si="176"/>
        <v>1</v>
      </c>
    </row>
    <row r="427" spans="2:43" x14ac:dyDescent="0.3">
      <c r="C427" s="29"/>
      <c r="E427" s="28"/>
      <c r="F427" s="28"/>
      <c r="J427" s="14"/>
      <c r="K427" s="14"/>
      <c r="L427" s="14"/>
      <c r="M427" s="14"/>
      <c r="N427" s="14"/>
      <c r="O427" s="14"/>
      <c r="P427" s="14"/>
      <c r="Q427" s="14"/>
      <c r="R427" s="14"/>
      <c r="S427" s="14"/>
      <c r="T427" s="14"/>
      <c r="U427" s="14"/>
      <c r="V427" s="14"/>
      <c r="W427" s="14"/>
      <c r="X427" s="14"/>
      <c r="Y427" s="14"/>
      <c r="Z427" s="14"/>
      <c r="AA427" s="14"/>
      <c r="AB427" s="14"/>
      <c r="AC427" s="14"/>
      <c r="AD427" s="14"/>
      <c r="AE427" s="14"/>
      <c r="AF427" s="14"/>
      <c r="AG427" s="14"/>
      <c r="AH427" s="14"/>
      <c r="AI427" s="14"/>
      <c r="AJ427" s="14"/>
      <c r="AK427" s="14"/>
      <c r="AL427" s="14"/>
      <c r="AM427" s="14"/>
      <c r="AN427" s="14"/>
      <c r="AO427" s="14"/>
    </row>
    <row r="428" spans="2:43" x14ac:dyDescent="0.3">
      <c r="C428" s="29"/>
      <c r="E428" s="28" t="s">
        <v>1113</v>
      </c>
      <c r="G428" s="6" t="s">
        <v>55</v>
      </c>
      <c r="H428" s="187">
        <f>COUNTIF(J375:AO375,FALSE)</f>
        <v>0</v>
      </c>
      <c r="J428" s="14"/>
      <c r="K428" s="14"/>
      <c r="L428" s="14"/>
      <c r="M428" s="14"/>
      <c r="N428" s="14"/>
      <c r="O428" s="14"/>
      <c r="P428" s="14"/>
      <c r="Q428" s="14"/>
      <c r="R428" s="14"/>
      <c r="S428" s="14"/>
      <c r="T428" s="14"/>
      <c r="U428" s="14"/>
      <c r="V428" s="14"/>
      <c r="W428" s="14"/>
      <c r="X428" s="14"/>
      <c r="Y428" s="14"/>
      <c r="Z428" s="14"/>
      <c r="AA428" s="14"/>
      <c r="AB428" s="14"/>
      <c r="AC428" s="14"/>
      <c r="AD428" s="14"/>
      <c r="AE428" s="14"/>
      <c r="AF428" s="14"/>
      <c r="AG428" s="14"/>
      <c r="AH428" s="14"/>
      <c r="AI428" s="14"/>
      <c r="AJ428" s="14"/>
      <c r="AK428" s="14"/>
      <c r="AL428" s="14"/>
      <c r="AM428" s="14"/>
      <c r="AN428" s="14"/>
      <c r="AO428" s="14"/>
    </row>
    <row r="429" spans="2:43" x14ac:dyDescent="0.3">
      <c r="C429" s="29"/>
      <c r="E429" s="28"/>
      <c r="G429" s="6"/>
      <c r="J429" s="14"/>
      <c r="K429" s="14"/>
      <c r="L429" s="14"/>
      <c r="M429" s="14"/>
      <c r="N429" s="14"/>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4"/>
    </row>
    <row r="430" spans="2:43" x14ac:dyDescent="0.3">
      <c r="C430" s="29"/>
      <c r="E430" t="s">
        <v>232</v>
      </c>
      <c r="G430" s="6" t="s">
        <v>55</v>
      </c>
      <c r="H430" s="187">
        <f t="array" ref="H430">SUM(IF(ISERROR(H35:AO419), 1))</f>
        <v>0</v>
      </c>
      <c r="J430" s="14"/>
      <c r="K430" s="14"/>
      <c r="L430" s="14"/>
      <c r="M430" s="14"/>
      <c r="N430" s="14"/>
      <c r="O430" s="14"/>
      <c r="P430" s="14"/>
      <c r="Q430" s="14"/>
      <c r="R430" s="14"/>
      <c r="S430" s="14"/>
      <c r="T430" s="14"/>
      <c r="U430" s="14"/>
      <c r="V430" s="14"/>
      <c r="W430" s="14"/>
      <c r="X430" s="14"/>
      <c r="Y430" s="14"/>
      <c r="Z430" s="14"/>
      <c r="AA430" s="14"/>
      <c r="AB430" s="14"/>
      <c r="AC430" s="14"/>
      <c r="AD430" s="14"/>
      <c r="AE430" s="14"/>
      <c r="AF430" s="14"/>
      <c r="AG430" s="14"/>
      <c r="AH430" s="14"/>
      <c r="AI430" s="14"/>
      <c r="AJ430" s="14"/>
      <c r="AK430" s="14"/>
      <c r="AL430" s="14"/>
      <c r="AM430" s="14"/>
      <c r="AN430" s="14"/>
      <c r="AO430" s="14"/>
    </row>
    <row r="431" spans="2:43" x14ac:dyDescent="0.3">
      <c r="C431" s="29"/>
      <c r="J431" s="14"/>
      <c r="K431" s="14"/>
      <c r="L431" s="14"/>
      <c r="M431" s="14"/>
      <c r="N431" s="14"/>
      <c r="O431" s="14"/>
      <c r="P431" s="14"/>
      <c r="Q431" s="14"/>
      <c r="R431" s="14"/>
      <c r="S431" s="14"/>
      <c r="T431" s="14"/>
      <c r="U431" s="14"/>
      <c r="V431" s="14"/>
      <c r="W431" s="14"/>
      <c r="X431" s="14"/>
      <c r="Y431" s="14"/>
      <c r="Z431" s="14"/>
      <c r="AA431" s="14"/>
      <c r="AB431" s="14"/>
      <c r="AC431" s="14"/>
      <c r="AD431" s="14"/>
      <c r="AE431" s="14"/>
      <c r="AF431" s="14"/>
      <c r="AG431" s="14"/>
      <c r="AH431" s="14"/>
      <c r="AI431" s="14"/>
      <c r="AJ431" s="14"/>
      <c r="AK431" s="14"/>
      <c r="AL431" s="14"/>
      <c r="AM431" s="14"/>
      <c r="AN431" s="14"/>
      <c r="AO431" s="14"/>
    </row>
    <row r="432" spans="2:43" x14ac:dyDescent="0.3">
      <c r="C432" s="29"/>
      <c r="E432" s="28" t="s">
        <v>942</v>
      </c>
      <c r="G432" s="6" t="s">
        <v>55</v>
      </c>
      <c r="H432" s="103">
        <f>H426+H428+H430</f>
        <v>0</v>
      </c>
      <c r="J432" s="14"/>
      <c r="K432" s="14"/>
      <c r="L432" s="14"/>
      <c r="M432" s="14"/>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4"/>
    </row>
    <row r="433" spans="2:43" x14ac:dyDescent="0.3">
      <c r="C433" s="29"/>
      <c r="J433" s="14"/>
      <c r="K433" s="14"/>
      <c r="L433" s="14"/>
      <c r="M433" s="14"/>
      <c r="N433" s="14"/>
      <c r="O433" s="14"/>
      <c r="P433" s="14"/>
      <c r="Q433" s="14"/>
      <c r="R433" s="14"/>
      <c r="S433" s="14"/>
      <c r="T433" s="14"/>
      <c r="U433" s="14"/>
      <c r="V433" s="14"/>
      <c r="W433" s="14"/>
      <c r="X433" s="14"/>
      <c r="Y433" s="14"/>
      <c r="Z433" s="14"/>
      <c r="AA433" s="14"/>
      <c r="AB433" s="14"/>
      <c r="AC433" s="14"/>
      <c r="AD433" s="14"/>
      <c r="AE433" s="14"/>
      <c r="AF433" s="14"/>
      <c r="AG433" s="14"/>
      <c r="AH433" s="14"/>
      <c r="AI433" s="14"/>
      <c r="AJ433" s="14"/>
      <c r="AK433" s="14"/>
      <c r="AL433" s="14"/>
      <c r="AM433" s="14"/>
      <c r="AN433" s="14"/>
      <c r="AO433" s="14"/>
    </row>
    <row r="434" spans="2:43" x14ac:dyDescent="0.3">
      <c r="B434" s="30" t="s">
        <v>106</v>
      </c>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c r="AA434" s="30"/>
      <c r="AB434" s="30"/>
      <c r="AC434" s="30"/>
      <c r="AD434" s="30"/>
      <c r="AE434" s="30"/>
      <c r="AF434" s="30"/>
      <c r="AG434" s="30"/>
      <c r="AH434" s="30"/>
      <c r="AI434" s="30"/>
      <c r="AJ434" s="30"/>
      <c r="AK434" s="30"/>
      <c r="AL434" s="30"/>
      <c r="AM434" s="30"/>
      <c r="AN434" s="30"/>
      <c r="AO434" s="30"/>
      <c r="AP434" s="105"/>
      <c r="AQ434" s="105"/>
    </row>
  </sheetData>
  <sheetProtection sheet="1" objects="1" formatCells="0" formatColumns="0" formatRows="0" sort="0" autoFilter="0"/>
  <phoneticPr fontId="39" type="noConversion"/>
  <conditionalFormatting sqref="A4:I4 AP4:XFD4">
    <cfRule type="expression" dxfId="36" priority="19">
      <formula>LEFT($A$4,1) &lt;&gt; "0"</formula>
    </cfRule>
  </conditionalFormatting>
  <conditionalFormatting sqref="R4:AF4">
    <cfRule type="expression" dxfId="35" priority="18">
      <formula>LEFT($A$4,1) &lt;&gt; "0"</formula>
    </cfRule>
  </conditionalFormatting>
  <conditionalFormatting sqref="L4:Q4">
    <cfRule type="expression" dxfId="34" priority="17">
      <formula>LEFT($A$4,1) &lt;&gt; "0"</formula>
    </cfRule>
  </conditionalFormatting>
  <conditionalFormatting sqref="J4:K4">
    <cfRule type="expression" dxfId="33" priority="16">
      <formula>LEFT($A$4,1) &lt;&gt; "0"</formula>
    </cfRule>
  </conditionalFormatting>
  <conditionalFormatting sqref="AG4">
    <cfRule type="expression" dxfId="32" priority="15">
      <formula>LEFT($A$4,1) &lt;&gt; "0"</formula>
    </cfRule>
  </conditionalFormatting>
  <conditionalFormatting sqref="AH4:AI4">
    <cfRule type="expression" dxfId="31" priority="14">
      <formula>LEFT($A$4,1) &lt;&gt; "0"</formula>
    </cfRule>
  </conditionalFormatting>
  <conditionalFormatting sqref="AJ4:AK4">
    <cfRule type="expression" dxfId="30" priority="13">
      <formula>LEFT($A$4,1) &lt;&gt; "0"</formula>
    </cfRule>
  </conditionalFormatting>
  <conditionalFormatting sqref="AL4:AM4">
    <cfRule type="expression" dxfId="29" priority="12">
      <formula>LEFT($A$4,1) &lt;&gt; "0"</formula>
    </cfRule>
  </conditionalFormatting>
  <conditionalFormatting sqref="AN4:AO4">
    <cfRule type="expression" dxfId="28" priority="11">
      <formula>LEFT($A$4,1) &lt;&gt; "0"</formula>
    </cfRule>
  </conditionalFormatting>
  <conditionalFormatting sqref="H426">
    <cfRule type="cellIs" dxfId="27" priority="4" operator="greaterThan">
      <formula>0</formula>
    </cfRule>
  </conditionalFormatting>
  <conditionalFormatting sqref="H428">
    <cfRule type="cellIs" dxfId="26" priority="3" operator="greaterThan">
      <formula>0</formula>
    </cfRule>
  </conditionalFormatting>
  <conditionalFormatting sqref="H430">
    <cfRule type="cellIs" dxfId="25" priority="2" operator="greaterThan">
      <formula>0</formula>
    </cfRule>
  </conditionalFormatting>
  <conditionalFormatting sqref="H432">
    <cfRule type="cellIs" dxfId="24" priority="1" operator="greaterThan">
      <formula>0</formula>
    </cfRule>
  </conditionalFormatting>
  <hyperlinks>
    <hyperlink ref="B5:F5" location="'Model map'!A1" display="Click here to return to model map"/>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X1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45" width="24.5546875" hidden="1" customWidth="1"/>
    <col min="46" max="46" width="3.5546875" hidden="1" customWidth="1"/>
    <col min="47" max="47" width="15.44140625" hidden="1" customWidth="1"/>
    <col min="48" max="336" width="24.5546875" hidden="1" customWidth="1"/>
    <col min="337" max="16384" width="8.5546875" hidden="1"/>
  </cols>
  <sheetData>
    <row r="1" spans="1:43" s="1" customFormat="1" x14ac:dyDescent="0.3">
      <c r="A1" s="1" t="str">
        <f ca="1">MID(CELL("filename",A1),FIND("]",CELL("filename",A1))+1,255)</f>
        <v>Rounding</v>
      </c>
    </row>
    <row r="2" spans="1:43" s="1" customFormat="1" x14ac:dyDescent="0.3">
      <c r="A2" s="1" t="str">
        <f>Cover!D21&amp;" - "&amp;Cover!D23</f>
        <v>WPD Mid West - April 22 Pricing</v>
      </c>
    </row>
    <row r="3" spans="1:43" s="5" customFormat="1" x14ac:dyDescent="0.3">
      <c r="A3" s="5" t="str">
        <f>Cover!D2&amp;" - "&amp;Cover!D8&amp;" v"&amp;Cover!D10&amp;" - "&amp;Cover!D19</f>
        <v>CDCM charging model - Release for charge setting v7 - 2022/23</v>
      </c>
    </row>
    <row r="4" spans="1:43" x14ac:dyDescent="0.3">
      <c r="A4" s="12" t="str">
        <f>H178 &amp; IF(H178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J5" s="114" t="s">
        <v>913</v>
      </c>
      <c r="K5" s="114" t="s">
        <v>831</v>
      </c>
      <c r="L5" s="114" t="s">
        <v>914</v>
      </c>
      <c r="M5" s="114" t="s">
        <v>915</v>
      </c>
      <c r="N5" s="114" t="s">
        <v>916</v>
      </c>
      <c r="O5" s="114" t="s">
        <v>917</v>
      </c>
      <c r="P5" s="114" t="s">
        <v>918</v>
      </c>
      <c r="Q5" s="114" t="s">
        <v>832</v>
      </c>
      <c r="R5" s="114" t="s">
        <v>919</v>
      </c>
      <c r="S5" s="114" t="s">
        <v>920</v>
      </c>
      <c r="T5" s="114" t="s">
        <v>921</v>
      </c>
      <c r="U5" s="114" t="s">
        <v>922</v>
      </c>
      <c r="V5" s="114" t="s">
        <v>923</v>
      </c>
      <c r="W5" s="114" t="s">
        <v>924</v>
      </c>
      <c r="X5" s="114" t="s">
        <v>925</v>
      </c>
      <c r="Y5" s="114" t="s">
        <v>926</v>
      </c>
      <c r="Z5" s="114" t="s">
        <v>927</v>
      </c>
      <c r="AA5" s="114" t="s">
        <v>928</v>
      </c>
      <c r="AB5" s="114" t="s">
        <v>929</v>
      </c>
      <c r="AC5" s="114" t="s">
        <v>930</v>
      </c>
      <c r="AD5" s="114" t="s">
        <v>931</v>
      </c>
      <c r="AE5" s="114" t="s">
        <v>932</v>
      </c>
      <c r="AF5" s="114" t="s">
        <v>933</v>
      </c>
      <c r="AG5" s="114" t="s">
        <v>841</v>
      </c>
      <c r="AH5" s="114" t="s">
        <v>833</v>
      </c>
      <c r="AI5" s="114" t="s">
        <v>834</v>
      </c>
      <c r="AJ5" s="114" t="s">
        <v>835</v>
      </c>
      <c r="AK5" s="114" t="s">
        <v>844</v>
      </c>
      <c r="AL5" s="114" t="s">
        <v>836</v>
      </c>
      <c r="AM5" s="114" t="s">
        <v>843</v>
      </c>
      <c r="AN5" s="114" t="s">
        <v>837</v>
      </c>
      <c r="AO5" s="114" t="s">
        <v>842</v>
      </c>
      <c r="AQ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row>
    <row r="9" spans="1:43" x14ac:dyDescent="0.3">
      <c r="C9" s="29" t="s">
        <v>742</v>
      </c>
      <c r="E9"/>
    </row>
    <row r="10" spans="1:43" x14ac:dyDescent="0.3">
      <c r="C10" s="29" t="s">
        <v>743</v>
      </c>
      <c r="E10"/>
    </row>
    <row r="12" spans="1:43" x14ac:dyDescent="0.3">
      <c r="B12" s="30" t="s">
        <v>744</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row>
    <row r="14" spans="1:43" x14ac:dyDescent="0.3">
      <c r="C14" s="29" t="s">
        <v>745</v>
      </c>
    </row>
    <row r="16" spans="1:43" x14ac:dyDescent="0.3">
      <c r="C16" s="31" t="str">
        <f ca="1">INDEX('Version control'!$H$34:$H$57,MATCH($A$1,'Version control'!$F$34:$F$57,0),1)&amp;"-A: Pre-match, pre-rounding tariff forecast"</f>
        <v>Section 117-A: Pre-match, pre-rounding tariff forecast</v>
      </c>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row>
    <row r="18" spans="3:43" x14ac:dyDescent="0.3">
      <c r="E18" s="32" t="s">
        <v>746</v>
      </c>
      <c r="F18" s="32"/>
    </row>
    <row r="19" spans="3:43" x14ac:dyDescent="0.3">
      <c r="E19" s="29" t="s">
        <v>747</v>
      </c>
      <c r="F19" s="2"/>
    </row>
    <row r="20" spans="3:43" x14ac:dyDescent="0.3">
      <c r="C20" s="88"/>
      <c r="F20" s="23" t="s">
        <v>156</v>
      </c>
      <c r="G20" s="23" t="s">
        <v>269</v>
      </c>
      <c r="H20" s="278"/>
      <c r="I20" s="266"/>
      <c r="J20" s="278">
        <f>'Revenue matching'!J40</f>
        <v>6.0221483582302726</v>
      </c>
      <c r="K20" s="278">
        <f>'Revenue matching'!K40</f>
        <v>6.0221483582302726</v>
      </c>
      <c r="L20" s="278">
        <f>'Revenue matching'!L40</f>
        <v>6.8556231914876227</v>
      </c>
      <c r="M20" s="278">
        <f>'Revenue matching'!M40</f>
        <v>6.8556231914876227</v>
      </c>
      <c r="N20" s="278">
        <f>'Revenue matching'!N40</f>
        <v>6.8556231914876227</v>
      </c>
      <c r="O20" s="278">
        <f>'Revenue matching'!O40</f>
        <v>6.8556231914876227</v>
      </c>
      <c r="P20" s="278">
        <f>'Revenue matching'!P40</f>
        <v>6.8556231914876227</v>
      </c>
      <c r="Q20" s="278">
        <f>'Revenue matching'!Q40</f>
        <v>6.8556231914876227</v>
      </c>
      <c r="R20" s="278">
        <f>'Revenue matching'!R40</f>
        <v>4.2652239720587968</v>
      </c>
      <c r="S20" s="278">
        <f>'Revenue matching'!S40</f>
        <v>4.2652239720587968</v>
      </c>
      <c r="T20" s="278">
        <f>'Revenue matching'!T40</f>
        <v>4.2652239720587968</v>
      </c>
      <c r="U20" s="278">
        <f>'Revenue matching'!U40</f>
        <v>4.2652239720587968</v>
      </c>
      <c r="V20" s="278">
        <f>'Revenue matching'!V40</f>
        <v>4.2652239720587968</v>
      </c>
      <c r="W20" s="278">
        <f>'Revenue matching'!W40</f>
        <v>1.887205166199178</v>
      </c>
      <c r="X20" s="278">
        <f>'Revenue matching'!X40</f>
        <v>1.887205166199178</v>
      </c>
      <c r="Y20" s="278">
        <f>'Revenue matching'!Y40</f>
        <v>1.887205166199178</v>
      </c>
      <c r="Z20" s="278">
        <f>'Revenue matching'!Z40</f>
        <v>1.887205166199178</v>
      </c>
      <c r="AA20" s="278">
        <f>'Revenue matching'!AA40</f>
        <v>1.887205166199178</v>
      </c>
      <c r="AB20" s="278">
        <f>'Revenue matching'!AB40</f>
        <v>1.2836091007228583</v>
      </c>
      <c r="AC20" s="278">
        <f>'Revenue matching'!AC40</f>
        <v>1.2836091007228583</v>
      </c>
      <c r="AD20" s="278">
        <f>'Revenue matching'!AD40</f>
        <v>1.2836091007228583</v>
      </c>
      <c r="AE20" s="278">
        <f>'Revenue matching'!AE40</f>
        <v>1.2836091007228583</v>
      </c>
      <c r="AF20" s="278">
        <f>'Revenue matching'!AF40</f>
        <v>1.2836091007228583</v>
      </c>
      <c r="AG20" s="278">
        <f>'Revenue matching'!AG40</f>
        <v>16.113495743027269</v>
      </c>
      <c r="AH20" s="278">
        <f>'Revenue matching'!AH40</f>
        <v>-4.2026893264145153</v>
      </c>
      <c r="AI20" s="278">
        <f>'Revenue matching'!AI40</f>
        <v>-3.4961132793592773</v>
      </c>
      <c r="AJ20" s="278">
        <f>'Revenue matching'!AJ40</f>
        <v>-4.2026893264145153</v>
      </c>
      <c r="AK20" s="278">
        <f>'Revenue matching'!AK40</f>
        <v>-4.2026893264145153</v>
      </c>
      <c r="AL20" s="278">
        <f>'Revenue matching'!AL40</f>
        <v>-3.4961132793592773</v>
      </c>
      <c r="AM20" s="278">
        <f>'Revenue matching'!AM40</f>
        <v>-3.4961132793592773</v>
      </c>
      <c r="AN20" s="278">
        <f>'Revenue matching'!AN40</f>
        <v>-1.7998280217679377</v>
      </c>
      <c r="AO20" s="278">
        <f>'Revenue matching'!AO40</f>
        <v>-1.7998280217679377</v>
      </c>
      <c r="AP20" s="267"/>
      <c r="AQ20" s="267"/>
    </row>
    <row r="21" spans="3:43" x14ac:dyDescent="0.3">
      <c r="C21" s="88"/>
      <c r="F21" t="s">
        <v>157</v>
      </c>
      <c r="G21" t="s">
        <v>269</v>
      </c>
      <c r="H21" s="279"/>
      <c r="I21" s="267"/>
      <c r="J21" s="279">
        <f>'Revenue matching'!J41</f>
        <v>0.95141599957884027</v>
      </c>
      <c r="K21" s="279">
        <f>'Revenue matching'!K41</f>
        <v>0.95141599957884027</v>
      </c>
      <c r="L21" s="279">
        <f>'Revenue matching'!L41</f>
        <v>1.0830934748644838</v>
      </c>
      <c r="M21" s="279">
        <f>'Revenue matching'!M41</f>
        <v>1.0830934748644838</v>
      </c>
      <c r="N21" s="279">
        <f>'Revenue matching'!N41</f>
        <v>1.0830934748644838</v>
      </c>
      <c r="O21" s="279">
        <f>'Revenue matching'!O41</f>
        <v>1.0830934748644838</v>
      </c>
      <c r="P21" s="279">
        <f>'Revenue matching'!P41</f>
        <v>1.0830934748644838</v>
      </c>
      <c r="Q21" s="279">
        <f>'Revenue matching'!Q41</f>
        <v>1.0830934748644838</v>
      </c>
      <c r="R21" s="279">
        <f>'Revenue matching'!R41</f>
        <v>0.69123793373055742</v>
      </c>
      <c r="S21" s="279">
        <f>'Revenue matching'!S41</f>
        <v>0.69123793373055742</v>
      </c>
      <c r="T21" s="279">
        <f>'Revenue matching'!T41</f>
        <v>0.69123793373055742</v>
      </c>
      <c r="U21" s="279">
        <f>'Revenue matching'!U41</f>
        <v>0.69123793373055742</v>
      </c>
      <c r="V21" s="279">
        <f>'Revenue matching'!V41</f>
        <v>0.69123793373055742</v>
      </c>
      <c r="W21" s="279">
        <f>'Revenue matching'!W41</f>
        <v>0.32804937533032308</v>
      </c>
      <c r="X21" s="279">
        <f>'Revenue matching'!X41</f>
        <v>0.32804937533032308</v>
      </c>
      <c r="Y21" s="279">
        <f>'Revenue matching'!Y41</f>
        <v>0.32804937533032308</v>
      </c>
      <c r="Z21" s="279">
        <f>'Revenue matching'!Z41</f>
        <v>0.32804937533032308</v>
      </c>
      <c r="AA21" s="279">
        <f>'Revenue matching'!AA41</f>
        <v>0.32804937533032308</v>
      </c>
      <c r="AB21" s="279">
        <f>'Revenue matching'!AB41</f>
        <v>0.22373534796604991</v>
      </c>
      <c r="AC21" s="279">
        <f>'Revenue matching'!AC41</f>
        <v>0.22373534796604991</v>
      </c>
      <c r="AD21" s="279">
        <f>'Revenue matching'!AD41</f>
        <v>0.22373534796604991</v>
      </c>
      <c r="AE21" s="279">
        <f>'Revenue matching'!AE41</f>
        <v>0.22373534796604991</v>
      </c>
      <c r="AF21" s="279">
        <f>'Revenue matching'!AF41</f>
        <v>0.22373534796604991</v>
      </c>
      <c r="AG21" s="279">
        <f>'Revenue matching'!AG41</f>
        <v>1.596605920411839</v>
      </c>
      <c r="AH21" s="279">
        <f>'Revenue matching'!AH41</f>
        <v>-0.66396668241249179</v>
      </c>
      <c r="AI21" s="279">
        <f>'Revenue matching'!AI41</f>
        <v>-0.56093505629734508</v>
      </c>
      <c r="AJ21" s="279">
        <f>'Revenue matching'!AJ41</f>
        <v>-0.66396668241249179</v>
      </c>
      <c r="AK21" s="279">
        <f>'Revenue matching'!AK41</f>
        <v>-0.66396668241249179</v>
      </c>
      <c r="AL21" s="279">
        <f>'Revenue matching'!AL41</f>
        <v>-0.56093505629734508</v>
      </c>
      <c r="AM21" s="279">
        <f>'Revenue matching'!AM41</f>
        <v>-0.56093505629734508</v>
      </c>
      <c r="AN21" s="279">
        <f>'Revenue matching'!AN41</f>
        <v>-0.31311949231288227</v>
      </c>
      <c r="AO21" s="279">
        <f>'Revenue matching'!AO41</f>
        <v>-0.31311949231288227</v>
      </c>
      <c r="AP21" s="267"/>
      <c r="AQ21" s="267"/>
    </row>
    <row r="22" spans="3:43" x14ac:dyDescent="0.3">
      <c r="C22" s="88"/>
      <c r="F22" t="s">
        <v>158</v>
      </c>
      <c r="G22" t="s">
        <v>269</v>
      </c>
      <c r="H22" s="279"/>
      <c r="I22" s="267"/>
      <c r="J22" s="279">
        <f>'Revenue matching'!J42</f>
        <v>8.964018638578318E-2</v>
      </c>
      <c r="K22" s="279">
        <f>'Revenue matching'!K42</f>
        <v>8.964018638578318E-2</v>
      </c>
      <c r="L22" s="279">
        <f>'Revenue matching'!L42</f>
        <v>0.10204652959699627</v>
      </c>
      <c r="M22" s="279">
        <f>'Revenue matching'!M42</f>
        <v>0.10204652959699627</v>
      </c>
      <c r="N22" s="279">
        <f>'Revenue matching'!N42</f>
        <v>0.10204652959699627</v>
      </c>
      <c r="O22" s="279">
        <f>'Revenue matching'!O42</f>
        <v>0.10204652959699627</v>
      </c>
      <c r="P22" s="279">
        <f>'Revenue matching'!P42</f>
        <v>0.10204652959699627</v>
      </c>
      <c r="Q22" s="279">
        <f>'Revenue matching'!Q42</f>
        <v>0.10204652959699627</v>
      </c>
      <c r="R22" s="279">
        <f>'Revenue matching'!R42</f>
        <v>5.7596045435720597E-2</v>
      </c>
      <c r="S22" s="279">
        <f>'Revenue matching'!S42</f>
        <v>5.7596045435720597E-2</v>
      </c>
      <c r="T22" s="279">
        <f>'Revenue matching'!T42</f>
        <v>5.7596045435720597E-2</v>
      </c>
      <c r="U22" s="279">
        <f>'Revenue matching'!U42</f>
        <v>5.7596045435720597E-2</v>
      </c>
      <c r="V22" s="279">
        <f>'Revenue matching'!V42</f>
        <v>5.7596045435720597E-2</v>
      </c>
      <c r="W22" s="279">
        <f>'Revenue matching'!W42</f>
        <v>1.7962266911247374E-2</v>
      </c>
      <c r="X22" s="279">
        <f>'Revenue matching'!X42</f>
        <v>1.7962266911247374E-2</v>
      </c>
      <c r="Y22" s="279">
        <f>'Revenue matching'!Y42</f>
        <v>1.7962266911247374E-2</v>
      </c>
      <c r="Z22" s="279">
        <f>'Revenue matching'!Z42</f>
        <v>1.7962266911247374E-2</v>
      </c>
      <c r="AA22" s="279">
        <f>'Revenue matching'!AA42</f>
        <v>1.7962266911247374E-2</v>
      </c>
      <c r="AB22" s="279">
        <f>'Revenue matching'!AB42</f>
        <v>9.0275222938815628E-3</v>
      </c>
      <c r="AC22" s="279">
        <f>'Revenue matching'!AC42</f>
        <v>9.0275222938815628E-3</v>
      </c>
      <c r="AD22" s="279">
        <f>'Revenue matching'!AD42</f>
        <v>9.0275222938815628E-3</v>
      </c>
      <c r="AE22" s="279">
        <f>'Revenue matching'!AE42</f>
        <v>9.0275222938815628E-3</v>
      </c>
      <c r="AF22" s="279">
        <f>'Revenue matching'!AF42</f>
        <v>9.0275222938815628E-3</v>
      </c>
      <c r="AG22" s="279">
        <f>'Revenue matching'!AG42</f>
        <v>0.96311671094885565</v>
      </c>
      <c r="AH22" s="279">
        <f>'Revenue matching'!AH42</f>
        <v>-6.2557385194018711E-2</v>
      </c>
      <c r="AI22" s="279">
        <f>'Revenue matching'!AI42</f>
        <v>-4.9127131689069681E-2</v>
      </c>
      <c r="AJ22" s="279">
        <f>'Revenue matching'!AJ42</f>
        <v>-6.2557385194018711E-2</v>
      </c>
      <c r="AK22" s="279">
        <f>'Revenue matching'!AK42</f>
        <v>-6.2557385194018711E-2</v>
      </c>
      <c r="AL22" s="279">
        <f>'Revenue matching'!AL42</f>
        <v>-4.9127131689069681E-2</v>
      </c>
      <c r="AM22" s="279">
        <f>'Revenue matching'!AM42</f>
        <v>-4.9127131689069681E-2</v>
      </c>
      <c r="AN22" s="279">
        <f>'Revenue matching'!AN42</f>
        <v>-1.6727759883072124E-2</v>
      </c>
      <c r="AO22" s="279">
        <f>'Revenue matching'!AO42</f>
        <v>-1.6727759883072124E-2</v>
      </c>
      <c r="AP22" s="267"/>
      <c r="AQ22" s="267"/>
    </row>
    <row r="23" spans="3:43" x14ac:dyDescent="0.3">
      <c r="C23" s="88"/>
      <c r="F23" t="s">
        <v>159</v>
      </c>
      <c r="G23" t="s">
        <v>270</v>
      </c>
      <c r="H23" s="51"/>
      <c r="J23" s="120">
        <f>'Revenue matching'!J43</f>
        <v>4.7209162865901826</v>
      </c>
      <c r="K23" s="120">
        <f>'Revenue matching'!K43</f>
        <v>0</v>
      </c>
      <c r="L23" s="120">
        <f>'Revenue matching'!L43</f>
        <v>8.8455191726453233</v>
      </c>
      <c r="M23" s="120">
        <f>'Revenue matching'!M43</f>
        <v>8.8455191726453233</v>
      </c>
      <c r="N23" s="120">
        <f>'Revenue matching'!N43</f>
        <v>8.8455191726453233</v>
      </c>
      <c r="O23" s="120">
        <f>'Revenue matching'!O43</f>
        <v>8.8455191726453233</v>
      </c>
      <c r="P23" s="120">
        <f>'Revenue matching'!P43</f>
        <v>8.8455191726453233</v>
      </c>
      <c r="Q23" s="120">
        <f>'Revenue matching'!Q43</f>
        <v>0</v>
      </c>
      <c r="R23" s="120">
        <f>'Revenue matching'!R43</f>
        <v>12.488244880854381</v>
      </c>
      <c r="S23" s="120">
        <f>'Revenue matching'!S43</f>
        <v>12.488244880854381</v>
      </c>
      <c r="T23" s="120">
        <f>'Revenue matching'!T43</f>
        <v>12.488244880854381</v>
      </c>
      <c r="U23" s="120">
        <f>'Revenue matching'!U43</f>
        <v>12.488244880854381</v>
      </c>
      <c r="V23" s="120">
        <f>'Revenue matching'!V43</f>
        <v>12.488244880854381</v>
      </c>
      <c r="W23" s="120">
        <f>'Revenue matching'!W43</f>
        <v>9.7484171632986918</v>
      </c>
      <c r="X23" s="120">
        <f>'Revenue matching'!X43</f>
        <v>9.7484171632986918</v>
      </c>
      <c r="Y23" s="120">
        <f>'Revenue matching'!Y43</f>
        <v>9.7484171632986918</v>
      </c>
      <c r="Z23" s="120">
        <f>'Revenue matching'!Z43</f>
        <v>9.7484171632986918</v>
      </c>
      <c r="AA23" s="120">
        <f>'Revenue matching'!AA43</f>
        <v>9.7484171632986918</v>
      </c>
      <c r="AB23" s="120">
        <f>'Revenue matching'!AB43</f>
        <v>89.995785082794086</v>
      </c>
      <c r="AC23" s="120">
        <f>'Revenue matching'!AC43</f>
        <v>89.995785082794086</v>
      </c>
      <c r="AD23" s="120">
        <f>'Revenue matching'!AD43</f>
        <v>89.995785082794086</v>
      </c>
      <c r="AE23" s="120">
        <f>'Revenue matching'!AE43</f>
        <v>89.995785082794086</v>
      </c>
      <c r="AF23" s="120">
        <f>'Revenue matching'!AF43</f>
        <v>89.995785082794086</v>
      </c>
      <c r="AG23" s="120">
        <f>'Revenue matching'!AG43</f>
        <v>0</v>
      </c>
      <c r="AH23" s="120">
        <f>'Revenue matching'!AH43</f>
        <v>0</v>
      </c>
      <c r="AI23" s="120">
        <f>'Revenue matching'!AI43</f>
        <v>0</v>
      </c>
      <c r="AJ23" s="120">
        <f>'Revenue matching'!AJ43</f>
        <v>0</v>
      </c>
      <c r="AK23" s="120">
        <f>'Revenue matching'!AK43</f>
        <v>0</v>
      </c>
      <c r="AL23" s="120">
        <f>'Revenue matching'!AL43</f>
        <v>0</v>
      </c>
      <c r="AM23" s="120">
        <f>'Revenue matching'!AM43</f>
        <v>0</v>
      </c>
      <c r="AN23" s="120">
        <f>'Revenue matching'!AN43</f>
        <v>56.323203629083082</v>
      </c>
      <c r="AO23" s="120">
        <f>'Revenue matching'!AO43</f>
        <v>56.323203629083082</v>
      </c>
    </row>
    <row r="24" spans="3:43" x14ac:dyDescent="0.3">
      <c r="C24" s="88"/>
      <c r="F24" t="s">
        <v>160</v>
      </c>
      <c r="G24" t="s">
        <v>271</v>
      </c>
      <c r="H24" s="51"/>
      <c r="J24" s="120">
        <f>'Revenue matching'!J44</f>
        <v>0</v>
      </c>
      <c r="K24" s="120">
        <f>'Revenue matching'!K44</f>
        <v>0</v>
      </c>
      <c r="L24" s="120">
        <f>'Revenue matching'!L44</f>
        <v>0</v>
      </c>
      <c r="M24" s="120">
        <f>'Revenue matching'!M44</f>
        <v>0</v>
      </c>
      <c r="N24" s="120">
        <f>'Revenue matching'!N44</f>
        <v>0</v>
      </c>
      <c r="O24" s="120">
        <f>'Revenue matching'!O44</f>
        <v>0</v>
      </c>
      <c r="P24" s="120">
        <f>'Revenue matching'!P44</f>
        <v>0</v>
      </c>
      <c r="Q24" s="120">
        <f>'Revenue matching'!Q44</f>
        <v>0</v>
      </c>
      <c r="R24" s="120">
        <f>'Revenue matching'!R44</f>
        <v>4.3379810793048295</v>
      </c>
      <c r="S24" s="120">
        <f>'Revenue matching'!S44</f>
        <v>4.3379810793048295</v>
      </c>
      <c r="T24" s="120">
        <f>'Revenue matching'!T44</f>
        <v>4.3379810793048295</v>
      </c>
      <c r="U24" s="120">
        <f>'Revenue matching'!U44</f>
        <v>4.3379810793048295</v>
      </c>
      <c r="V24" s="120">
        <f>'Revenue matching'!V44</f>
        <v>4.3379810793048295</v>
      </c>
      <c r="W24" s="120">
        <f>'Revenue matching'!W44</f>
        <v>4.8971441833049472</v>
      </c>
      <c r="X24" s="120">
        <f>'Revenue matching'!X44</f>
        <v>4.8971441833049472</v>
      </c>
      <c r="Y24" s="120">
        <f>'Revenue matching'!Y44</f>
        <v>4.8971441833049472</v>
      </c>
      <c r="Z24" s="120">
        <f>'Revenue matching'!Z44</f>
        <v>4.8971441833049472</v>
      </c>
      <c r="AA24" s="120">
        <f>'Revenue matching'!AA44</f>
        <v>4.8971441833049472</v>
      </c>
      <c r="AB24" s="120">
        <f>'Revenue matching'!AB44</f>
        <v>5.1847879034973312</v>
      </c>
      <c r="AC24" s="120">
        <f>'Revenue matching'!AC44</f>
        <v>5.1847879034973312</v>
      </c>
      <c r="AD24" s="120">
        <f>'Revenue matching'!AD44</f>
        <v>5.1847879034973312</v>
      </c>
      <c r="AE24" s="120">
        <f>'Revenue matching'!AE44</f>
        <v>5.1847879034973312</v>
      </c>
      <c r="AF24" s="120">
        <f>'Revenue matching'!AF44</f>
        <v>5.1847879034973312</v>
      </c>
      <c r="AG24" s="120">
        <f>'Revenue matching'!AG44</f>
        <v>0</v>
      </c>
      <c r="AH24" s="120">
        <f>'Revenue matching'!AH44</f>
        <v>0</v>
      </c>
      <c r="AI24" s="120">
        <f>'Revenue matching'!AI44</f>
        <v>0</v>
      </c>
      <c r="AJ24" s="120">
        <f>'Revenue matching'!AJ44</f>
        <v>0</v>
      </c>
      <c r="AK24" s="120">
        <f>'Revenue matching'!AK44</f>
        <v>0</v>
      </c>
      <c r="AL24" s="120">
        <f>'Revenue matching'!AL44</f>
        <v>0</v>
      </c>
      <c r="AM24" s="120">
        <f>'Revenue matching'!AM44</f>
        <v>0</v>
      </c>
      <c r="AN24" s="120">
        <f>'Revenue matching'!AN44</f>
        <v>0</v>
      </c>
      <c r="AO24" s="120">
        <f>'Revenue matching'!AO44</f>
        <v>0</v>
      </c>
    </row>
    <row r="25" spans="3:43" x14ac:dyDescent="0.3">
      <c r="C25" s="88"/>
      <c r="F25" t="s">
        <v>161</v>
      </c>
      <c r="G25" t="s">
        <v>271</v>
      </c>
      <c r="H25" s="51"/>
      <c r="J25" s="120">
        <f>'Revenue matching'!J45</f>
        <v>0</v>
      </c>
      <c r="K25" s="120">
        <f>'Revenue matching'!K45</f>
        <v>0</v>
      </c>
      <c r="L25" s="120">
        <f>'Revenue matching'!L45</f>
        <v>0</v>
      </c>
      <c r="M25" s="120">
        <f>'Revenue matching'!M45</f>
        <v>0</v>
      </c>
      <c r="N25" s="120">
        <f>'Revenue matching'!N45</f>
        <v>0</v>
      </c>
      <c r="O25" s="120">
        <f>'Revenue matching'!O45</f>
        <v>0</v>
      </c>
      <c r="P25" s="120">
        <f>'Revenue matching'!P45</f>
        <v>0</v>
      </c>
      <c r="Q25" s="120">
        <f>'Revenue matching'!Q45</f>
        <v>0</v>
      </c>
      <c r="R25" s="120">
        <f>'Revenue matching'!R45</f>
        <v>7.8549236543849785</v>
      </c>
      <c r="S25" s="120">
        <f>'Revenue matching'!S45</f>
        <v>7.8549236543849785</v>
      </c>
      <c r="T25" s="120">
        <f>'Revenue matching'!T45</f>
        <v>7.8549236543849785</v>
      </c>
      <c r="U25" s="120">
        <f>'Revenue matching'!U45</f>
        <v>7.8549236543849785</v>
      </c>
      <c r="V25" s="120">
        <f>'Revenue matching'!V45</f>
        <v>7.8549236543849785</v>
      </c>
      <c r="W25" s="120">
        <f>'Revenue matching'!W45</f>
        <v>6.7662485707310376</v>
      </c>
      <c r="X25" s="120">
        <f>'Revenue matching'!X45</f>
        <v>6.7662485707310376</v>
      </c>
      <c r="Y25" s="120">
        <f>'Revenue matching'!Y45</f>
        <v>6.7662485707310376</v>
      </c>
      <c r="Z25" s="120">
        <f>'Revenue matching'!Z45</f>
        <v>6.7662485707310376</v>
      </c>
      <c r="AA25" s="120">
        <f>'Revenue matching'!AA45</f>
        <v>6.7662485707310376</v>
      </c>
      <c r="AB25" s="120">
        <f>'Revenue matching'!AB45</f>
        <v>6.840016635421688</v>
      </c>
      <c r="AC25" s="120">
        <f>'Revenue matching'!AC45</f>
        <v>6.840016635421688</v>
      </c>
      <c r="AD25" s="120">
        <f>'Revenue matching'!AD45</f>
        <v>6.840016635421688</v>
      </c>
      <c r="AE25" s="120">
        <f>'Revenue matching'!AE45</f>
        <v>6.840016635421688</v>
      </c>
      <c r="AF25" s="120">
        <f>'Revenue matching'!AF45</f>
        <v>6.840016635421688</v>
      </c>
      <c r="AG25" s="120">
        <f>'Revenue matching'!AG45</f>
        <v>0</v>
      </c>
      <c r="AH25" s="120">
        <f>'Revenue matching'!AH45</f>
        <v>0</v>
      </c>
      <c r="AI25" s="120">
        <f>'Revenue matching'!AI45</f>
        <v>0</v>
      </c>
      <c r="AJ25" s="120">
        <f>'Revenue matching'!AJ45</f>
        <v>0</v>
      </c>
      <c r="AK25" s="120">
        <f>'Revenue matching'!AK45</f>
        <v>0</v>
      </c>
      <c r="AL25" s="120">
        <f>'Revenue matching'!AL45</f>
        <v>0</v>
      </c>
      <c r="AM25" s="120">
        <f>'Revenue matching'!AM45</f>
        <v>0</v>
      </c>
      <c r="AN25" s="120">
        <f>'Revenue matching'!AN45</f>
        <v>0</v>
      </c>
      <c r="AO25" s="120">
        <f>'Revenue matching'!AO45</f>
        <v>0</v>
      </c>
    </row>
    <row r="26" spans="3:43" x14ac:dyDescent="0.3">
      <c r="C26" s="88"/>
      <c r="F26" s="37" t="s">
        <v>162</v>
      </c>
      <c r="G26" s="37" t="s">
        <v>272</v>
      </c>
      <c r="H26" s="283"/>
      <c r="I26" s="269"/>
      <c r="J26" s="283">
        <f>'Revenue matching'!J46</f>
        <v>0</v>
      </c>
      <c r="K26" s="283">
        <f>'Revenue matching'!K46</f>
        <v>0</v>
      </c>
      <c r="L26" s="283">
        <f>'Revenue matching'!L46</f>
        <v>0</v>
      </c>
      <c r="M26" s="283">
        <f>'Revenue matching'!M46</f>
        <v>0</v>
      </c>
      <c r="N26" s="283">
        <f>'Revenue matching'!N46</f>
        <v>0</v>
      </c>
      <c r="O26" s="283">
        <f>'Revenue matching'!O46</f>
        <v>0</v>
      </c>
      <c r="P26" s="283">
        <f>'Revenue matching'!P46</f>
        <v>0</v>
      </c>
      <c r="Q26" s="283">
        <f>'Revenue matching'!Q46</f>
        <v>0</v>
      </c>
      <c r="R26" s="283">
        <f>'Revenue matching'!R46</f>
        <v>0.21808178761874586</v>
      </c>
      <c r="S26" s="283">
        <f>'Revenue matching'!S46</f>
        <v>0.21808178761874586</v>
      </c>
      <c r="T26" s="283">
        <f>'Revenue matching'!T46</f>
        <v>0.21808178761874586</v>
      </c>
      <c r="U26" s="283">
        <f>'Revenue matching'!U46</f>
        <v>0.21808178761874586</v>
      </c>
      <c r="V26" s="283">
        <f>'Revenue matching'!V46</f>
        <v>0.21808178761874586</v>
      </c>
      <c r="W26" s="283">
        <f>'Revenue matching'!W46</f>
        <v>0.13269223171545519</v>
      </c>
      <c r="X26" s="283">
        <f>'Revenue matching'!X46</f>
        <v>0.13269223171545519</v>
      </c>
      <c r="Y26" s="283">
        <f>'Revenue matching'!Y46</f>
        <v>0.13269223171545519</v>
      </c>
      <c r="Z26" s="283">
        <f>'Revenue matching'!Z46</f>
        <v>0.13269223171545519</v>
      </c>
      <c r="AA26" s="283">
        <f>'Revenue matching'!AA46</f>
        <v>0.13269223171545519</v>
      </c>
      <c r="AB26" s="283">
        <f>'Revenue matching'!AB46</f>
        <v>5.8701869092401909E-2</v>
      </c>
      <c r="AC26" s="283">
        <f>'Revenue matching'!AC46</f>
        <v>5.8701869092401909E-2</v>
      </c>
      <c r="AD26" s="283">
        <f>'Revenue matching'!AD46</f>
        <v>5.8701869092401909E-2</v>
      </c>
      <c r="AE26" s="283">
        <f>'Revenue matching'!AE46</f>
        <v>5.8701869092401909E-2</v>
      </c>
      <c r="AF26" s="283">
        <f>'Revenue matching'!AF46</f>
        <v>5.8701869092401909E-2</v>
      </c>
      <c r="AG26" s="283">
        <f>'Revenue matching'!AG46</f>
        <v>0</v>
      </c>
      <c r="AH26" s="283">
        <f>'Revenue matching'!AH46</f>
        <v>0</v>
      </c>
      <c r="AI26" s="283">
        <f>'Revenue matching'!AI46</f>
        <v>0</v>
      </c>
      <c r="AJ26" s="283">
        <f>'Revenue matching'!AJ46</f>
        <v>0.21538700524373391</v>
      </c>
      <c r="AK26" s="283">
        <f>'Revenue matching'!AK46</f>
        <v>0</v>
      </c>
      <c r="AL26" s="283">
        <f>'Revenue matching'!AL46</f>
        <v>0.16741946552320405</v>
      </c>
      <c r="AM26" s="283">
        <f>'Revenue matching'!AM46</f>
        <v>0</v>
      </c>
      <c r="AN26" s="283">
        <f>'Revenue matching'!AN46</f>
        <v>0.13034882474051146</v>
      </c>
      <c r="AO26" s="283">
        <f>'Revenue matching'!AO46</f>
        <v>0</v>
      </c>
      <c r="AP26" s="267"/>
      <c r="AQ26" s="267"/>
    </row>
    <row r="27" spans="3:43" x14ac:dyDescent="0.3">
      <c r="C27" s="88"/>
      <c r="E27"/>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row>
    <row r="28" spans="3:43" x14ac:dyDescent="0.3">
      <c r="C28" s="31" t="str">
        <f ca="1">INDEX('Version control'!$H$34:$H$57,MATCH($A$1,'Version control'!$F$34:$F$57,0),1)&amp;"-B: Adders for revenue matching"</f>
        <v>Section 117-B: Adders for revenue matching</v>
      </c>
      <c r="D28" s="31"/>
      <c r="E28" s="31"/>
      <c r="F28" s="31"/>
      <c r="G28" s="31"/>
      <c r="H28" s="31"/>
      <c r="I28" s="31"/>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31"/>
      <c r="AQ28" s="31"/>
    </row>
    <row r="29" spans="3:43" x14ac:dyDescent="0.3">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89"/>
      <c r="AO29" s="89"/>
    </row>
    <row r="30" spans="3:43" x14ac:dyDescent="0.3">
      <c r="E30" s="88" t="s">
        <v>1133</v>
      </c>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row>
    <row r="31" spans="3:43" x14ac:dyDescent="0.3">
      <c r="E31" s="29" t="s">
        <v>1134</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row>
    <row r="32" spans="3:43" x14ac:dyDescent="0.3">
      <c r="E32" s="88"/>
      <c r="F32" s="23" t="s">
        <v>156</v>
      </c>
      <c r="G32" s="23" t="s">
        <v>269</v>
      </c>
      <c r="H32" s="278"/>
      <c r="I32" s="266"/>
      <c r="J32" s="271">
        <f>'Revenue matching'!J412</f>
        <v>0</v>
      </c>
      <c r="K32" s="271">
        <f>'Revenue matching'!K412</f>
        <v>0</v>
      </c>
      <c r="L32" s="271">
        <f>'Revenue matching'!L412</f>
        <v>0</v>
      </c>
      <c r="M32" s="271">
        <f>'Revenue matching'!M412</f>
        <v>0</v>
      </c>
      <c r="N32" s="271">
        <f>'Revenue matching'!N412</f>
        <v>0</v>
      </c>
      <c r="O32" s="271">
        <f>'Revenue matching'!O412</f>
        <v>0</v>
      </c>
      <c r="P32" s="271">
        <f>'Revenue matching'!P412</f>
        <v>0</v>
      </c>
      <c r="Q32" s="271">
        <f>'Revenue matching'!Q412</f>
        <v>0</v>
      </c>
      <c r="R32" s="271">
        <f>'Revenue matching'!R412</f>
        <v>0</v>
      </c>
      <c r="S32" s="271">
        <f>'Revenue matching'!S412</f>
        <v>0</v>
      </c>
      <c r="T32" s="271">
        <f>'Revenue matching'!T412</f>
        <v>0</v>
      </c>
      <c r="U32" s="271">
        <f>'Revenue matching'!U412</f>
        <v>0</v>
      </c>
      <c r="V32" s="271">
        <f>'Revenue matching'!V412</f>
        <v>0</v>
      </c>
      <c r="W32" s="271">
        <f>'Revenue matching'!W412</f>
        <v>0</v>
      </c>
      <c r="X32" s="271">
        <f>'Revenue matching'!X412</f>
        <v>0</v>
      </c>
      <c r="Y32" s="271">
        <f>'Revenue matching'!Y412</f>
        <v>0</v>
      </c>
      <c r="Z32" s="271">
        <f>'Revenue matching'!Z412</f>
        <v>0</v>
      </c>
      <c r="AA32" s="271">
        <f>'Revenue matching'!AA412</f>
        <v>0</v>
      </c>
      <c r="AB32" s="271">
        <f>'Revenue matching'!AB412</f>
        <v>0</v>
      </c>
      <c r="AC32" s="271">
        <f>'Revenue matching'!AC412</f>
        <v>0</v>
      </c>
      <c r="AD32" s="271">
        <f>'Revenue matching'!AD412</f>
        <v>0</v>
      </c>
      <c r="AE32" s="271">
        <f>'Revenue matching'!AE412</f>
        <v>0</v>
      </c>
      <c r="AF32" s="271">
        <f>'Revenue matching'!AF412</f>
        <v>0</v>
      </c>
      <c r="AG32" s="271">
        <f>'Revenue matching'!AG412</f>
        <v>1.2130914790855392</v>
      </c>
      <c r="AH32" s="271">
        <f>'Revenue matching'!AH412</f>
        <v>0</v>
      </c>
      <c r="AI32" s="271">
        <f>'Revenue matching'!AI412</f>
        <v>0</v>
      </c>
      <c r="AJ32" s="271">
        <f>'Revenue matching'!AJ412</f>
        <v>0</v>
      </c>
      <c r="AK32" s="271">
        <f>'Revenue matching'!AK412</f>
        <v>0</v>
      </c>
      <c r="AL32" s="271">
        <f>'Revenue matching'!AL412</f>
        <v>0</v>
      </c>
      <c r="AM32" s="271">
        <f>'Revenue matching'!AM412</f>
        <v>0</v>
      </c>
      <c r="AN32" s="271">
        <f>'Revenue matching'!AN412</f>
        <v>0</v>
      </c>
      <c r="AO32" s="271">
        <f>'Revenue matching'!AO412</f>
        <v>0</v>
      </c>
      <c r="AP32" s="267"/>
      <c r="AQ32" s="267"/>
    </row>
    <row r="33" spans="3:43" x14ac:dyDescent="0.3">
      <c r="E33" s="88"/>
      <c r="F33" t="s">
        <v>157</v>
      </c>
      <c r="G33" t="s">
        <v>269</v>
      </c>
      <c r="H33" s="279"/>
      <c r="I33" s="267"/>
      <c r="J33" s="272">
        <f>'Revenue matching'!J413</f>
        <v>0</v>
      </c>
      <c r="K33" s="272">
        <f>'Revenue matching'!K413</f>
        <v>0</v>
      </c>
      <c r="L33" s="272">
        <f>'Revenue matching'!L413</f>
        <v>0</v>
      </c>
      <c r="M33" s="272">
        <f>'Revenue matching'!M413</f>
        <v>0</v>
      </c>
      <c r="N33" s="272">
        <f>'Revenue matching'!N413</f>
        <v>0</v>
      </c>
      <c r="O33" s="272">
        <f>'Revenue matching'!O413</f>
        <v>0</v>
      </c>
      <c r="P33" s="272">
        <f>'Revenue matching'!P413</f>
        <v>0</v>
      </c>
      <c r="Q33" s="272">
        <f>'Revenue matching'!Q413</f>
        <v>0</v>
      </c>
      <c r="R33" s="272">
        <f>'Revenue matching'!R413</f>
        <v>0</v>
      </c>
      <c r="S33" s="272">
        <f>'Revenue matching'!S413</f>
        <v>0</v>
      </c>
      <c r="T33" s="272">
        <f>'Revenue matching'!T413</f>
        <v>0</v>
      </c>
      <c r="U33" s="272">
        <f>'Revenue matching'!U413</f>
        <v>0</v>
      </c>
      <c r="V33" s="272">
        <f>'Revenue matching'!V413</f>
        <v>0</v>
      </c>
      <c r="W33" s="272">
        <f>'Revenue matching'!W413</f>
        <v>0</v>
      </c>
      <c r="X33" s="272">
        <f>'Revenue matching'!X413</f>
        <v>0</v>
      </c>
      <c r="Y33" s="272">
        <f>'Revenue matching'!Y413</f>
        <v>0</v>
      </c>
      <c r="Z33" s="272">
        <f>'Revenue matching'!Z413</f>
        <v>0</v>
      </c>
      <c r="AA33" s="272">
        <f>'Revenue matching'!AA413</f>
        <v>0</v>
      </c>
      <c r="AB33" s="272">
        <f>'Revenue matching'!AB413</f>
        <v>0</v>
      </c>
      <c r="AC33" s="272">
        <f>'Revenue matching'!AC413</f>
        <v>0</v>
      </c>
      <c r="AD33" s="272">
        <f>'Revenue matching'!AD413</f>
        <v>0</v>
      </c>
      <c r="AE33" s="272">
        <f>'Revenue matching'!AE413</f>
        <v>0</v>
      </c>
      <c r="AF33" s="272">
        <f>'Revenue matching'!AF413</f>
        <v>0</v>
      </c>
      <c r="AG33" s="272">
        <f>'Revenue matching'!AG413</f>
        <v>1.2130914790855392</v>
      </c>
      <c r="AH33" s="272">
        <f>'Revenue matching'!AH413</f>
        <v>0</v>
      </c>
      <c r="AI33" s="272">
        <f>'Revenue matching'!AI413</f>
        <v>0</v>
      </c>
      <c r="AJ33" s="272">
        <f>'Revenue matching'!AJ413</f>
        <v>0</v>
      </c>
      <c r="AK33" s="272">
        <f>'Revenue matching'!AK413</f>
        <v>0</v>
      </c>
      <c r="AL33" s="272">
        <f>'Revenue matching'!AL413</f>
        <v>0</v>
      </c>
      <c r="AM33" s="272">
        <f>'Revenue matching'!AM413</f>
        <v>0</v>
      </c>
      <c r="AN33" s="272">
        <f>'Revenue matching'!AN413</f>
        <v>0</v>
      </c>
      <c r="AO33" s="272">
        <f>'Revenue matching'!AO413</f>
        <v>0</v>
      </c>
      <c r="AP33" s="267"/>
      <c r="AQ33" s="267"/>
    </row>
    <row r="34" spans="3:43" x14ac:dyDescent="0.3">
      <c r="E34" s="88"/>
      <c r="F34" t="s">
        <v>158</v>
      </c>
      <c r="G34" t="s">
        <v>269</v>
      </c>
      <c r="H34" s="279"/>
      <c r="I34" s="267"/>
      <c r="J34" s="272">
        <f>'Revenue matching'!J414</f>
        <v>0</v>
      </c>
      <c r="K34" s="272">
        <f>'Revenue matching'!K414</f>
        <v>0</v>
      </c>
      <c r="L34" s="272">
        <f>'Revenue matching'!L414</f>
        <v>0</v>
      </c>
      <c r="M34" s="272">
        <f>'Revenue matching'!M414</f>
        <v>0</v>
      </c>
      <c r="N34" s="272">
        <f>'Revenue matching'!N414</f>
        <v>0</v>
      </c>
      <c r="O34" s="272">
        <f>'Revenue matching'!O414</f>
        <v>0</v>
      </c>
      <c r="P34" s="272">
        <f>'Revenue matching'!P414</f>
        <v>0</v>
      </c>
      <c r="Q34" s="272">
        <f>'Revenue matching'!Q414</f>
        <v>0</v>
      </c>
      <c r="R34" s="272">
        <f>'Revenue matching'!R414</f>
        <v>0</v>
      </c>
      <c r="S34" s="272">
        <f>'Revenue matching'!S414</f>
        <v>0</v>
      </c>
      <c r="T34" s="272">
        <f>'Revenue matching'!T414</f>
        <v>0</v>
      </c>
      <c r="U34" s="272">
        <f>'Revenue matching'!U414</f>
        <v>0</v>
      </c>
      <c r="V34" s="272">
        <f>'Revenue matching'!V414</f>
        <v>0</v>
      </c>
      <c r="W34" s="272">
        <f>'Revenue matching'!W414</f>
        <v>0</v>
      </c>
      <c r="X34" s="272">
        <f>'Revenue matching'!X414</f>
        <v>0</v>
      </c>
      <c r="Y34" s="272">
        <f>'Revenue matching'!Y414</f>
        <v>0</v>
      </c>
      <c r="Z34" s="272">
        <f>'Revenue matching'!Z414</f>
        <v>0</v>
      </c>
      <c r="AA34" s="272">
        <f>'Revenue matching'!AA414</f>
        <v>0</v>
      </c>
      <c r="AB34" s="272">
        <f>'Revenue matching'!AB414</f>
        <v>0</v>
      </c>
      <c r="AC34" s="272">
        <f>'Revenue matching'!AC414</f>
        <v>0</v>
      </c>
      <c r="AD34" s="272">
        <f>'Revenue matching'!AD414</f>
        <v>0</v>
      </c>
      <c r="AE34" s="272">
        <f>'Revenue matching'!AE414</f>
        <v>0</v>
      </c>
      <c r="AF34" s="272">
        <f>'Revenue matching'!AF414</f>
        <v>0</v>
      </c>
      <c r="AG34" s="272">
        <f>'Revenue matching'!AG414</f>
        <v>1.2130914790855392</v>
      </c>
      <c r="AH34" s="272">
        <f>'Revenue matching'!AH414</f>
        <v>0</v>
      </c>
      <c r="AI34" s="272">
        <f>'Revenue matching'!AI414</f>
        <v>0</v>
      </c>
      <c r="AJ34" s="272">
        <f>'Revenue matching'!AJ414</f>
        <v>0</v>
      </c>
      <c r="AK34" s="272">
        <f>'Revenue matching'!AK414</f>
        <v>0</v>
      </c>
      <c r="AL34" s="272">
        <f>'Revenue matching'!AL414</f>
        <v>0</v>
      </c>
      <c r="AM34" s="272">
        <f>'Revenue matching'!AM414</f>
        <v>0</v>
      </c>
      <c r="AN34" s="272">
        <f>'Revenue matching'!AN414</f>
        <v>0</v>
      </c>
      <c r="AO34" s="272">
        <f>'Revenue matching'!AO414</f>
        <v>0</v>
      </c>
      <c r="AP34" s="267"/>
      <c r="AQ34" s="267"/>
    </row>
    <row r="35" spans="3:43" x14ac:dyDescent="0.3">
      <c r="E35" s="88"/>
      <c r="F35" t="s">
        <v>159</v>
      </c>
      <c r="G35" t="s">
        <v>270</v>
      </c>
      <c r="H35" s="51"/>
      <c r="J35" s="272">
        <f>'Revenue matching'!J415</f>
        <v>11.575615863772923</v>
      </c>
      <c r="K35" s="272">
        <f>'Revenue matching'!K415</f>
        <v>0</v>
      </c>
      <c r="L35" s="272">
        <f>'Revenue matching'!L415</f>
        <v>0</v>
      </c>
      <c r="M35" s="272">
        <f>'Revenue matching'!M415</f>
        <v>4.4663173911016418</v>
      </c>
      <c r="N35" s="272">
        <f>'Revenue matching'!N415</f>
        <v>24.839839843761769</v>
      </c>
      <c r="O35" s="272">
        <f>'Revenue matching'!O415</f>
        <v>60.911589683145792</v>
      </c>
      <c r="P35" s="272">
        <f>'Revenue matching'!P415</f>
        <v>196.41678410719729</v>
      </c>
      <c r="Q35" s="272">
        <f>'Revenue matching'!Q415</f>
        <v>0</v>
      </c>
      <c r="R35" s="272">
        <f>'Revenue matching'!R415</f>
        <v>0</v>
      </c>
      <c r="S35" s="272">
        <f>'Revenue matching'!S415</f>
        <v>290.94073529026377</v>
      </c>
      <c r="T35" s="272">
        <f>'Revenue matching'!T415</f>
        <v>537.71688363377314</v>
      </c>
      <c r="U35" s="272">
        <f>'Revenue matching'!U415</f>
        <v>833.72913964977818</v>
      </c>
      <c r="V35" s="272">
        <f>'Revenue matching'!V415</f>
        <v>1301.6689879388696</v>
      </c>
      <c r="W35" s="272">
        <f>'Revenue matching'!W415</f>
        <v>0</v>
      </c>
      <c r="X35" s="272">
        <f>'Revenue matching'!X415</f>
        <v>290.94073529026377</v>
      </c>
      <c r="Y35" s="272">
        <f>'Revenue matching'!Y415</f>
        <v>537.71688363377314</v>
      </c>
      <c r="Z35" s="272">
        <f>'Revenue matching'!Z415</f>
        <v>833.72913964977806</v>
      </c>
      <c r="AA35" s="272">
        <f>'Revenue matching'!AA415</f>
        <v>1301.6689879388691</v>
      </c>
      <c r="AB35" s="272">
        <f>'Revenue matching'!AB415</f>
        <v>0</v>
      </c>
      <c r="AC35" s="272">
        <f>'Revenue matching'!AC415</f>
        <v>1409.0034056808445</v>
      </c>
      <c r="AD35" s="272">
        <f>'Revenue matching'!AD415</f>
        <v>4655.9457790267297</v>
      </c>
      <c r="AE35" s="272">
        <f>'Revenue matching'!AE415</f>
        <v>10378.732203202106</v>
      </c>
      <c r="AF35" s="272">
        <f>'Revenue matching'!AF415</f>
        <v>32016.033355852258</v>
      </c>
      <c r="AG35" s="272">
        <f>'Revenue matching'!AG415</f>
        <v>0</v>
      </c>
      <c r="AH35" s="272">
        <f>'Revenue matching'!AH415</f>
        <v>0</v>
      </c>
      <c r="AI35" s="272">
        <f>'Revenue matching'!AI415</f>
        <v>0</v>
      </c>
      <c r="AJ35" s="272">
        <f>'Revenue matching'!AJ415</f>
        <v>0</v>
      </c>
      <c r="AK35" s="272">
        <f>'Revenue matching'!AK415</f>
        <v>0</v>
      </c>
      <c r="AL35" s="272">
        <f>'Revenue matching'!AL415</f>
        <v>0</v>
      </c>
      <c r="AM35" s="272">
        <f>'Revenue matching'!AM415</f>
        <v>0</v>
      </c>
      <c r="AN35" s="272">
        <f>'Revenue matching'!AN415</f>
        <v>0</v>
      </c>
      <c r="AO35" s="272">
        <f>'Revenue matching'!AO415</f>
        <v>0</v>
      </c>
    </row>
    <row r="36" spans="3:43" x14ac:dyDescent="0.3">
      <c r="E36" s="88"/>
      <c r="F36" t="s">
        <v>160</v>
      </c>
      <c r="G36" t="s">
        <v>271</v>
      </c>
      <c r="H36" s="51"/>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row>
    <row r="37" spans="3:43" x14ac:dyDescent="0.3">
      <c r="E37" s="88"/>
      <c r="F37" t="s">
        <v>161</v>
      </c>
      <c r="G37" t="s">
        <v>271</v>
      </c>
      <c r="H37" s="51"/>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row>
    <row r="38" spans="3:43" x14ac:dyDescent="0.3">
      <c r="E38" s="88"/>
      <c r="F38" s="37" t="s">
        <v>162</v>
      </c>
      <c r="G38" s="37" t="s">
        <v>272</v>
      </c>
      <c r="H38" s="283"/>
      <c r="I38" s="269"/>
      <c r="J38" s="270"/>
      <c r="K38" s="270"/>
      <c r="L38" s="270"/>
      <c r="M38" s="270"/>
      <c r="N38" s="270"/>
      <c r="O38" s="270"/>
      <c r="P38" s="270"/>
      <c r="Q38" s="270"/>
      <c r="R38" s="270"/>
      <c r="S38" s="270"/>
      <c r="T38" s="270"/>
      <c r="U38" s="270"/>
      <c r="V38" s="270"/>
      <c r="W38" s="270"/>
      <c r="X38" s="270"/>
      <c r="Y38" s="270"/>
      <c r="Z38" s="270"/>
      <c r="AA38" s="270"/>
      <c r="AB38" s="270"/>
      <c r="AC38" s="270"/>
      <c r="AD38" s="270"/>
      <c r="AE38" s="270"/>
      <c r="AF38" s="270"/>
      <c r="AG38" s="270"/>
      <c r="AH38" s="270"/>
      <c r="AI38" s="270"/>
      <c r="AJ38" s="270"/>
      <c r="AK38" s="270"/>
      <c r="AL38" s="270"/>
      <c r="AM38" s="270"/>
      <c r="AN38" s="270"/>
      <c r="AO38" s="270"/>
      <c r="AP38" s="267"/>
      <c r="AQ38" s="267"/>
    </row>
    <row r="39" spans="3:43" x14ac:dyDescent="0.3">
      <c r="D39" s="88"/>
      <c r="E39"/>
    </row>
    <row r="40" spans="3:43" x14ac:dyDescent="0.3">
      <c r="C40" s="31" t="str">
        <f ca="1">INDEX('Version control'!$H$34:$H$57,MATCH($A$1,'Version control'!$F$34:$F$57,0),1)&amp;"-C: Adder to fixed charge for allocated pass-through costs"</f>
        <v>Section 117-C: Adder to fixed charge for allocated pass-through costs</v>
      </c>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row>
    <row r="42" spans="3:43" x14ac:dyDescent="0.3">
      <c r="E42" s="88" t="s">
        <v>877</v>
      </c>
    </row>
    <row r="43" spans="3:43" x14ac:dyDescent="0.3">
      <c r="E43" s="29" t="s">
        <v>889</v>
      </c>
    </row>
    <row r="44" spans="3:43" x14ac:dyDescent="0.3">
      <c r="E44" s="88"/>
      <c r="F44" s="23" t="s">
        <v>156</v>
      </c>
      <c r="G44" s="23" t="s">
        <v>269</v>
      </c>
      <c r="H44" s="278"/>
      <c r="I44" s="266"/>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row>
    <row r="45" spans="3:43" x14ac:dyDescent="0.3">
      <c r="E45" s="88"/>
      <c r="F45" t="s">
        <v>157</v>
      </c>
      <c r="G45" t="s">
        <v>269</v>
      </c>
      <c r="H45" s="279"/>
      <c r="I45" s="267"/>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row>
    <row r="46" spans="3:43" x14ac:dyDescent="0.3">
      <c r="E46" s="88"/>
      <c r="F46" t="s">
        <v>158</v>
      </c>
      <c r="G46" t="s">
        <v>269</v>
      </c>
      <c r="H46" s="279"/>
      <c r="I46" s="267"/>
      <c r="J46" s="79"/>
      <c r="K46" s="79"/>
      <c r="L46" s="79"/>
      <c r="M46" s="79"/>
      <c r="N46" s="79"/>
      <c r="O46" s="79"/>
      <c r="P46" s="79"/>
      <c r="Q46" s="79"/>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row>
    <row r="47" spans="3:43" x14ac:dyDescent="0.3">
      <c r="E47" s="88"/>
      <c r="F47" t="s">
        <v>159</v>
      </c>
      <c r="G47" t="s">
        <v>270</v>
      </c>
      <c r="H47" s="51"/>
      <c r="J47" s="121">
        <f>'Revenue matching'!J48</f>
        <v>9.4185089559576216</v>
      </c>
      <c r="K47" s="121">
        <f>'Revenue matching'!K48</f>
        <v>0</v>
      </c>
      <c r="L47" s="121">
        <f>'Revenue matching'!L48</f>
        <v>6.7209034716197477E-2</v>
      </c>
      <c r="M47" s="121">
        <f>'Revenue matching'!M48</f>
        <v>6.7209034716197477E-2</v>
      </c>
      <c r="N47" s="121">
        <f>'Revenue matching'!N48</f>
        <v>6.7209034716197477E-2</v>
      </c>
      <c r="O47" s="121">
        <f>'Revenue matching'!O48</f>
        <v>6.7209034716197477E-2</v>
      </c>
      <c r="P47" s="121">
        <f>'Revenue matching'!P48</f>
        <v>6.7209034716197477E-2</v>
      </c>
      <c r="Q47" s="121">
        <f>'Revenue matching'!Q48</f>
        <v>0</v>
      </c>
      <c r="R47" s="121">
        <f>'Revenue matching'!R48</f>
        <v>6.7209034716197477E-2</v>
      </c>
      <c r="S47" s="121">
        <f>'Revenue matching'!S48</f>
        <v>6.7209034716197477E-2</v>
      </c>
      <c r="T47" s="121">
        <f>'Revenue matching'!T48</f>
        <v>6.7209034716197477E-2</v>
      </c>
      <c r="U47" s="121">
        <f>'Revenue matching'!U48</f>
        <v>6.7209034716197477E-2</v>
      </c>
      <c r="V47" s="121">
        <f>'Revenue matching'!V48</f>
        <v>6.7209034716197477E-2</v>
      </c>
      <c r="W47" s="121">
        <f>'Revenue matching'!W48</f>
        <v>6.7209034716197477E-2</v>
      </c>
      <c r="X47" s="121">
        <f>'Revenue matching'!X48</f>
        <v>6.7209034716197477E-2</v>
      </c>
      <c r="Y47" s="121">
        <f>'Revenue matching'!Y48</f>
        <v>6.7209034716197477E-2</v>
      </c>
      <c r="Z47" s="121">
        <f>'Revenue matching'!Z48</f>
        <v>6.7209034716197477E-2</v>
      </c>
      <c r="AA47" s="121">
        <f>'Revenue matching'!AA48</f>
        <v>6.7209034716197477E-2</v>
      </c>
      <c r="AB47" s="121">
        <f>'Revenue matching'!AB48</f>
        <v>6.7209034716197477E-2</v>
      </c>
      <c r="AC47" s="121">
        <f>'Revenue matching'!AC48</f>
        <v>6.7209034716197477E-2</v>
      </c>
      <c r="AD47" s="121">
        <f>'Revenue matching'!AD48</f>
        <v>6.7209034716197477E-2</v>
      </c>
      <c r="AE47" s="121">
        <f>'Revenue matching'!AE48</f>
        <v>6.7209034716197477E-2</v>
      </c>
      <c r="AF47" s="121">
        <f>'Revenue matching'!AF48</f>
        <v>6.7209034716197477E-2</v>
      </c>
      <c r="AG47" s="121">
        <f>'Revenue matching'!AG48</f>
        <v>0</v>
      </c>
      <c r="AH47" s="121">
        <f>'Revenue matching'!AH48</f>
        <v>0</v>
      </c>
      <c r="AI47" s="121">
        <f>'Revenue matching'!AI48</f>
        <v>0</v>
      </c>
      <c r="AJ47" s="121">
        <f>'Revenue matching'!AJ48</f>
        <v>0</v>
      </c>
      <c r="AK47" s="121">
        <f>'Revenue matching'!AK48</f>
        <v>0</v>
      </c>
      <c r="AL47" s="121">
        <f>'Revenue matching'!AL48</f>
        <v>0</v>
      </c>
      <c r="AM47" s="121">
        <f>'Revenue matching'!AM48</f>
        <v>0</v>
      </c>
      <c r="AN47" s="121">
        <f>'Revenue matching'!AN48</f>
        <v>0</v>
      </c>
      <c r="AO47" s="121">
        <f>'Revenue matching'!AO48</f>
        <v>0</v>
      </c>
    </row>
    <row r="48" spans="3:43" x14ac:dyDescent="0.3">
      <c r="E48" s="88"/>
      <c r="F48" t="s">
        <v>160</v>
      </c>
      <c r="G48" t="s">
        <v>271</v>
      </c>
      <c r="H48" s="51"/>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row>
    <row r="49" spans="3:43" x14ac:dyDescent="0.3">
      <c r="E49" s="88"/>
      <c r="F49" t="s">
        <v>161</v>
      </c>
      <c r="G49" t="s">
        <v>271</v>
      </c>
      <c r="H49" s="51"/>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row>
    <row r="50" spans="3:43" x14ac:dyDescent="0.3">
      <c r="E50" s="88"/>
      <c r="F50" s="37" t="s">
        <v>162</v>
      </c>
      <c r="G50" s="37" t="s">
        <v>272</v>
      </c>
      <c r="H50" s="283"/>
      <c r="I50" s="269"/>
      <c r="J50" s="270"/>
      <c r="K50" s="270"/>
      <c r="L50" s="270"/>
      <c r="M50" s="270"/>
      <c r="N50" s="270"/>
      <c r="O50" s="270"/>
      <c r="P50" s="270"/>
      <c r="Q50" s="270"/>
      <c r="R50" s="270"/>
      <c r="S50" s="270"/>
      <c r="T50" s="270"/>
      <c r="U50" s="270"/>
      <c r="V50" s="270"/>
      <c r="W50" s="270"/>
      <c r="X50" s="270"/>
      <c r="Y50" s="270"/>
      <c r="Z50" s="270"/>
      <c r="AA50" s="270"/>
      <c r="AB50" s="270"/>
      <c r="AC50" s="270"/>
      <c r="AD50" s="270"/>
      <c r="AE50" s="270"/>
      <c r="AF50" s="270"/>
      <c r="AG50" s="270"/>
      <c r="AH50" s="270"/>
      <c r="AI50" s="270"/>
      <c r="AJ50" s="270"/>
      <c r="AK50" s="270"/>
      <c r="AL50" s="270"/>
      <c r="AM50" s="270"/>
      <c r="AN50" s="270"/>
      <c r="AO50" s="270"/>
    </row>
    <row r="51" spans="3:43" x14ac:dyDescent="0.3">
      <c r="D51" s="88"/>
      <c r="E51"/>
    </row>
    <row r="52" spans="3:43" x14ac:dyDescent="0.3">
      <c r="C52" s="31" t="str">
        <f ca="1">INDEX('Version control'!$H$34:$H$57,MATCH($A$1,'Version control'!$F$34:$F$57,0),1)&amp;"-D: LDNO discounts"</f>
        <v>Section 117-D: LDNO discounts</v>
      </c>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row>
    <row r="54" spans="3:43" x14ac:dyDescent="0.3">
      <c r="E54" s="51"/>
      <c r="F54" s="378" t="s">
        <v>1010</v>
      </c>
      <c r="G54" s="378" t="s">
        <v>149</v>
      </c>
      <c r="J54" s="51">
        <f>'Fixed inputs'!J169</f>
        <v>1</v>
      </c>
      <c r="K54" s="51">
        <f>'Fixed inputs'!K169</f>
        <v>2</v>
      </c>
      <c r="L54" s="51">
        <f>'Fixed inputs'!L169</f>
        <v>3</v>
      </c>
      <c r="M54" s="51">
        <f>'Fixed inputs'!M169</f>
        <v>3</v>
      </c>
      <c r="N54" s="51">
        <f>'Fixed inputs'!N169</f>
        <v>3</v>
      </c>
      <c r="O54" s="51">
        <f>'Fixed inputs'!O169</f>
        <v>3</v>
      </c>
      <c r="P54" s="51">
        <f>'Fixed inputs'!P169</f>
        <v>3</v>
      </c>
      <c r="Q54" s="51">
        <f>'Fixed inputs'!Q169</f>
        <v>4</v>
      </c>
      <c r="R54" s="51">
        <f>'Fixed inputs'!R169</f>
        <v>5</v>
      </c>
      <c r="S54" s="51">
        <f>'Fixed inputs'!S169</f>
        <v>5</v>
      </c>
      <c r="T54" s="51">
        <f>'Fixed inputs'!T169</f>
        <v>5</v>
      </c>
      <c r="U54" s="51">
        <f>'Fixed inputs'!U169</f>
        <v>5</v>
      </c>
      <c r="V54" s="51">
        <f>'Fixed inputs'!V169</f>
        <v>5</v>
      </c>
      <c r="W54" s="51">
        <f>'Fixed inputs'!W169</f>
        <v>6</v>
      </c>
      <c r="X54" s="51">
        <f>'Fixed inputs'!X169</f>
        <v>6</v>
      </c>
      <c r="Y54" s="51">
        <f>'Fixed inputs'!Y169</f>
        <v>6</v>
      </c>
      <c r="Z54" s="51">
        <f>'Fixed inputs'!Z169</f>
        <v>6</v>
      </c>
      <c r="AA54" s="51">
        <f>'Fixed inputs'!AA169</f>
        <v>6</v>
      </c>
      <c r="AB54" s="51">
        <f>'Fixed inputs'!AB169</f>
        <v>7</v>
      </c>
      <c r="AC54" s="51">
        <f>'Fixed inputs'!AC169</f>
        <v>7</v>
      </c>
      <c r="AD54" s="51">
        <f>'Fixed inputs'!AD169</f>
        <v>7</v>
      </c>
      <c r="AE54" s="51">
        <f>'Fixed inputs'!AE169</f>
        <v>7</v>
      </c>
      <c r="AF54" s="51">
        <f>'Fixed inputs'!AF169</f>
        <v>7</v>
      </c>
      <c r="AG54" s="51">
        <f>'Fixed inputs'!AG169</f>
        <v>8</v>
      </c>
      <c r="AH54" s="51">
        <f>'Fixed inputs'!AH169</f>
        <v>9</v>
      </c>
      <c r="AI54" s="51">
        <f>'Fixed inputs'!AI169</f>
        <v>10</v>
      </c>
      <c r="AJ54" s="51">
        <f>'Fixed inputs'!AJ169</f>
        <v>11</v>
      </c>
      <c r="AK54" s="51">
        <f>'Fixed inputs'!AK169</f>
        <v>12</v>
      </c>
      <c r="AL54" s="51">
        <f>'Fixed inputs'!AL169</f>
        <v>13</v>
      </c>
      <c r="AM54" s="51">
        <f>'Fixed inputs'!AM169</f>
        <v>14</v>
      </c>
      <c r="AN54" s="51">
        <f>'Fixed inputs'!AN169</f>
        <v>15</v>
      </c>
      <c r="AO54" s="51">
        <f>'Fixed inputs'!AO169</f>
        <v>16</v>
      </c>
    </row>
    <row r="56" spans="3:43" ht="43.2" x14ac:dyDescent="0.3">
      <c r="E56" s="88" t="s">
        <v>748</v>
      </c>
      <c r="I56" t="s">
        <v>154</v>
      </c>
      <c r="J56" s="236" t="s">
        <v>829</v>
      </c>
      <c r="K56" s="236" t="s">
        <v>831</v>
      </c>
      <c r="L56" s="236" t="s">
        <v>830</v>
      </c>
      <c r="M56" s="236" t="s">
        <v>832</v>
      </c>
      <c r="N56" s="236" t="s">
        <v>838</v>
      </c>
      <c r="O56" s="236" t="s">
        <v>839</v>
      </c>
      <c r="P56" s="236" t="s">
        <v>840</v>
      </c>
      <c r="Q56" s="236" t="s">
        <v>841</v>
      </c>
      <c r="R56" s="236" t="s">
        <v>833</v>
      </c>
      <c r="S56" s="236" t="s">
        <v>834</v>
      </c>
      <c r="T56" s="236" t="s">
        <v>835</v>
      </c>
      <c r="U56" s="236" t="s">
        <v>844</v>
      </c>
      <c r="V56" s="236" t="s">
        <v>836</v>
      </c>
      <c r="W56" s="236" t="s">
        <v>843</v>
      </c>
      <c r="X56" s="236" t="s">
        <v>837</v>
      </c>
      <c r="Y56" s="236" t="s">
        <v>842</v>
      </c>
    </row>
    <row r="57" spans="3:43" x14ac:dyDescent="0.3">
      <c r="E57" s="88"/>
      <c r="F57" s="23" t="s">
        <v>156</v>
      </c>
      <c r="G57" s="23" t="s">
        <v>167</v>
      </c>
      <c r="H57" s="174"/>
      <c r="I57" s="23"/>
      <c r="J57" s="343">
        <f>'Volume adjustments'!J315</f>
        <v>0.33736714141938473</v>
      </c>
      <c r="K57" s="343">
        <f>'Volume adjustments'!K315</f>
        <v>0.33736714141938473</v>
      </c>
      <c r="L57" s="343">
        <f>'Volume adjustments'!L315</f>
        <v>0.33736714141938473</v>
      </c>
      <c r="M57" s="343">
        <f>'Volume adjustments'!M315</f>
        <v>0.33736714141938473</v>
      </c>
      <c r="N57" s="343">
        <f>'Volume adjustments'!N315</f>
        <v>0.33736714141938473</v>
      </c>
      <c r="O57" s="343">
        <f>'Volume adjustments'!O315</f>
        <v>0</v>
      </c>
      <c r="P57" s="343">
        <f>'Volume adjustments'!P315</f>
        <v>0</v>
      </c>
      <c r="Q57" s="343">
        <f>'Volume adjustments'!Q315</f>
        <v>0.33736714141938473</v>
      </c>
      <c r="R57" s="343">
        <f>'Volume adjustments'!R315</f>
        <v>0</v>
      </c>
      <c r="S57" s="343">
        <f>'Volume adjustments'!S315</f>
        <v>0</v>
      </c>
      <c r="T57" s="343">
        <f>'Volume adjustments'!T315</f>
        <v>0</v>
      </c>
      <c r="U57" s="343">
        <f>'Volume adjustments'!U315</f>
        <v>0</v>
      </c>
      <c r="V57" s="343">
        <f>'Volume adjustments'!V315</f>
        <v>0</v>
      </c>
      <c r="W57" s="343">
        <f>'Volume adjustments'!W315</f>
        <v>0</v>
      </c>
      <c r="X57" s="343">
        <f>'Volume adjustments'!X315</f>
        <v>0</v>
      </c>
      <c r="Y57" s="343">
        <f>'Volume adjustments'!Y315</f>
        <v>0</v>
      </c>
    </row>
    <row r="58" spans="3:43" x14ac:dyDescent="0.3">
      <c r="E58" s="88"/>
      <c r="F58" t="s">
        <v>157</v>
      </c>
      <c r="G58" t="s">
        <v>167</v>
      </c>
      <c r="H58" s="51"/>
      <c r="J58" s="344">
        <f>'Volume adjustments'!J316</f>
        <v>0.33736714141938473</v>
      </c>
      <c r="K58" s="344">
        <f>'Volume adjustments'!K316</f>
        <v>0.33736714141938473</v>
      </c>
      <c r="L58" s="344">
        <f>'Volume adjustments'!L316</f>
        <v>0.33736714141938473</v>
      </c>
      <c r="M58" s="344">
        <f>'Volume adjustments'!M316</f>
        <v>0.33736714141938473</v>
      </c>
      <c r="N58" s="344">
        <f>'Volume adjustments'!N316</f>
        <v>0.33736714141938473</v>
      </c>
      <c r="O58" s="344">
        <f>'Volume adjustments'!O316</f>
        <v>0</v>
      </c>
      <c r="P58" s="344">
        <f>'Volume adjustments'!P316</f>
        <v>0</v>
      </c>
      <c r="Q58" s="344">
        <f>'Volume adjustments'!Q316</f>
        <v>0.33736714141938473</v>
      </c>
      <c r="R58" s="344">
        <f>'Volume adjustments'!R316</f>
        <v>0</v>
      </c>
      <c r="S58" s="344">
        <f>'Volume adjustments'!S316</f>
        <v>0</v>
      </c>
      <c r="T58" s="344">
        <f>'Volume adjustments'!T316</f>
        <v>0</v>
      </c>
      <c r="U58" s="344">
        <f>'Volume adjustments'!U316</f>
        <v>0</v>
      </c>
      <c r="V58" s="344">
        <f>'Volume adjustments'!V316</f>
        <v>0</v>
      </c>
      <c r="W58" s="344">
        <f>'Volume adjustments'!W316</f>
        <v>0</v>
      </c>
      <c r="X58" s="344">
        <f>'Volume adjustments'!X316</f>
        <v>0</v>
      </c>
      <c r="Y58" s="344">
        <f>'Volume adjustments'!Y316</f>
        <v>0</v>
      </c>
    </row>
    <row r="59" spans="3:43" x14ac:dyDescent="0.3">
      <c r="E59" s="88"/>
      <c r="F59" t="s">
        <v>158</v>
      </c>
      <c r="G59" t="s">
        <v>167</v>
      </c>
      <c r="H59" s="51"/>
      <c r="J59" s="344">
        <f>'Volume adjustments'!J317</f>
        <v>0.33736714141938473</v>
      </c>
      <c r="K59" s="344">
        <f>'Volume adjustments'!K317</f>
        <v>0.33736714141938473</v>
      </c>
      <c r="L59" s="344">
        <f>'Volume adjustments'!L317</f>
        <v>0.33736714141938473</v>
      </c>
      <c r="M59" s="344">
        <f>'Volume adjustments'!M317</f>
        <v>0.33736714141938473</v>
      </c>
      <c r="N59" s="344">
        <f>'Volume adjustments'!N317</f>
        <v>0.33736714141938473</v>
      </c>
      <c r="O59" s="344">
        <f>'Volume adjustments'!O317</f>
        <v>0</v>
      </c>
      <c r="P59" s="344">
        <f>'Volume adjustments'!P317</f>
        <v>0</v>
      </c>
      <c r="Q59" s="344">
        <f>'Volume adjustments'!Q317</f>
        <v>0.33736714141938473</v>
      </c>
      <c r="R59" s="344">
        <f>'Volume adjustments'!R317</f>
        <v>0</v>
      </c>
      <c r="S59" s="344">
        <f>'Volume adjustments'!S317</f>
        <v>0</v>
      </c>
      <c r="T59" s="344">
        <f>'Volume adjustments'!T317</f>
        <v>0</v>
      </c>
      <c r="U59" s="344">
        <f>'Volume adjustments'!U317</f>
        <v>0</v>
      </c>
      <c r="V59" s="344">
        <f>'Volume adjustments'!V317</f>
        <v>0</v>
      </c>
      <c r="W59" s="344">
        <f>'Volume adjustments'!W317</f>
        <v>0</v>
      </c>
      <c r="X59" s="344">
        <f>'Volume adjustments'!X317</f>
        <v>0</v>
      </c>
      <c r="Y59" s="344">
        <f>'Volume adjustments'!Y317</f>
        <v>0</v>
      </c>
    </row>
    <row r="60" spans="3:43" x14ac:dyDescent="0.3">
      <c r="E60" s="88"/>
      <c r="F60" t="s">
        <v>159</v>
      </c>
      <c r="G60" t="s">
        <v>167</v>
      </c>
      <c r="H60" s="51"/>
      <c r="J60" s="344">
        <f>'Volume adjustments'!J318</f>
        <v>0.33736714141938473</v>
      </c>
      <c r="K60" s="344">
        <f>'Volume adjustments'!K318</f>
        <v>0.33736714141938473</v>
      </c>
      <c r="L60" s="344">
        <f>'Volume adjustments'!L318</f>
        <v>0.33736714141938473</v>
      </c>
      <c r="M60" s="344">
        <f>'Volume adjustments'!M318</f>
        <v>0.33736714141938473</v>
      </c>
      <c r="N60" s="344">
        <f>'Volume adjustments'!N318</f>
        <v>0.33736714141938473</v>
      </c>
      <c r="O60" s="344">
        <f>'Volume adjustments'!O318</f>
        <v>0</v>
      </c>
      <c r="P60" s="344">
        <f>'Volume adjustments'!P318</f>
        <v>0</v>
      </c>
      <c r="Q60" s="344">
        <f>'Volume adjustments'!Q318</f>
        <v>0.33736714141938473</v>
      </c>
      <c r="R60" s="344">
        <f>'Volume adjustments'!R318</f>
        <v>1</v>
      </c>
      <c r="S60" s="344">
        <f>'Volume adjustments'!S318</f>
        <v>1</v>
      </c>
      <c r="T60" s="344">
        <f>'Volume adjustments'!T318</f>
        <v>1</v>
      </c>
      <c r="U60" s="344">
        <f>'Volume adjustments'!U318</f>
        <v>1</v>
      </c>
      <c r="V60" s="344">
        <f>'Volume adjustments'!V318</f>
        <v>1</v>
      </c>
      <c r="W60" s="344">
        <f>'Volume adjustments'!W318</f>
        <v>1</v>
      </c>
      <c r="X60" s="344">
        <f>'Volume adjustments'!X318</f>
        <v>1</v>
      </c>
      <c r="Y60" s="344">
        <f>'Volume adjustments'!Y318</f>
        <v>1</v>
      </c>
    </row>
    <row r="61" spans="3:43" x14ac:dyDescent="0.3">
      <c r="E61" s="88"/>
      <c r="F61" t="s">
        <v>160</v>
      </c>
      <c r="G61" t="s">
        <v>167</v>
      </c>
      <c r="H61" s="51"/>
      <c r="J61" s="344">
        <f>'Volume adjustments'!J319</f>
        <v>0.33736714141938473</v>
      </c>
      <c r="K61" s="344">
        <f>'Volume adjustments'!K319</f>
        <v>0.33736714141938473</v>
      </c>
      <c r="L61" s="344">
        <f>'Volume adjustments'!L319</f>
        <v>0.33736714141938473</v>
      </c>
      <c r="M61" s="344">
        <f>'Volume adjustments'!M319</f>
        <v>0.33736714141938473</v>
      </c>
      <c r="N61" s="344">
        <f>'Volume adjustments'!N319</f>
        <v>0.33736714141938473</v>
      </c>
      <c r="O61" s="344">
        <f>'Volume adjustments'!O319</f>
        <v>0</v>
      </c>
      <c r="P61" s="344">
        <f>'Volume adjustments'!P319</f>
        <v>0</v>
      </c>
      <c r="Q61" s="344">
        <f>'Volume adjustments'!Q319</f>
        <v>0.33736714141938473</v>
      </c>
      <c r="R61" s="344">
        <f>'Volume adjustments'!R319</f>
        <v>0</v>
      </c>
      <c r="S61" s="344">
        <f>'Volume adjustments'!S319</f>
        <v>0</v>
      </c>
      <c r="T61" s="344">
        <f>'Volume adjustments'!T319</f>
        <v>0</v>
      </c>
      <c r="U61" s="344">
        <f>'Volume adjustments'!U319</f>
        <v>0</v>
      </c>
      <c r="V61" s="344">
        <f>'Volume adjustments'!V319</f>
        <v>0</v>
      </c>
      <c r="W61" s="344">
        <f>'Volume adjustments'!W319</f>
        <v>0</v>
      </c>
      <c r="X61" s="344">
        <f>'Volume adjustments'!X319</f>
        <v>0</v>
      </c>
      <c r="Y61" s="344">
        <f>'Volume adjustments'!Y319</f>
        <v>0</v>
      </c>
    </row>
    <row r="62" spans="3:43" x14ac:dyDescent="0.3">
      <c r="E62" s="88"/>
      <c r="F62" t="s">
        <v>161</v>
      </c>
      <c r="G62" t="s">
        <v>167</v>
      </c>
      <c r="H62" s="51"/>
      <c r="J62" s="344">
        <f>'Volume adjustments'!J320</f>
        <v>0.33736714141938473</v>
      </c>
      <c r="K62" s="344">
        <f>'Volume adjustments'!K320</f>
        <v>0.33736714141938473</v>
      </c>
      <c r="L62" s="344">
        <f>'Volume adjustments'!L320</f>
        <v>0.33736714141938473</v>
      </c>
      <c r="M62" s="344">
        <f>'Volume adjustments'!M320</f>
        <v>0.33736714141938473</v>
      </c>
      <c r="N62" s="344">
        <f>'Volume adjustments'!N320</f>
        <v>0.33736714141938473</v>
      </c>
      <c r="O62" s="344">
        <f>'Volume adjustments'!O320</f>
        <v>0</v>
      </c>
      <c r="P62" s="344">
        <f>'Volume adjustments'!P320</f>
        <v>0</v>
      </c>
      <c r="Q62" s="344">
        <f>'Volume adjustments'!Q320</f>
        <v>0.33736714141938473</v>
      </c>
      <c r="R62" s="344">
        <f>'Volume adjustments'!R320</f>
        <v>0</v>
      </c>
      <c r="S62" s="344">
        <f>'Volume adjustments'!S320</f>
        <v>0</v>
      </c>
      <c r="T62" s="344">
        <f>'Volume adjustments'!T320</f>
        <v>0</v>
      </c>
      <c r="U62" s="344">
        <f>'Volume adjustments'!U320</f>
        <v>0</v>
      </c>
      <c r="V62" s="344">
        <f>'Volume adjustments'!V320</f>
        <v>0</v>
      </c>
      <c r="W62" s="344">
        <f>'Volume adjustments'!W320</f>
        <v>0</v>
      </c>
      <c r="X62" s="344">
        <f>'Volume adjustments'!X320</f>
        <v>0</v>
      </c>
      <c r="Y62" s="344">
        <f>'Volume adjustments'!Y320</f>
        <v>0</v>
      </c>
    </row>
    <row r="63" spans="3:43" x14ac:dyDescent="0.3">
      <c r="E63" s="88"/>
      <c r="F63" s="37" t="s">
        <v>162</v>
      </c>
      <c r="G63" s="37" t="s">
        <v>167</v>
      </c>
      <c r="H63" s="211"/>
      <c r="I63" s="37"/>
      <c r="J63" s="345">
        <f>'Volume adjustments'!J321</f>
        <v>0.33736714141938473</v>
      </c>
      <c r="K63" s="345">
        <f>'Volume adjustments'!K321</f>
        <v>0.33736714141938473</v>
      </c>
      <c r="L63" s="345">
        <f>'Volume adjustments'!L321</f>
        <v>0.33736714141938473</v>
      </c>
      <c r="M63" s="345">
        <f>'Volume adjustments'!M321</f>
        <v>0.33736714141938473</v>
      </c>
      <c r="N63" s="345">
        <f>'Volume adjustments'!N321</f>
        <v>0.33736714141938473</v>
      </c>
      <c r="O63" s="345">
        <f>'Volume adjustments'!O321</f>
        <v>0</v>
      </c>
      <c r="P63" s="345">
        <f>'Volume adjustments'!P321</f>
        <v>0</v>
      </c>
      <c r="Q63" s="345">
        <f>'Volume adjustments'!Q321</f>
        <v>0.33736714141938473</v>
      </c>
      <c r="R63" s="345">
        <f>'Volume adjustments'!R321</f>
        <v>0</v>
      </c>
      <c r="S63" s="345">
        <f>'Volume adjustments'!S321</f>
        <v>0</v>
      </c>
      <c r="T63" s="345">
        <f>'Volume adjustments'!T321</f>
        <v>0</v>
      </c>
      <c r="U63" s="345">
        <f>'Volume adjustments'!U321</f>
        <v>0</v>
      </c>
      <c r="V63" s="345">
        <f>'Volume adjustments'!V321</f>
        <v>0</v>
      </c>
      <c r="W63" s="345">
        <f>'Volume adjustments'!W321</f>
        <v>0</v>
      </c>
      <c r="X63" s="345">
        <f>'Volume adjustments'!X321</f>
        <v>0</v>
      </c>
      <c r="Y63" s="345">
        <f>'Volume adjustments'!Y321</f>
        <v>0</v>
      </c>
    </row>
    <row r="64" spans="3:43" x14ac:dyDescent="0.3">
      <c r="E64"/>
    </row>
    <row r="65" spans="4:43" ht="43.2" x14ac:dyDescent="0.3">
      <c r="E65" s="88" t="s">
        <v>749</v>
      </c>
      <c r="I65" t="s">
        <v>154</v>
      </c>
      <c r="J65" s="236" t="s">
        <v>829</v>
      </c>
      <c r="K65" s="236" t="s">
        <v>831</v>
      </c>
      <c r="L65" s="236" t="s">
        <v>830</v>
      </c>
      <c r="M65" s="236" t="s">
        <v>832</v>
      </c>
      <c r="N65" s="236" t="s">
        <v>838</v>
      </c>
      <c r="O65" s="236" t="s">
        <v>839</v>
      </c>
      <c r="P65" s="236" t="s">
        <v>840</v>
      </c>
      <c r="Q65" s="236" t="s">
        <v>841</v>
      </c>
      <c r="R65" s="236" t="s">
        <v>833</v>
      </c>
      <c r="S65" s="236" t="s">
        <v>834</v>
      </c>
      <c r="T65" s="236" t="s">
        <v>835</v>
      </c>
      <c r="U65" s="236" t="s">
        <v>844</v>
      </c>
      <c r="V65" s="236" t="s">
        <v>836</v>
      </c>
      <c r="W65" s="236" t="s">
        <v>843</v>
      </c>
      <c r="X65" s="236" t="s">
        <v>837</v>
      </c>
      <c r="Y65" s="236" t="s">
        <v>842</v>
      </c>
    </row>
    <row r="66" spans="4:43" x14ac:dyDescent="0.3">
      <c r="E66" s="88"/>
      <c r="F66" s="23" t="s">
        <v>156</v>
      </c>
      <c r="G66" s="23" t="s">
        <v>167</v>
      </c>
      <c r="H66" s="174"/>
      <c r="I66" s="23"/>
      <c r="J66" s="343">
        <f>'Volume adjustments'!J324</f>
        <v>0.48222066856070578</v>
      </c>
      <c r="K66" s="343">
        <f>'Volume adjustments'!K324</f>
        <v>0.48222066856070578</v>
      </c>
      <c r="L66" s="343">
        <f>'Volume adjustments'!L324</f>
        <v>0.48222066856070578</v>
      </c>
      <c r="M66" s="343">
        <f>'Volume adjustments'!M324</f>
        <v>0.48222066856070578</v>
      </c>
      <c r="N66" s="343">
        <f>'Volume adjustments'!N324</f>
        <v>0.48222066856070578</v>
      </c>
      <c r="O66" s="343">
        <f>'Volume adjustments'!O324</f>
        <v>0.19751655620522704</v>
      </c>
      <c r="P66" s="343">
        <f>'Volume adjustments'!P324</f>
        <v>7.8679419876750339E-2</v>
      </c>
      <c r="Q66" s="343">
        <f>'Volume adjustments'!Q324</f>
        <v>0.48222066856070578</v>
      </c>
      <c r="R66" s="343">
        <f>'Volume adjustments'!R324</f>
        <v>0</v>
      </c>
      <c r="S66" s="343">
        <f>'Volume adjustments'!S324</f>
        <v>0</v>
      </c>
      <c r="T66" s="343">
        <f>'Volume adjustments'!T324</f>
        <v>0</v>
      </c>
      <c r="U66" s="343">
        <f>'Volume adjustments'!U324</f>
        <v>0</v>
      </c>
      <c r="V66" s="343">
        <f>'Volume adjustments'!V324</f>
        <v>0</v>
      </c>
      <c r="W66" s="343">
        <f>'Volume adjustments'!W324</f>
        <v>0</v>
      </c>
      <c r="X66" s="343">
        <f>'Volume adjustments'!X324</f>
        <v>0</v>
      </c>
      <c r="Y66" s="343">
        <f>'Volume adjustments'!Y324</f>
        <v>0</v>
      </c>
    </row>
    <row r="67" spans="4:43" x14ac:dyDescent="0.3">
      <c r="E67" s="88"/>
      <c r="F67" t="s">
        <v>157</v>
      </c>
      <c r="G67" t="s">
        <v>167</v>
      </c>
      <c r="H67" s="51"/>
      <c r="J67" s="344">
        <f>'Volume adjustments'!J325</f>
        <v>0.48222066856070578</v>
      </c>
      <c r="K67" s="344">
        <f>'Volume adjustments'!K325</f>
        <v>0.48222066856070578</v>
      </c>
      <c r="L67" s="344">
        <f>'Volume adjustments'!L325</f>
        <v>0.48222066856070578</v>
      </c>
      <c r="M67" s="344">
        <f>'Volume adjustments'!M325</f>
        <v>0.48222066856070578</v>
      </c>
      <c r="N67" s="344">
        <f>'Volume adjustments'!N325</f>
        <v>0.48222066856070578</v>
      </c>
      <c r="O67" s="344">
        <f>'Volume adjustments'!O325</f>
        <v>0.19751655620522704</v>
      </c>
      <c r="P67" s="344">
        <f>'Volume adjustments'!P325</f>
        <v>7.8679419876750339E-2</v>
      </c>
      <c r="Q67" s="344">
        <f>'Volume adjustments'!Q325</f>
        <v>0.48222066856070578</v>
      </c>
      <c r="R67" s="344">
        <f>'Volume adjustments'!R325</f>
        <v>0</v>
      </c>
      <c r="S67" s="344">
        <f>'Volume adjustments'!S325</f>
        <v>0</v>
      </c>
      <c r="T67" s="344">
        <f>'Volume adjustments'!T325</f>
        <v>0</v>
      </c>
      <c r="U67" s="344">
        <f>'Volume adjustments'!U325</f>
        <v>0</v>
      </c>
      <c r="V67" s="344">
        <f>'Volume adjustments'!V325</f>
        <v>0</v>
      </c>
      <c r="W67" s="344">
        <f>'Volume adjustments'!W325</f>
        <v>0</v>
      </c>
      <c r="X67" s="344">
        <f>'Volume adjustments'!X325</f>
        <v>0</v>
      </c>
      <c r="Y67" s="344">
        <f>'Volume adjustments'!Y325</f>
        <v>0</v>
      </c>
    </row>
    <row r="68" spans="4:43" x14ac:dyDescent="0.3">
      <c r="E68" s="88"/>
      <c r="F68" t="s">
        <v>158</v>
      </c>
      <c r="G68" t="s">
        <v>167</v>
      </c>
      <c r="H68" s="51"/>
      <c r="J68" s="344">
        <f>'Volume adjustments'!J326</f>
        <v>0.48222066856070578</v>
      </c>
      <c r="K68" s="344">
        <f>'Volume adjustments'!K326</f>
        <v>0.48222066856070578</v>
      </c>
      <c r="L68" s="344">
        <f>'Volume adjustments'!L326</f>
        <v>0.48222066856070578</v>
      </c>
      <c r="M68" s="344">
        <f>'Volume adjustments'!M326</f>
        <v>0.48222066856070578</v>
      </c>
      <c r="N68" s="344">
        <f>'Volume adjustments'!N326</f>
        <v>0.48222066856070578</v>
      </c>
      <c r="O68" s="344">
        <f>'Volume adjustments'!O326</f>
        <v>0.19751655620522704</v>
      </c>
      <c r="P68" s="344">
        <f>'Volume adjustments'!P326</f>
        <v>7.8679419876750339E-2</v>
      </c>
      <c r="Q68" s="344">
        <f>'Volume adjustments'!Q326</f>
        <v>0.48222066856070578</v>
      </c>
      <c r="R68" s="344">
        <f>'Volume adjustments'!R326</f>
        <v>0</v>
      </c>
      <c r="S68" s="344">
        <f>'Volume adjustments'!S326</f>
        <v>0</v>
      </c>
      <c r="T68" s="344">
        <f>'Volume adjustments'!T326</f>
        <v>0</v>
      </c>
      <c r="U68" s="344">
        <f>'Volume adjustments'!U326</f>
        <v>0</v>
      </c>
      <c r="V68" s="344">
        <f>'Volume adjustments'!V326</f>
        <v>0</v>
      </c>
      <c r="W68" s="344">
        <f>'Volume adjustments'!W326</f>
        <v>0</v>
      </c>
      <c r="X68" s="344">
        <f>'Volume adjustments'!X326</f>
        <v>0</v>
      </c>
      <c r="Y68" s="344">
        <f>'Volume adjustments'!Y326</f>
        <v>0</v>
      </c>
    </row>
    <row r="69" spans="4:43" x14ac:dyDescent="0.3">
      <c r="E69" s="88"/>
      <c r="F69" t="s">
        <v>159</v>
      </c>
      <c r="G69" t="s">
        <v>167</v>
      </c>
      <c r="H69" s="51"/>
      <c r="J69" s="344">
        <f>'Volume adjustments'!J327</f>
        <v>0.48222066856070578</v>
      </c>
      <c r="K69" s="344">
        <f>'Volume adjustments'!K327</f>
        <v>0.48222066856070578</v>
      </c>
      <c r="L69" s="344">
        <f>'Volume adjustments'!L327</f>
        <v>0.48222066856070578</v>
      </c>
      <c r="M69" s="344">
        <f>'Volume adjustments'!M327</f>
        <v>0.48222066856070578</v>
      </c>
      <c r="N69" s="344">
        <f>'Volume adjustments'!N327</f>
        <v>0.48222066856070578</v>
      </c>
      <c r="O69" s="344">
        <f>'Volume adjustments'!O327</f>
        <v>0.19751655620522704</v>
      </c>
      <c r="P69" s="344">
        <f>'Volume adjustments'!P327</f>
        <v>7.8679419876750339E-2</v>
      </c>
      <c r="Q69" s="344">
        <f>'Volume adjustments'!Q327</f>
        <v>0.48222066856070578</v>
      </c>
      <c r="R69" s="344">
        <f>'Volume adjustments'!R327</f>
        <v>1</v>
      </c>
      <c r="S69" s="344">
        <f>'Volume adjustments'!S327</f>
        <v>1</v>
      </c>
      <c r="T69" s="344">
        <f>'Volume adjustments'!T327</f>
        <v>1</v>
      </c>
      <c r="U69" s="344">
        <f>'Volume adjustments'!U327</f>
        <v>1</v>
      </c>
      <c r="V69" s="344">
        <f>'Volume adjustments'!V327</f>
        <v>1</v>
      </c>
      <c r="W69" s="344">
        <f>'Volume adjustments'!W327</f>
        <v>1</v>
      </c>
      <c r="X69" s="344">
        <f>'Volume adjustments'!X327</f>
        <v>1</v>
      </c>
      <c r="Y69" s="344">
        <f>'Volume adjustments'!Y327</f>
        <v>1</v>
      </c>
    </row>
    <row r="70" spans="4:43" x14ac:dyDescent="0.3">
      <c r="E70" s="88"/>
      <c r="F70" t="s">
        <v>160</v>
      </c>
      <c r="G70" t="s">
        <v>167</v>
      </c>
      <c r="H70" s="51"/>
      <c r="J70" s="344">
        <f>'Volume adjustments'!J328</f>
        <v>0.48222066856070578</v>
      </c>
      <c r="K70" s="344">
        <f>'Volume adjustments'!K328</f>
        <v>0.48222066856070578</v>
      </c>
      <c r="L70" s="344">
        <f>'Volume adjustments'!L328</f>
        <v>0.48222066856070578</v>
      </c>
      <c r="M70" s="344">
        <f>'Volume adjustments'!M328</f>
        <v>0.48222066856070578</v>
      </c>
      <c r="N70" s="344">
        <f>'Volume adjustments'!N328</f>
        <v>0.48222066856070578</v>
      </c>
      <c r="O70" s="344">
        <f>'Volume adjustments'!O328</f>
        <v>0.19751655620522704</v>
      </c>
      <c r="P70" s="344">
        <f>'Volume adjustments'!P328</f>
        <v>7.8679419876750339E-2</v>
      </c>
      <c r="Q70" s="344">
        <f>'Volume adjustments'!Q328</f>
        <v>0.48222066856070578</v>
      </c>
      <c r="R70" s="344">
        <f>'Volume adjustments'!R328</f>
        <v>0</v>
      </c>
      <c r="S70" s="344">
        <f>'Volume adjustments'!S328</f>
        <v>0</v>
      </c>
      <c r="T70" s="344">
        <f>'Volume adjustments'!T328</f>
        <v>0</v>
      </c>
      <c r="U70" s="344">
        <f>'Volume adjustments'!U328</f>
        <v>0</v>
      </c>
      <c r="V70" s="344">
        <f>'Volume adjustments'!V328</f>
        <v>0</v>
      </c>
      <c r="W70" s="344">
        <f>'Volume adjustments'!W328</f>
        <v>0</v>
      </c>
      <c r="X70" s="344">
        <f>'Volume adjustments'!X328</f>
        <v>0</v>
      </c>
      <c r="Y70" s="344">
        <f>'Volume adjustments'!Y328</f>
        <v>0</v>
      </c>
    </row>
    <row r="71" spans="4:43" x14ac:dyDescent="0.3">
      <c r="E71" s="88"/>
      <c r="F71" t="s">
        <v>161</v>
      </c>
      <c r="G71" t="s">
        <v>167</v>
      </c>
      <c r="H71" s="51"/>
      <c r="J71" s="344">
        <f>'Volume adjustments'!J329</f>
        <v>0.48222066856070578</v>
      </c>
      <c r="K71" s="344">
        <f>'Volume adjustments'!K329</f>
        <v>0.48222066856070578</v>
      </c>
      <c r="L71" s="344">
        <f>'Volume adjustments'!L329</f>
        <v>0.48222066856070578</v>
      </c>
      <c r="M71" s="344">
        <f>'Volume adjustments'!M329</f>
        <v>0.48222066856070578</v>
      </c>
      <c r="N71" s="344">
        <f>'Volume adjustments'!N329</f>
        <v>0.48222066856070578</v>
      </c>
      <c r="O71" s="344">
        <f>'Volume adjustments'!O329</f>
        <v>0.19751655620522704</v>
      </c>
      <c r="P71" s="344">
        <f>'Volume adjustments'!P329</f>
        <v>7.8679419876750339E-2</v>
      </c>
      <c r="Q71" s="344">
        <f>'Volume adjustments'!Q329</f>
        <v>0.48222066856070578</v>
      </c>
      <c r="R71" s="344">
        <f>'Volume adjustments'!R329</f>
        <v>0</v>
      </c>
      <c r="S71" s="344">
        <f>'Volume adjustments'!S329</f>
        <v>0</v>
      </c>
      <c r="T71" s="344">
        <f>'Volume adjustments'!T329</f>
        <v>0</v>
      </c>
      <c r="U71" s="344">
        <f>'Volume adjustments'!U329</f>
        <v>0</v>
      </c>
      <c r="V71" s="344">
        <f>'Volume adjustments'!V329</f>
        <v>0</v>
      </c>
      <c r="W71" s="344">
        <f>'Volume adjustments'!W329</f>
        <v>0</v>
      </c>
      <c r="X71" s="344">
        <f>'Volume adjustments'!X329</f>
        <v>0</v>
      </c>
      <c r="Y71" s="344">
        <f>'Volume adjustments'!Y329</f>
        <v>0</v>
      </c>
    </row>
    <row r="72" spans="4:43" x14ac:dyDescent="0.3">
      <c r="E72" s="88"/>
      <c r="F72" s="37" t="s">
        <v>162</v>
      </c>
      <c r="G72" s="37" t="s">
        <v>167</v>
      </c>
      <c r="H72" s="211"/>
      <c r="I72" s="37"/>
      <c r="J72" s="345">
        <f>'Volume adjustments'!J330</f>
        <v>0.48222066856070578</v>
      </c>
      <c r="K72" s="345">
        <f>'Volume adjustments'!K330</f>
        <v>0.48222066856070578</v>
      </c>
      <c r="L72" s="345">
        <f>'Volume adjustments'!L330</f>
        <v>0.48222066856070578</v>
      </c>
      <c r="M72" s="345">
        <f>'Volume adjustments'!M330</f>
        <v>0.48222066856070578</v>
      </c>
      <c r="N72" s="345">
        <f>'Volume adjustments'!N330</f>
        <v>0.48222066856070578</v>
      </c>
      <c r="O72" s="345">
        <f>'Volume adjustments'!O330</f>
        <v>0.19751655620522704</v>
      </c>
      <c r="P72" s="345">
        <f>'Volume adjustments'!P330</f>
        <v>7.8679419876750339E-2</v>
      </c>
      <c r="Q72" s="345">
        <f>'Volume adjustments'!Q330</f>
        <v>0.48222066856070578</v>
      </c>
      <c r="R72" s="345">
        <f>'Volume adjustments'!R330</f>
        <v>0</v>
      </c>
      <c r="S72" s="345">
        <f>'Volume adjustments'!S330</f>
        <v>0</v>
      </c>
      <c r="T72" s="345">
        <f>'Volume adjustments'!T330</f>
        <v>0</v>
      </c>
      <c r="U72" s="345">
        <f>'Volume adjustments'!U330</f>
        <v>0</v>
      </c>
      <c r="V72" s="345">
        <f>'Volume adjustments'!V330</f>
        <v>0</v>
      </c>
      <c r="W72" s="345">
        <f>'Volume adjustments'!W330</f>
        <v>0</v>
      </c>
      <c r="X72" s="345">
        <f>'Volume adjustments'!X330</f>
        <v>0</v>
      </c>
      <c r="Y72" s="345">
        <f>'Volume adjustments'!Y330</f>
        <v>0</v>
      </c>
    </row>
    <row r="73" spans="4:43" x14ac:dyDescent="0.3">
      <c r="E73"/>
    </row>
    <row r="74" spans="4:43" x14ac:dyDescent="0.3">
      <c r="D74"/>
      <c r="E74" s="88" t="s">
        <v>748</v>
      </c>
      <c r="I74" t="s">
        <v>154</v>
      </c>
      <c r="AQ74" t="s">
        <v>428</v>
      </c>
    </row>
    <row r="75" spans="4:43" x14ac:dyDescent="0.3">
      <c r="D75"/>
      <c r="E75" s="88"/>
      <c r="F75" s="23" t="s">
        <v>156</v>
      </c>
      <c r="G75" s="23" t="s">
        <v>167</v>
      </c>
      <c r="H75" s="174"/>
      <c r="I75" s="23"/>
      <c r="J75" s="154">
        <f>INDEX($J57:$Y57,J$54)</f>
        <v>0.33736714141938473</v>
      </c>
      <c r="K75" s="154">
        <f t="shared" ref="K75:AO75" si="0">INDEX($J57:$Y57,K$54)</f>
        <v>0.33736714141938473</v>
      </c>
      <c r="L75" s="154">
        <f t="shared" si="0"/>
        <v>0.33736714141938473</v>
      </c>
      <c r="M75" s="154">
        <f t="shared" si="0"/>
        <v>0.33736714141938473</v>
      </c>
      <c r="N75" s="154">
        <f t="shared" si="0"/>
        <v>0.33736714141938473</v>
      </c>
      <c r="O75" s="154">
        <f t="shared" si="0"/>
        <v>0.33736714141938473</v>
      </c>
      <c r="P75" s="154">
        <f t="shared" si="0"/>
        <v>0.33736714141938473</v>
      </c>
      <c r="Q75" s="154">
        <f t="shared" si="0"/>
        <v>0.33736714141938473</v>
      </c>
      <c r="R75" s="154">
        <f t="shared" si="0"/>
        <v>0.33736714141938473</v>
      </c>
      <c r="S75" s="154">
        <f t="shared" si="0"/>
        <v>0.33736714141938473</v>
      </c>
      <c r="T75" s="154">
        <f t="shared" si="0"/>
        <v>0.33736714141938473</v>
      </c>
      <c r="U75" s="154">
        <f t="shared" si="0"/>
        <v>0.33736714141938473</v>
      </c>
      <c r="V75" s="154">
        <f t="shared" si="0"/>
        <v>0.33736714141938473</v>
      </c>
      <c r="W75" s="154">
        <f t="shared" si="0"/>
        <v>0</v>
      </c>
      <c r="X75" s="154">
        <f t="shared" si="0"/>
        <v>0</v>
      </c>
      <c r="Y75" s="154">
        <f t="shared" si="0"/>
        <v>0</v>
      </c>
      <c r="Z75" s="154">
        <f t="shared" si="0"/>
        <v>0</v>
      </c>
      <c r="AA75" s="154">
        <f t="shared" si="0"/>
        <v>0</v>
      </c>
      <c r="AB75" s="154">
        <f t="shared" si="0"/>
        <v>0</v>
      </c>
      <c r="AC75" s="154">
        <f t="shared" si="0"/>
        <v>0</v>
      </c>
      <c r="AD75" s="154">
        <f t="shared" si="0"/>
        <v>0</v>
      </c>
      <c r="AE75" s="154">
        <f t="shared" si="0"/>
        <v>0</v>
      </c>
      <c r="AF75" s="154">
        <f t="shared" si="0"/>
        <v>0</v>
      </c>
      <c r="AG75" s="154">
        <f t="shared" si="0"/>
        <v>0.33736714141938473</v>
      </c>
      <c r="AH75" s="154">
        <f t="shared" si="0"/>
        <v>0</v>
      </c>
      <c r="AI75" s="154">
        <f t="shared" si="0"/>
        <v>0</v>
      </c>
      <c r="AJ75" s="154">
        <f t="shared" si="0"/>
        <v>0</v>
      </c>
      <c r="AK75" s="154">
        <f t="shared" si="0"/>
        <v>0</v>
      </c>
      <c r="AL75" s="154">
        <f t="shared" si="0"/>
        <v>0</v>
      </c>
      <c r="AM75" s="154">
        <f t="shared" si="0"/>
        <v>0</v>
      </c>
      <c r="AN75" s="154">
        <f t="shared" si="0"/>
        <v>0</v>
      </c>
      <c r="AO75" s="154">
        <f t="shared" si="0"/>
        <v>0</v>
      </c>
    </row>
    <row r="76" spans="4:43" x14ac:dyDescent="0.3">
      <c r="D76"/>
      <c r="E76" s="88"/>
      <c r="F76" t="s">
        <v>157</v>
      </c>
      <c r="G76" t="s">
        <v>167</v>
      </c>
      <c r="H76" s="51"/>
      <c r="J76" s="145">
        <f t="shared" ref="J76:AO76" si="1">INDEX($J58:$Y58,J$54)</f>
        <v>0.33736714141938473</v>
      </c>
      <c r="K76" s="145">
        <f t="shared" si="1"/>
        <v>0.33736714141938473</v>
      </c>
      <c r="L76" s="145">
        <f t="shared" si="1"/>
        <v>0.33736714141938473</v>
      </c>
      <c r="M76" s="145">
        <f t="shared" si="1"/>
        <v>0.33736714141938473</v>
      </c>
      <c r="N76" s="145">
        <f t="shared" si="1"/>
        <v>0.33736714141938473</v>
      </c>
      <c r="O76" s="145">
        <f t="shared" si="1"/>
        <v>0.33736714141938473</v>
      </c>
      <c r="P76" s="145">
        <f t="shared" si="1"/>
        <v>0.33736714141938473</v>
      </c>
      <c r="Q76" s="145">
        <f t="shared" si="1"/>
        <v>0.33736714141938473</v>
      </c>
      <c r="R76" s="145">
        <f t="shared" si="1"/>
        <v>0.33736714141938473</v>
      </c>
      <c r="S76" s="145">
        <f t="shared" si="1"/>
        <v>0.33736714141938473</v>
      </c>
      <c r="T76" s="145">
        <f t="shared" si="1"/>
        <v>0.33736714141938473</v>
      </c>
      <c r="U76" s="145">
        <f t="shared" si="1"/>
        <v>0.33736714141938473</v>
      </c>
      <c r="V76" s="145">
        <f t="shared" si="1"/>
        <v>0.33736714141938473</v>
      </c>
      <c r="W76" s="145">
        <f t="shared" si="1"/>
        <v>0</v>
      </c>
      <c r="X76" s="145">
        <f t="shared" si="1"/>
        <v>0</v>
      </c>
      <c r="Y76" s="145">
        <f t="shared" si="1"/>
        <v>0</v>
      </c>
      <c r="Z76" s="145">
        <f t="shared" si="1"/>
        <v>0</v>
      </c>
      <c r="AA76" s="145">
        <f t="shared" si="1"/>
        <v>0</v>
      </c>
      <c r="AB76" s="145">
        <f t="shared" si="1"/>
        <v>0</v>
      </c>
      <c r="AC76" s="145">
        <f t="shared" si="1"/>
        <v>0</v>
      </c>
      <c r="AD76" s="145">
        <f t="shared" si="1"/>
        <v>0</v>
      </c>
      <c r="AE76" s="145">
        <f t="shared" si="1"/>
        <v>0</v>
      </c>
      <c r="AF76" s="145">
        <f t="shared" si="1"/>
        <v>0</v>
      </c>
      <c r="AG76" s="145">
        <f t="shared" si="1"/>
        <v>0.33736714141938473</v>
      </c>
      <c r="AH76" s="145">
        <f t="shared" si="1"/>
        <v>0</v>
      </c>
      <c r="AI76" s="145">
        <f t="shared" si="1"/>
        <v>0</v>
      </c>
      <c r="AJ76" s="145">
        <f t="shared" si="1"/>
        <v>0</v>
      </c>
      <c r="AK76" s="145">
        <f t="shared" si="1"/>
        <v>0</v>
      </c>
      <c r="AL76" s="145">
        <f t="shared" si="1"/>
        <v>0</v>
      </c>
      <c r="AM76" s="145">
        <f t="shared" si="1"/>
        <v>0</v>
      </c>
      <c r="AN76" s="145">
        <f t="shared" si="1"/>
        <v>0</v>
      </c>
      <c r="AO76" s="145">
        <f t="shared" si="1"/>
        <v>0</v>
      </c>
    </row>
    <row r="77" spans="4:43" x14ac:dyDescent="0.3">
      <c r="D77"/>
      <c r="E77" s="88"/>
      <c r="F77" t="s">
        <v>158</v>
      </c>
      <c r="G77" t="s">
        <v>167</v>
      </c>
      <c r="H77" s="51"/>
      <c r="J77" s="145">
        <f t="shared" ref="J77:AO77" si="2">INDEX($J59:$Y59,J$54)</f>
        <v>0.33736714141938473</v>
      </c>
      <c r="K77" s="145">
        <f t="shared" si="2"/>
        <v>0.33736714141938473</v>
      </c>
      <c r="L77" s="145">
        <f t="shared" si="2"/>
        <v>0.33736714141938473</v>
      </c>
      <c r="M77" s="145">
        <f t="shared" si="2"/>
        <v>0.33736714141938473</v>
      </c>
      <c r="N77" s="145">
        <f t="shared" si="2"/>
        <v>0.33736714141938473</v>
      </c>
      <c r="O77" s="145">
        <f t="shared" si="2"/>
        <v>0.33736714141938473</v>
      </c>
      <c r="P77" s="145">
        <f t="shared" si="2"/>
        <v>0.33736714141938473</v>
      </c>
      <c r="Q77" s="145">
        <f t="shared" si="2"/>
        <v>0.33736714141938473</v>
      </c>
      <c r="R77" s="145">
        <f t="shared" si="2"/>
        <v>0.33736714141938473</v>
      </c>
      <c r="S77" s="145">
        <f t="shared" si="2"/>
        <v>0.33736714141938473</v>
      </c>
      <c r="T77" s="145">
        <f t="shared" si="2"/>
        <v>0.33736714141938473</v>
      </c>
      <c r="U77" s="145">
        <f t="shared" si="2"/>
        <v>0.33736714141938473</v>
      </c>
      <c r="V77" s="145">
        <f t="shared" si="2"/>
        <v>0.33736714141938473</v>
      </c>
      <c r="W77" s="145">
        <f t="shared" si="2"/>
        <v>0</v>
      </c>
      <c r="X77" s="145">
        <f t="shared" si="2"/>
        <v>0</v>
      </c>
      <c r="Y77" s="145">
        <f t="shared" si="2"/>
        <v>0</v>
      </c>
      <c r="Z77" s="145">
        <f t="shared" si="2"/>
        <v>0</v>
      </c>
      <c r="AA77" s="145">
        <f t="shared" si="2"/>
        <v>0</v>
      </c>
      <c r="AB77" s="145">
        <f t="shared" si="2"/>
        <v>0</v>
      </c>
      <c r="AC77" s="145">
        <f t="shared" si="2"/>
        <v>0</v>
      </c>
      <c r="AD77" s="145">
        <f t="shared" si="2"/>
        <v>0</v>
      </c>
      <c r="AE77" s="145">
        <f t="shared" si="2"/>
        <v>0</v>
      </c>
      <c r="AF77" s="145">
        <f t="shared" si="2"/>
        <v>0</v>
      </c>
      <c r="AG77" s="145">
        <f t="shared" si="2"/>
        <v>0.33736714141938473</v>
      </c>
      <c r="AH77" s="145">
        <f t="shared" si="2"/>
        <v>0</v>
      </c>
      <c r="AI77" s="145">
        <f t="shared" si="2"/>
        <v>0</v>
      </c>
      <c r="AJ77" s="145">
        <f t="shared" si="2"/>
        <v>0</v>
      </c>
      <c r="AK77" s="145">
        <f t="shared" si="2"/>
        <v>0</v>
      </c>
      <c r="AL77" s="145">
        <f t="shared" si="2"/>
        <v>0</v>
      </c>
      <c r="AM77" s="145">
        <f t="shared" si="2"/>
        <v>0</v>
      </c>
      <c r="AN77" s="145">
        <f t="shared" si="2"/>
        <v>0</v>
      </c>
      <c r="AO77" s="145">
        <f t="shared" si="2"/>
        <v>0</v>
      </c>
    </row>
    <row r="78" spans="4:43" x14ac:dyDescent="0.3">
      <c r="D78"/>
      <c r="E78" s="88"/>
      <c r="F78" t="s">
        <v>159</v>
      </c>
      <c r="G78" t="s">
        <v>167</v>
      </c>
      <c r="H78" s="51"/>
      <c r="J78" s="145">
        <f t="shared" ref="J78:AO78" si="3">INDEX($J60:$Y60,J$54)</f>
        <v>0.33736714141938473</v>
      </c>
      <c r="K78" s="145">
        <f t="shared" si="3"/>
        <v>0.33736714141938473</v>
      </c>
      <c r="L78" s="145">
        <f t="shared" si="3"/>
        <v>0.33736714141938473</v>
      </c>
      <c r="M78" s="145">
        <f t="shared" si="3"/>
        <v>0.33736714141938473</v>
      </c>
      <c r="N78" s="145">
        <f t="shared" si="3"/>
        <v>0.33736714141938473</v>
      </c>
      <c r="O78" s="145">
        <f t="shared" si="3"/>
        <v>0.33736714141938473</v>
      </c>
      <c r="P78" s="145">
        <f t="shared" si="3"/>
        <v>0.33736714141938473</v>
      </c>
      <c r="Q78" s="145">
        <f t="shared" si="3"/>
        <v>0.33736714141938473</v>
      </c>
      <c r="R78" s="145">
        <f t="shared" si="3"/>
        <v>0.33736714141938473</v>
      </c>
      <c r="S78" s="145">
        <f t="shared" si="3"/>
        <v>0.33736714141938473</v>
      </c>
      <c r="T78" s="145">
        <f t="shared" si="3"/>
        <v>0.33736714141938473</v>
      </c>
      <c r="U78" s="145">
        <f t="shared" si="3"/>
        <v>0.33736714141938473</v>
      </c>
      <c r="V78" s="145">
        <f t="shared" si="3"/>
        <v>0.33736714141938473</v>
      </c>
      <c r="W78" s="145">
        <f t="shared" si="3"/>
        <v>0</v>
      </c>
      <c r="X78" s="145">
        <f t="shared" si="3"/>
        <v>0</v>
      </c>
      <c r="Y78" s="145">
        <f t="shared" si="3"/>
        <v>0</v>
      </c>
      <c r="Z78" s="145">
        <f t="shared" si="3"/>
        <v>0</v>
      </c>
      <c r="AA78" s="145">
        <f t="shared" si="3"/>
        <v>0</v>
      </c>
      <c r="AB78" s="145">
        <f t="shared" si="3"/>
        <v>0</v>
      </c>
      <c r="AC78" s="145">
        <f t="shared" si="3"/>
        <v>0</v>
      </c>
      <c r="AD78" s="145">
        <f t="shared" si="3"/>
        <v>0</v>
      </c>
      <c r="AE78" s="145">
        <f t="shared" si="3"/>
        <v>0</v>
      </c>
      <c r="AF78" s="145">
        <f t="shared" si="3"/>
        <v>0</v>
      </c>
      <c r="AG78" s="145">
        <f t="shared" si="3"/>
        <v>0.33736714141938473</v>
      </c>
      <c r="AH78" s="145">
        <f t="shared" si="3"/>
        <v>1</v>
      </c>
      <c r="AI78" s="145">
        <f t="shared" si="3"/>
        <v>1</v>
      </c>
      <c r="AJ78" s="145">
        <f t="shared" si="3"/>
        <v>1</v>
      </c>
      <c r="AK78" s="145">
        <f t="shared" si="3"/>
        <v>1</v>
      </c>
      <c r="AL78" s="145">
        <f t="shared" si="3"/>
        <v>1</v>
      </c>
      <c r="AM78" s="145">
        <f t="shared" si="3"/>
        <v>1</v>
      </c>
      <c r="AN78" s="145">
        <f t="shared" si="3"/>
        <v>1</v>
      </c>
      <c r="AO78" s="145">
        <f t="shared" si="3"/>
        <v>1</v>
      </c>
    </row>
    <row r="79" spans="4:43" x14ac:dyDescent="0.3">
      <c r="D79"/>
      <c r="E79" s="88"/>
      <c r="F79" t="s">
        <v>160</v>
      </c>
      <c r="G79" t="s">
        <v>167</v>
      </c>
      <c r="H79" s="51"/>
      <c r="J79" s="145">
        <f t="shared" ref="J79:AO79" si="4">INDEX($J61:$Y61,J$54)</f>
        <v>0.33736714141938473</v>
      </c>
      <c r="K79" s="145">
        <f t="shared" si="4"/>
        <v>0.33736714141938473</v>
      </c>
      <c r="L79" s="145">
        <f t="shared" si="4"/>
        <v>0.33736714141938473</v>
      </c>
      <c r="M79" s="145">
        <f t="shared" si="4"/>
        <v>0.33736714141938473</v>
      </c>
      <c r="N79" s="145">
        <f t="shared" si="4"/>
        <v>0.33736714141938473</v>
      </c>
      <c r="O79" s="145">
        <f t="shared" si="4"/>
        <v>0.33736714141938473</v>
      </c>
      <c r="P79" s="145">
        <f t="shared" si="4"/>
        <v>0.33736714141938473</v>
      </c>
      <c r="Q79" s="145">
        <f t="shared" si="4"/>
        <v>0.33736714141938473</v>
      </c>
      <c r="R79" s="145">
        <f t="shared" si="4"/>
        <v>0.33736714141938473</v>
      </c>
      <c r="S79" s="145">
        <f t="shared" si="4"/>
        <v>0.33736714141938473</v>
      </c>
      <c r="T79" s="145">
        <f t="shared" si="4"/>
        <v>0.33736714141938473</v>
      </c>
      <c r="U79" s="145">
        <f t="shared" si="4"/>
        <v>0.33736714141938473</v>
      </c>
      <c r="V79" s="145">
        <f t="shared" si="4"/>
        <v>0.33736714141938473</v>
      </c>
      <c r="W79" s="145">
        <f t="shared" si="4"/>
        <v>0</v>
      </c>
      <c r="X79" s="145">
        <f t="shared" si="4"/>
        <v>0</v>
      </c>
      <c r="Y79" s="145">
        <f t="shared" si="4"/>
        <v>0</v>
      </c>
      <c r="Z79" s="145">
        <f t="shared" si="4"/>
        <v>0</v>
      </c>
      <c r="AA79" s="145">
        <f t="shared" si="4"/>
        <v>0</v>
      </c>
      <c r="AB79" s="145">
        <f t="shared" si="4"/>
        <v>0</v>
      </c>
      <c r="AC79" s="145">
        <f t="shared" si="4"/>
        <v>0</v>
      </c>
      <c r="AD79" s="145">
        <f t="shared" si="4"/>
        <v>0</v>
      </c>
      <c r="AE79" s="145">
        <f t="shared" si="4"/>
        <v>0</v>
      </c>
      <c r="AF79" s="145">
        <f t="shared" si="4"/>
        <v>0</v>
      </c>
      <c r="AG79" s="145">
        <f t="shared" si="4"/>
        <v>0.33736714141938473</v>
      </c>
      <c r="AH79" s="145">
        <f t="shared" si="4"/>
        <v>0</v>
      </c>
      <c r="AI79" s="145">
        <f t="shared" si="4"/>
        <v>0</v>
      </c>
      <c r="AJ79" s="145">
        <f t="shared" si="4"/>
        <v>0</v>
      </c>
      <c r="AK79" s="145">
        <f t="shared" si="4"/>
        <v>0</v>
      </c>
      <c r="AL79" s="145">
        <f t="shared" si="4"/>
        <v>0</v>
      </c>
      <c r="AM79" s="145">
        <f t="shared" si="4"/>
        <v>0</v>
      </c>
      <c r="AN79" s="145">
        <f t="shared" si="4"/>
        <v>0</v>
      </c>
      <c r="AO79" s="145">
        <f t="shared" si="4"/>
        <v>0</v>
      </c>
    </row>
    <row r="80" spans="4:43" x14ac:dyDescent="0.3">
      <c r="D80"/>
      <c r="E80" s="88"/>
      <c r="F80" t="s">
        <v>161</v>
      </c>
      <c r="G80" t="s">
        <v>167</v>
      </c>
      <c r="H80" s="51"/>
      <c r="J80" s="145">
        <f t="shared" ref="J80:AO80" si="5">INDEX($J62:$Y62,J$54)</f>
        <v>0.33736714141938473</v>
      </c>
      <c r="K80" s="145">
        <f t="shared" si="5"/>
        <v>0.33736714141938473</v>
      </c>
      <c r="L80" s="145">
        <f t="shared" si="5"/>
        <v>0.33736714141938473</v>
      </c>
      <c r="M80" s="145">
        <f t="shared" si="5"/>
        <v>0.33736714141938473</v>
      </c>
      <c r="N80" s="145">
        <f t="shared" si="5"/>
        <v>0.33736714141938473</v>
      </c>
      <c r="O80" s="145">
        <f t="shared" si="5"/>
        <v>0.33736714141938473</v>
      </c>
      <c r="P80" s="145">
        <f t="shared" si="5"/>
        <v>0.33736714141938473</v>
      </c>
      <c r="Q80" s="145">
        <f t="shared" si="5"/>
        <v>0.33736714141938473</v>
      </c>
      <c r="R80" s="145">
        <f t="shared" si="5"/>
        <v>0.33736714141938473</v>
      </c>
      <c r="S80" s="145">
        <f t="shared" si="5"/>
        <v>0.33736714141938473</v>
      </c>
      <c r="T80" s="145">
        <f t="shared" si="5"/>
        <v>0.33736714141938473</v>
      </c>
      <c r="U80" s="145">
        <f t="shared" si="5"/>
        <v>0.33736714141938473</v>
      </c>
      <c r="V80" s="145">
        <f t="shared" si="5"/>
        <v>0.33736714141938473</v>
      </c>
      <c r="W80" s="145">
        <f t="shared" si="5"/>
        <v>0</v>
      </c>
      <c r="X80" s="145">
        <f t="shared" si="5"/>
        <v>0</v>
      </c>
      <c r="Y80" s="145">
        <f t="shared" si="5"/>
        <v>0</v>
      </c>
      <c r="Z80" s="145">
        <f t="shared" si="5"/>
        <v>0</v>
      </c>
      <c r="AA80" s="145">
        <f t="shared" si="5"/>
        <v>0</v>
      </c>
      <c r="AB80" s="145">
        <f t="shared" si="5"/>
        <v>0</v>
      </c>
      <c r="AC80" s="145">
        <f t="shared" si="5"/>
        <v>0</v>
      </c>
      <c r="AD80" s="145">
        <f t="shared" si="5"/>
        <v>0</v>
      </c>
      <c r="AE80" s="145">
        <f t="shared" si="5"/>
        <v>0</v>
      </c>
      <c r="AF80" s="145">
        <f t="shared" si="5"/>
        <v>0</v>
      </c>
      <c r="AG80" s="145">
        <f t="shared" si="5"/>
        <v>0.33736714141938473</v>
      </c>
      <c r="AH80" s="145">
        <f t="shared" si="5"/>
        <v>0</v>
      </c>
      <c r="AI80" s="145">
        <f t="shared" si="5"/>
        <v>0</v>
      </c>
      <c r="AJ80" s="145">
        <f t="shared" si="5"/>
        <v>0</v>
      </c>
      <c r="AK80" s="145">
        <f t="shared" si="5"/>
        <v>0</v>
      </c>
      <c r="AL80" s="145">
        <f t="shared" si="5"/>
        <v>0</v>
      </c>
      <c r="AM80" s="145">
        <f t="shared" si="5"/>
        <v>0</v>
      </c>
      <c r="AN80" s="145">
        <f t="shared" si="5"/>
        <v>0</v>
      </c>
      <c r="AO80" s="145">
        <f t="shared" si="5"/>
        <v>0</v>
      </c>
    </row>
    <row r="81" spans="3:43" x14ac:dyDescent="0.3">
      <c r="D81"/>
      <c r="E81" s="88"/>
      <c r="F81" s="37" t="s">
        <v>162</v>
      </c>
      <c r="G81" s="37" t="s">
        <v>167</v>
      </c>
      <c r="H81" s="211"/>
      <c r="I81" s="37"/>
      <c r="J81" s="155">
        <f t="shared" ref="J81:AO81" si="6">INDEX($J63:$Y63,J$54)</f>
        <v>0.33736714141938473</v>
      </c>
      <c r="K81" s="155">
        <f t="shared" si="6"/>
        <v>0.33736714141938473</v>
      </c>
      <c r="L81" s="155">
        <f t="shared" si="6"/>
        <v>0.33736714141938473</v>
      </c>
      <c r="M81" s="155">
        <f t="shared" si="6"/>
        <v>0.33736714141938473</v>
      </c>
      <c r="N81" s="155">
        <f t="shared" si="6"/>
        <v>0.33736714141938473</v>
      </c>
      <c r="O81" s="155">
        <f t="shared" si="6"/>
        <v>0.33736714141938473</v>
      </c>
      <c r="P81" s="155">
        <f t="shared" si="6"/>
        <v>0.33736714141938473</v>
      </c>
      <c r="Q81" s="155">
        <f t="shared" si="6"/>
        <v>0.33736714141938473</v>
      </c>
      <c r="R81" s="155">
        <f t="shared" si="6"/>
        <v>0.33736714141938473</v>
      </c>
      <c r="S81" s="155">
        <f t="shared" si="6"/>
        <v>0.33736714141938473</v>
      </c>
      <c r="T81" s="155">
        <f t="shared" si="6"/>
        <v>0.33736714141938473</v>
      </c>
      <c r="U81" s="155">
        <f t="shared" si="6"/>
        <v>0.33736714141938473</v>
      </c>
      <c r="V81" s="155">
        <f t="shared" si="6"/>
        <v>0.33736714141938473</v>
      </c>
      <c r="W81" s="155">
        <f t="shared" si="6"/>
        <v>0</v>
      </c>
      <c r="X81" s="155">
        <f t="shared" si="6"/>
        <v>0</v>
      </c>
      <c r="Y81" s="155">
        <f t="shared" si="6"/>
        <v>0</v>
      </c>
      <c r="Z81" s="155">
        <f t="shared" si="6"/>
        <v>0</v>
      </c>
      <c r="AA81" s="155">
        <f t="shared" si="6"/>
        <v>0</v>
      </c>
      <c r="AB81" s="155">
        <f t="shared" si="6"/>
        <v>0</v>
      </c>
      <c r="AC81" s="155">
        <f t="shared" si="6"/>
        <v>0</v>
      </c>
      <c r="AD81" s="155">
        <f t="shared" si="6"/>
        <v>0</v>
      </c>
      <c r="AE81" s="155">
        <f t="shared" si="6"/>
        <v>0</v>
      </c>
      <c r="AF81" s="155">
        <f t="shared" si="6"/>
        <v>0</v>
      </c>
      <c r="AG81" s="155">
        <f t="shared" si="6"/>
        <v>0.33736714141938473</v>
      </c>
      <c r="AH81" s="155">
        <f t="shared" si="6"/>
        <v>0</v>
      </c>
      <c r="AI81" s="155">
        <f t="shared" si="6"/>
        <v>0</v>
      </c>
      <c r="AJ81" s="155">
        <f t="shared" si="6"/>
        <v>0</v>
      </c>
      <c r="AK81" s="155">
        <f t="shared" si="6"/>
        <v>0</v>
      </c>
      <c r="AL81" s="155">
        <f t="shared" si="6"/>
        <v>0</v>
      </c>
      <c r="AM81" s="155">
        <f t="shared" si="6"/>
        <v>0</v>
      </c>
      <c r="AN81" s="155">
        <f t="shared" si="6"/>
        <v>0</v>
      </c>
      <c r="AO81" s="155">
        <f t="shared" si="6"/>
        <v>0</v>
      </c>
    </row>
    <row r="82" spans="3:43" x14ac:dyDescent="0.3">
      <c r="D82" s="88"/>
      <c r="E82"/>
    </row>
    <row r="83" spans="3:43" x14ac:dyDescent="0.3">
      <c r="D83"/>
      <c r="E83" s="88" t="s">
        <v>749</v>
      </c>
      <c r="I83" t="s">
        <v>154</v>
      </c>
      <c r="AQ83" t="s">
        <v>428</v>
      </c>
    </row>
    <row r="84" spans="3:43" x14ac:dyDescent="0.3">
      <c r="D84"/>
      <c r="E84" s="88"/>
      <c r="F84" s="23" t="s">
        <v>156</v>
      </c>
      <c r="G84" s="23" t="s">
        <v>167</v>
      </c>
      <c r="H84" s="174"/>
      <c r="I84" s="23"/>
      <c r="J84" s="154">
        <f>INDEX($J66:$Y66,J$54)</f>
        <v>0.48222066856070578</v>
      </c>
      <c r="K84" s="154">
        <f t="shared" ref="K84:AO84" si="7">INDEX($J66:$Y66,K$54)</f>
        <v>0.48222066856070578</v>
      </c>
      <c r="L84" s="154">
        <f t="shared" si="7"/>
        <v>0.48222066856070578</v>
      </c>
      <c r="M84" s="154">
        <f t="shared" si="7"/>
        <v>0.48222066856070578</v>
      </c>
      <c r="N84" s="154">
        <f t="shared" si="7"/>
        <v>0.48222066856070578</v>
      </c>
      <c r="O84" s="154">
        <f t="shared" si="7"/>
        <v>0.48222066856070578</v>
      </c>
      <c r="P84" s="154">
        <f t="shared" si="7"/>
        <v>0.48222066856070578</v>
      </c>
      <c r="Q84" s="154">
        <f t="shared" si="7"/>
        <v>0.48222066856070578</v>
      </c>
      <c r="R84" s="154">
        <f t="shared" si="7"/>
        <v>0.48222066856070578</v>
      </c>
      <c r="S84" s="154">
        <f t="shared" si="7"/>
        <v>0.48222066856070578</v>
      </c>
      <c r="T84" s="154">
        <f t="shared" si="7"/>
        <v>0.48222066856070578</v>
      </c>
      <c r="U84" s="154">
        <f t="shared" si="7"/>
        <v>0.48222066856070578</v>
      </c>
      <c r="V84" s="154">
        <f t="shared" si="7"/>
        <v>0.48222066856070578</v>
      </c>
      <c r="W84" s="154">
        <f t="shared" si="7"/>
        <v>0.19751655620522704</v>
      </c>
      <c r="X84" s="154">
        <f t="shared" si="7"/>
        <v>0.19751655620522704</v>
      </c>
      <c r="Y84" s="154">
        <f t="shared" si="7"/>
        <v>0.19751655620522704</v>
      </c>
      <c r="Z84" s="154">
        <f t="shared" si="7"/>
        <v>0.19751655620522704</v>
      </c>
      <c r="AA84" s="154">
        <f t="shared" si="7"/>
        <v>0.19751655620522704</v>
      </c>
      <c r="AB84" s="154">
        <f t="shared" si="7"/>
        <v>7.8679419876750339E-2</v>
      </c>
      <c r="AC84" s="154">
        <f t="shared" si="7"/>
        <v>7.8679419876750339E-2</v>
      </c>
      <c r="AD84" s="154">
        <f t="shared" si="7"/>
        <v>7.8679419876750339E-2</v>
      </c>
      <c r="AE84" s="154">
        <f t="shared" si="7"/>
        <v>7.8679419876750339E-2</v>
      </c>
      <c r="AF84" s="154">
        <f t="shared" si="7"/>
        <v>7.8679419876750339E-2</v>
      </c>
      <c r="AG84" s="154">
        <f t="shared" si="7"/>
        <v>0.48222066856070578</v>
      </c>
      <c r="AH84" s="154">
        <f t="shared" si="7"/>
        <v>0</v>
      </c>
      <c r="AI84" s="154">
        <f t="shared" si="7"/>
        <v>0</v>
      </c>
      <c r="AJ84" s="154">
        <f t="shared" si="7"/>
        <v>0</v>
      </c>
      <c r="AK84" s="154">
        <f t="shared" si="7"/>
        <v>0</v>
      </c>
      <c r="AL84" s="154">
        <f t="shared" si="7"/>
        <v>0</v>
      </c>
      <c r="AM84" s="154">
        <f t="shared" si="7"/>
        <v>0</v>
      </c>
      <c r="AN84" s="154">
        <f t="shared" si="7"/>
        <v>0</v>
      </c>
      <c r="AO84" s="154">
        <f t="shared" si="7"/>
        <v>0</v>
      </c>
    </row>
    <row r="85" spans="3:43" x14ac:dyDescent="0.3">
      <c r="D85"/>
      <c r="E85" s="88"/>
      <c r="F85" t="s">
        <v>157</v>
      </c>
      <c r="G85" t="s">
        <v>167</v>
      </c>
      <c r="H85" s="51"/>
      <c r="J85" s="145">
        <f t="shared" ref="J85:AO85" si="8">INDEX($J67:$Y67,J$54)</f>
        <v>0.48222066856070578</v>
      </c>
      <c r="K85" s="145">
        <f t="shared" si="8"/>
        <v>0.48222066856070578</v>
      </c>
      <c r="L85" s="145">
        <f t="shared" si="8"/>
        <v>0.48222066856070578</v>
      </c>
      <c r="M85" s="145">
        <f t="shared" si="8"/>
        <v>0.48222066856070578</v>
      </c>
      <c r="N85" s="145">
        <f t="shared" si="8"/>
        <v>0.48222066856070578</v>
      </c>
      <c r="O85" s="145">
        <f t="shared" si="8"/>
        <v>0.48222066856070578</v>
      </c>
      <c r="P85" s="145">
        <f t="shared" si="8"/>
        <v>0.48222066856070578</v>
      </c>
      <c r="Q85" s="145">
        <f t="shared" si="8"/>
        <v>0.48222066856070578</v>
      </c>
      <c r="R85" s="145">
        <f t="shared" si="8"/>
        <v>0.48222066856070578</v>
      </c>
      <c r="S85" s="145">
        <f t="shared" si="8"/>
        <v>0.48222066856070578</v>
      </c>
      <c r="T85" s="145">
        <f t="shared" si="8"/>
        <v>0.48222066856070578</v>
      </c>
      <c r="U85" s="145">
        <f t="shared" si="8"/>
        <v>0.48222066856070578</v>
      </c>
      <c r="V85" s="145">
        <f t="shared" si="8"/>
        <v>0.48222066856070578</v>
      </c>
      <c r="W85" s="145">
        <f t="shared" si="8"/>
        <v>0.19751655620522704</v>
      </c>
      <c r="X85" s="145">
        <f t="shared" si="8"/>
        <v>0.19751655620522704</v>
      </c>
      <c r="Y85" s="145">
        <f t="shared" si="8"/>
        <v>0.19751655620522704</v>
      </c>
      <c r="Z85" s="145">
        <f t="shared" si="8"/>
        <v>0.19751655620522704</v>
      </c>
      <c r="AA85" s="145">
        <f t="shared" si="8"/>
        <v>0.19751655620522704</v>
      </c>
      <c r="AB85" s="145">
        <f t="shared" si="8"/>
        <v>7.8679419876750339E-2</v>
      </c>
      <c r="AC85" s="145">
        <f t="shared" si="8"/>
        <v>7.8679419876750339E-2</v>
      </c>
      <c r="AD85" s="145">
        <f t="shared" si="8"/>
        <v>7.8679419876750339E-2</v>
      </c>
      <c r="AE85" s="145">
        <f t="shared" si="8"/>
        <v>7.8679419876750339E-2</v>
      </c>
      <c r="AF85" s="145">
        <f t="shared" si="8"/>
        <v>7.8679419876750339E-2</v>
      </c>
      <c r="AG85" s="145">
        <f t="shared" si="8"/>
        <v>0.48222066856070578</v>
      </c>
      <c r="AH85" s="145">
        <f t="shared" si="8"/>
        <v>0</v>
      </c>
      <c r="AI85" s="145">
        <f t="shared" si="8"/>
        <v>0</v>
      </c>
      <c r="AJ85" s="145">
        <f t="shared" si="8"/>
        <v>0</v>
      </c>
      <c r="AK85" s="145">
        <f t="shared" si="8"/>
        <v>0</v>
      </c>
      <c r="AL85" s="145">
        <f t="shared" si="8"/>
        <v>0</v>
      </c>
      <c r="AM85" s="145">
        <f t="shared" si="8"/>
        <v>0</v>
      </c>
      <c r="AN85" s="145">
        <f t="shared" si="8"/>
        <v>0</v>
      </c>
      <c r="AO85" s="145">
        <f t="shared" si="8"/>
        <v>0</v>
      </c>
    </row>
    <row r="86" spans="3:43" x14ac:dyDescent="0.3">
      <c r="D86"/>
      <c r="E86" s="88"/>
      <c r="F86" t="s">
        <v>158</v>
      </c>
      <c r="G86" t="s">
        <v>167</v>
      </c>
      <c r="H86" s="51"/>
      <c r="J86" s="145">
        <f t="shared" ref="J86:AO86" si="9">INDEX($J68:$Y68,J$54)</f>
        <v>0.48222066856070578</v>
      </c>
      <c r="K86" s="145">
        <f t="shared" si="9"/>
        <v>0.48222066856070578</v>
      </c>
      <c r="L86" s="145">
        <f t="shared" si="9"/>
        <v>0.48222066856070578</v>
      </c>
      <c r="M86" s="145">
        <f t="shared" si="9"/>
        <v>0.48222066856070578</v>
      </c>
      <c r="N86" s="145">
        <f t="shared" si="9"/>
        <v>0.48222066856070578</v>
      </c>
      <c r="O86" s="145">
        <f t="shared" si="9"/>
        <v>0.48222066856070578</v>
      </c>
      <c r="P86" s="145">
        <f t="shared" si="9"/>
        <v>0.48222066856070578</v>
      </c>
      <c r="Q86" s="145">
        <f t="shared" si="9"/>
        <v>0.48222066856070578</v>
      </c>
      <c r="R86" s="145">
        <f t="shared" si="9"/>
        <v>0.48222066856070578</v>
      </c>
      <c r="S86" s="145">
        <f t="shared" si="9"/>
        <v>0.48222066856070578</v>
      </c>
      <c r="T86" s="145">
        <f t="shared" si="9"/>
        <v>0.48222066856070578</v>
      </c>
      <c r="U86" s="145">
        <f t="shared" si="9"/>
        <v>0.48222066856070578</v>
      </c>
      <c r="V86" s="145">
        <f t="shared" si="9"/>
        <v>0.48222066856070578</v>
      </c>
      <c r="W86" s="145">
        <f t="shared" si="9"/>
        <v>0.19751655620522704</v>
      </c>
      <c r="X86" s="145">
        <f t="shared" si="9"/>
        <v>0.19751655620522704</v>
      </c>
      <c r="Y86" s="145">
        <f t="shared" si="9"/>
        <v>0.19751655620522704</v>
      </c>
      <c r="Z86" s="145">
        <f t="shared" si="9"/>
        <v>0.19751655620522704</v>
      </c>
      <c r="AA86" s="145">
        <f t="shared" si="9"/>
        <v>0.19751655620522704</v>
      </c>
      <c r="AB86" s="145">
        <f t="shared" si="9"/>
        <v>7.8679419876750339E-2</v>
      </c>
      <c r="AC86" s="145">
        <f t="shared" si="9"/>
        <v>7.8679419876750339E-2</v>
      </c>
      <c r="AD86" s="145">
        <f t="shared" si="9"/>
        <v>7.8679419876750339E-2</v>
      </c>
      <c r="AE86" s="145">
        <f t="shared" si="9"/>
        <v>7.8679419876750339E-2</v>
      </c>
      <c r="AF86" s="145">
        <f t="shared" si="9"/>
        <v>7.8679419876750339E-2</v>
      </c>
      <c r="AG86" s="145">
        <f t="shared" si="9"/>
        <v>0.48222066856070578</v>
      </c>
      <c r="AH86" s="145">
        <f t="shared" si="9"/>
        <v>0</v>
      </c>
      <c r="AI86" s="145">
        <f t="shared" si="9"/>
        <v>0</v>
      </c>
      <c r="AJ86" s="145">
        <f t="shared" si="9"/>
        <v>0</v>
      </c>
      <c r="AK86" s="145">
        <f t="shared" si="9"/>
        <v>0</v>
      </c>
      <c r="AL86" s="145">
        <f t="shared" si="9"/>
        <v>0</v>
      </c>
      <c r="AM86" s="145">
        <f t="shared" si="9"/>
        <v>0</v>
      </c>
      <c r="AN86" s="145">
        <f t="shared" si="9"/>
        <v>0</v>
      </c>
      <c r="AO86" s="145">
        <f t="shared" si="9"/>
        <v>0</v>
      </c>
    </row>
    <row r="87" spans="3:43" x14ac:dyDescent="0.3">
      <c r="D87"/>
      <c r="E87" s="88"/>
      <c r="F87" t="s">
        <v>159</v>
      </c>
      <c r="G87" t="s">
        <v>167</v>
      </c>
      <c r="H87" s="51"/>
      <c r="J87" s="145">
        <f t="shared" ref="J87:AO87" si="10">INDEX($J69:$Y69,J$54)</f>
        <v>0.48222066856070578</v>
      </c>
      <c r="K87" s="145">
        <f t="shared" si="10"/>
        <v>0.48222066856070578</v>
      </c>
      <c r="L87" s="145">
        <f t="shared" si="10"/>
        <v>0.48222066856070578</v>
      </c>
      <c r="M87" s="145">
        <f t="shared" si="10"/>
        <v>0.48222066856070578</v>
      </c>
      <c r="N87" s="145">
        <f t="shared" si="10"/>
        <v>0.48222066856070578</v>
      </c>
      <c r="O87" s="145">
        <f t="shared" si="10"/>
        <v>0.48222066856070578</v>
      </c>
      <c r="P87" s="145">
        <f t="shared" si="10"/>
        <v>0.48222066856070578</v>
      </c>
      <c r="Q87" s="145">
        <f t="shared" si="10"/>
        <v>0.48222066856070578</v>
      </c>
      <c r="R87" s="145">
        <f t="shared" si="10"/>
        <v>0.48222066856070578</v>
      </c>
      <c r="S87" s="145">
        <f t="shared" si="10"/>
        <v>0.48222066856070578</v>
      </c>
      <c r="T87" s="145">
        <f t="shared" si="10"/>
        <v>0.48222066856070578</v>
      </c>
      <c r="U87" s="145">
        <f t="shared" si="10"/>
        <v>0.48222066856070578</v>
      </c>
      <c r="V87" s="145">
        <f t="shared" si="10"/>
        <v>0.48222066856070578</v>
      </c>
      <c r="W87" s="145">
        <f t="shared" si="10"/>
        <v>0.19751655620522704</v>
      </c>
      <c r="X87" s="145">
        <f t="shared" si="10"/>
        <v>0.19751655620522704</v>
      </c>
      <c r="Y87" s="145">
        <f t="shared" si="10"/>
        <v>0.19751655620522704</v>
      </c>
      <c r="Z87" s="145">
        <f t="shared" si="10"/>
        <v>0.19751655620522704</v>
      </c>
      <c r="AA87" s="145">
        <f t="shared" si="10"/>
        <v>0.19751655620522704</v>
      </c>
      <c r="AB87" s="145">
        <f t="shared" si="10"/>
        <v>7.8679419876750339E-2</v>
      </c>
      <c r="AC87" s="145">
        <f t="shared" si="10"/>
        <v>7.8679419876750339E-2</v>
      </c>
      <c r="AD87" s="145">
        <f t="shared" si="10"/>
        <v>7.8679419876750339E-2</v>
      </c>
      <c r="AE87" s="145">
        <f t="shared" si="10"/>
        <v>7.8679419876750339E-2</v>
      </c>
      <c r="AF87" s="145">
        <f t="shared" si="10"/>
        <v>7.8679419876750339E-2</v>
      </c>
      <c r="AG87" s="145">
        <f t="shared" si="10"/>
        <v>0.48222066856070578</v>
      </c>
      <c r="AH87" s="145">
        <f t="shared" si="10"/>
        <v>1</v>
      </c>
      <c r="AI87" s="145">
        <f t="shared" si="10"/>
        <v>1</v>
      </c>
      <c r="AJ87" s="145">
        <f t="shared" si="10"/>
        <v>1</v>
      </c>
      <c r="AK87" s="145">
        <f t="shared" si="10"/>
        <v>1</v>
      </c>
      <c r="AL87" s="145">
        <f t="shared" si="10"/>
        <v>1</v>
      </c>
      <c r="AM87" s="145">
        <f t="shared" si="10"/>
        <v>1</v>
      </c>
      <c r="AN87" s="145">
        <f t="shared" si="10"/>
        <v>1</v>
      </c>
      <c r="AO87" s="145">
        <f t="shared" si="10"/>
        <v>1</v>
      </c>
    </row>
    <row r="88" spans="3:43" x14ac:dyDescent="0.3">
      <c r="D88"/>
      <c r="E88" s="88"/>
      <c r="F88" t="s">
        <v>160</v>
      </c>
      <c r="G88" t="s">
        <v>167</v>
      </c>
      <c r="H88" s="51"/>
      <c r="J88" s="145">
        <f t="shared" ref="J88:AO88" si="11">INDEX($J70:$Y70,J$54)</f>
        <v>0.48222066856070578</v>
      </c>
      <c r="K88" s="145">
        <f t="shared" si="11"/>
        <v>0.48222066856070578</v>
      </c>
      <c r="L88" s="145">
        <f t="shared" si="11"/>
        <v>0.48222066856070578</v>
      </c>
      <c r="M88" s="145">
        <f t="shared" si="11"/>
        <v>0.48222066856070578</v>
      </c>
      <c r="N88" s="145">
        <f t="shared" si="11"/>
        <v>0.48222066856070578</v>
      </c>
      <c r="O88" s="145">
        <f t="shared" si="11"/>
        <v>0.48222066856070578</v>
      </c>
      <c r="P88" s="145">
        <f t="shared" si="11"/>
        <v>0.48222066856070578</v>
      </c>
      <c r="Q88" s="145">
        <f t="shared" si="11"/>
        <v>0.48222066856070578</v>
      </c>
      <c r="R88" s="145">
        <f t="shared" si="11"/>
        <v>0.48222066856070578</v>
      </c>
      <c r="S88" s="145">
        <f t="shared" si="11"/>
        <v>0.48222066856070578</v>
      </c>
      <c r="T88" s="145">
        <f t="shared" si="11"/>
        <v>0.48222066856070578</v>
      </c>
      <c r="U88" s="145">
        <f t="shared" si="11"/>
        <v>0.48222066856070578</v>
      </c>
      <c r="V88" s="145">
        <f t="shared" si="11"/>
        <v>0.48222066856070578</v>
      </c>
      <c r="W88" s="145">
        <f t="shared" si="11"/>
        <v>0.19751655620522704</v>
      </c>
      <c r="X88" s="145">
        <f t="shared" si="11"/>
        <v>0.19751655620522704</v>
      </c>
      <c r="Y88" s="145">
        <f t="shared" si="11"/>
        <v>0.19751655620522704</v>
      </c>
      <c r="Z88" s="145">
        <f t="shared" si="11"/>
        <v>0.19751655620522704</v>
      </c>
      <c r="AA88" s="145">
        <f t="shared" si="11"/>
        <v>0.19751655620522704</v>
      </c>
      <c r="AB88" s="145">
        <f t="shared" si="11"/>
        <v>7.8679419876750339E-2</v>
      </c>
      <c r="AC88" s="145">
        <f t="shared" si="11"/>
        <v>7.8679419876750339E-2</v>
      </c>
      <c r="AD88" s="145">
        <f t="shared" si="11"/>
        <v>7.8679419876750339E-2</v>
      </c>
      <c r="AE88" s="145">
        <f t="shared" si="11"/>
        <v>7.8679419876750339E-2</v>
      </c>
      <c r="AF88" s="145">
        <f t="shared" si="11"/>
        <v>7.8679419876750339E-2</v>
      </c>
      <c r="AG88" s="145">
        <f t="shared" si="11"/>
        <v>0.48222066856070578</v>
      </c>
      <c r="AH88" s="145">
        <f t="shared" si="11"/>
        <v>0</v>
      </c>
      <c r="AI88" s="145">
        <f t="shared" si="11"/>
        <v>0</v>
      </c>
      <c r="AJ88" s="145">
        <f t="shared" si="11"/>
        <v>0</v>
      </c>
      <c r="AK88" s="145">
        <f t="shared" si="11"/>
        <v>0</v>
      </c>
      <c r="AL88" s="145">
        <f t="shared" si="11"/>
        <v>0</v>
      </c>
      <c r="AM88" s="145">
        <f t="shared" si="11"/>
        <v>0</v>
      </c>
      <c r="AN88" s="145">
        <f t="shared" si="11"/>
        <v>0</v>
      </c>
      <c r="AO88" s="145">
        <f t="shared" si="11"/>
        <v>0</v>
      </c>
    </row>
    <row r="89" spans="3:43" x14ac:dyDescent="0.3">
      <c r="D89"/>
      <c r="E89" s="88"/>
      <c r="F89" t="s">
        <v>161</v>
      </c>
      <c r="G89" t="s">
        <v>167</v>
      </c>
      <c r="H89" s="51"/>
      <c r="J89" s="145">
        <f t="shared" ref="J89:AO89" si="12">INDEX($J71:$Y71,J$54)</f>
        <v>0.48222066856070578</v>
      </c>
      <c r="K89" s="145">
        <f t="shared" si="12"/>
        <v>0.48222066856070578</v>
      </c>
      <c r="L89" s="145">
        <f t="shared" si="12"/>
        <v>0.48222066856070578</v>
      </c>
      <c r="M89" s="145">
        <f t="shared" si="12"/>
        <v>0.48222066856070578</v>
      </c>
      <c r="N89" s="145">
        <f t="shared" si="12"/>
        <v>0.48222066856070578</v>
      </c>
      <c r="O89" s="145">
        <f t="shared" si="12"/>
        <v>0.48222066856070578</v>
      </c>
      <c r="P89" s="145">
        <f t="shared" si="12"/>
        <v>0.48222066856070578</v>
      </c>
      <c r="Q89" s="145">
        <f t="shared" si="12"/>
        <v>0.48222066856070578</v>
      </c>
      <c r="R89" s="145">
        <f t="shared" si="12"/>
        <v>0.48222066856070578</v>
      </c>
      <c r="S89" s="145">
        <f t="shared" si="12"/>
        <v>0.48222066856070578</v>
      </c>
      <c r="T89" s="145">
        <f t="shared" si="12"/>
        <v>0.48222066856070578</v>
      </c>
      <c r="U89" s="145">
        <f t="shared" si="12"/>
        <v>0.48222066856070578</v>
      </c>
      <c r="V89" s="145">
        <f t="shared" si="12"/>
        <v>0.48222066856070578</v>
      </c>
      <c r="W89" s="145">
        <f t="shared" si="12"/>
        <v>0.19751655620522704</v>
      </c>
      <c r="X89" s="145">
        <f t="shared" si="12"/>
        <v>0.19751655620522704</v>
      </c>
      <c r="Y89" s="145">
        <f t="shared" si="12"/>
        <v>0.19751655620522704</v>
      </c>
      <c r="Z89" s="145">
        <f t="shared" si="12"/>
        <v>0.19751655620522704</v>
      </c>
      <c r="AA89" s="145">
        <f t="shared" si="12"/>
        <v>0.19751655620522704</v>
      </c>
      <c r="AB89" s="145">
        <f t="shared" si="12"/>
        <v>7.8679419876750339E-2</v>
      </c>
      <c r="AC89" s="145">
        <f t="shared" si="12"/>
        <v>7.8679419876750339E-2</v>
      </c>
      <c r="AD89" s="145">
        <f t="shared" si="12"/>
        <v>7.8679419876750339E-2</v>
      </c>
      <c r="AE89" s="145">
        <f t="shared" si="12"/>
        <v>7.8679419876750339E-2</v>
      </c>
      <c r="AF89" s="145">
        <f t="shared" si="12"/>
        <v>7.8679419876750339E-2</v>
      </c>
      <c r="AG89" s="145">
        <f t="shared" si="12"/>
        <v>0.48222066856070578</v>
      </c>
      <c r="AH89" s="145">
        <f t="shared" si="12"/>
        <v>0</v>
      </c>
      <c r="AI89" s="145">
        <f t="shared" si="12"/>
        <v>0</v>
      </c>
      <c r="AJ89" s="145">
        <f t="shared" si="12"/>
        <v>0</v>
      </c>
      <c r="AK89" s="145">
        <f t="shared" si="12"/>
        <v>0</v>
      </c>
      <c r="AL89" s="145">
        <f t="shared" si="12"/>
        <v>0</v>
      </c>
      <c r="AM89" s="145">
        <f t="shared" si="12"/>
        <v>0</v>
      </c>
      <c r="AN89" s="145">
        <f t="shared" si="12"/>
        <v>0</v>
      </c>
      <c r="AO89" s="145">
        <f t="shared" si="12"/>
        <v>0</v>
      </c>
    </row>
    <row r="90" spans="3:43" x14ac:dyDescent="0.3">
      <c r="D90"/>
      <c r="E90" s="88"/>
      <c r="F90" s="37" t="s">
        <v>162</v>
      </c>
      <c r="G90" s="37" t="s">
        <v>167</v>
      </c>
      <c r="H90" s="211"/>
      <c r="I90" s="37"/>
      <c r="J90" s="155">
        <f t="shared" ref="J90:AO90" si="13">INDEX($J72:$Y72,J$54)</f>
        <v>0.48222066856070578</v>
      </c>
      <c r="K90" s="155">
        <f t="shared" si="13"/>
        <v>0.48222066856070578</v>
      </c>
      <c r="L90" s="155">
        <f t="shared" si="13"/>
        <v>0.48222066856070578</v>
      </c>
      <c r="M90" s="155">
        <f t="shared" si="13"/>
        <v>0.48222066856070578</v>
      </c>
      <c r="N90" s="155">
        <f t="shared" si="13"/>
        <v>0.48222066856070578</v>
      </c>
      <c r="O90" s="155">
        <f t="shared" si="13"/>
        <v>0.48222066856070578</v>
      </c>
      <c r="P90" s="155">
        <f t="shared" si="13"/>
        <v>0.48222066856070578</v>
      </c>
      <c r="Q90" s="155">
        <f t="shared" si="13"/>
        <v>0.48222066856070578</v>
      </c>
      <c r="R90" s="155">
        <f t="shared" si="13"/>
        <v>0.48222066856070578</v>
      </c>
      <c r="S90" s="155">
        <f t="shared" si="13"/>
        <v>0.48222066856070578</v>
      </c>
      <c r="T90" s="155">
        <f t="shared" si="13"/>
        <v>0.48222066856070578</v>
      </c>
      <c r="U90" s="155">
        <f t="shared" si="13"/>
        <v>0.48222066856070578</v>
      </c>
      <c r="V90" s="155">
        <f t="shared" si="13"/>
        <v>0.48222066856070578</v>
      </c>
      <c r="W90" s="155">
        <f t="shared" si="13"/>
        <v>0.19751655620522704</v>
      </c>
      <c r="X90" s="155">
        <f t="shared" si="13"/>
        <v>0.19751655620522704</v>
      </c>
      <c r="Y90" s="155">
        <f t="shared" si="13"/>
        <v>0.19751655620522704</v>
      </c>
      <c r="Z90" s="155">
        <f t="shared" si="13"/>
        <v>0.19751655620522704</v>
      </c>
      <c r="AA90" s="155">
        <f t="shared" si="13"/>
        <v>0.19751655620522704</v>
      </c>
      <c r="AB90" s="155">
        <f t="shared" si="13"/>
        <v>7.8679419876750339E-2</v>
      </c>
      <c r="AC90" s="155">
        <f t="shared" si="13"/>
        <v>7.8679419876750339E-2</v>
      </c>
      <c r="AD90" s="155">
        <f t="shared" si="13"/>
        <v>7.8679419876750339E-2</v>
      </c>
      <c r="AE90" s="155">
        <f t="shared" si="13"/>
        <v>7.8679419876750339E-2</v>
      </c>
      <c r="AF90" s="155">
        <f t="shared" si="13"/>
        <v>7.8679419876750339E-2</v>
      </c>
      <c r="AG90" s="155">
        <f t="shared" si="13"/>
        <v>0.48222066856070578</v>
      </c>
      <c r="AH90" s="155">
        <f t="shared" si="13"/>
        <v>0</v>
      </c>
      <c r="AI90" s="155">
        <f t="shared" si="13"/>
        <v>0</v>
      </c>
      <c r="AJ90" s="155">
        <f t="shared" si="13"/>
        <v>0</v>
      </c>
      <c r="AK90" s="155">
        <f t="shared" si="13"/>
        <v>0</v>
      </c>
      <c r="AL90" s="155">
        <f t="shared" si="13"/>
        <v>0</v>
      </c>
      <c r="AM90" s="155">
        <f t="shared" si="13"/>
        <v>0</v>
      </c>
      <c r="AN90" s="155">
        <f t="shared" si="13"/>
        <v>0</v>
      </c>
      <c r="AO90" s="155">
        <f t="shared" si="13"/>
        <v>0</v>
      </c>
    </row>
    <row r="91" spans="3:43" x14ac:dyDescent="0.3">
      <c r="D91" s="88"/>
      <c r="E91"/>
    </row>
    <row r="92" spans="3:43" x14ac:dyDescent="0.3">
      <c r="C92" s="31" t="str">
        <f ca="1">INDEX('Version control'!$H$34:$H$57,MATCH($A$1,'Version control'!$F$34:$F$57,0),1)&amp;"-E: Decimal places for rounding"</f>
        <v>Section 117-E: Decimal places for rounding</v>
      </c>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1"/>
      <c r="AP92" s="31"/>
      <c r="AQ92" s="31"/>
    </row>
    <row r="94" spans="3:43" x14ac:dyDescent="0.3">
      <c r="E94" s="32" t="s">
        <v>750</v>
      </c>
      <c r="I94" t="s">
        <v>154</v>
      </c>
      <c r="AQ94" t="s">
        <v>155</v>
      </c>
    </row>
    <row r="95" spans="3:43" x14ac:dyDescent="0.3">
      <c r="C95" s="88"/>
      <c r="F95" s="23" t="s">
        <v>156</v>
      </c>
      <c r="G95" s="23" t="s">
        <v>149</v>
      </c>
      <c r="H95" s="174">
        <f>'Fixed inputs'!H25</f>
        <v>3</v>
      </c>
    </row>
    <row r="96" spans="3:43" x14ac:dyDescent="0.3">
      <c r="C96" s="88"/>
      <c r="F96" t="s">
        <v>157</v>
      </c>
      <c r="G96" t="s">
        <v>149</v>
      </c>
      <c r="H96" s="51">
        <f>'Fixed inputs'!H26</f>
        <v>3</v>
      </c>
    </row>
    <row r="97" spans="2:43" x14ac:dyDescent="0.3">
      <c r="C97" s="88"/>
      <c r="F97" t="s">
        <v>158</v>
      </c>
      <c r="G97" t="s">
        <v>149</v>
      </c>
      <c r="H97" s="51">
        <f>'Fixed inputs'!H27</f>
        <v>3</v>
      </c>
    </row>
    <row r="98" spans="2:43" x14ac:dyDescent="0.3">
      <c r="C98" s="88"/>
      <c r="F98" t="s">
        <v>159</v>
      </c>
      <c r="G98" t="s">
        <v>149</v>
      </c>
      <c r="H98" s="51">
        <f>'Fixed inputs'!H28</f>
        <v>2</v>
      </c>
    </row>
    <row r="99" spans="2:43" x14ac:dyDescent="0.3">
      <c r="C99" s="88"/>
      <c r="F99" t="s">
        <v>160</v>
      </c>
      <c r="G99" t="s">
        <v>149</v>
      </c>
      <c r="H99" s="51">
        <f>'Fixed inputs'!H29</f>
        <v>2</v>
      </c>
    </row>
    <row r="100" spans="2:43" x14ac:dyDescent="0.3">
      <c r="C100" s="88"/>
      <c r="F100" t="s">
        <v>161</v>
      </c>
      <c r="G100" t="s">
        <v>149</v>
      </c>
      <c r="H100" s="51">
        <f>'Fixed inputs'!H30</f>
        <v>2</v>
      </c>
    </row>
    <row r="101" spans="2:43" x14ac:dyDescent="0.3">
      <c r="C101" s="88"/>
      <c r="F101" s="37" t="s">
        <v>162</v>
      </c>
      <c r="G101" s="37" t="s">
        <v>149</v>
      </c>
      <c r="H101" s="211">
        <f>'Fixed inputs'!H31</f>
        <v>3</v>
      </c>
    </row>
    <row r="102" spans="2:43" x14ac:dyDescent="0.3">
      <c r="C102" s="88"/>
    </row>
    <row r="103" spans="2:43" x14ac:dyDescent="0.3">
      <c r="B103" s="30" t="s">
        <v>751</v>
      </c>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row>
    <row r="105" spans="2:43" x14ac:dyDescent="0.3">
      <c r="C105" s="29" t="s">
        <v>752</v>
      </c>
    </row>
    <row r="107" spans="2:43" x14ac:dyDescent="0.3">
      <c r="C107" s="31" t="str">
        <f ca="1">INDEX('Version control'!$H$34:$H$57,MATCH($A$1,'Version control'!$F$34:$F$57,0),1)&amp;"-F: Tariff forecast, post-revenue matching"</f>
        <v>Section 117-F: Tariff forecast, post-revenue matching</v>
      </c>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c r="AK107" s="31"/>
      <c r="AL107" s="31"/>
      <c r="AM107" s="31"/>
      <c r="AN107" s="31"/>
      <c r="AO107" s="31"/>
      <c r="AP107" s="31"/>
      <c r="AQ107" s="31"/>
    </row>
    <row r="109" spans="2:43" x14ac:dyDescent="0.3">
      <c r="D109"/>
      <c r="E109" s="32" t="s">
        <v>753</v>
      </c>
      <c r="F109" s="32"/>
    </row>
    <row r="110" spans="2:43" x14ac:dyDescent="0.3">
      <c r="D110"/>
      <c r="E110" s="88"/>
      <c r="F110" s="23" t="s">
        <v>156</v>
      </c>
      <c r="G110" s="23" t="s">
        <v>269</v>
      </c>
      <c r="H110" s="278"/>
      <c r="I110" s="266"/>
      <c r="J110" s="281">
        <f xml:space="preserve"> J20 + J32</f>
        <v>6.0221483582302726</v>
      </c>
      <c r="K110" s="281">
        <f t="shared" ref="K110:AO110" si="14" xml:space="preserve"> K20 + K32</f>
        <v>6.0221483582302726</v>
      </c>
      <c r="L110" s="281">
        <f t="shared" si="14"/>
        <v>6.8556231914876227</v>
      </c>
      <c r="M110" s="281">
        <f t="shared" si="14"/>
        <v>6.8556231914876227</v>
      </c>
      <c r="N110" s="281">
        <f t="shared" si="14"/>
        <v>6.8556231914876227</v>
      </c>
      <c r="O110" s="281">
        <f t="shared" si="14"/>
        <v>6.8556231914876227</v>
      </c>
      <c r="P110" s="281">
        <f t="shared" si="14"/>
        <v>6.8556231914876227</v>
      </c>
      <c r="Q110" s="281">
        <f t="shared" si="14"/>
        <v>6.8556231914876227</v>
      </c>
      <c r="R110" s="281">
        <f t="shared" si="14"/>
        <v>4.2652239720587968</v>
      </c>
      <c r="S110" s="281">
        <f t="shared" si="14"/>
        <v>4.2652239720587968</v>
      </c>
      <c r="T110" s="281">
        <f t="shared" si="14"/>
        <v>4.2652239720587968</v>
      </c>
      <c r="U110" s="281">
        <f t="shared" si="14"/>
        <v>4.2652239720587968</v>
      </c>
      <c r="V110" s="281">
        <f t="shared" si="14"/>
        <v>4.2652239720587968</v>
      </c>
      <c r="W110" s="281">
        <f t="shared" si="14"/>
        <v>1.887205166199178</v>
      </c>
      <c r="X110" s="281">
        <f t="shared" si="14"/>
        <v>1.887205166199178</v>
      </c>
      <c r="Y110" s="281">
        <f t="shared" si="14"/>
        <v>1.887205166199178</v>
      </c>
      <c r="Z110" s="281">
        <f t="shared" si="14"/>
        <v>1.887205166199178</v>
      </c>
      <c r="AA110" s="281">
        <f t="shared" si="14"/>
        <v>1.887205166199178</v>
      </c>
      <c r="AB110" s="281">
        <f t="shared" si="14"/>
        <v>1.2836091007228583</v>
      </c>
      <c r="AC110" s="281">
        <f t="shared" si="14"/>
        <v>1.2836091007228583</v>
      </c>
      <c r="AD110" s="281">
        <f t="shared" si="14"/>
        <v>1.2836091007228583</v>
      </c>
      <c r="AE110" s="281">
        <f t="shared" si="14"/>
        <v>1.2836091007228583</v>
      </c>
      <c r="AF110" s="281">
        <f t="shared" si="14"/>
        <v>1.2836091007228583</v>
      </c>
      <c r="AG110" s="281">
        <f t="shared" si="14"/>
        <v>17.326587222112806</v>
      </c>
      <c r="AH110" s="281">
        <f t="shared" si="14"/>
        <v>-4.2026893264145153</v>
      </c>
      <c r="AI110" s="281">
        <f t="shared" si="14"/>
        <v>-3.4961132793592773</v>
      </c>
      <c r="AJ110" s="281">
        <f t="shared" si="14"/>
        <v>-4.2026893264145153</v>
      </c>
      <c r="AK110" s="281">
        <f t="shared" si="14"/>
        <v>-4.2026893264145153</v>
      </c>
      <c r="AL110" s="281">
        <f t="shared" si="14"/>
        <v>-3.4961132793592773</v>
      </c>
      <c r="AM110" s="281">
        <f t="shared" si="14"/>
        <v>-3.4961132793592773</v>
      </c>
      <c r="AN110" s="281">
        <f t="shared" si="14"/>
        <v>-1.7998280217679377</v>
      </c>
      <c r="AO110" s="281">
        <f t="shared" si="14"/>
        <v>-1.7998280217679377</v>
      </c>
      <c r="AP110" s="267"/>
      <c r="AQ110" s="267"/>
    </row>
    <row r="111" spans="2:43" x14ac:dyDescent="0.3">
      <c r="D111"/>
      <c r="E111" s="88"/>
      <c r="F111" t="s">
        <v>157</v>
      </c>
      <c r="G111" t="s">
        <v>269</v>
      </c>
      <c r="H111" s="279"/>
      <c r="I111" s="267"/>
      <c r="J111" s="282">
        <f t="shared" ref="J111" si="15" xml:space="preserve"> J21 + J33</f>
        <v>0.95141599957884027</v>
      </c>
      <c r="K111" s="282">
        <f t="shared" ref="K111:AO111" si="16" xml:space="preserve"> K21 + K33</f>
        <v>0.95141599957884027</v>
      </c>
      <c r="L111" s="282">
        <f t="shared" si="16"/>
        <v>1.0830934748644838</v>
      </c>
      <c r="M111" s="282">
        <f t="shared" si="16"/>
        <v>1.0830934748644838</v>
      </c>
      <c r="N111" s="282">
        <f t="shared" si="16"/>
        <v>1.0830934748644838</v>
      </c>
      <c r="O111" s="282">
        <f t="shared" si="16"/>
        <v>1.0830934748644838</v>
      </c>
      <c r="P111" s="282">
        <f t="shared" si="16"/>
        <v>1.0830934748644838</v>
      </c>
      <c r="Q111" s="282">
        <f t="shared" si="16"/>
        <v>1.0830934748644838</v>
      </c>
      <c r="R111" s="282">
        <f t="shared" si="16"/>
        <v>0.69123793373055742</v>
      </c>
      <c r="S111" s="282">
        <f t="shared" si="16"/>
        <v>0.69123793373055742</v>
      </c>
      <c r="T111" s="282">
        <f t="shared" si="16"/>
        <v>0.69123793373055742</v>
      </c>
      <c r="U111" s="282">
        <f t="shared" si="16"/>
        <v>0.69123793373055742</v>
      </c>
      <c r="V111" s="282">
        <f t="shared" si="16"/>
        <v>0.69123793373055742</v>
      </c>
      <c r="W111" s="282">
        <f t="shared" si="16"/>
        <v>0.32804937533032308</v>
      </c>
      <c r="X111" s="282">
        <f t="shared" si="16"/>
        <v>0.32804937533032308</v>
      </c>
      <c r="Y111" s="282">
        <f t="shared" si="16"/>
        <v>0.32804937533032308</v>
      </c>
      <c r="Z111" s="282">
        <f t="shared" si="16"/>
        <v>0.32804937533032308</v>
      </c>
      <c r="AA111" s="282">
        <f t="shared" si="16"/>
        <v>0.32804937533032308</v>
      </c>
      <c r="AB111" s="282">
        <f t="shared" si="16"/>
        <v>0.22373534796604991</v>
      </c>
      <c r="AC111" s="282">
        <f t="shared" si="16"/>
        <v>0.22373534796604991</v>
      </c>
      <c r="AD111" s="282">
        <f t="shared" si="16"/>
        <v>0.22373534796604991</v>
      </c>
      <c r="AE111" s="282">
        <f t="shared" si="16"/>
        <v>0.22373534796604991</v>
      </c>
      <c r="AF111" s="282">
        <f t="shared" si="16"/>
        <v>0.22373534796604991</v>
      </c>
      <c r="AG111" s="282">
        <f t="shared" si="16"/>
        <v>2.8096973994973782</v>
      </c>
      <c r="AH111" s="282">
        <f t="shared" si="16"/>
        <v>-0.66396668241249179</v>
      </c>
      <c r="AI111" s="282">
        <f t="shared" si="16"/>
        <v>-0.56093505629734508</v>
      </c>
      <c r="AJ111" s="282">
        <f t="shared" si="16"/>
        <v>-0.66396668241249179</v>
      </c>
      <c r="AK111" s="282">
        <f t="shared" si="16"/>
        <v>-0.66396668241249179</v>
      </c>
      <c r="AL111" s="282">
        <f t="shared" si="16"/>
        <v>-0.56093505629734508</v>
      </c>
      <c r="AM111" s="282">
        <f t="shared" si="16"/>
        <v>-0.56093505629734508</v>
      </c>
      <c r="AN111" s="282">
        <f t="shared" si="16"/>
        <v>-0.31311949231288227</v>
      </c>
      <c r="AO111" s="282">
        <f t="shared" si="16"/>
        <v>-0.31311949231288227</v>
      </c>
      <c r="AP111" s="267"/>
      <c r="AQ111" s="267"/>
    </row>
    <row r="112" spans="2:43" x14ac:dyDescent="0.3">
      <c r="D112"/>
      <c r="E112" s="88"/>
      <c r="F112" t="s">
        <v>158</v>
      </c>
      <c r="G112" t="s">
        <v>269</v>
      </c>
      <c r="H112" s="279"/>
      <c r="I112" s="267"/>
      <c r="J112" s="282">
        <f t="shared" ref="J112" si="17" xml:space="preserve"> J22 + J34</f>
        <v>8.964018638578318E-2</v>
      </c>
      <c r="K112" s="282">
        <f t="shared" ref="K112:AO112" si="18" xml:space="preserve"> K22 + K34</f>
        <v>8.964018638578318E-2</v>
      </c>
      <c r="L112" s="282">
        <f t="shared" si="18"/>
        <v>0.10204652959699627</v>
      </c>
      <c r="M112" s="282">
        <f t="shared" si="18"/>
        <v>0.10204652959699627</v>
      </c>
      <c r="N112" s="282">
        <f t="shared" si="18"/>
        <v>0.10204652959699627</v>
      </c>
      <c r="O112" s="282">
        <f t="shared" si="18"/>
        <v>0.10204652959699627</v>
      </c>
      <c r="P112" s="282">
        <f t="shared" si="18"/>
        <v>0.10204652959699627</v>
      </c>
      <c r="Q112" s="282">
        <f t="shared" si="18"/>
        <v>0.10204652959699627</v>
      </c>
      <c r="R112" s="282">
        <f t="shared" si="18"/>
        <v>5.7596045435720597E-2</v>
      </c>
      <c r="S112" s="282">
        <f t="shared" si="18"/>
        <v>5.7596045435720597E-2</v>
      </c>
      <c r="T112" s="282">
        <f t="shared" si="18"/>
        <v>5.7596045435720597E-2</v>
      </c>
      <c r="U112" s="282">
        <f t="shared" si="18"/>
        <v>5.7596045435720597E-2</v>
      </c>
      <c r="V112" s="282">
        <f t="shared" si="18"/>
        <v>5.7596045435720597E-2</v>
      </c>
      <c r="W112" s="282">
        <f t="shared" si="18"/>
        <v>1.7962266911247374E-2</v>
      </c>
      <c r="X112" s="282">
        <f t="shared" si="18"/>
        <v>1.7962266911247374E-2</v>
      </c>
      <c r="Y112" s="282">
        <f t="shared" si="18"/>
        <v>1.7962266911247374E-2</v>
      </c>
      <c r="Z112" s="282">
        <f t="shared" si="18"/>
        <v>1.7962266911247374E-2</v>
      </c>
      <c r="AA112" s="282">
        <f t="shared" si="18"/>
        <v>1.7962266911247374E-2</v>
      </c>
      <c r="AB112" s="282">
        <f t="shared" si="18"/>
        <v>9.0275222938815628E-3</v>
      </c>
      <c r="AC112" s="282">
        <f t="shared" si="18"/>
        <v>9.0275222938815628E-3</v>
      </c>
      <c r="AD112" s="282">
        <f t="shared" si="18"/>
        <v>9.0275222938815628E-3</v>
      </c>
      <c r="AE112" s="282">
        <f t="shared" si="18"/>
        <v>9.0275222938815628E-3</v>
      </c>
      <c r="AF112" s="282">
        <f t="shared" si="18"/>
        <v>9.0275222938815628E-3</v>
      </c>
      <c r="AG112" s="282">
        <f t="shared" si="18"/>
        <v>2.1762081900343948</v>
      </c>
      <c r="AH112" s="282">
        <f t="shared" si="18"/>
        <v>-6.2557385194018711E-2</v>
      </c>
      <c r="AI112" s="282">
        <f t="shared" si="18"/>
        <v>-4.9127131689069681E-2</v>
      </c>
      <c r="AJ112" s="282">
        <f t="shared" si="18"/>
        <v>-6.2557385194018711E-2</v>
      </c>
      <c r="AK112" s="282">
        <f t="shared" si="18"/>
        <v>-6.2557385194018711E-2</v>
      </c>
      <c r="AL112" s="282">
        <f t="shared" si="18"/>
        <v>-4.9127131689069681E-2</v>
      </c>
      <c r="AM112" s="282">
        <f t="shared" si="18"/>
        <v>-4.9127131689069681E-2</v>
      </c>
      <c r="AN112" s="282">
        <f t="shared" si="18"/>
        <v>-1.6727759883072124E-2</v>
      </c>
      <c r="AO112" s="282">
        <f t="shared" si="18"/>
        <v>-1.6727759883072124E-2</v>
      </c>
      <c r="AP112" s="267"/>
      <c r="AQ112" s="267"/>
    </row>
    <row r="113" spans="3:43" x14ac:dyDescent="0.3">
      <c r="D113"/>
      <c r="E113" s="88"/>
      <c r="F113" t="s">
        <v>159</v>
      </c>
      <c r="G113" t="s">
        <v>270</v>
      </c>
      <c r="H113" s="51"/>
      <c r="J113" s="98">
        <f t="shared" ref="J113" si="19" xml:space="preserve"> J23 + J35</f>
        <v>16.296532150363106</v>
      </c>
      <c r="K113" s="98">
        <f t="shared" ref="K113:AO113" si="20" xml:space="preserve"> K23 + K35</f>
        <v>0</v>
      </c>
      <c r="L113" s="98">
        <f t="shared" si="20"/>
        <v>8.8455191726453233</v>
      </c>
      <c r="M113" s="98">
        <f t="shared" si="20"/>
        <v>13.311836563746965</v>
      </c>
      <c r="N113" s="98">
        <f t="shared" si="20"/>
        <v>33.685359016407091</v>
      </c>
      <c r="O113" s="98">
        <f t="shared" si="20"/>
        <v>69.757108855791117</v>
      </c>
      <c r="P113" s="98">
        <f t="shared" si="20"/>
        <v>205.2623032798426</v>
      </c>
      <c r="Q113" s="98">
        <f t="shared" si="20"/>
        <v>0</v>
      </c>
      <c r="R113" s="98">
        <f t="shared" si="20"/>
        <v>12.488244880854381</v>
      </c>
      <c r="S113" s="98">
        <f t="shared" si="20"/>
        <v>303.42898017111816</v>
      </c>
      <c r="T113" s="98">
        <f t="shared" si="20"/>
        <v>550.20512851462752</v>
      </c>
      <c r="U113" s="98">
        <f t="shared" si="20"/>
        <v>846.21738453063256</v>
      </c>
      <c r="V113" s="98">
        <f t="shared" si="20"/>
        <v>1314.157232819724</v>
      </c>
      <c r="W113" s="98">
        <f t="shared" si="20"/>
        <v>9.7484171632986918</v>
      </c>
      <c r="X113" s="98">
        <f t="shared" si="20"/>
        <v>300.68915245356249</v>
      </c>
      <c r="Y113" s="98">
        <f t="shared" si="20"/>
        <v>547.46530079707179</v>
      </c>
      <c r="Z113" s="98">
        <f t="shared" si="20"/>
        <v>843.47755681307672</v>
      </c>
      <c r="AA113" s="98">
        <f t="shared" si="20"/>
        <v>1311.4174051021678</v>
      </c>
      <c r="AB113" s="98">
        <f t="shared" si="20"/>
        <v>89.995785082794086</v>
      </c>
      <c r="AC113" s="98">
        <f t="shared" si="20"/>
        <v>1498.9991907636386</v>
      </c>
      <c r="AD113" s="98">
        <f t="shared" si="20"/>
        <v>4745.9415641095238</v>
      </c>
      <c r="AE113" s="98">
        <f t="shared" si="20"/>
        <v>10468.7279882849</v>
      </c>
      <c r="AF113" s="98">
        <f t="shared" si="20"/>
        <v>32106.02914093505</v>
      </c>
      <c r="AG113" s="98">
        <f t="shared" si="20"/>
        <v>0</v>
      </c>
      <c r="AH113" s="98">
        <f t="shared" si="20"/>
        <v>0</v>
      </c>
      <c r="AI113" s="98">
        <f t="shared" si="20"/>
        <v>0</v>
      </c>
      <c r="AJ113" s="98">
        <f t="shared" si="20"/>
        <v>0</v>
      </c>
      <c r="AK113" s="98">
        <f t="shared" si="20"/>
        <v>0</v>
      </c>
      <c r="AL113" s="98">
        <f t="shared" si="20"/>
        <v>0</v>
      </c>
      <c r="AM113" s="98">
        <f t="shared" si="20"/>
        <v>0</v>
      </c>
      <c r="AN113" s="98">
        <f t="shared" si="20"/>
        <v>56.323203629083082</v>
      </c>
      <c r="AO113" s="98">
        <f t="shared" si="20"/>
        <v>56.323203629083082</v>
      </c>
    </row>
    <row r="114" spans="3:43" x14ac:dyDescent="0.3">
      <c r="D114"/>
      <c r="E114" s="88"/>
      <c r="F114" t="s">
        <v>160</v>
      </c>
      <c r="G114" t="s">
        <v>271</v>
      </c>
      <c r="H114" s="51"/>
      <c r="J114" s="98">
        <f t="shared" ref="J114" si="21" xml:space="preserve"> J24 + J36</f>
        <v>0</v>
      </c>
      <c r="K114" s="98">
        <f t="shared" ref="K114:AO114" si="22" xml:space="preserve"> K24 + K36</f>
        <v>0</v>
      </c>
      <c r="L114" s="98">
        <f t="shared" si="22"/>
        <v>0</v>
      </c>
      <c r="M114" s="98">
        <f t="shared" si="22"/>
        <v>0</v>
      </c>
      <c r="N114" s="98">
        <f t="shared" si="22"/>
        <v>0</v>
      </c>
      <c r="O114" s="98">
        <f t="shared" si="22"/>
        <v>0</v>
      </c>
      <c r="P114" s="98">
        <f t="shared" si="22"/>
        <v>0</v>
      </c>
      <c r="Q114" s="98">
        <f t="shared" si="22"/>
        <v>0</v>
      </c>
      <c r="R114" s="98">
        <f t="shared" si="22"/>
        <v>4.3379810793048295</v>
      </c>
      <c r="S114" s="98">
        <f t="shared" si="22"/>
        <v>4.3379810793048295</v>
      </c>
      <c r="T114" s="98">
        <f t="shared" si="22"/>
        <v>4.3379810793048295</v>
      </c>
      <c r="U114" s="98">
        <f t="shared" si="22"/>
        <v>4.3379810793048295</v>
      </c>
      <c r="V114" s="98">
        <f t="shared" si="22"/>
        <v>4.3379810793048295</v>
      </c>
      <c r="W114" s="98">
        <f t="shared" si="22"/>
        <v>4.8971441833049472</v>
      </c>
      <c r="X114" s="98">
        <f t="shared" si="22"/>
        <v>4.8971441833049472</v>
      </c>
      <c r="Y114" s="98">
        <f t="shared" si="22"/>
        <v>4.8971441833049472</v>
      </c>
      <c r="Z114" s="98">
        <f t="shared" si="22"/>
        <v>4.8971441833049472</v>
      </c>
      <c r="AA114" s="98">
        <f t="shared" si="22"/>
        <v>4.8971441833049472</v>
      </c>
      <c r="AB114" s="98">
        <f t="shared" si="22"/>
        <v>5.1847879034973312</v>
      </c>
      <c r="AC114" s="98">
        <f t="shared" si="22"/>
        <v>5.1847879034973312</v>
      </c>
      <c r="AD114" s="98">
        <f t="shared" si="22"/>
        <v>5.1847879034973312</v>
      </c>
      <c r="AE114" s="98">
        <f t="shared" si="22"/>
        <v>5.1847879034973312</v>
      </c>
      <c r="AF114" s="98">
        <f t="shared" si="22"/>
        <v>5.1847879034973312</v>
      </c>
      <c r="AG114" s="98">
        <f t="shared" si="22"/>
        <v>0</v>
      </c>
      <c r="AH114" s="98">
        <f t="shared" si="22"/>
        <v>0</v>
      </c>
      <c r="AI114" s="98">
        <f t="shared" si="22"/>
        <v>0</v>
      </c>
      <c r="AJ114" s="98">
        <f t="shared" si="22"/>
        <v>0</v>
      </c>
      <c r="AK114" s="98">
        <f t="shared" si="22"/>
        <v>0</v>
      </c>
      <c r="AL114" s="98">
        <f t="shared" si="22"/>
        <v>0</v>
      </c>
      <c r="AM114" s="98">
        <f t="shared" si="22"/>
        <v>0</v>
      </c>
      <c r="AN114" s="98">
        <f t="shared" si="22"/>
        <v>0</v>
      </c>
      <c r="AO114" s="98">
        <f t="shared" si="22"/>
        <v>0</v>
      </c>
    </row>
    <row r="115" spans="3:43" x14ac:dyDescent="0.3">
      <c r="D115"/>
      <c r="E115" s="88"/>
      <c r="F115" t="s">
        <v>161</v>
      </c>
      <c r="G115" t="s">
        <v>271</v>
      </c>
      <c r="H115" s="51"/>
      <c r="J115" s="98">
        <f t="shared" ref="J115" si="23" xml:space="preserve"> J25 + J37</f>
        <v>0</v>
      </c>
      <c r="K115" s="98">
        <f t="shared" ref="K115:AO115" si="24" xml:space="preserve"> K25 + K37</f>
        <v>0</v>
      </c>
      <c r="L115" s="98">
        <f t="shared" si="24"/>
        <v>0</v>
      </c>
      <c r="M115" s="98">
        <f t="shared" si="24"/>
        <v>0</v>
      </c>
      <c r="N115" s="98">
        <f t="shared" si="24"/>
        <v>0</v>
      </c>
      <c r="O115" s="98">
        <f t="shared" si="24"/>
        <v>0</v>
      </c>
      <c r="P115" s="98">
        <f t="shared" si="24"/>
        <v>0</v>
      </c>
      <c r="Q115" s="98">
        <f t="shared" si="24"/>
        <v>0</v>
      </c>
      <c r="R115" s="98">
        <f t="shared" si="24"/>
        <v>7.8549236543849785</v>
      </c>
      <c r="S115" s="98">
        <f t="shared" si="24"/>
        <v>7.8549236543849785</v>
      </c>
      <c r="T115" s="98">
        <f t="shared" si="24"/>
        <v>7.8549236543849785</v>
      </c>
      <c r="U115" s="98">
        <f t="shared" si="24"/>
        <v>7.8549236543849785</v>
      </c>
      <c r="V115" s="98">
        <f t="shared" si="24"/>
        <v>7.8549236543849785</v>
      </c>
      <c r="W115" s="98">
        <f t="shared" si="24"/>
        <v>6.7662485707310376</v>
      </c>
      <c r="X115" s="98">
        <f t="shared" si="24"/>
        <v>6.7662485707310376</v>
      </c>
      <c r="Y115" s="98">
        <f t="shared" si="24"/>
        <v>6.7662485707310376</v>
      </c>
      <c r="Z115" s="98">
        <f t="shared" si="24"/>
        <v>6.7662485707310376</v>
      </c>
      <c r="AA115" s="98">
        <f t="shared" si="24"/>
        <v>6.7662485707310376</v>
      </c>
      <c r="AB115" s="98">
        <f t="shared" si="24"/>
        <v>6.840016635421688</v>
      </c>
      <c r="AC115" s="98">
        <f t="shared" si="24"/>
        <v>6.840016635421688</v>
      </c>
      <c r="AD115" s="98">
        <f t="shared" si="24"/>
        <v>6.840016635421688</v>
      </c>
      <c r="AE115" s="98">
        <f t="shared" si="24"/>
        <v>6.840016635421688</v>
      </c>
      <c r="AF115" s="98">
        <f t="shared" si="24"/>
        <v>6.840016635421688</v>
      </c>
      <c r="AG115" s="98">
        <f t="shared" si="24"/>
        <v>0</v>
      </c>
      <c r="AH115" s="98">
        <f t="shared" si="24"/>
        <v>0</v>
      </c>
      <c r="AI115" s="98">
        <f t="shared" si="24"/>
        <v>0</v>
      </c>
      <c r="AJ115" s="98">
        <f t="shared" si="24"/>
        <v>0</v>
      </c>
      <c r="AK115" s="98">
        <f t="shared" si="24"/>
        <v>0</v>
      </c>
      <c r="AL115" s="98">
        <f t="shared" si="24"/>
        <v>0</v>
      </c>
      <c r="AM115" s="98">
        <f t="shared" si="24"/>
        <v>0</v>
      </c>
      <c r="AN115" s="98">
        <f t="shared" si="24"/>
        <v>0</v>
      </c>
      <c r="AO115" s="98">
        <f t="shared" si="24"/>
        <v>0</v>
      </c>
    </row>
    <row r="116" spans="3:43" x14ac:dyDescent="0.3">
      <c r="D116"/>
      <c r="E116" s="88"/>
      <c r="F116" s="37" t="s">
        <v>162</v>
      </c>
      <c r="G116" s="37" t="s">
        <v>272</v>
      </c>
      <c r="H116" s="283"/>
      <c r="I116" s="269"/>
      <c r="J116" s="284">
        <f t="shared" ref="J116" si="25" xml:space="preserve"> J26 + J38</f>
        <v>0</v>
      </c>
      <c r="K116" s="284">
        <f t="shared" ref="K116:AO116" si="26" xml:space="preserve"> K26 + K38</f>
        <v>0</v>
      </c>
      <c r="L116" s="284">
        <f t="shared" si="26"/>
        <v>0</v>
      </c>
      <c r="M116" s="284">
        <f t="shared" si="26"/>
        <v>0</v>
      </c>
      <c r="N116" s="284">
        <f t="shared" si="26"/>
        <v>0</v>
      </c>
      <c r="O116" s="284">
        <f t="shared" si="26"/>
        <v>0</v>
      </c>
      <c r="P116" s="284">
        <f t="shared" si="26"/>
        <v>0</v>
      </c>
      <c r="Q116" s="284">
        <f t="shared" si="26"/>
        <v>0</v>
      </c>
      <c r="R116" s="284">
        <f t="shared" si="26"/>
        <v>0.21808178761874586</v>
      </c>
      <c r="S116" s="284">
        <f t="shared" si="26"/>
        <v>0.21808178761874586</v>
      </c>
      <c r="T116" s="284">
        <f t="shared" si="26"/>
        <v>0.21808178761874586</v>
      </c>
      <c r="U116" s="284">
        <f t="shared" si="26"/>
        <v>0.21808178761874586</v>
      </c>
      <c r="V116" s="284">
        <f t="shared" si="26"/>
        <v>0.21808178761874586</v>
      </c>
      <c r="W116" s="284">
        <f t="shared" si="26"/>
        <v>0.13269223171545519</v>
      </c>
      <c r="X116" s="284">
        <f t="shared" si="26"/>
        <v>0.13269223171545519</v>
      </c>
      <c r="Y116" s="284">
        <f t="shared" si="26"/>
        <v>0.13269223171545519</v>
      </c>
      <c r="Z116" s="284">
        <f t="shared" si="26"/>
        <v>0.13269223171545519</v>
      </c>
      <c r="AA116" s="284">
        <f t="shared" si="26"/>
        <v>0.13269223171545519</v>
      </c>
      <c r="AB116" s="284">
        <f t="shared" si="26"/>
        <v>5.8701869092401909E-2</v>
      </c>
      <c r="AC116" s="284">
        <f t="shared" si="26"/>
        <v>5.8701869092401909E-2</v>
      </c>
      <c r="AD116" s="284">
        <f t="shared" si="26"/>
        <v>5.8701869092401909E-2</v>
      </c>
      <c r="AE116" s="284">
        <f t="shared" si="26"/>
        <v>5.8701869092401909E-2</v>
      </c>
      <c r="AF116" s="284">
        <f t="shared" si="26"/>
        <v>5.8701869092401909E-2</v>
      </c>
      <c r="AG116" s="284">
        <f t="shared" si="26"/>
        <v>0</v>
      </c>
      <c r="AH116" s="284">
        <f t="shared" si="26"/>
        <v>0</v>
      </c>
      <c r="AI116" s="284">
        <f t="shared" si="26"/>
        <v>0</v>
      </c>
      <c r="AJ116" s="284">
        <f t="shared" si="26"/>
        <v>0.21538700524373391</v>
      </c>
      <c r="AK116" s="284">
        <f t="shared" si="26"/>
        <v>0</v>
      </c>
      <c r="AL116" s="284">
        <f t="shared" si="26"/>
        <v>0.16741946552320405</v>
      </c>
      <c r="AM116" s="284">
        <f t="shared" si="26"/>
        <v>0</v>
      </c>
      <c r="AN116" s="284">
        <f t="shared" si="26"/>
        <v>0.13034882474051146</v>
      </c>
      <c r="AO116" s="284">
        <f t="shared" si="26"/>
        <v>0</v>
      </c>
      <c r="AP116" s="267"/>
      <c r="AQ116" s="267"/>
    </row>
    <row r="117" spans="3:43" x14ac:dyDescent="0.3">
      <c r="D117" s="32"/>
      <c r="E117"/>
      <c r="J117" s="89"/>
      <c r="K117" s="89"/>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89"/>
      <c r="AO117" s="89"/>
    </row>
    <row r="118" spans="3:43" x14ac:dyDescent="0.3">
      <c r="C118" s="31" t="str">
        <f ca="1">INDEX('Version control'!$H$34:$H$57,MATCH($A$1,'Version control'!$F$34:$F$57,0),1)&amp;"-G: Tariff forecast, post-adders &amp; discounting"</f>
        <v>Section 117-G: Tariff forecast, post-adders &amp; discounting</v>
      </c>
      <c r="D118" s="31"/>
      <c r="E118" s="31"/>
      <c r="F118" s="31"/>
      <c r="G118" s="31"/>
      <c r="H118" s="31"/>
      <c r="I118" s="31"/>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31"/>
      <c r="AQ118" s="31"/>
    </row>
    <row r="119" spans="3:43" x14ac:dyDescent="0.3">
      <c r="J119" s="89"/>
      <c r="K119" s="89"/>
      <c r="L119" s="89"/>
      <c r="M119" s="89"/>
      <c r="N119" s="89"/>
      <c r="O119" s="89"/>
      <c r="P119" s="89"/>
      <c r="Q119" s="89"/>
      <c r="R119" s="89"/>
      <c r="S119" s="89"/>
      <c r="T119" s="89"/>
      <c r="U119" s="89"/>
      <c r="V119" s="89"/>
      <c r="W119" s="89"/>
      <c r="X119" s="89"/>
      <c r="Y119" s="89"/>
      <c r="Z119" s="89"/>
      <c r="AA119" s="89"/>
      <c r="AB119" s="89"/>
      <c r="AC119" s="89"/>
      <c r="AD119" s="89"/>
      <c r="AE119" s="89"/>
      <c r="AF119" s="89"/>
      <c r="AG119" s="89"/>
      <c r="AH119" s="89"/>
      <c r="AI119" s="89"/>
      <c r="AJ119" s="89"/>
      <c r="AK119" s="89"/>
      <c r="AL119" s="89"/>
      <c r="AM119" s="89"/>
      <c r="AN119" s="89"/>
      <c r="AO119" s="89"/>
    </row>
    <row r="120" spans="3:43" x14ac:dyDescent="0.3">
      <c r="E120" s="32" t="s">
        <v>890</v>
      </c>
      <c r="F120" s="32"/>
      <c r="I120" t="s">
        <v>154</v>
      </c>
      <c r="J120" s="89"/>
      <c r="K120" s="89"/>
      <c r="L120" s="89"/>
      <c r="M120" s="89"/>
      <c r="N120" s="89"/>
      <c r="O120" s="89"/>
      <c r="P120" s="89"/>
      <c r="Q120" s="89"/>
      <c r="R120" s="89"/>
      <c r="S120" s="89"/>
      <c r="T120" s="89"/>
      <c r="U120" s="89"/>
      <c r="V120" s="89"/>
      <c r="W120" s="89"/>
      <c r="X120" s="89"/>
      <c r="Y120" s="89"/>
      <c r="Z120" s="89"/>
      <c r="AA120" s="89"/>
      <c r="AB120" s="89"/>
      <c r="AC120" s="89"/>
      <c r="AD120" s="89"/>
      <c r="AE120" s="89"/>
      <c r="AF120" s="89"/>
      <c r="AG120" s="89"/>
      <c r="AH120" s="89"/>
      <c r="AI120" s="89"/>
      <c r="AJ120" s="89"/>
      <c r="AK120" s="89"/>
      <c r="AL120" s="89"/>
      <c r="AM120" s="89"/>
      <c r="AN120" s="89"/>
      <c r="AO120" s="89"/>
      <c r="AQ120" t="s">
        <v>899</v>
      </c>
    </row>
    <row r="121" spans="3:43" x14ac:dyDescent="0.3">
      <c r="E121" s="88"/>
      <c r="F121" s="23" t="s">
        <v>156</v>
      </c>
      <c r="G121" s="23" t="s">
        <v>269</v>
      </c>
      <c r="H121" s="278"/>
      <c r="I121" s="266"/>
      <c r="J121" s="328">
        <f xml:space="preserve"> J110 + J44</f>
        <v>6.0221483582302726</v>
      </c>
      <c r="K121" s="328">
        <f t="shared" ref="K121:AO121" si="27" xml:space="preserve"> K110 + K44</f>
        <v>6.0221483582302726</v>
      </c>
      <c r="L121" s="328">
        <f t="shared" si="27"/>
        <v>6.8556231914876227</v>
      </c>
      <c r="M121" s="328">
        <f t="shared" si="27"/>
        <v>6.8556231914876227</v>
      </c>
      <c r="N121" s="328">
        <f t="shared" si="27"/>
        <v>6.8556231914876227</v>
      </c>
      <c r="O121" s="328">
        <f t="shared" si="27"/>
        <v>6.8556231914876227</v>
      </c>
      <c r="P121" s="328">
        <f t="shared" si="27"/>
        <v>6.8556231914876227</v>
      </c>
      <c r="Q121" s="328">
        <f t="shared" si="27"/>
        <v>6.8556231914876227</v>
      </c>
      <c r="R121" s="328">
        <f t="shared" si="27"/>
        <v>4.2652239720587968</v>
      </c>
      <c r="S121" s="328">
        <f t="shared" si="27"/>
        <v>4.2652239720587968</v>
      </c>
      <c r="T121" s="328">
        <f t="shared" si="27"/>
        <v>4.2652239720587968</v>
      </c>
      <c r="U121" s="328">
        <f t="shared" si="27"/>
        <v>4.2652239720587968</v>
      </c>
      <c r="V121" s="328">
        <f t="shared" si="27"/>
        <v>4.2652239720587968</v>
      </c>
      <c r="W121" s="328">
        <f t="shared" si="27"/>
        <v>1.887205166199178</v>
      </c>
      <c r="X121" s="328">
        <f t="shared" si="27"/>
        <v>1.887205166199178</v>
      </c>
      <c r="Y121" s="328">
        <f t="shared" si="27"/>
        <v>1.887205166199178</v>
      </c>
      <c r="Z121" s="328">
        <f t="shared" si="27"/>
        <v>1.887205166199178</v>
      </c>
      <c r="AA121" s="328">
        <f t="shared" si="27"/>
        <v>1.887205166199178</v>
      </c>
      <c r="AB121" s="328">
        <f t="shared" si="27"/>
        <v>1.2836091007228583</v>
      </c>
      <c r="AC121" s="328">
        <f t="shared" si="27"/>
        <v>1.2836091007228583</v>
      </c>
      <c r="AD121" s="328">
        <f t="shared" si="27"/>
        <v>1.2836091007228583</v>
      </c>
      <c r="AE121" s="328">
        <f t="shared" si="27"/>
        <v>1.2836091007228583</v>
      </c>
      <c r="AF121" s="328">
        <f t="shared" si="27"/>
        <v>1.2836091007228583</v>
      </c>
      <c r="AG121" s="328">
        <f t="shared" si="27"/>
        <v>17.326587222112806</v>
      </c>
      <c r="AH121" s="328">
        <f t="shared" si="27"/>
        <v>-4.2026893264145153</v>
      </c>
      <c r="AI121" s="328">
        <f t="shared" si="27"/>
        <v>-3.4961132793592773</v>
      </c>
      <c r="AJ121" s="328">
        <f t="shared" si="27"/>
        <v>-4.2026893264145153</v>
      </c>
      <c r="AK121" s="328">
        <f t="shared" si="27"/>
        <v>-4.2026893264145153</v>
      </c>
      <c r="AL121" s="328">
        <f t="shared" si="27"/>
        <v>-3.4961132793592773</v>
      </c>
      <c r="AM121" s="328">
        <f t="shared" si="27"/>
        <v>-3.4961132793592773</v>
      </c>
      <c r="AN121" s="328">
        <f t="shared" si="27"/>
        <v>-1.7998280217679377</v>
      </c>
      <c r="AO121" s="328">
        <f t="shared" si="27"/>
        <v>-1.7998280217679377</v>
      </c>
      <c r="AP121" s="267"/>
      <c r="AQ121" s="267"/>
    </row>
    <row r="122" spans="3:43" x14ac:dyDescent="0.3">
      <c r="E122" s="88"/>
      <c r="F122" t="s">
        <v>157</v>
      </c>
      <c r="G122" t="s">
        <v>269</v>
      </c>
      <c r="H122" s="279"/>
      <c r="I122" s="267"/>
      <c r="J122" s="329">
        <f t="shared" ref="J122" si="28" xml:space="preserve"> J111 + J45</f>
        <v>0.95141599957884027</v>
      </c>
      <c r="K122" s="329">
        <f t="shared" ref="K122:AO122" si="29" xml:space="preserve"> K111 + K45</f>
        <v>0.95141599957884027</v>
      </c>
      <c r="L122" s="329">
        <f t="shared" si="29"/>
        <v>1.0830934748644838</v>
      </c>
      <c r="M122" s="329">
        <f t="shared" si="29"/>
        <v>1.0830934748644838</v>
      </c>
      <c r="N122" s="329">
        <f t="shared" si="29"/>
        <v>1.0830934748644838</v>
      </c>
      <c r="O122" s="329">
        <f t="shared" si="29"/>
        <v>1.0830934748644838</v>
      </c>
      <c r="P122" s="329">
        <f t="shared" si="29"/>
        <v>1.0830934748644838</v>
      </c>
      <c r="Q122" s="329">
        <f t="shared" si="29"/>
        <v>1.0830934748644838</v>
      </c>
      <c r="R122" s="329">
        <f t="shared" si="29"/>
        <v>0.69123793373055742</v>
      </c>
      <c r="S122" s="329">
        <f t="shared" si="29"/>
        <v>0.69123793373055742</v>
      </c>
      <c r="T122" s="329">
        <f t="shared" si="29"/>
        <v>0.69123793373055742</v>
      </c>
      <c r="U122" s="329">
        <f t="shared" si="29"/>
        <v>0.69123793373055742</v>
      </c>
      <c r="V122" s="329">
        <f t="shared" si="29"/>
        <v>0.69123793373055742</v>
      </c>
      <c r="W122" s="329">
        <f t="shared" si="29"/>
        <v>0.32804937533032308</v>
      </c>
      <c r="X122" s="329">
        <f t="shared" si="29"/>
        <v>0.32804937533032308</v>
      </c>
      <c r="Y122" s="329">
        <f t="shared" si="29"/>
        <v>0.32804937533032308</v>
      </c>
      <c r="Z122" s="329">
        <f t="shared" si="29"/>
        <v>0.32804937533032308</v>
      </c>
      <c r="AA122" s="329">
        <f t="shared" si="29"/>
        <v>0.32804937533032308</v>
      </c>
      <c r="AB122" s="329">
        <f t="shared" si="29"/>
        <v>0.22373534796604991</v>
      </c>
      <c r="AC122" s="329">
        <f t="shared" si="29"/>
        <v>0.22373534796604991</v>
      </c>
      <c r="AD122" s="329">
        <f t="shared" si="29"/>
        <v>0.22373534796604991</v>
      </c>
      <c r="AE122" s="329">
        <f t="shared" si="29"/>
        <v>0.22373534796604991</v>
      </c>
      <c r="AF122" s="329">
        <f t="shared" si="29"/>
        <v>0.22373534796604991</v>
      </c>
      <c r="AG122" s="329">
        <f t="shared" si="29"/>
        <v>2.8096973994973782</v>
      </c>
      <c r="AH122" s="329">
        <f t="shared" si="29"/>
        <v>-0.66396668241249179</v>
      </c>
      <c r="AI122" s="329">
        <f t="shared" si="29"/>
        <v>-0.56093505629734508</v>
      </c>
      <c r="AJ122" s="329">
        <f t="shared" si="29"/>
        <v>-0.66396668241249179</v>
      </c>
      <c r="AK122" s="329">
        <f t="shared" si="29"/>
        <v>-0.66396668241249179</v>
      </c>
      <c r="AL122" s="329">
        <f t="shared" si="29"/>
        <v>-0.56093505629734508</v>
      </c>
      <c r="AM122" s="329">
        <f t="shared" si="29"/>
        <v>-0.56093505629734508</v>
      </c>
      <c r="AN122" s="329">
        <f t="shared" si="29"/>
        <v>-0.31311949231288227</v>
      </c>
      <c r="AO122" s="329">
        <f t="shared" si="29"/>
        <v>-0.31311949231288227</v>
      </c>
      <c r="AP122" s="267"/>
      <c r="AQ122" s="267"/>
    </row>
    <row r="123" spans="3:43" x14ac:dyDescent="0.3">
      <c r="E123" s="88"/>
      <c r="F123" t="s">
        <v>158</v>
      </c>
      <c r="G123" t="s">
        <v>269</v>
      </c>
      <c r="H123" s="279"/>
      <c r="I123" s="267"/>
      <c r="J123" s="329">
        <f t="shared" ref="J123" si="30" xml:space="preserve"> J112 + J46</f>
        <v>8.964018638578318E-2</v>
      </c>
      <c r="K123" s="329">
        <f t="shared" ref="K123:AO123" si="31" xml:space="preserve"> K112 + K46</f>
        <v>8.964018638578318E-2</v>
      </c>
      <c r="L123" s="329">
        <f t="shared" si="31"/>
        <v>0.10204652959699627</v>
      </c>
      <c r="M123" s="329">
        <f t="shared" si="31"/>
        <v>0.10204652959699627</v>
      </c>
      <c r="N123" s="329">
        <f t="shared" si="31"/>
        <v>0.10204652959699627</v>
      </c>
      <c r="O123" s="329">
        <f t="shared" si="31"/>
        <v>0.10204652959699627</v>
      </c>
      <c r="P123" s="329">
        <f t="shared" si="31"/>
        <v>0.10204652959699627</v>
      </c>
      <c r="Q123" s="329">
        <f t="shared" si="31"/>
        <v>0.10204652959699627</v>
      </c>
      <c r="R123" s="329">
        <f t="shared" si="31"/>
        <v>5.7596045435720597E-2</v>
      </c>
      <c r="S123" s="329">
        <f t="shared" si="31"/>
        <v>5.7596045435720597E-2</v>
      </c>
      <c r="T123" s="329">
        <f t="shared" si="31"/>
        <v>5.7596045435720597E-2</v>
      </c>
      <c r="U123" s="329">
        <f t="shared" si="31"/>
        <v>5.7596045435720597E-2</v>
      </c>
      <c r="V123" s="329">
        <f t="shared" si="31"/>
        <v>5.7596045435720597E-2</v>
      </c>
      <c r="W123" s="329">
        <f t="shared" si="31"/>
        <v>1.7962266911247374E-2</v>
      </c>
      <c r="X123" s="329">
        <f t="shared" si="31"/>
        <v>1.7962266911247374E-2</v>
      </c>
      <c r="Y123" s="329">
        <f t="shared" si="31"/>
        <v>1.7962266911247374E-2</v>
      </c>
      <c r="Z123" s="329">
        <f t="shared" si="31"/>
        <v>1.7962266911247374E-2</v>
      </c>
      <c r="AA123" s="329">
        <f t="shared" si="31"/>
        <v>1.7962266911247374E-2</v>
      </c>
      <c r="AB123" s="329">
        <f t="shared" si="31"/>
        <v>9.0275222938815628E-3</v>
      </c>
      <c r="AC123" s="329">
        <f t="shared" si="31"/>
        <v>9.0275222938815628E-3</v>
      </c>
      <c r="AD123" s="329">
        <f t="shared" si="31"/>
        <v>9.0275222938815628E-3</v>
      </c>
      <c r="AE123" s="329">
        <f t="shared" si="31"/>
        <v>9.0275222938815628E-3</v>
      </c>
      <c r="AF123" s="329">
        <f t="shared" si="31"/>
        <v>9.0275222938815628E-3</v>
      </c>
      <c r="AG123" s="329">
        <f t="shared" si="31"/>
        <v>2.1762081900343948</v>
      </c>
      <c r="AH123" s="329">
        <f t="shared" si="31"/>
        <v>-6.2557385194018711E-2</v>
      </c>
      <c r="AI123" s="329">
        <f t="shared" si="31"/>
        <v>-4.9127131689069681E-2</v>
      </c>
      <c r="AJ123" s="329">
        <f t="shared" si="31"/>
        <v>-6.2557385194018711E-2</v>
      </c>
      <c r="AK123" s="329">
        <f t="shared" si="31"/>
        <v>-6.2557385194018711E-2</v>
      </c>
      <c r="AL123" s="329">
        <f t="shared" si="31"/>
        <v>-4.9127131689069681E-2</v>
      </c>
      <c r="AM123" s="329">
        <f t="shared" si="31"/>
        <v>-4.9127131689069681E-2</v>
      </c>
      <c r="AN123" s="329">
        <f t="shared" si="31"/>
        <v>-1.6727759883072124E-2</v>
      </c>
      <c r="AO123" s="329">
        <f t="shared" si="31"/>
        <v>-1.6727759883072124E-2</v>
      </c>
      <c r="AP123" s="267"/>
      <c r="AQ123" s="267"/>
    </row>
    <row r="124" spans="3:43" x14ac:dyDescent="0.3">
      <c r="E124" s="88"/>
      <c r="F124" t="s">
        <v>159</v>
      </c>
      <c r="G124" t="s">
        <v>270</v>
      </c>
      <c r="H124" s="51"/>
      <c r="J124" s="330">
        <f t="shared" ref="J124" si="32" xml:space="preserve"> J113 + J47</f>
        <v>25.715041106320726</v>
      </c>
      <c r="K124" s="330">
        <f t="shared" ref="K124:AO124" si="33" xml:space="preserve"> K113 + K47</f>
        <v>0</v>
      </c>
      <c r="L124" s="330">
        <f t="shared" si="33"/>
        <v>8.9127282073615213</v>
      </c>
      <c r="M124" s="330">
        <f t="shared" si="33"/>
        <v>13.379045598463163</v>
      </c>
      <c r="N124" s="330">
        <f t="shared" si="33"/>
        <v>33.752568051123291</v>
      </c>
      <c r="O124" s="330">
        <f t="shared" si="33"/>
        <v>69.824317890507317</v>
      </c>
      <c r="P124" s="330">
        <f t="shared" si="33"/>
        <v>205.3295123145588</v>
      </c>
      <c r="Q124" s="330">
        <f t="shared" si="33"/>
        <v>0</v>
      </c>
      <c r="R124" s="330">
        <f t="shared" si="33"/>
        <v>12.555453915570579</v>
      </c>
      <c r="S124" s="330">
        <f t="shared" si="33"/>
        <v>303.49618920583436</v>
      </c>
      <c r="T124" s="330">
        <f t="shared" si="33"/>
        <v>550.27233754934366</v>
      </c>
      <c r="U124" s="330">
        <f t="shared" si="33"/>
        <v>846.2845935653487</v>
      </c>
      <c r="V124" s="330">
        <f t="shared" si="33"/>
        <v>1314.2244418544401</v>
      </c>
      <c r="W124" s="330">
        <f t="shared" si="33"/>
        <v>9.8156261980148898</v>
      </c>
      <c r="X124" s="330">
        <f t="shared" si="33"/>
        <v>300.75636148827869</v>
      </c>
      <c r="Y124" s="330">
        <f t="shared" si="33"/>
        <v>547.53250983178793</v>
      </c>
      <c r="Z124" s="330">
        <f t="shared" si="33"/>
        <v>843.54476584779286</v>
      </c>
      <c r="AA124" s="330">
        <f t="shared" si="33"/>
        <v>1311.4846141368839</v>
      </c>
      <c r="AB124" s="330">
        <f t="shared" si="33"/>
        <v>90.062994117510286</v>
      </c>
      <c r="AC124" s="330">
        <f t="shared" si="33"/>
        <v>1499.0663997983547</v>
      </c>
      <c r="AD124" s="330">
        <f t="shared" si="33"/>
        <v>4746.00877314424</v>
      </c>
      <c r="AE124" s="330">
        <f t="shared" si="33"/>
        <v>10468.795197319616</v>
      </c>
      <c r="AF124" s="330">
        <f t="shared" si="33"/>
        <v>32106.096349969768</v>
      </c>
      <c r="AG124" s="330">
        <f t="shared" si="33"/>
        <v>0</v>
      </c>
      <c r="AH124" s="330">
        <f t="shared" si="33"/>
        <v>0</v>
      </c>
      <c r="AI124" s="330">
        <f t="shared" si="33"/>
        <v>0</v>
      </c>
      <c r="AJ124" s="330">
        <f t="shared" si="33"/>
        <v>0</v>
      </c>
      <c r="AK124" s="330">
        <f t="shared" si="33"/>
        <v>0</v>
      </c>
      <c r="AL124" s="330">
        <f t="shared" si="33"/>
        <v>0</v>
      </c>
      <c r="AM124" s="330">
        <f t="shared" si="33"/>
        <v>0</v>
      </c>
      <c r="AN124" s="330">
        <f t="shared" si="33"/>
        <v>56.323203629083082</v>
      </c>
      <c r="AO124" s="330">
        <f t="shared" si="33"/>
        <v>56.323203629083082</v>
      </c>
    </row>
    <row r="125" spans="3:43" x14ac:dyDescent="0.3">
      <c r="E125" s="88"/>
      <c r="F125" t="s">
        <v>160</v>
      </c>
      <c r="G125" t="s">
        <v>271</v>
      </c>
      <c r="H125" s="51"/>
      <c r="J125" s="330">
        <f t="shared" ref="J125" si="34" xml:space="preserve"> J114 + J48</f>
        <v>0</v>
      </c>
      <c r="K125" s="330">
        <f t="shared" ref="K125:AO125" si="35" xml:space="preserve"> K114 + K48</f>
        <v>0</v>
      </c>
      <c r="L125" s="330">
        <f t="shared" si="35"/>
        <v>0</v>
      </c>
      <c r="M125" s="330">
        <f t="shared" si="35"/>
        <v>0</v>
      </c>
      <c r="N125" s="330">
        <f t="shared" si="35"/>
        <v>0</v>
      </c>
      <c r="O125" s="330">
        <f t="shared" si="35"/>
        <v>0</v>
      </c>
      <c r="P125" s="330">
        <f t="shared" si="35"/>
        <v>0</v>
      </c>
      <c r="Q125" s="330">
        <f t="shared" si="35"/>
        <v>0</v>
      </c>
      <c r="R125" s="330">
        <f t="shared" si="35"/>
        <v>4.3379810793048295</v>
      </c>
      <c r="S125" s="330">
        <f t="shared" si="35"/>
        <v>4.3379810793048295</v>
      </c>
      <c r="T125" s="330">
        <f t="shared" si="35"/>
        <v>4.3379810793048295</v>
      </c>
      <c r="U125" s="330">
        <f t="shared" si="35"/>
        <v>4.3379810793048295</v>
      </c>
      <c r="V125" s="330">
        <f t="shared" si="35"/>
        <v>4.3379810793048295</v>
      </c>
      <c r="W125" s="330">
        <f t="shared" si="35"/>
        <v>4.8971441833049472</v>
      </c>
      <c r="X125" s="330">
        <f t="shared" si="35"/>
        <v>4.8971441833049472</v>
      </c>
      <c r="Y125" s="330">
        <f t="shared" si="35"/>
        <v>4.8971441833049472</v>
      </c>
      <c r="Z125" s="330">
        <f t="shared" si="35"/>
        <v>4.8971441833049472</v>
      </c>
      <c r="AA125" s="330">
        <f t="shared" si="35"/>
        <v>4.8971441833049472</v>
      </c>
      <c r="AB125" s="330">
        <f t="shared" si="35"/>
        <v>5.1847879034973312</v>
      </c>
      <c r="AC125" s="330">
        <f t="shared" si="35"/>
        <v>5.1847879034973312</v>
      </c>
      <c r="AD125" s="330">
        <f t="shared" si="35"/>
        <v>5.1847879034973312</v>
      </c>
      <c r="AE125" s="330">
        <f t="shared" si="35"/>
        <v>5.1847879034973312</v>
      </c>
      <c r="AF125" s="330">
        <f t="shared" si="35"/>
        <v>5.1847879034973312</v>
      </c>
      <c r="AG125" s="330">
        <f t="shared" si="35"/>
        <v>0</v>
      </c>
      <c r="AH125" s="330">
        <f t="shared" si="35"/>
        <v>0</v>
      </c>
      <c r="AI125" s="330">
        <f t="shared" si="35"/>
        <v>0</v>
      </c>
      <c r="AJ125" s="330">
        <f t="shared" si="35"/>
        <v>0</v>
      </c>
      <c r="AK125" s="330">
        <f t="shared" si="35"/>
        <v>0</v>
      </c>
      <c r="AL125" s="330">
        <f t="shared" si="35"/>
        <v>0</v>
      </c>
      <c r="AM125" s="330">
        <f t="shared" si="35"/>
        <v>0</v>
      </c>
      <c r="AN125" s="330">
        <f t="shared" si="35"/>
        <v>0</v>
      </c>
      <c r="AO125" s="330">
        <f t="shared" si="35"/>
        <v>0</v>
      </c>
    </row>
    <row r="126" spans="3:43" x14ac:dyDescent="0.3">
      <c r="E126" s="88"/>
      <c r="F126" t="s">
        <v>161</v>
      </c>
      <c r="G126" t="s">
        <v>271</v>
      </c>
      <c r="H126" s="51"/>
      <c r="J126" s="330">
        <f t="shared" ref="J126" si="36" xml:space="preserve"> J115 + J49</f>
        <v>0</v>
      </c>
      <c r="K126" s="330">
        <f t="shared" ref="K126:AO126" si="37" xml:space="preserve"> K115 + K49</f>
        <v>0</v>
      </c>
      <c r="L126" s="330">
        <f t="shared" si="37"/>
        <v>0</v>
      </c>
      <c r="M126" s="330">
        <f t="shared" si="37"/>
        <v>0</v>
      </c>
      <c r="N126" s="330">
        <f t="shared" si="37"/>
        <v>0</v>
      </c>
      <c r="O126" s="330">
        <f t="shared" si="37"/>
        <v>0</v>
      </c>
      <c r="P126" s="330">
        <f t="shared" si="37"/>
        <v>0</v>
      </c>
      <c r="Q126" s="330">
        <f t="shared" si="37"/>
        <v>0</v>
      </c>
      <c r="R126" s="330">
        <f t="shared" si="37"/>
        <v>7.8549236543849785</v>
      </c>
      <c r="S126" s="330">
        <f t="shared" si="37"/>
        <v>7.8549236543849785</v>
      </c>
      <c r="T126" s="330">
        <f t="shared" si="37"/>
        <v>7.8549236543849785</v>
      </c>
      <c r="U126" s="330">
        <f t="shared" si="37"/>
        <v>7.8549236543849785</v>
      </c>
      <c r="V126" s="330">
        <f t="shared" si="37"/>
        <v>7.8549236543849785</v>
      </c>
      <c r="W126" s="330">
        <f t="shared" si="37"/>
        <v>6.7662485707310376</v>
      </c>
      <c r="X126" s="330">
        <f t="shared" si="37"/>
        <v>6.7662485707310376</v>
      </c>
      <c r="Y126" s="330">
        <f t="shared" si="37"/>
        <v>6.7662485707310376</v>
      </c>
      <c r="Z126" s="330">
        <f t="shared" si="37"/>
        <v>6.7662485707310376</v>
      </c>
      <c r="AA126" s="330">
        <f t="shared" si="37"/>
        <v>6.7662485707310376</v>
      </c>
      <c r="AB126" s="330">
        <f t="shared" si="37"/>
        <v>6.840016635421688</v>
      </c>
      <c r="AC126" s="330">
        <f t="shared" si="37"/>
        <v>6.840016635421688</v>
      </c>
      <c r="AD126" s="330">
        <f t="shared" si="37"/>
        <v>6.840016635421688</v>
      </c>
      <c r="AE126" s="330">
        <f t="shared" si="37"/>
        <v>6.840016635421688</v>
      </c>
      <c r="AF126" s="330">
        <f t="shared" si="37"/>
        <v>6.840016635421688</v>
      </c>
      <c r="AG126" s="330">
        <f t="shared" si="37"/>
        <v>0</v>
      </c>
      <c r="AH126" s="330">
        <f t="shared" si="37"/>
        <v>0</v>
      </c>
      <c r="AI126" s="330">
        <f t="shared" si="37"/>
        <v>0</v>
      </c>
      <c r="AJ126" s="330">
        <f t="shared" si="37"/>
        <v>0</v>
      </c>
      <c r="AK126" s="330">
        <f t="shared" si="37"/>
        <v>0</v>
      </c>
      <c r="AL126" s="330">
        <f t="shared" si="37"/>
        <v>0</v>
      </c>
      <c r="AM126" s="330">
        <f t="shared" si="37"/>
        <v>0</v>
      </c>
      <c r="AN126" s="330">
        <f t="shared" si="37"/>
        <v>0</v>
      </c>
      <c r="AO126" s="330">
        <f t="shared" si="37"/>
        <v>0</v>
      </c>
    </row>
    <row r="127" spans="3:43" x14ac:dyDescent="0.3">
      <c r="E127" s="88"/>
      <c r="F127" s="37" t="s">
        <v>162</v>
      </c>
      <c r="G127" s="37" t="s">
        <v>272</v>
      </c>
      <c r="H127" s="283"/>
      <c r="I127" s="269"/>
      <c r="J127" s="284">
        <f t="shared" ref="J127" si="38" xml:space="preserve"> J116 + J50</f>
        <v>0</v>
      </c>
      <c r="K127" s="284">
        <f t="shared" ref="K127:AO127" si="39" xml:space="preserve"> K116 + K50</f>
        <v>0</v>
      </c>
      <c r="L127" s="284">
        <f t="shared" si="39"/>
        <v>0</v>
      </c>
      <c r="M127" s="284">
        <f t="shared" si="39"/>
        <v>0</v>
      </c>
      <c r="N127" s="284">
        <f t="shared" si="39"/>
        <v>0</v>
      </c>
      <c r="O127" s="284">
        <f t="shared" si="39"/>
        <v>0</v>
      </c>
      <c r="P127" s="284">
        <f t="shared" si="39"/>
        <v>0</v>
      </c>
      <c r="Q127" s="284">
        <f t="shared" si="39"/>
        <v>0</v>
      </c>
      <c r="R127" s="284">
        <f t="shared" si="39"/>
        <v>0.21808178761874586</v>
      </c>
      <c r="S127" s="284">
        <f t="shared" si="39"/>
        <v>0.21808178761874586</v>
      </c>
      <c r="T127" s="284">
        <f t="shared" si="39"/>
        <v>0.21808178761874586</v>
      </c>
      <c r="U127" s="284">
        <f t="shared" si="39"/>
        <v>0.21808178761874586</v>
      </c>
      <c r="V127" s="284">
        <f t="shared" si="39"/>
        <v>0.21808178761874586</v>
      </c>
      <c r="W127" s="284">
        <f t="shared" si="39"/>
        <v>0.13269223171545519</v>
      </c>
      <c r="X127" s="284">
        <f t="shared" si="39"/>
        <v>0.13269223171545519</v>
      </c>
      <c r="Y127" s="284">
        <f t="shared" si="39"/>
        <v>0.13269223171545519</v>
      </c>
      <c r="Z127" s="284">
        <f t="shared" si="39"/>
        <v>0.13269223171545519</v>
      </c>
      <c r="AA127" s="284">
        <f t="shared" si="39"/>
        <v>0.13269223171545519</v>
      </c>
      <c r="AB127" s="284">
        <f t="shared" si="39"/>
        <v>5.8701869092401909E-2</v>
      </c>
      <c r="AC127" s="284">
        <f t="shared" si="39"/>
        <v>5.8701869092401909E-2</v>
      </c>
      <c r="AD127" s="284">
        <f t="shared" si="39"/>
        <v>5.8701869092401909E-2</v>
      </c>
      <c r="AE127" s="284">
        <f t="shared" si="39"/>
        <v>5.8701869092401909E-2</v>
      </c>
      <c r="AF127" s="284">
        <f t="shared" si="39"/>
        <v>5.8701869092401909E-2</v>
      </c>
      <c r="AG127" s="284">
        <f t="shared" si="39"/>
        <v>0</v>
      </c>
      <c r="AH127" s="284">
        <f t="shared" si="39"/>
        <v>0</v>
      </c>
      <c r="AI127" s="284">
        <f t="shared" si="39"/>
        <v>0</v>
      </c>
      <c r="AJ127" s="284">
        <f t="shared" si="39"/>
        <v>0.21538700524373391</v>
      </c>
      <c r="AK127" s="284">
        <f t="shared" si="39"/>
        <v>0</v>
      </c>
      <c r="AL127" s="284">
        <f t="shared" si="39"/>
        <v>0.16741946552320405</v>
      </c>
      <c r="AM127" s="284">
        <f t="shared" si="39"/>
        <v>0</v>
      </c>
      <c r="AN127" s="284">
        <f t="shared" si="39"/>
        <v>0.13034882474051146</v>
      </c>
      <c r="AO127" s="284">
        <f t="shared" si="39"/>
        <v>0</v>
      </c>
      <c r="AP127" s="267"/>
      <c r="AQ127" s="267"/>
    </row>
    <row r="128" spans="3:43" x14ac:dyDescent="0.3">
      <c r="E128" s="32"/>
      <c r="J128" s="89"/>
      <c r="K128" s="89"/>
      <c r="L128" s="89"/>
      <c r="M128" s="89"/>
      <c r="N128" s="89"/>
      <c r="O128" s="89"/>
      <c r="P128" s="89"/>
      <c r="Q128" s="89"/>
      <c r="R128" s="89"/>
      <c r="S128" s="89"/>
      <c r="T128" s="89"/>
      <c r="U128" s="89"/>
      <c r="V128" s="89"/>
      <c r="W128" s="89"/>
      <c r="X128" s="89"/>
      <c r="Y128" s="89"/>
      <c r="Z128" s="89"/>
      <c r="AA128" s="89"/>
      <c r="AB128" s="89"/>
      <c r="AC128" s="89"/>
      <c r="AD128" s="89"/>
      <c r="AE128" s="89"/>
      <c r="AF128" s="89"/>
      <c r="AG128" s="89"/>
      <c r="AH128" s="89"/>
      <c r="AI128" s="89"/>
      <c r="AJ128" s="89"/>
      <c r="AK128" s="89"/>
      <c r="AL128" s="89"/>
      <c r="AM128" s="89"/>
      <c r="AN128" s="89"/>
      <c r="AO128" s="89"/>
    </row>
    <row r="129" spans="3:43" x14ac:dyDescent="0.3">
      <c r="E129" s="32" t="s">
        <v>891</v>
      </c>
      <c r="I129" t="s">
        <v>154</v>
      </c>
      <c r="J129" s="89"/>
      <c r="K129" s="89"/>
      <c r="L129" s="89"/>
      <c r="M129" s="89"/>
      <c r="N129" s="89"/>
      <c r="O129" s="89"/>
      <c r="P129" s="89"/>
      <c r="Q129" s="89"/>
      <c r="R129" s="89"/>
      <c r="S129" s="89"/>
      <c r="T129" s="89"/>
      <c r="U129" s="89"/>
      <c r="V129" s="89"/>
      <c r="W129" s="89"/>
      <c r="X129" s="89"/>
      <c r="Y129" s="89"/>
      <c r="Z129" s="89"/>
      <c r="AA129" s="89"/>
      <c r="AB129" s="89"/>
      <c r="AC129" s="89"/>
      <c r="AD129" s="89"/>
      <c r="AE129" s="89"/>
      <c r="AF129" s="89"/>
      <c r="AG129" s="89"/>
      <c r="AH129" s="89"/>
      <c r="AI129" s="89"/>
      <c r="AJ129" s="89"/>
      <c r="AK129" s="89"/>
      <c r="AL129" s="89"/>
      <c r="AM129" s="89"/>
      <c r="AN129" s="89"/>
      <c r="AO129" s="89"/>
      <c r="AQ129" t="s">
        <v>899</v>
      </c>
    </row>
    <row r="130" spans="3:43" x14ac:dyDescent="0.3">
      <c r="E130" s="88"/>
      <c r="F130" s="23" t="s">
        <v>156</v>
      </c>
      <c r="G130" s="23" t="s">
        <v>269</v>
      </c>
      <c r="H130" s="278"/>
      <c r="I130" s="266"/>
      <c r="J130" s="281">
        <f t="shared" ref="J130:J136" si="40" xml:space="preserve"> J110 * (1 - J75) + J44</f>
        <v>3.9904733814106845</v>
      </c>
      <c r="K130" s="281">
        <f t="shared" ref="K130:AJ130" si="41" xml:space="preserve"> K110 * (1 - K75) + K44</f>
        <v>3.9904733814106845</v>
      </c>
      <c r="L130" s="281">
        <f t="shared" si="41"/>
        <v>4.5427611927270046</v>
      </c>
      <c r="M130" s="281">
        <f t="shared" si="41"/>
        <v>4.5427611927270046</v>
      </c>
      <c r="N130" s="281">
        <f t="shared" si="41"/>
        <v>4.5427611927270046</v>
      </c>
      <c r="O130" s="281">
        <f t="shared" si="41"/>
        <v>4.5427611927270046</v>
      </c>
      <c r="P130" s="281">
        <f t="shared" si="41"/>
        <v>4.5427611927270046</v>
      </c>
      <c r="Q130" s="281">
        <f t="shared" si="41"/>
        <v>4.5427611927270046</v>
      </c>
      <c r="R130" s="281">
        <f t="shared" si="41"/>
        <v>2.8262775530918867</v>
      </c>
      <c r="S130" s="281">
        <f t="shared" si="41"/>
        <v>2.8262775530918867</v>
      </c>
      <c r="T130" s="281">
        <f t="shared" si="41"/>
        <v>2.8262775530918867</v>
      </c>
      <c r="U130" s="281">
        <f t="shared" si="41"/>
        <v>2.8262775530918867</v>
      </c>
      <c r="V130" s="281">
        <f t="shared" si="41"/>
        <v>2.8262775530918867</v>
      </c>
      <c r="W130" s="280"/>
      <c r="X130" s="280"/>
      <c r="Y130" s="280"/>
      <c r="Z130" s="280"/>
      <c r="AA130" s="280"/>
      <c r="AB130" s="280"/>
      <c r="AC130" s="280"/>
      <c r="AD130" s="280"/>
      <c r="AE130" s="280"/>
      <c r="AF130" s="280"/>
      <c r="AG130" s="281">
        <f t="shared" si="41"/>
        <v>11.481166020434971</v>
      </c>
      <c r="AH130" s="281">
        <f t="shared" si="41"/>
        <v>-4.2026893264145153</v>
      </c>
      <c r="AI130" s="280"/>
      <c r="AJ130" s="281">
        <f t="shared" si="41"/>
        <v>-4.2026893264145153</v>
      </c>
      <c r="AK130" s="280"/>
      <c r="AL130" s="280"/>
      <c r="AM130" s="280"/>
      <c r="AN130" s="280"/>
      <c r="AO130" s="280"/>
      <c r="AP130" s="267"/>
      <c r="AQ130" s="267"/>
    </row>
    <row r="131" spans="3:43" x14ac:dyDescent="0.3">
      <c r="E131" s="88"/>
      <c r="F131" t="s">
        <v>157</v>
      </c>
      <c r="G131" t="s">
        <v>269</v>
      </c>
      <c r="H131" s="279"/>
      <c r="I131" s="267"/>
      <c r="J131" s="329">
        <f t="shared" si="40"/>
        <v>0.63043950350026035</v>
      </c>
      <c r="K131" s="329">
        <f t="shared" ref="K131:AJ131" si="42" xml:space="preserve"> K111 * (1 - K76) + K45</f>
        <v>0.63043950350026035</v>
      </c>
      <c r="L131" s="329">
        <f t="shared" si="42"/>
        <v>0.71769332535946473</v>
      </c>
      <c r="M131" s="329">
        <f t="shared" si="42"/>
        <v>0.71769332535946473</v>
      </c>
      <c r="N131" s="329">
        <f t="shared" si="42"/>
        <v>0.71769332535946473</v>
      </c>
      <c r="O131" s="329">
        <f t="shared" si="42"/>
        <v>0.71769332535946473</v>
      </c>
      <c r="P131" s="329">
        <f t="shared" si="42"/>
        <v>0.71769332535946473</v>
      </c>
      <c r="Q131" s="329">
        <f t="shared" si="42"/>
        <v>0.71769332535946473</v>
      </c>
      <c r="R131" s="329">
        <f t="shared" si="42"/>
        <v>0.45803696798723714</v>
      </c>
      <c r="S131" s="329">
        <f t="shared" si="42"/>
        <v>0.45803696798723714</v>
      </c>
      <c r="T131" s="329">
        <f t="shared" si="42"/>
        <v>0.45803696798723714</v>
      </c>
      <c r="U131" s="329">
        <f t="shared" si="42"/>
        <v>0.45803696798723714</v>
      </c>
      <c r="V131" s="329">
        <f t="shared" si="42"/>
        <v>0.45803696798723714</v>
      </c>
      <c r="W131" s="268"/>
      <c r="X131" s="268"/>
      <c r="Y131" s="268"/>
      <c r="Z131" s="268"/>
      <c r="AA131" s="268"/>
      <c r="AB131" s="268"/>
      <c r="AC131" s="268"/>
      <c r="AD131" s="268"/>
      <c r="AE131" s="268"/>
      <c r="AF131" s="268"/>
      <c r="AG131" s="329">
        <f t="shared" si="42"/>
        <v>1.8617978195754687</v>
      </c>
      <c r="AH131" s="329">
        <f t="shared" si="42"/>
        <v>-0.66396668241249179</v>
      </c>
      <c r="AI131" s="268"/>
      <c r="AJ131" s="329">
        <f t="shared" si="42"/>
        <v>-0.66396668241249179</v>
      </c>
      <c r="AK131" s="268"/>
      <c r="AL131" s="268"/>
      <c r="AM131" s="268"/>
      <c r="AN131" s="268"/>
      <c r="AO131" s="268"/>
      <c r="AP131" s="267"/>
      <c r="AQ131" s="267"/>
    </row>
    <row r="132" spans="3:43" x14ac:dyDescent="0.3">
      <c r="E132" s="88"/>
      <c r="F132" t="s">
        <v>158</v>
      </c>
      <c r="G132" t="s">
        <v>269</v>
      </c>
      <c r="H132" s="279"/>
      <c r="I132" s="267"/>
      <c r="J132" s="329">
        <f t="shared" si="40"/>
        <v>5.9398532948510663E-2</v>
      </c>
      <c r="K132" s="329">
        <f t="shared" ref="K132:AJ132" si="43" xml:space="preserve"> K112 * (1 - K77) + K46</f>
        <v>5.9398532948510663E-2</v>
      </c>
      <c r="L132" s="329">
        <f t="shared" si="43"/>
        <v>6.7619383615088999E-2</v>
      </c>
      <c r="M132" s="329">
        <f t="shared" si="43"/>
        <v>6.7619383615088999E-2</v>
      </c>
      <c r="N132" s="329">
        <f t="shared" si="43"/>
        <v>6.7619383615088999E-2</v>
      </c>
      <c r="O132" s="329">
        <f t="shared" si="43"/>
        <v>6.7619383615088999E-2</v>
      </c>
      <c r="P132" s="329">
        <f t="shared" si="43"/>
        <v>6.7619383615088999E-2</v>
      </c>
      <c r="Q132" s="329">
        <f t="shared" si="43"/>
        <v>6.7619383615088999E-2</v>
      </c>
      <c r="R132" s="329">
        <f t="shared" si="43"/>
        <v>3.816503223001054E-2</v>
      </c>
      <c r="S132" s="329">
        <f t="shared" si="43"/>
        <v>3.816503223001054E-2</v>
      </c>
      <c r="T132" s="329">
        <f t="shared" si="43"/>
        <v>3.816503223001054E-2</v>
      </c>
      <c r="U132" s="329">
        <f t="shared" si="43"/>
        <v>3.816503223001054E-2</v>
      </c>
      <c r="V132" s="329">
        <f t="shared" si="43"/>
        <v>3.816503223001054E-2</v>
      </c>
      <c r="W132" s="268"/>
      <c r="X132" s="268"/>
      <c r="Y132" s="268"/>
      <c r="Z132" s="268"/>
      <c r="AA132" s="268"/>
      <c r="AB132" s="268"/>
      <c r="AC132" s="268"/>
      <c r="AD132" s="268"/>
      <c r="AE132" s="268"/>
      <c r="AF132" s="268"/>
      <c r="AG132" s="329">
        <f t="shared" si="43"/>
        <v>1.4420270538290378</v>
      </c>
      <c r="AH132" s="329">
        <f t="shared" si="43"/>
        <v>-6.2557385194018711E-2</v>
      </c>
      <c r="AI132" s="268"/>
      <c r="AJ132" s="329">
        <f t="shared" si="43"/>
        <v>-6.2557385194018711E-2</v>
      </c>
      <c r="AK132" s="268"/>
      <c r="AL132" s="268"/>
      <c r="AM132" s="268"/>
      <c r="AN132" s="268"/>
      <c r="AO132" s="268"/>
      <c r="AP132" s="267"/>
      <c r="AQ132" s="267"/>
    </row>
    <row r="133" spans="3:43" x14ac:dyDescent="0.3">
      <c r="E133" s="88"/>
      <c r="F133" t="s">
        <v>159</v>
      </c>
      <c r="G133" t="s">
        <v>270</v>
      </c>
      <c r="H133" s="51"/>
      <c r="J133" s="330">
        <f t="shared" si="40"/>
        <v>20.217126639703629</v>
      </c>
      <c r="K133" s="330">
        <f t="shared" ref="K133:AJ133" si="44" xml:space="preserve"> K113 * (1 - K78) + K47</f>
        <v>0</v>
      </c>
      <c r="L133" s="330">
        <f t="shared" si="44"/>
        <v>5.9285406897158062</v>
      </c>
      <c r="M133" s="330">
        <f t="shared" si="44"/>
        <v>8.888069349909804</v>
      </c>
      <c r="N133" s="330">
        <f t="shared" si="44"/>
        <v>22.38823477207233</v>
      </c>
      <c r="O133" s="330">
        <f t="shared" si="44"/>
        <v>46.29056148214822</v>
      </c>
      <c r="P133" s="330">
        <f t="shared" si="44"/>
        <v>136.08075581587951</v>
      </c>
      <c r="Q133" s="330">
        <f t="shared" si="44"/>
        <v>0</v>
      </c>
      <c r="R133" s="330">
        <f t="shared" si="44"/>
        <v>8.3423304387714712</v>
      </c>
      <c r="S133" s="330">
        <f t="shared" si="44"/>
        <v>201.12922154170505</v>
      </c>
      <c r="T133" s="330">
        <f t="shared" si="44"/>
        <v>364.65120614807864</v>
      </c>
      <c r="U133" s="330">
        <f t="shared" si="44"/>
        <v>560.7986535268609</v>
      </c>
      <c r="V133" s="330">
        <f t="shared" si="44"/>
        <v>870.87097284244101</v>
      </c>
      <c r="W133" s="79"/>
      <c r="X133" s="79"/>
      <c r="Y133" s="79"/>
      <c r="Z133" s="79"/>
      <c r="AA133" s="79"/>
      <c r="AB133" s="79"/>
      <c r="AC133" s="79"/>
      <c r="AD133" s="79"/>
      <c r="AE133" s="79"/>
      <c r="AF133" s="79"/>
      <c r="AG133" s="330">
        <f t="shared" si="44"/>
        <v>0</v>
      </c>
      <c r="AH133" s="330">
        <f t="shared" si="44"/>
        <v>0</v>
      </c>
      <c r="AI133" s="79"/>
      <c r="AJ133" s="330">
        <f t="shared" si="44"/>
        <v>0</v>
      </c>
      <c r="AK133" s="79"/>
      <c r="AL133" s="79"/>
      <c r="AM133" s="79"/>
      <c r="AN133" s="79"/>
      <c r="AO133" s="79"/>
    </row>
    <row r="134" spans="3:43" x14ac:dyDescent="0.3">
      <c r="E134" s="88"/>
      <c r="F134" t="s">
        <v>160</v>
      </c>
      <c r="G134" t="s">
        <v>271</v>
      </c>
      <c r="H134" s="51"/>
      <c r="J134" s="330">
        <f t="shared" si="40"/>
        <v>0</v>
      </c>
      <c r="K134" s="330">
        <f t="shared" ref="K134:AJ134" si="45" xml:space="preserve"> K114 * (1 - K79) + K48</f>
        <v>0</v>
      </c>
      <c r="L134" s="330">
        <f t="shared" si="45"/>
        <v>0</v>
      </c>
      <c r="M134" s="330">
        <f t="shared" si="45"/>
        <v>0</v>
      </c>
      <c r="N134" s="330">
        <f t="shared" si="45"/>
        <v>0</v>
      </c>
      <c r="O134" s="330">
        <f t="shared" si="45"/>
        <v>0</v>
      </c>
      <c r="P134" s="330">
        <f t="shared" si="45"/>
        <v>0</v>
      </c>
      <c r="Q134" s="330">
        <f t="shared" si="45"/>
        <v>0</v>
      </c>
      <c r="R134" s="330">
        <f t="shared" si="45"/>
        <v>2.8744888030483819</v>
      </c>
      <c r="S134" s="330">
        <f t="shared" si="45"/>
        <v>2.8744888030483819</v>
      </c>
      <c r="T134" s="330">
        <f t="shared" si="45"/>
        <v>2.8744888030483819</v>
      </c>
      <c r="U134" s="330">
        <f t="shared" si="45"/>
        <v>2.8744888030483819</v>
      </c>
      <c r="V134" s="330">
        <f t="shared" si="45"/>
        <v>2.8744888030483819</v>
      </c>
      <c r="W134" s="79"/>
      <c r="X134" s="79"/>
      <c r="Y134" s="79"/>
      <c r="Z134" s="79"/>
      <c r="AA134" s="79"/>
      <c r="AB134" s="79"/>
      <c r="AC134" s="79"/>
      <c r="AD134" s="79"/>
      <c r="AE134" s="79"/>
      <c r="AF134" s="79"/>
      <c r="AG134" s="330">
        <f t="shared" si="45"/>
        <v>0</v>
      </c>
      <c r="AH134" s="330">
        <f t="shared" si="45"/>
        <v>0</v>
      </c>
      <c r="AI134" s="79"/>
      <c r="AJ134" s="330">
        <f t="shared" si="45"/>
        <v>0</v>
      </c>
      <c r="AK134" s="79"/>
      <c r="AL134" s="79"/>
      <c r="AM134" s="79"/>
      <c r="AN134" s="79"/>
      <c r="AO134" s="79"/>
    </row>
    <row r="135" spans="3:43" x14ac:dyDescent="0.3">
      <c r="E135" s="88"/>
      <c r="F135" t="s">
        <v>161</v>
      </c>
      <c r="G135" t="s">
        <v>271</v>
      </c>
      <c r="H135" s="51"/>
      <c r="J135" s="330">
        <f t="shared" si="40"/>
        <v>0</v>
      </c>
      <c r="K135" s="330">
        <f t="shared" ref="K135:AJ135" si="46" xml:space="preserve"> K115 * (1 - K80) + K49</f>
        <v>0</v>
      </c>
      <c r="L135" s="330">
        <f t="shared" si="46"/>
        <v>0</v>
      </c>
      <c r="M135" s="330">
        <f t="shared" si="46"/>
        <v>0</v>
      </c>
      <c r="N135" s="330">
        <f t="shared" si="46"/>
        <v>0</v>
      </c>
      <c r="O135" s="330">
        <f t="shared" si="46"/>
        <v>0</v>
      </c>
      <c r="P135" s="330">
        <f t="shared" si="46"/>
        <v>0</v>
      </c>
      <c r="Q135" s="330">
        <f t="shared" si="46"/>
        <v>0</v>
      </c>
      <c r="R135" s="330">
        <f t="shared" si="46"/>
        <v>5.2049305150376108</v>
      </c>
      <c r="S135" s="330">
        <f t="shared" si="46"/>
        <v>5.2049305150376108</v>
      </c>
      <c r="T135" s="330">
        <f t="shared" si="46"/>
        <v>5.2049305150376108</v>
      </c>
      <c r="U135" s="330">
        <f t="shared" si="46"/>
        <v>5.2049305150376108</v>
      </c>
      <c r="V135" s="330">
        <f t="shared" si="46"/>
        <v>5.2049305150376108</v>
      </c>
      <c r="W135" s="79"/>
      <c r="X135" s="79"/>
      <c r="Y135" s="79"/>
      <c r="Z135" s="79"/>
      <c r="AA135" s="79"/>
      <c r="AB135" s="79"/>
      <c r="AC135" s="79"/>
      <c r="AD135" s="79"/>
      <c r="AE135" s="79"/>
      <c r="AF135" s="79"/>
      <c r="AG135" s="330">
        <f t="shared" si="46"/>
        <v>0</v>
      </c>
      <c r="AH135" s="330">
        <f t="shared" si="46"/>
        <v>0</v>
      </c>
      <c r="AI135" s="79"/>
      <c r="AJ135" s="330">
        <f t="shared" si="46"/>
        <v>0</v>
      </c>
      <c r="AK135" s="79"/>
      <c r="AL135" s="79"/>
      <c r="AM135" s="79"/>
      <c r="AN135" s="79"/>
      <c r="AO135" s="79"/>
    </row>
    <row r="136" spans="3:43" x14ac:dyDescent="0.3">
      <c r="E136" s="88"/>
      <c r="F136" s="37" t="s">
        <v>162</v>
      </c>
      <c r="G136" s="37" t="s">
        <v>272</v>
      </c>
      <c r="H136" s="283"/>
      <c r="I136" s="269"/>
      <c r="J136" s="284">
        <f t="shared" si="40"/>
        <v>0</v>
      </c>
      <c r="K136" s="284">
        <f t="shared" ref="K136:AJ136" si="47" xml:space="preserve"> K116 * (1 - K81) + K50</f>
        <v>0</v>
      </c>
      <c r="L136" s="284">
        <f t="shared" si="47"/>
        <v>0</v>
      </c>
      <c r="M136" s="284">
        <f t="shared" si="47"/>
        <v>0</v>
      </c>
      <c r="N136" s="284">
        <f t="shared" si="47"/>
        <v>0</v>
      </c>
      <c r="O136" s="284">
        <f t="shared" si="47"/>
        <v>0</v>
      </c>
      <c r="P136" s="284">
        <f t="shared" si="47"/>
        <v>0</v>
      </c>
      <c r="Q136" s="284">
        <f t="shared" si="47"/>
        <v>0</v>
      </c>
      <c r="R136" s="284">
        <f t="shared" si="47"/>
        <v>0.14450815833418021</v>
      </c>
      <c r="S136" s="284">
        <f t="shared" si="47"/>
        <v>0.14450815833418021</v>
      </c>
      <c r="T136" s="284">
        <f t="shared" si="47"/>
        <v>0.14450815833418021</v>
      </c>
      <c r="U136" s="284">
        <f t="shared" si="47"/>
        <v>0.14450815833418021</v>
      </c>
      <c r="V136" s="284">
        <f t="shared" si="47"/>
        <v>0.14450815833418021</v>
      </c>
      <c r="W136" s="270"/>
      <c r="X136" s="270"/>
      <c r="Y136" s="270"/>
      <c r="Z136" s="270"/>
      <c r="AA136" s="270"/>
      <c r="AB136" s="270"/>
      <c r="AC136" s="270"/>
      <c r="AD136" s="270"/>
      <c r="AE136" s="270"/>
      <c r="AF136" s="270"/>
      <c r="AG136" s="284">
        <f t="shared" si="47"/>
        <v>0</v>
      </c>
      <c r="AH136" s="284">
        <f t="shared" si="47"/>
        <v>0</v>
      </c>
      <c r="AI136" s="270"/>
      <c r="AJ136" s="284">
        <f t="shared" si="47"/>
        <v>0.21538700524373391</v>
      </c>
      <c r="AK136" s="270"/>
      <c r="AL136" s="270"/>
      <c r="AM136" s="270"/>
      <c r="AN136" s="270"/>
      <c r="AO136" s="270"/>
      <c r="AP136" s="267"/>
      <c r="AQ136" s="267"/>
    </row>
    <row r="137" spans="3:43" x14ac:dyDescent="0.3">
      <c r="E137" s="88"/>
      <c r="J137" s="89"/>
      <c r="K137" s="89"/>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89"/>
      <c r="AO137" s="89"/>
    </row>
    <row r="138" spans="3:43" x14ac:dyDescent="0.3">
      <c r="E138" s="32" t="s">
        <v>892</v>
      </c>
      <c r="I138" t="s">
        <v>154</v>
      </c>
      <c r="J138" s="89"/>
      <c r="K138" s="89"/>
      <c r="L138" s="89"/>
      <c r="M138" s="89"/>
      <c r="N138" s="89"/>
      <c r="O138" s="89"/>
      <c r="P138" s="89"/>
      <c r="Q138" s="89"/>
      <c r="R138" s="89"/>
      <c r="S138" s="89"/>
      <c r="T138" s="89"/>
      <c r="U138" s="89"/>
      <c r="V138" s="89"/>
      <c r="W138" s="89"/>
      <c r="X138" s="89"/>
      <c r="Y138" s="89"/>
      <c r="Z138" s="89"/>
      <c r="AA138" s="89"/>
      <c r="AB138" s="89"/>
      <c r="AC138" s="89"/>
      <c r="AD138" s="89"/>
      <c r="AE138" s="89"/>
      <c r="AF138" s="89"/>
      <c r="AG138" s="89"/>
      <c r="AH138" s="89"/>
      <c r="AI138" s="89"/>
      <c r="AJ138" s="89"/>
      <c r="AK138" s="89"/>
      <c r="AL138" s="89"/>
      <c r="AM138" s="89"/>
      <c r="AN138" s="89"/>
      <c r="AO138" s="89"/>
      <c r="AQ138" t="s">
        <v>899</v>
      </c>
    </row>
    <row r="139" spans="3:43" x14ac:dyDescent="0.3">
      <c r="C139" s="88"/>
      <c r="F139" s="23" t="s">
        <v>156</v>
      </c>
      <c r="G139" s="23" t="s">
        <v>269</v>
      </c>
      <c r="H139" s="278"/>
      <c r="I139" s="266"/>
      <c r="J139" s="281">
        <f t="shared" ref="J139:J145" si="48">J110 * (1 - J84) + J44</f>
        <v>3.1181439507527138</v>
      </c>
      <c r="K139" s="281">
        <f t="shared" ref="K139:AN139" si="49">K110 * (1 - K84) + K44</f>
        <v>3.1181439507527138</v>
      </c>
      <c r="L139" s="281">
        <f t="shared" si="49"/>
        <v>3.5496999926881818</v>
      </c>
      <c r="M139" s="281">
        <f t="shared" si="49"/>
        <v>3.5496999926881818</v>
      </c>
      <c r="N139" s="281">
        <f t="shared" si="49"/>
        <v>3.5496999926881818</v>
      </c>
      <c r="O139" s="281">
        <f t="shared" si="49"/>
        <v>3.5496999926881818</v>
      </c>
      <c r="P139" s="281">
        <f t="shared" si="49"/>
        <v>3.5496999926881818</v>
      </c>
      <c r="Q139" s="281">
        <f t="shared" si="49"/>
        <v>3.5496999926881818</v>
      </c>
      <c r="R139" s="281">
        <f t="shared" si="49"/>
        <v>2.2084448166914545</v>
      </c>
      <c r="S139" s="281">
        <f t="shared" si="49"/>
        <v>2.2084448166914545</v>
      </c>
      <c r="T139" s="281">
        <f t="shared" si="49"/>
        <v>2.2084448166914545</v>
      </c>
      <c r="U139" s="281">
        <f t="shared" si="49"/>
        <v>2.2084448166914545</v>
      </c>
      <c r="V139" s="281">
        <f t="shared" si="49"/>
        <v>2.2084448166914545</v>
      </c>
      <c r="W139" s="281">
        <f t="shared" si="49"/>
        <v>1.5144509009188032</v>
      </c>
      <c r="X139" s="281">
        <f t="shared" si="49"/>
        <v>1.5144509009188032</v>
      </c>
      <c r="Y139" s="281">
        <f t="shared" si="49"/>
        <v>1.5144509009188032</v>
      </c>
      <c r="Z139" s="281">
        <f t="shared" si="49"/>
        <v>1.5144509009188032</v>
      </c>
      <c r="AA139" s="281">
        <f t="shared" si="49"/>
        <v>1.5144509009188032</v>
      </c>
      <c r="AB139" s="281">
        <f t="shared" si="49"/>
        <v>1.1826154813294667</v>
      </c>
      <c r="AC139" s="281">
        <f t="shared" si="49"/>
        <v>1.1826154813294667</v>
      </c>
      <c r="AD139" s="281">
        <f t="shared" si="49"/>
        <v>1.1826154813294667</v>
      </c>
      <c r="AE139" s="281">
        <f t="shared" si="49"/>
        <v>1.1826154813294667</v>
      </c>
      <c r="AF139" s="281">
        <f t="shared" si="49"/>
        <v>1.1826154813294667</v>
      </c>
      <c r="AG139" s="281">
        <f t="shared" si="49"/>
        <v>8.9713487479901861</v>
      </c>
      <c r="AH139" s="281">
        <f t="shared" si="49"/>
        <v>-4.2026893264145153</v>
      </c>
      <c r="AI139" s="281">
        <f t="shared" si="49"/>
        <v>-3.4961132793592773</v>
      </c>
      <c r="AJ139" s="281">
        <f t="shared" si="49"/>
        <v>-4.2026893264145153</v>
      </c>
      <c r="AK139" s="280"/>
      <c r="AL139" s="281">
        <f t="shared" si="49"/>
        <v>-3.4961132793592773</v>
      </c>
      <c r="AM139" s="280"/>
      <c r="AN139" s="281">
        <f t="shared" si="49"/>
        <v>-1.7998280217679377</v>
      </c>
      <c r="AO139" s="280"/>
      <c r="AP139" s="267"/>
      <c r="AQ139" s="267"/>
    </row>
    <row r="140" spans="3:43" x14ac:dyDescent="0.3">
      <c r="C140" s="88"/>
      <c r="F140" t="s">
        <v>157</v>
      </c>
      <c r="G140" t="s">
        <v>269</v>
      </c>
      <c r="H140" s="279"/>
      <c r="I140" s="267"/>
      <c r="J140" s="329">
        <f t="shared" si="48"/>
        <v>0.49262354018257976</v>
      </c>
      <c r="K140" s="329">
        <f t="shared" ref="K140:AN140" si="50">K111 * (1 - K85) + K45</f>
        <v>0.49262354018257976</v>
      </c>
      <c r="L140" s="329">
        <f t="shared" si="50"/>
        <v>0.5608034153015945</v>
      </c>
      <c r="M140" s="329">
        <f t="shared" si="50"/>
        <v>0.5608034153015945</v>
      </c>
      <c r="N140" s="329">
        <f t="shared" si="50"/>
        <v>0.5608034153015945</v>
      </c>
      <c r="O140" s="329">
        <f t="shared" si="50"/>
        <v>0.5608034153015945</v>
      </c>
      <c r="P140" s="329">
        <f t="shared" si="50"/>
        <v>0.5608034153015945</v>
      </c>
      <c r="Q140" s="329">
        <f t="shared" si="50"/>
        <v>0.5608034153015945</v>
      </c>
      <c r="R140" s="329">
        <f t="shared" si="50"/>
        <v>0.35790871519248718</v>
      </c>
      <c r="S140" s="329">
        <f t="shared" si="50"/>
        <v>0.35790871519248718</v>
      </c>
      <c r="T140" s="329">
        <f t="shared" si="50"/>
        <v>0.35790871519248718</v>
      </c>
      <c r="U140" s="329">
        <f t="shared" si="50"/>
        <v>0.35790871519248718</v>
      </c>
      <c r="V140" s="329">
        <f t="shared" si="50"/>
        <v>0.35790871519248718</v>
      </c>
      <c r="W140" s="329">
        <f t="shared" si="50"/>
        <v>0.26325419244980169</v>
      </c>
      <c r="X140" s="329">
        <f t="shared" si="50"/>
        <v>0.26325419244980169</v>
      </c>
      <c r="Y140" s="329">
        <f t="shared" si="50"/>
        <v>0.26325419244980169</v>
      </c>
      <c r="Z140" s="329">
        <f t="shared" si="50"/>
        <v>0.26325419244980169</v>
      </c>
      <c r="AA140" s="329">
        <f t="shared" si="50"/>
        <v>0.26325419244980169</v>
      </c>
      <c r="AB140" s="329">
        <f t="shared" si="50"/>
        <v>0.20613198058215823</v>
      </c>
      <c r="AC140" s="329">
        <f t="shared" si="50"/>
        <v>0.20613198058215823</v>
      </c>
      <c r="AD140" s="329">
        <f t="shared" si="50"/>
        <v>0.20613198058215823</v>
      </c>
      <c r="AE140" s="329">
        <f t="shared" si="50"/>
        <v>0.20613198058215823</v>
      </c>
      <c r="AF140" s="329">
        <f t="shared" si="50"/>
        <v>0.20613198058215823</v>
      </c>
      <c r="AG140" s="329">
        <f t="shared" si="50"/>
        <v>1.4548032410584761</v>
      </c>
      <c r="AH140" s="329">
        <f t="shared" si="50"/>
        <v>-0.66396668241249179</v>
      </c>
      <c r="AI140" s="329">
        <f t="shared" si="50"/>
        <v>-0.56093505629734508</v>
      </c>
      <c r="AJ140" s="329">
        <f t="shared" si="50"/>
        <v>-0.66396668241249179</v>
      </c>
      <c r="AK140" s="268"/>
      <c r="AL140" s="329">
        <f t="shared" si="50"/>
        <v>-0.56093505629734508</v>
      </c>
      <c r="AM140" s="268"/>
      <c r="AN140" s="329">
        <f t="shared" si="50"/>
        <v>-0.31311949231288227</v>
      </c>
      <c r="AO140" s="268"/>
      <c r="AP140" s="267"/>
      <c r="AQ140" s="267"/>
    </row>
    <row r="141" spans="3:43" x14ac:dyDescent="0.3">
      <c r="C141" s="88"/>
      <c r="F141" t="s">
        <v>158</v>
      </c>
      <c r="G141" t="s">
        <v>269</v>
      </c>
      <c r="H141" s="279"/>
      <c r="I141" s="267"/>
      <c r="J141" s="329">
        <f t="shared" si="48"/>
        <v>4.6413835776924539E-2</v>
      </c>
      <c r="K141" s="329">
        <f t="shared" ref="K141:AN141" si="51">K112 * (1 - K86) + K46</f>
        <v>4.6413835776924539E-2</v>
      </c>
      <c r="L141" s="329">
        <f t="shared" si="51"/>
        <v>5.2837583870432879E-2</v>
      </c>
      <c r="M141" s="329">
        <f t="shared" si="51"/>
        <v>5.2837583870432879E-2</v>
      </c>
      <c r="N141" s="329">
        <f t="shared" si="51"/>
        <v>5.2837583870432879E-2</v>
      </c>
      <c r="O141" s="329">
        <f t="shared" si="51"/>
        <v>5.2837583870432879E-2</v>
      </c>
      <c r="P141" s="329">
        <f t="shared" si="51"/>
        <v>5.2837583870432879E-2</v>
      </c>
      <c r="Q141" s="329">
        <f t="shared" si="51"/>
        <v>5.2837583870432879E-2</v>
      </c>
      <c r="R141" s="329">
        <f t="shared" si="51"/>
        <v>2.9822041899254623E-2</v>
      </c>
      <c r="S141" s="329">
        <f t="shared" si="51"/>
        <v>2.9822041899254623E-2</v>
      </c>
      <c r="T141" s="329">
        <f t="shared" si="51"/>
        <v>2.9822041899254623E-2</v>
      </c>
      <c r="U141" s="329">
        <f t="shared" si="51"/>
        <v>2.9822041899254623E-2</v>
      </c>
      <c r="V141" s="329">
        <f t="shared" si="51"/>
        <v>2.9822041899254623E-2</v>
      </c>
      <c r="W141" s="329">
        <f t="shared" si="51"/>
        <v>1.4414421809298692E-2</v>
      </c>
      <c r="X141" s="329">
        <f t="shared" si="51"/>
        <v>1.4414421809298692E-2</v>
      </c>
      <c r="Y141" s="329">
        <f t="shared" si="51"/>
        <v>1.4414421809298692E-2</v>
      </c>
      <c r="Z141" s="329">
        <f t="shared" si="51"/>
        <v>1.4414421809298692E-2</v>
      </c>
      <c r="AA141" s="329">
        <f t="shared" si="51"/>
        <v>1.4414421809298692E-2</v>
      </c>
      <c r="AB141" s="329">
        <f t="shared" si="51"/>
        <v>8.3172420768745318E-3</v>
      </c>
      <c r="AC141" s="329">
        <f t="shared" si="51"/>
        <v>8.3172420768745318E-3</v>
      </c>
      <c r="AD141" s="329">
        <f t="shared" si="51"/>
        <v>8.3172420768745318E-3</v>
      </c>
      <c r="AE141" s="329">
        <f t="shared" si="51"/>
        <v>8.3172420768745318E-3</v>
      </c>
      <c r="AF141" s="329">
        <f t="shared" si="51"/>
        <v>8.3172420768745318E-3</v>
      </c>
      <c r="AG141" s="329">
        <f t="shared" si="51"/>
        <v>1.1267956217087256</v>
      </c>
      <c r="AH141" s="329">
        <f t="shared" si="51"/>
        <v>-6.2557385194018711E-2</v>
      </c>
      <c r="AI141" s="329">
        <f t="shared" si="51"/>
        <v>-4.9127131689069681E-2</v>
      </c>
      <c r="AJ141" s="329">
        <f t="shared" si="51"/>
        <v>-6.2557385194018711E-2</v>
      </c>
      <c r="AK141" s="268"/>
      <c r="AL141" s="329">
        <f t="shared" si="51"/>
        <v>-4.9127131689069681E-2</v>
      </c>
      <c r="AM141" s="268"/>
      <c r="AN141" s="329">
        <f t="shared" si="51"/>
        <v>-1.6727759883072124E-2</v>
      </c>
      <c r="AO141" s="268"/>
      <c r="AP141" s="267"/>
      <c r="AQ141" s="267"/>
    </row>
    <row r="142" spans="3:43" x14ac:dyDescent="0.3">
      <c r="C142" s="88"/>
      <c r="F142" t="s">
        <v>159</v>
      </c>
      <c r="G142" t="s">
        <v>270</v>
      </c>
      <c r="H142" s="51"/>
      <c r="J142" s="330">
        <f t="shared" si="48"/>
        <v>17.856516477551594</v>
      </c>
      <c r="K142" s="330">
        <f t="shared" ref="K142:AN142" si="52">K113 * (1 - K87) + K47</f>
        <v>0</v>
      </c>
      <c r="L142" s="330">
        <f t="shared" si="52"/>
        <v>4.6472360381619513</v>
      </c>
      <c r="M142" s="330">
        <f t="shared" si="52"/>
        <v>6.9598028709222524</v>
      </c>
      <c r="N142" s="330">
        <f t="shared" si="52"/>
        <v>17.508791705524061</v>
      </c>
      <c r="O142" s="330">
        <f t="shared" si="52"/>
        <v>36.185998221205793</v>
      </c>
      <c r="P142" s="330">
        <f t="shared" si="52"/>
        <v>106.34778719664276</v>
      </c>
      <c r="Q142" s="330">
        <f t="shared" si="52"/>
        <v>0</v>
      </c>
      <c r="R142" s="330">
        <f t="shared" si="52"/>
        <v>6.5333641199751673</v>
      </c>
      <c r="S142" s="330">
        <f t="shared" si="52"/>
        <v>157.17646352702462</v>
      </c>
      <c r="T142" s="330">
        <f t="shared" si="52"/>
        <v>284.95205263149097</v>
      </c>
      <c r="U142" s="330">
        <f t="shared" si="52"/>
        <v>438.22108064929529</v>
      </c>
      <c r="V142" s="330">
        <f t="shared" si="52"/>
        <v>680.51066245022571</v>
      </c>
      <c r="W142" s="330">
        <f t="shared" si="52"/>
        <v>7.8901524114682031</v>
      </c>
      <c r="X142" s="330">
        <f t="shared" si="52"/>
        <v>241.36527560738253</v>
      </c>
      <c r="Y142" s="330">
        <f t="shared" si="52"/>
        <v>439.39904897649166</v>
      </c>
      <c r="Z142" s="330">
        <f t="shared" si="52"/>
        <v>676.94398358967521</v>
      </c>
      <c r="AA142" s="330">
        <f t="shared" si="52"/>
        <v>1052.4579645335086</v>
      </c>
      <c r="AB142" s="330">
        <f t="shared" si="52"/>
        <v>82.982177955843341</v>
      </c>
      <c r="AC142" s="330">
        <f t="shared" si="52"/>
        <v>1381.1260130733535</v>
      </c>
      <c r="AD142" s="330">
        <f t="shared" si="52"/>
        <v>4372.6008441111453</v>
      </c>
      <c r="AE142" s="330">
        <f t="shared" si="52"/>
        <v>9645.1217523538598</v>
      </c>
      <c r="AF142" s="330">
        <f t="shared" si="52"/>
        <v>29580.012602614959</v>
      </c>
      <c r="AG142" s="330">
        <f t="shared" si="52"/>
        <v>0</v>
      </c>
      <c r="AH142" s="330">
        <f t="shared" si="52"/>
        <v>0</v>
      </c>
      <c r="AI142" s="330">
        <f t="shared" si="52"/>
        <v>0</v>
      </c>
      <c r="AJ142" s="330">
        <f t="shared" si="52"/>
        <v>0</v>
      </c>
      <c r="AK142" s="79"/>
      <c r="AL142" s="330">
        <f t="shared" si="52"/>
        <v>0</v>
      </c>
      <c r="AM142" s="79"/>
      <c r="AN142" s="330">
        <f t="shared" si="52"/>
        <v>0</v>
      </c>
      <c r="AO142" s="79"/>
    </row>
    <row r="143" spans="3:43" x14ac:dyDescent="0.3">
      <c r="C143" s="88"/>
      <c r="F143" t="s">
        <v>160</v>
      </c>
      <c r="G143" t="s">
        <v>271</v>
      </c>
      <c r="H143" s="51"/>
      <c r="J143" s="330">
        <f t="shared" si="48"/>
        <v>0</v>
      </c>
      <c r="K143" s="330">
        <f t="shared" ref="K143:AN143" si="53">K114 * (1 - K88) + K48</f>
        <v>0</v>
      </c>
      <c r="L143" s="330">
        <f t="shared" si="53"/>
        <v>0</v>
      </c>
      <c r="M143" s="330">
        <f t="shared" si="53"/>
        <v>0</v>
      </c>
      <c r="N143" s="330">
        <f t="shared" si="53"/>
        <v>0</v>
      </c>
      <c r="O143" s="330">
        <f t="shared" si="53"/>
        <v>0</v>
      </c>
      <c r="P143" s="330">
        <f t="shared" si="53"/>
        <v>0</v>
      </c>
      <c r="Q143" s="330">
        <f t="shared" si="53"/>
        <v>0</v>
      </c>
      <c r="R143" s="330">
        <f t="shared" si="53"/>
        <v>2.2461169430387624</v>
      </c>
      <c r="S143" s="330">
        <f t="shared" si="53"/>
        <v>2.2461169430387624</v>
      </c>
      <c r="T143" s="330">
        <f t="shared" si="53"/>
        <v>2.2461169430387624</v>
      </c>
      <c r="U143" s="330">
        <f t="shared" si="53"/>
        <v>2.2461169430387624</v>
      </c>
      <c r="V143" s="330">
        <f t="shared" si="53"/>
        <v>2.2461169430387624</v>
      </c>
      <c r="W143" s="330">
        <f t="shared" si="53"/>
        <v>3.9298771289780952</v>
      </c>
      <c r="X143" s="330">
        <f t="shared" si="53"/>
        <v>3.9298771289780952</v>
      </c>
      <c r="Y143" s="330">
        <f t="shared" si="53"/>
        <v>3.9298771289780952</v>
      </c>
      <c r="Z143" s="330">
        <f t="shared" si="53"/>
        <v>3.9298771289780952</v>
      </c>
      <c r="AA143" s="330">
        <f t="shared" si="53"/>
        <v>3.9298771289780952</v>
      </c>
      <c r="AB143" s="330">
        <f t="shared" si="53"/>
        <v>4.7768517990661685</v>
      </c>
      <c r="AC143" s="330">
        <f t="shared" si="53"/>
        <v>4.7768517990661685</v>
      </c>
      <c r="AD143" s="330">
        <f t="shared" si="53"/>
        <v>4.7768517990661685</v>
      </c>
      <c r="AE143" s="330">
        <f t="shared" si="53"/>
        <v>4.7768517990661685</v>
      </c>
      <c r="AF143" s="330">
        <f t="shared" si="53"/>
        <v>4.7768517990661685</v>
      </c>
      <c r="AG143" s="330">
        <f t="shared" si="53"/>
        <v>0</v>
      </c>
      <c r="AH143" s="330">
        <f t="shared" si="53"/>
        <v>0</v>
      </c>
      <c r="AI143" s="330">
        <f t="shared" si="53"/>
        <v>0</v>
      </c>
      <c r="AJ143" s="330">
        <f t="shared" si="53"/>
        <v>0</v>
      </c>
      <c r="AK143" s="79"/>
      <c r="AL143" s="330">
        <f t="shared" si="53"/>
        <v>0</v>
      </c>
      <c r="AM143" s="79"/>
      <c r="AN143" s="330">
        <f t="shared" si="53"/>
        <v>0</v>
      </c>
      <c r="AO143" s="79"/>
    </row>
    <row r="144" spans="3:43" x14ac:dyDescent="0.3">
      <c r="C144" s="88"/>
      <c r="F144" t="s">
        <v>161</v>
      </c>
      <c r="G144" t="s">
        <v>271</v>
      </c>
      <c r="H144" s="51"/>
      <c r="J144" s="330">
        <f t="shared" si="48"/>
        <v>0</v>
      </c>
      <c r="K144" s="330">
        <f t="shared" ref="K144:AN144" si="54">K115 * (1 - K89) + K49</f>
        <v>0</v>
      </c>
      <c r="L144" s="330">
        <f t="shared" si="54"/>
        <v>0</v>
      </c>
      <c r="M144" s="330">
        <f t="shared" si="54"/>
        <v>0</v>
      </c>
      <c r="N144" s="330">
        <f t="shared" si="54"/>
        <v>0</v>
      </c>
      <c r="O144" s="330">
        <f t="shared" si="54"/>
        <v>0</v>
      </c>
      <c r="P144" s="330">
        <f t="shared" si="54"/>
        <v>0</v>
      </c>
      <c r="Q144" s="330">
        <f t="shared" si="54"/>
        <v>0</v>
      </c>
      <c r="R144" s="330">
        <f t="shared" si="54"/>
        <v>4.0671171182741519</v>
      </c>
      <c r="S144" s="330">
        <f t="shared" si="54"/>
        <v>4.0671171182741519</v>
      </c>
      <c r="T144" s="330">
        <f t="shared" si="54"/>
        <v>4.0671171182741519</v>
      </c>
      <c r="U144" s="330">
        <f t="shared" si="54"/>
        <v>4.0671171182741519</v>
      </c>
      <c r="V144" s="330">
        <f t="shared" si="54"/>
        <v>4.0671171182741519</v>
      </c>
      <c r="W144" s="330">
        <f t="shared" si="54"/>
        <v>5.4298024546117034</v>
      </c>
      <c r="X144" s="330">
        <f t="shared" si="54"/>
        <v>5.4298024546117034</v>
      </c>
      <c r="Y144" s="330">
        <f t="shared" si="54"/>
        <v>5.4298024546117034</v>
      </c>
      <c r="Z144" s="330">
        <f t="shared" si="54"/>
        <v>5.4298024546117034</v>
      </c>
      <c r="AA144" s="330">
        <f t="shared" si="54"/>
        <v>5.4298024546117034</v>
      </c>
      <c r="AB144" s="330">
        <f t="shared" si="54"/>
        <v>6.3018480945993884</v>
      </c>
      <c r="AC144" s="330">
        <f t="shared" si="54"/>
        <v>6.3018480945993884</v>
      </c>
      <c r="AD144" s="330">
        <f t="shared" si="54"/>
        <v>6.3018480945993884</v>
      </c>
      <c r="AE144" s="330">
        <f t="shared" si="54"/>
        <v>6.3018480945993884</v>
      </c>
      <c r="AF144" s="330">
        <f t="shared" si="54"/>
        <v>6.3018480945993884</v>
      </c>
      <c r="AG144" s="330">
        <f t="shared" si="54"/>
        <v>0</v>
      </c>
      <c r="AH144" s="330">
        <f t="shared" si="54"/>
        <v>0</v>
      </c>
      <c r="AI144" s="330">
        <f t="shared" si="54"/>
        <v>0</v>
      </c>
      <c r="AJ144" s="330">
        <f t="shared" si="54"/>
        <v>0</v>
      </c>
      <c r="AK144" s="79"/>
      <c r="AL144" s="330">
        <f t="shared" si="54"/>
        <v>0</v>
      </c>
      <c r="AM144" s="79"/>
      <c r="AN144" s="330">
        <f t="shared" si="54"/>
        <v>0</v>
      </c>
      <c r="AO144" s="79"/>
    </row>
    <row r="145" spans="1:43" x14ac:dyDescent="0.3">
      <c r="C145" s="88"/>
      <c r="F145" s="37" t="s">
        <v>162</v>
      </c>
      <c r="G145" s="37" t="s">
        <v>272</v>
      </c>
      <c r="H145" s="283"/>
      <c r="I145" s="269"/>
      <c r="J145" s="284">
        <f t="shared" si="48"/>
        <v>0</v>
      </c>
      <c r="K145" s="284">
        <f t="shared" ref="K145:AN145" si="55">K116 * (1 - K90) + K50</f>
        <v>0</v>
      </c>
      <c r="L145" s="284">
        <f t="shared" si="55"/>
        <v>0</v>
      </c>
      <c r="M145" s="284">
        <f t="shared" si="55"/>
        <v>0</v>
      </c>
      <c r="N145" s="284">
        <f t="shared" si="55"/>
        <v>0</v>
      </c>
      <c r="O145" s="284">
        <f t="shared" si="55"/>
        <v>0</v>
      </c>
      <c r="P145" s="284">
        <f t="shared" si="55"/>
        <v>0</v>
      </c>
      <c r="Q145" s="284">
        <f t="shared" si="55"/>
        <v>0</v>
      </c>
      <c r="R145" s="284">
        <f t="shared" si="55"/>
        <v>0.11291824219232038</v>
      </c>
      <c r="S145" s="284">
        <f t="shared" si="55"/>
        <v>0.11291824219232038</v>
      </c>
      <c r="T145" s="284">
        <f t="shared" si="55"/>
        <v>0.11291824219232038</v>
      </c>
      <c r="U145" s="284">
        <f t="shared" si="55"/>
        <v>0.11291824219232038</v>
      </c>
      <c r="V145" s="284">
        <f t="shared" si="55"/>
        <v>0.11291824219232038</v>
      </c>
      <c r="W145" s="284">
        <f t="shared" si="55"/>
        <v>0.10648331907183248</v>
      </c>
      <c r="X145" s="284">
        <f t="shared" si="55"/>
        <v>0.10648331907183248</v>
      </c>
      <c r="Y145" s="284">
        <f t="shared" si="55"/>
        <v>0.10648331907183248</v>
      </c>
      <c r="Z145" s="284">
        <f t="shared" si="55"/>
        <v>0.10648331907183248</v>
      </c>
      <c r="AA145" s="284">
        <f t="shared" si="55"/>
        <v>0.10648331907183248</v>
      </c>
      <c r="AB145" s="284">
        <f t="shared" si="55"/>
        <v>5.4083240086530787E-2</v>
      </c>
      <c r="AC145" s="284">
        <f t="shared" si="55"/>
        <v>5.4083240086530787E-2</v>
      </c>
      <c r="AD145" s="284">
        <f t="shared" si="55"/>
        <v>5.4083240086530787E-2</v>
      </c>
      <c r="AE145" s="284">
        <f t="shared" si="55"/>
        <v>5.4083240086530787E-2</v>
      </c>
      <c r="AF145" s="284">
        <f t="shared" si="55"/>
        <v>5.4083240086530787E-2</v>
      </c>
      <c r="AG145" s="284">
        <f t="shared" si="55"/>
        <v>0</v>
      </c>
      <c r="AH145" s="284">
        <f t="shared" si="55"/>
        <v>0</v>
      </c>
      <c r="AI145" s="284">
        <f t="shared" si="55"/>
        <v>0</v>
      </c>
      <c r="AJ145" s="284">
        <f t="shared" si="55"/>
        <v>0.21538700524373391</v>
      </c>
      <c r="AK145" s="270"/>
      <c r="AL145" s="284">
        <f t="shared" si="55"/>
        <v>0.16741946552320405</v>
      </c>
      <c r="AM145" s="270"/>
      <c r="AN145" s="284">
        <f t="shared" si="55"/>
        <v>0.13034882474051146</v>
      </c>
      <c r="AO145" s="270"/>
      <c r="AP145" s="267"/>
      <c r="AQ145" s="267"/>
    </row>
    <row r="146" spans="1:43" x14ac:dyDescent="0.3">
      <c r="A146" s="267"/>
      <c r="B146" s="267"/>
      <c r="C146" s="267"/>
      <c r="D146" s="267"/>
      <c r="E146" s="267"/>
      <c r="F146" s="267"/>
      <c r="G146" s="267"/>
      <c r="H146" s="267"/>
      <c r="I146" s="267"/>
      <c r="J146" s="267"/>
      <c r="K146" s="267"/>
      <c r="L146" s="267"/>
      <c r="M146" s="267"/>
      <c r="N146" s="267"/>
      <c r="O146" s="267"/>
      <c r="P146" s="267"/>
      <c r="Q146" s="267"/>
      <c r="R146" s="267"/>
      <c r="S146" s="267"/>
      <c r="T146" s="267"/>
      <c r="U146" s="267"/>
      <c r="V146" s="267"/>
      <c r="W146" s="267"/>
      <c r="X146" s="267"/>
      <c r="Y146" s="267"/>
      <c r="Z146" s="267"/>
      <c r="AA146" s="267"/>
      <c r="AB146" s="267"/>
      <c r="AC146" s="267"/>
      <c r="AD146" s="267"/>
      <c r="AE146" s="267"/>
      <c r="AF146" s="267"/>
      <c r="AG146" s="267"/>
      <c r="AH146" s="267"/>
      <c r="AI146" s="267"/>
      <c r="AJ146" s="267"/>
      <c r="AK146" s="267"/>
      <c r="AL146" s="267"/>
      <c r="AM146" s="267"/>
      <c r="AN146" s="267"/>
      <c r="AO146" s="267"/>
      <c r="AP146" s="267"/>
      <c r="AQ146" s="267"/>
    </row>
    <row r="147" spans="1:43" x14ac:dyDescent="0.3">
      <c r="C147" s="31" t="str">
        <f ca="1">INDEX('Version control'!$H$34:$H$57,MATCH($A$1,'Version control'!$F$34:$F$57,0),1)&amp;"-H: Tariff forecast, post-rounding"</f>
        <v>Section 117-H: Tariff forecast, post-rounding</v>
      </c>
      <c r="D147" s="31"/>
      <c r="E147" s="31"/>
      <c r="F147" s="31"/>
      <c r="G147" s="31"/>
      <c r="H147" s="31"/>
      <c r="I147" s="31"/>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31"/>
      <c r="AQ147" s="31"/>
    </row>
    <row r="148" spans="1:43" x14ac:dyDescent="0.3">
      <c r="J148" s="89"/>
      <c r="K148" s="89"/>
      <c r="L148" s="89"/>
      <c r="M148" s="89"/>
      <c r="N148" s="89"/>
      <c r="O148" s="89"/>
      <c r="P148" s="89"/>
      <c r="Q148" s="89"/>
      <c r="R148" s="89"/>
      <c r="S148" s="89"/>
      <c r="T148" s="89"/>
      <c r="U148" s="89"/>
      <c r="V148" s="89"/>
      <c r="W148" s="89"/>
      <c r="X148" s="89"/>
      <c r="Y148" s="89"/>
      <c r="Z148" s="89"/>
      <c r="AA148" s="89"/>
      <c r="AB148" s="89"/>
      <c r="AC148" s="89"/>
      <c r="AD148" s="89"/>
      <c r="AE148" s="89"/>
      <c r="AF148" s="89"/>
      <c r="AG148" s="89"/>
      <c r="AH148" s="89"/>
      <c r="AI148" s="89"/>
      <c r="AJ148" s="89"/>
      <c r="AK148" s="89"/>
      <c r="AL148" s="89"/>
      <c r="AM148" s="89"/>
      <c r="AN148" s="89"/>
      <c r="AO148" s="89"/>
    </row>
    <row r="149" spans="1:43" x14ac:dyDescent="0.3">
      <c r="E149" s="32" t="s">
        <v>754</v>
      </c>
      <c r="F149" s="32"/>
      <c r="I149" t="s">
        <v>154</v>
      </c>
      <c r="J149" s="89"/>
      <c r="K149" s="89"/>
      <c r="L149" s="89"/>
      <c r="M149" s="89"/>
      <c r="N149" s="89"/>
      <c r="O149" s="89"/>
      <c r="P149" s="89"/>
      <c r="Q149" s="89"/>
      <c r="R149" s="89"/>
      <c r="S149" s="89"/>
      <c r="T149" s="89"/>
      <c r="U149" s="89"/>
      <c r="V149" s="89"/>
      <c r="W149" s="89"/>
      <c r="X149" s="89"/>
      <c r="Y149" s="89"/>
      <c r="Z149" s="89"/>
      <c r="AA149" s="89"/>
      <c r="AB149" s="89"/>
      <c r="AC149" s="89"/>
      <c r="AD149" s="89"/>
      <c r="AE149" s="89"/>
      <c r="AF149" s="89"/>
      <c r="AG149" s="89"/>
      <c r="AH149" s="89"/>
      <c r="AI149" s="89"/>
      <c r="AJ149" s="89"/>
      <c r="AK149" s="89"/>
      <c r="AL149" s="89"/>
      <c r="AM149" s="89"/>
      <c r="AN149" s="89"/>
      <c r="AO149" s="89"/>
      <c r="AQ149" t="s">
        <v>155</v>
      </c>
    </row>
    <row r="150" spans="1:43" x14ac:dyDescent="0.3">
      <c r="E150" s="88"/>
      <c r="F150" s="23" t="s">
        <v>156</v>
      </c>
      <c r="G150" s="23" t="s">
        <v>269</v>
      </c>
      <c r="H150" s="278"/>
      <c r="I150" s="266"/>
      <c r="J150" s="271">
        <f t="shared" ref="J150" si="56">ROUND(J121, $H95)</f>
        <v>6.0220000000000002</v>
      </c>
      <c r="K150" s="271">
        <f t="shared" ref="K150:AO150" si="57">ROUND(K121, $H95)</f>
        <v>6.0220000000000002</v>
      </c>
      <c r="L150" s="271">
        <f t="shared" si="57"/>
        <v>6.8559999999999999</v>
      </c>
      <c r="M150" s="271">
        <f t="shared" si="57"/>
        <v>6.8559999999999999</v>
      </c>
      <c r="N150" s="271">
        <f t="shared" si="57"/>
        <v>6.8559999999999999</v>
      </c>
      <c r="O150" s="271">
        <f t="shared" si="57"/>
        <v>6.8559999999999999</v>
      </c>
      <c r="P150" s="271">
        <f t="shared" si="57"/>
        <v>6.8559999999999999</v>
      </c>
      <c r="Q150" s="271">
        <f t="shared" si="57"/>
        <v>6.8559999999999999</v>
      </c>
      <c r="R150" s="271">
        <f t="shared" si="57"/>
        <v>4.2649999999999997</v>
      </c>
      <c r="S150" s="271">
        <f t="shared" si="57"/>
        <v>4.2649999999999997</v>
      </c>
      <c r="T150" s="271">
        <f t="shared" si="57"/>
        <v>4.2649999999999997</v>
      </c>
      <c r="U150" s="271">
        <f t="shared" si="57"/>
        <v>4.2649999999999997</v>
      </c>
      <c r="V150" s="271">
        <f t="shared" si="57"/>
        <v>4.2649999999999997</v>
      </c>
      <c r="W150" s="271">
        <f t="shared" si="57"/>
        <v>1.887</v>
      </c>
      <c r="X150" s="271">
        <f t="shared" si="57"/>
        <v>1.887</v>
      </c>
      <c r="Y150" s="271">
        <f t="shared" si="57"/>
        <v>1.887</v>
      </c>
      <c r="Z150" s="271">
        <f t="shared" si="57"/>
        <v>1.887</v>
      </c>
      <c r="AA150" s="271">
        <f t="shared" si="57"/>
        <v>1.887</v>
      </c>
      <c r="AB150" s="271">
        <f t="shared" si="57"/>
        <v>1.284</v>
      </c>
      <c r="AC150" s="271">
        <f t="shared" si="57"/>
        <v>1.284</v>
      </c>
      <c r="AD150" s="271">
        <f t="shared" si="57"/>
        <v>1.284</v>
      </c>
      <c r="AE150" s="271">
        <f t="shared" si="57"/>
        <v>1.284</v>
      </c>
      <c r="AF150" s="271">
        <f t="shared" si="57"/>
        <v>1.284</v>
      </c>
      <c r="AG150" s="271">
        <f t="shared" si="57"/>
        <v>17.327000000000002</v>
      </c>
      <c r="AH150" s="271">
        <f t="shared" si="57"/>
        <v>-4.2030000000000003</v>
      </c>
      <c r="AI150" s="271">
        <f t="shared" si="57"/>
        <v>-3.496</v>
      </c>
      <c r="AJ150" s="271">
        <f t="shared" si="57"/>
        <v>-4.2030000000000003</v>
      </c>
      <c r="AK150" s="271">
        <f t="shared" si="57"/>
        <v>-4.2030000000000003</v>
      </c>
      <c r="AL150" s="271">
        <f t="shared" si="57"/>
        <v>-3.496</v>
      </c>
      <c r="AM150" s="271">
        <f t="shared" si="57"/>
        <v>-3.496</v>
      </c>
      <c r="AN150" s="271">
        <f t="shared" si="57"/>
        <v>-1.8</v>
      </c>
      <c r="AO150" s="271">
        <f t="shared" si="57"/>
        <v>-1.8</v>
      </c>
      <c r="AP150" s="267"/>
      <c r="AQ150" s="267"/>
    </row>
    <row r="151" spans="1:43" x14ac:dyDescent="0.3">
      <c r="E151" s="88"/>
      <c r="F151" t="s">
        <v>157</v>
      </c>
      <c r="G151" t="s">
        <v>269</v>
      </c>
      <c r="H151" s="279"/>
      <c r="I151" s="267"/>
      <c r="J151" s="272">
        <f t="shared" ref="J151:J156" si="58">ROUND(J122, $H96)</f>
        <v>0.95099999999999996</v>
      </c>
      <c r="K151" s="272">
        <f t="shared" ref="K151:AO151" si="59">ROUND(K122, $H96)</f>
        <v>0.95099999999999996</v>
      </c>
      <c r="L151" s="272">
        <f t="shared" si="59"/>
        <v>1.083</v>
      </c>
      <c r="M151" s="272">
        <f t="shared" si="59"/>
        <v>1.083</v>
      </c>
      <c r="N151" s="272">
        <f t="shared" si="59"/>
        <v>1.083</v>
      </c>
      <c r="O151" s="272">
        <f t="shared" si="59"/>
        <v>1.083</v>
      </c>
      <c r="P151" s="272">
        <f t="shared" si="59"/>
        <v>1.083</v>
      </c>
      <c r="Q151" s="272">
        <f t="shared" si="59"/>
        <v>1.083</v>
      </c>
      <c r="R151" s="272">
        <f t="shared" si="59"/>
        <v>0.69099999999999995</v>
      </c>
      <c r="S151" s="272">
        <f t="shared" si="59"/>
        <v>0.69099999999999995</v>
      </c>
      <c r="T151" s="272">
        <f t="shared" si="59"/>
        <v>0.69099999999999995</v>
      </c>
      <c r="U151" s="272">
        <f t="shared" si="59"/>
        <v>0.69099999999999995</v>
      </c>
      <c r="V151" s="272">
        <f t="shared" si="59"/>
        <v>0.69099999999999995</v>
      </c>
      <c r="W151" s="272">
        <f t="shared" si="59"/>
        <v>0.32800000000000001</v>
      </c>
      <c r="X151" s="272">
        <f t="shared" si="59"/>
        <v>0.32800000000000001</v>
      </c>
      <c r="Y151" s="272">
        <f t="shared" si="59"/>
        <v>0.32800000000000001</v>
      </c>
      <c r="Z151" s="272">
        <f t="shared" si="59"/>
        <v>0.32800000000000001</v>
      </c>
      <c r="AA151" s="272">
        <f t="shared" si="59"/>
        <v>0.32800000000000001</v>
      </c>
      <c r="AB151" s="272">
        <f t="shared" si="59"/>
        <v>0.224</v>
      </c>
      <c r="AC151" s="272">
        <f t="shared" si="59"/>
        <v>0.224</v>
      </c>
      <c r="AD151" s="272">
        <f t="shared" si="59"/>
        <v>0.224</v>
      </c>
      <c r="AE151" s="272">
        <f t="shared" si="59"/>
        <v>0.224</v>
      </c>
      <c r="AF151" s="272">
        <f t="shared" si="59"/>
        <v>0.224</v>
      </c>
      <c r="AG151" s="272">
        <f t="shared" si="59"/>
        <v>2.81</v>
      </c>
      <c r="AH151" s="272">
        <f t="shared" si="59"/>
        <v>-0.66400000000000003</v>
      </c>
      <c r="AI151" s="272">
        <f t="shared" si="59"/>
        <v>-0.56100000000000005</v>
      </c>
      <c r="AJ151" s="272">
        <f t="shared" si="59"/>
        <v>-0.66400000000000003</v>
      </c>
      <c r="AK151" s="272">
        <f t="shared" si="59"/>
        <v>-0.66400000000000003</v>
      </c>
      <c r="AL151" s="272">
        <f t="shared" si="59"/>
        <v>-0.56100000000000005</v>
      </c>
      <c r="AM151" s="272">
        <f t="shared" si="59"/>
        <v>-0.56100000000000005</v>
      </c>
      <c r="AN151" s="272">
        <f t="shared" si="59"/>
        <v>-0.313</v>
      </c>
      <c r="AO151" s="272">
        <f t="shared" si="59"/>
        <v>-0.313</v>
      </c>
      <c r="AP151" s="267"/>
      <c r="AQ151" s="267"/>
    </row>
    <row r="152" spans="1:43" x14ac:dyDescent="0.3">
      <c r="E152" s="88"/>
      <c r="F152" t="s">
        <v>158</v>
      </c>
      <c r="G152" t="s">
        <v>269</v>
      </c>
      <c r="H152" s="279"/>
      <c r="I152" s="267"/>
      <c r="J152" s="272">
        <f t="shared" si="58"/>
        <v>0.09</v>
      </c>
      <c r="K152" s="272">
        <f t="shared" ref="K152:AO152" si="60">ROUND(K123, $H97)</f>
        <v>0.09</v>
      </c>
      <c r="L152" s="272">
        <f t="shared" si="60"/>
        <v>0.10199999999999999</v>
      </c>
      <c r="M152" s="272">
        <f t="shared" si="60"/>
        <v>0.10199999999999999</v>
      </c>
      <c r="N152" s="272">
        <f t="shared" si="60"/>
        <v>0.10199999999999999</v>
      </c>
      <c r="O152" s="272">
        <f t="shared" si="60"/>
        <v>0.10199999999999999</v>
      </c>
      <c r="P152" s="272">
        <f t="shared" si="60"/>
        <v>0.10199999999999999</v>
      </c>
      <c r="Q152" s="272">
        <f t="shared" si="60"/>
        <v>0.10199999999999999</v>
      </c>
      <c r="R152" s="272">
        <f t="shared" si="60"/>
        <v>5.8000000000000003E-2</v>
      </c>
      <c r="S152" s="272">
        <f t="shared" si="60"/>
        <v>5.8000000000000003E-2</v>
      </c>
      <c r="T152" s="272">
        <f t="shared" si="60"/>
        <v>5.8000000000000003E-2</v>
      </c>
      <c r="U152" s="272">
        <f t="shared" si="60"/>
        <v>5.8000000000000003E-2</v>
      </c>
      <c r="V152" s="272">
        <f t="shared" si="60"/>
        <v>5.8000000000000003E-2</v>
      </c>
      <c r="W152" s="272">
        <f t="shared" si="60"/>
        <v>1.7999999999999999E-2</v>
      </c>
      <c r="X152" s="272">
        <f t="shared" si="60"/>
        <v>1.7999999999999999E-2</v>
      </c>
      <c r="Y152" s="272">
        <f t="shared" si="60"/>
        <v>1.7999999999999999E-2</v>
      </c>
      <c r="Z152" s="272">
        <f t="shared" si="60"/>
        <v>1.7999999999999999E-2</v>
      </c>
      <c r="AA152" s="272">
        <f t="shared" si="60"/>
        <v>1.7999999999999999E-2</v>
      </c>
      <c r="AB152" s="272">
        <f t="shared" si="60"/>
        <v>8.9999999999999993E-3</v>
      </c>
      <c r="AC152" s="272">
        <f t="shared" si="60"/>
        <v>8.9999999999999993E-3</v>
      </c>
      <c r="AD152" s="272">
        <f t="shared" si="60"/>
        <v>8.9999999999999993E-3</v>
      </c>
      <c r="AE152" s="272">
        <f t="shared" si="60"/>
        <v>8.9999999999999993E-3</v>
      </c>
      <c r="AF152" s="272">
        <f t="shared" si="60"/>
        <v>8.9999999999999993E-3</v>
      </c>
      <c r="AG152" s="272">
        <f t="shared" si="60"/>
        <v>2.1760000000000002</v>
      </c>
      <c r="AH152" s="272">
        <f t="shared" si="60"/>
        <v>-6.3E-2</v>
      </c>
      <c r="AI152" s="272">
        <f t="shared" si="60"/>
        <v>-4.9000000000000002E-2</v>
      </c>
      <c r="AJ152" s="272">
        <f t="shared" si="60"/>
        <v>-6.3E-2</v>
      </c>
      <c r="AK152" s="272">
        <f t="shared" si="60"/>
        <v>-6.3E-2</v>
      </c>
      <c r="AL152" s="272">
        <f t="shared" si="60"/>
        <v>-4.9000000000000002E-2</v>
      </c>
      <c r="AM152" s="272">
        <f t="shared" si="60"/>
        <v>-4.9000000000000002E-2</v>
      </c>
      <c r="AN152" s="272">
        <f t="shared" si="60"/>
        <v>-1.7000000000000001E-2</v>
      </c>
      <c r="AO152" s="272">
        <f t="shared" si="60"/>
        <v>-1.7000000000000001E-2</v>
      </c>
      <c r="AP152" s="267"/>
      <c r="AQ152" s="267"/>
    </row>
    <row r="153" spans="1:43" x14ac:dyDescent="0.3">
      <c r="E153" s="88"/>
      <c r="F153" t="s">
        <v>159</v>
      </c>
      <c r="G153" t="s">
        <v>270</v>
      </c>
      <c r="H153" s="51"/>
      <c r="J153" s="121">
        <f t="shared" si="58"/>
        <v>25.72</v>
      </c>
      <c r="K153" s="121">
        <f t="shared" ref="K153:AO153" si="61">ROUND(K124, $H98)</f>
        <v>0</v>
      </c>
      <c r="L153" s="121">
        <f t="shared" si="61"/>
        <v>8.91</v>
      </c>
      <c r="M153" s="121">
        <f t="shared" si="61"/>
        <v>13.38</v>
      </c>
      <c r="N153" s="121">
        <f t="shared" si="61"/>
        <v>33.75</v>
      </c>
      <c r="O153" s="121">
        <f t="shared" si="61"/>
        <v>69.819999999999993</v>
      </c>
      <c r="P153" s="121">
        <f t="shared" si="61"/>
        <v>205.33</v>
      </c>
      <c r="Q153" s="121">
        <f t="shared" si="61"/>
        <v>0</v>
      </c>
      <c r="R153" s="121">
        <f t="shared" si="61"/>
        <v>12.56</v>
      </c>
      <c r="S153" s="121">
        <f t="shared" si="61"/>
        <v>303.5</v>
      </c>
      <c r="T153" s="121">
        <f t="shared" si="61"/>
        <v>550.27</v>
      </c>
      <c r="U153" s="121">
        <f t="shared" si="61"/>
        <v>846.28</v>
      </c>
      <c r="V153" s="121">
        <f t="shared" si="61"/>
        <v>1314.22</v>
      </c>
      <c r="W153" s="121">
        <f t="shared" si="61"/>
        <v>9.82</v>
      </c>
      <c r="X153" s="121">
        <f t="shared" si="61"/>
        <v>300.76</v>
      </c>
      <c r="Y153" s="121">
        <f t="shared" si="61"/>
        <v>547.53</v>
      </c>
      <c r="Z153" s="121">
        <f t="shared" si="61"/>
        <v>843.54</v>
      </c>
      <c r="AA153" s="121">
        <f t="shared" si="61"/>
        <v>1311.48</v>
      </c>
      <c r="AB153" s="121">
        <f t="shared" si="61"/>
        <v>90.06</v>
      </c>
      <c r="AC153" s="121">
        <f t="shared" si="61"/>
        <v>1499.07</v>
      </c>
      <c r="AD153" s="121">
        <f t="shared" si="61"/>
        <v>4746.01</v>
      </c>
      <c r="AE153" s="121">
        <f t="shared" si="61"/>
        <v>10468.799999999999</v>
      </c>
      <c r="AF153" s="121">
        <f t="shared" si="61"/>
        <v>32106.1</v>
      </c>
      <c r="AG153" s="121">
        <f t="shared" si="61"/>
        <v>0</v>
      </c>
      <c r="AH153" s="121">
        <f t="shared" si="61"/>
        <v>0</v>
      </c>
      <c r="AI153" s="121">
        <f t="shared" si="61"/>
        <v>0</v>
      </c>
      <c r="AJ153" s="121">
        <f t="shared" si="61"/>
        <v>0</v>
      </c>
      <c r="AK153" s="121">
        <f t="shared" si="61"/>
        <v>0</v>
      </c>
      <c r="AL153" s="121">
        <f t="shared" si="61"/>
        <v>0</v>
      </c>
      <c r="AM153" s="121">
        <f t="shared" si="61"/>
        <v>0</v>
      </c>
      <c r="AN153" s="121">
        <f t="shared" si="61"/>
        <v>56.32</v>
      </c>
      <c r="AO153" s="121">
        <f t="shared" si="61"/>
        <v>56.32</v>
      </c>
    </row>
    <row r="154" spans="1:43" x14ac:dyDescent="0.3">
      <c r="E154" s="88"/>
      <c r="F154" t="s">
        <v>160</v>
      </c>
      <c r="G154" t="s">
        <v>271</v>
      </c>
      <c r="H154" s="51"/>
      <c r="J154" s="121">
        <f t="shared" si="58"/>
        <v>0</v>
      </c>
      <c r="K154" s="121">
        <f t="shared" ref="K154:AO154" si="62">ROUND(K125, $H99)</f>
        <v>0</v>
      </c>
      <c r="L154" s="121">
        <f t="shared" si="62"/>
        <v>0</v>
      </c>
      <c r="M154" s="121">
        <f t="shared" si="62"/>
        <v>0</v>
      </c>
      <c r="N154" s="121">
        <f t="shared" si="62"/>
        <v>0</v>
      </c>
      <c r="O154" s="121">
        <f t="shared" si="62"/>
        <v>0</v>
      </c>
      <c r="P154" s="121">
        <f t="shared" si="62"/>
        <v>0</v>
      </c>
      <c r="Q154" s="121">
        <f t="shared" si="62"/>
        <v>0</v>
      </c>
      <c r="R154" s="121">
        <f t="shared" si="62"/>
        <v>4.34</v>
      </c>
      <c r="S154" s="121">
        <f t="shared" si="62"/>
        <v>4.34</v>
      </c>
      <c r="T154" s="121">
        <f t="shared" si="62"/>
        <v>4.34</v>
      </c>
      <c r="U154" s="121">
        <f t="shared" si="62"/>
        <v>4.34</v>
      </c>
      <c r="V154" s="121">
        <f t="shared" si="62"/>
        <v>4.34</v>
      </c>
      <c r="W154" s="121">
        <f t="shared" si="62"/>
        <v>4.9000000000000004</v>
      </c>
      <c r="X154" s="121">
        <f t="shared" si="62"/>
        <v>4.9000000000000004</v>
      </c>
      <c r="Y154" s="121">
        <f t="shared" si="62"/>
        <v>4.9000000000000004</v>
      </c>
      <c r="Z154" s="121">
        <f t="shared" si="62"/>
        <v>4.9000000000000004</v>
      </c>
      <c r="AA154" s="121">
        <f t="shared" si="62"/>
        <v>4.9000000000000004</v>
      </c>
      <c r="AB154" s="121">
        <f t="shared" si="62"/>
        <v>5.18</v>
      </c>
      <c r="AC154" s="121">
        <f t="shared" si="62"/>
        <v>5.18</v>
      </c>
      <c r="AD154" s="121">
        <f t="shared" si="62"/>
        <v>5.18</v>
      </c>
      <c r="AE154" s="121">
        <f t="shared" si="62"/>
        <v>5.18</v>
      </c>
      <c r="AF154" s="121">
        <f t="shared" si="62"/>
        <v>5.18</v>
      </c>
      <c r="AG154" s="121">
        <f t="shared" si="62"/>
        <v>0</v>
      </c>
      <c r="AH154" s="121">
        <f t="shared" si="62"/>
        <v>0</v>
      </c>
      <c r="AI154" s="121">
        <f t="shared" si="62"/>
        <v>0</v>
      </c>
      <c r="AJ154" s="121">
        <f t="shared" si="62"/>
        <v>0</v>
      </c>
      <c r="AK154" s="121">
        <f t="shared" si="62"/>
        <v>0</v>
      </c>
      <c r="AL154" s="121">
        <f t="shared" si="62"/>
        <v>0</v>
      </c>
      <c r="AM154" s="121">
        <f t="shared" si="62"/>
        <v>0</v>
      </c>
      <c r="AN154" s="121">
        <f t="shared" si="62"/>
        <v>0</v>
      </c>
      <c r="AO154" s="121">
        <f t="shared" si="62"/>
        <v>0</v>
      </c>
    </row>
    <row r="155" spans="1:43" x14ac:dyDescent="0.3">
      <c r="E155" s="88"/>
      <c r="F155" t="s">
        <v>161</v>
      </c>
      <c r="G155" t="s">
        <v>271</v>
      </c>
      <c r="H155" s="51"/>
      <c r="J155" s="121">
        <f t="shared" si="58"/>
        <v>0</v>
      </c>
      <c r="K155" s="121">
        <f t="shared" ref="K155:AO155" si="63">ROUND(K126, $H100)</f>
        <v>0</v>
      </c>
      <c r="L155" s="121">
        <f t="shared" si="63"/>
        <v>0</v>
      </c>
      <c r="M155" s="121">
        <f t="shared" si="63"/>
        <v>0</v>
      </c>
      <c r="N155" s="121">
        <f t="shared" si="63"/>
        <v>0</v>
      </c>
      <c r="O155" s="121">
        <f t="shared" si="63"/>
        <v>0</v>
      </c>
      <c r="P155" s="121">
        <f t="shared" si="63"/>
        <v>0</v>
      </c>
      <c r="Q155" s="121">
        <f t="shared" si="63"/>
        <v>0</v>
      </c>
      <c r="R155" s="121">
        <f t="shared" si="63"/>
        <v>7.85</v>
      </c>
      <c r="S155" s="121">
        <f t="shared" si="63"/>
        <v>7.85</v>
      </c>
      <c r="T155" s="121">
        <f t="shared" si="63"/>
        <v>7.85</v>
      </c>
      <c r="U155" s="121">
        <f t="shared" si="63"/>
        <v>7.85</v>
      </c>
      <c r="V155" s="121">
        <f t="shared" si="63"/>
        <v>7.85</v>
      </c>
      <c r="W155" s="121">
        <f t="shared" si="63"/>
        <v>6.77</v>
      </c>
      <c r="X155" s="121">
        <f t="shared" si="63"/>
        <v>6.77</v>
      </c>
      <c r="Y155" s="121">
        <f t="shared" si="63"/>
        <v>6.77</v>
      </c>
      <c r="Z155" s="121">
        <f t="shared" si="63"/>
        <v>6.77</v>
      </c>
      <c r="AA155" s="121">
        <f t="shared" si="63"/>
        <v>6.77</v>
      </c>
      <c r="AB155" s="121">
        <f t="shared" si="63"/>
        <v>6.84</v>
      </c>
      <c r="AC155" s="121">
        <f t="shared" si="63"/>
        <v>6.84</v>
      </c>
      <c r="AD155" s="121">
        <f t="shared" si="63"/>
        <v>6.84</v>
      </c>
      <c r="AE155" s="121">
        <f t="shared" si="63"/>
        <v>6.84</v>
      </c>
      <c r="AF155" s="121">
        <f t="shared" si="63"/>
        <v>6.84</v>
      </c>
      <c r="AG155" s="121">
        <f t="shared" si="63"/>
        <v>0</v>
      </c>
      <c r="AH155" s="121">
        <f t="shared" si="63"/>
        <v>0</v>
      </c>
      <c r="AI155" s="121">
        <f t="shared" si="63"/>
        <v>0</v>
      </c>
      <c r="AJ155" s="121">
        <f t="shared" si="63"/>
        <v>0</v>
      </c>
      <c r="AK155" s="121">
        <f t="shared" si="63"/>
        <v>0</v>
      </c>
      <c r="AL155" s="121">
        <f t="shared" si="63"/>
        <v>0</v>
      </c>
      <c r="AM155" s="121">
        <f t="shared" si="63"/>
        <v>0</v>
      </c>
      <c r="AN155" s="121">
        <f t="shared" si="63"/>
        <v>0</v>
      </c>
      <c r="AO155" s="121">
        <f t="shared" si="63"/>
        <v>0</v>
      </c>
    </row>
    <row r="156" spans="1:43" x14ac:dyDescent="0.3">
      <c r="E156" s="88"/>
      <c r="F156" s="37" t="s">
        <v>162</v>
      </c>
      <c r="G156" s="37" t="s">
        <v>272</v>
      </c>
      <c r="H156" s="283"/>
      <c r="I156" s="269"/>
      <c r="J156" s="273">
        <f t="shared" si="58"/>
        <v>0</v>
      </c>
      <c r="K156" s="273">
        <f t="shared" ref="K156:AO156" si="64">ROUND(K127, $H101)</f>
        <v>0</v>
      </c>
      <c r="L156" s="273">
        <f t="shared" si="64"/>
        <v>0</v>
      </c>
      <c r="M156" s="273">
        <f t="shared" si="64"/>
        <v>0</v>
      </c>
      <c r="N156" s="273">
        <f t="shared" si="64"/>
        <v>0</v>
      </c>
      <c r="O156" s="273">
        <f t="shared" si="64"/>
        <v>0</v>
      </c>
      <c r="P156" s="273">
        <f t="shared" si="64"/>
        <v>0</v>
      </c>
      <c r="Q156" s="273">
        <f t="shared" si="64"/>
        <v>0</v>
      </c>
      <c r="R156" s="273">
        <f t="shared" si="64"/>
        <v>0.218</v>
      </c>
      <c r="S156" s="273">
        <f t="shared" si="64"/>
        <v>0.218</v>
      </c>
      <c r="T156" s="273">
        <f t="shared" si="64"/>
        <v>0.218</v>
      </c>
      <c r="U156" s="273">
        <f t="shared" si="64"/>
        <v>0.218</v>
      </c>
      <c r="V156" s="273">
        <f t="shared" si="64"/>
        <v>0.218</v>
      </c>
      <c r="W156" s="273">
        <f t="shared" si="64"/>
        <v>0.13300000000000001</v>
      </c>
      <c r="X156" s="273">
        <f t="shared" si="64"/>
        <v>0.13300000000000001</v>
      </c>
      <c r="Y156" s="273">
        <f t="shared" si="64"/>
        <v>0.13300000000000001</v>
      </c>
      <c r="Z156" s="273">
        <f t="shared" si="64"/>
        <v>0.13300000000000001</v>
      </c>
      <c r="AA156" s="273">
        <f t="shared" si="64"/>
        <v>0.13300000000000001</v>
      </c>
      <c r="AB156" s="273">
        <f t="shared" si="64"/>
        <v>5.8999999999999997E-2</v>
      </c>
      <c r="AC156" s="273">
        <f t="shared" si="64"/>
        <v>5.8999999999999997E-2</v>
      </c>
      <c r="AD156" s="273">
        <f t="shared" si="64"/>
        <v>5.8999999999999997E-2</v>
      </c>
      <c r="AE156" s="273">
        <f t="shared" si="64"/>
        <v>5.8999999999999997E-2</v>
      </c>
      <c r="AF156" s="273">
        <f t="shared" si="64"/>
        <v>5.8999999999999997E-2</v>
      </c>
      <c r="AG156" s="273">
        <f t="shared" si="64"/>
        <v>0</v>
      </c>
      <c r="AH156" s="273">
        <f t="shared" si="64"/>
        <v>0</v>
      </c>
      <c r="AI156" s="273">
        <f t="shared" si="64"/>
        <v>0</v>
      </c>
      <c r="AJ156" s="273">
        <f t="shared" si="64"/>
        <v>0.215</v>
      </c>
      <c r="AK156" s="273">
        <f t="shared" si="64"/>
        <v>0</v>
      </c>
      <c r="AL156" s="273">
        <f t="shared" si="64"/>
        <v>0.16700000000000001</v>
      </c>
      <c r="AM156" s="273">
        <f t="shared" si="64"/>
        <v>0</v>
      </c>
      <c r="AN156" s="273">
        <f t="shared" si="64"/>
        <v>0.13</v>
      </c>
      <c r="AO156" s="273">
        <f t="shared" si="64"/>
        <v>0</v>
      </c>
      <c r="AP156" s="267"/>
      <c r="AQ156" s="267"/>
    </row>
    <row r="157" spans="1:43" x14ac:dyDescent="0.3">
      <c r="E157" s="32"/>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row>
    <row r="158" spans="1:43" x14ac:dyDescent="0.3">
      <c r="E158" s="32" t="s">
        <v>755</v>
      </c>
      <c r="I158" t="s">
        <v>154</v>
      </c>
      <c r="J158" s="89"/>
      <c r="K158" s="89"/>
      <c r="L158" s="89"/>
      <c r="M158" s="89"/>
      <c r="N158" s="89"/>
      <c r="O158" s="89"/>
      <c r="P158" s="89"/>
      <c r="Q158" s="89"/>
      <c r="R158" s="89"/>
      <c r="S158" s="89"/>
      <c r="T158" s="89"/>
      <c r="U158" s="89"/>
      <c r="V158" s="89"/>
      <c r="W158" s="89"/>
      <c r="X158" s="89"/>
      <c r="Y158" s="89"/>
      <c r="Z158" s="89"/>
      <c r="AA158" s="89"/>
      <c r="AB158" s="89"/>
      <c r="AC158" s="89"/>
      <c r="AD158" s="89"/>
      <c r="AE158" s="89"/>
      <c r="AF158" s="89"/>
      <c r="AG158" s="89"/>
      <c r="AH158" s="89"/>
      <c r="AI158" s="89"/>
      <c r="AJ158" s="89"/>
      <c r="AK158" s="89"/>
      <c r="AL158" s="89"/>
      <c r="AM158" s="89"/>
      <c r="AN158" s="89"/>
      <c r="AO158" s="89"/>
      <c r="AQ158" t="s">
        <v>155</v>
      </c>
    </row>
    <row r="159" spans="1:43" x14ac:dyDescent="0.3">
      <c r="E159" s="88"/>
      <c r="F159" s="23" t="s">
        <v>156</v>
      </c>
      <c r="G159" s="23" t="s">
        <v>269</v>
      </c>
      <c r="H159" s="278"/>
      <c r="I159" s="266"/>
      <c r="J159" s="271">
        <f>ROUND(J130, $H95)</f>
        <v>3.99</v>
      </c>
      <c r="K159" s="271">
        <f t="shared" ref="K159:AO159" si="65">ROUND(K130, $H95)</f>
        <v>3.99</v>
      </c>
      <c r="L159" s="271">
        <f t="shared" si="65"/>
        <v>4.5430000000000001</v>
      </c>
      <c r="M159" s="271">
        <f t="shared" si="65"/>
        <v>4.5430000000000001</v>
      </c>
      <c r="N159" s="271">
        <f t="shared" si="65"/>
        <v>4.5430000000000001</v>
      </c>
      <c r="O159" s="271">
        <f t="shared" si="65"/>
        <v>4.5430000000000001</v>
      </c>
      <c r="P159" s="271">
        <f t="shared" si="65"/>
        <v>4.5430000000000001</v>
      </c>
      <c r="Q159" s="271">
        <f t="shared" si="65"/>
        <v>4.5430000000000001</v>
      </c>
      <c r="R159" s="271">
        <f t="shared" si="65"/>
        <v>2.8260000000000001</v>
      </c>
      <c r="S159" s="271">
        <f t="shared" si="65"/>
        <v>2.8260000000000001</v>
      </c>
      <c r="T159" s="271">
        <f t="shared" si="65"/>
        <v>2.8260000000000001</v>
      </c>
      <c r="U159" s="271">
        <f t="shared" si="65"/>
        <v>2.8260000000000001</v>
      </c>
      <c r="V159" s="271">
        <f t="shared" si="65"/>
        <v>2.8260000000000001</v>
      </c>
      <c r="W159" s="280">
        <f t="shared" si="65"/>
        <v>0</v>
      </c>
      <c r="X159" s="280">
        <f t="shared" si="65"/>
        <v>0</v>
      </c>
      <c r="Y159" s="280">
        <f t="shared" si="65"/>
        <v>0</v>
      </c>
      <c r="Z159" s="280">
        <f t="shared" si="65"/>
        <v>0</v>
      </c>
      <c r="AA159" s="280">
        <f t="shared" si="65"/>
        <v>0</v>
      </c>
      <c r="AB159" s="280">
        <f t="shared" si="65"/>
        <v>0</v>
      </c>
      <c r="AC159" s="280">
        <f t="shared" si="65"/>
        <v>0</v>
      </c>
      <c r="AD159" s="280">
        <f t="shared" si="65"/>
        <v>0</v>
      </c>
      <c r="AE159" s="280">
        <f t="shared" si="65"/>
        <v>0</v>
      </c>
      <c r="AF159" s="280">
        <f t="shared" si="65"/>
        <v>0</v>
      </c>
      <c r="AG159" s="271">
        <f t="shared" si="65"/>
        <v>11.481</v>
      </c>
      <c r="AH159" s="271">
        <f t="shared" si="65"/>
        <v>-4.2030000000000003</v>
      </c>
      <c r="AI159" s="280">
        <f t="shared" si="65"/>
        <v>0</v>
      </c>
      <c r="AJ159" s="271">
        <f t="shared" si="65"/>
        <v>-4.2030000000000003</v>
      </c>
      <c r="AK159" s="280">
        <f t="shared" si="65"/>
        <v>0</v>
      </c>
      <c r="AL159" s="280">
        <f t="shared" si="65"/>
        <v>0</v>
      </c>
      <c r="AM159" s="280">
        <f t="shared" si="65"/>
        <v>0</v>
      </c>
      <c r="AN159" s="280">
        <f t="shared" si="65"/>
        <v>0</v>
      </c>
      <c r="AO159" s="280">
        <f t="shared" si="65"/>
        <v>0</v>
      </c>
      <c r="AP159" s="267"/>
      <c r="AQ159" s="267"/>
    </row>
    <row r="160" spans="1:43" x14ac:dyDescent="0.3">
      <c r="E160" s="88"/>
      <c r="F160" t="s">
        <v>157</v>
      </c>
      <c r="G160" t="s">
        <v>269</v>
      </c>
      <c r="H160" s="279"/>
      <c r="I160" s="267"/>
      <c r="J160" s="272">
        <f t="shared" ref="J160:J165" si="66">ROUND(J131, $H96)</f>
        <v>0.63</v>
      </c>
      <c r="K160" s="272">
        <f t="shared" ref="K160:AO160" si="67">ROUND(K131, $H96)</f>
        <v>0.63</v>
      </c>
      <c r="L160" s="272">
        <f t="shared" si="67"/>
        <v>0.71799999999999997</v>
      </c>
      <c r="M160" s="272">
        <f t="shared" si="67"/>
        <v>0.71799999999999997</v>
      </c>
      <c r="N160" s="272">
        <f t="shared" si="67"/>
        <v>0.71799999999999997</v>
      </c>
      <c r="O160" s="272">
        <f t="shared" si="67"/>
        <v>0.71799999999999997</v>
      </c>
      <c r="P160" s="272">
        <f t="shared" si="67"/>
        <v>0.71799999999999997</v>
      </c>
      <c r="Q160" s="272">
        <f t="shared" si="67"/>
        <v>0.71799999999999997</v>
      </c>
      <c r="R160" s="272">
        <f t="shared" si="67"/>
        <v>0.45800000000000002</v>
      </c>
      <c r="S160" s="272">
        <f t="shared" si="67"/>
        <v>0.45800000000000002</v>
      </c>
      <c r="T160" s="272">
        <f t="shared" si="67"/>
        <v>0.45800000000000002</v>
      </c>
      <c r="U160" s="272">
        <f t="shared" si="67"/>
        <v>0.45800000000000002</v>
      </c>
      <c r="V160" s="272">
        <f t="shared" si="67"/>
        <v>0.45800000000000002</v>
      </c>
      <c r="W160" s="268">
        <f t="shared" si="67"/>
        <v>0</v>
      </c>
      <c r="X160" s="268">
        <f t="shared" si="67"/>
        <v>0</v>
      </c>
      <c r="Y160" s="268">
        <f t="shared" si="67"/>
        <v>0</v>
      </c>
      <c r="Z160" s="268">
        <f t="shared" si="67"/>
        <v>0</v>
      </c>
      <c r="AA160" s="268">
        <f t="shared" si="67"/>
        <v>0</v>
      </c>
      <c r="AB160" s="268">
        <f t="shared" si="67"/>
        <v>0</v>
      </c>
      <c r="AC160" s="268">
        <f t="shared" si="67"/>
        <v>0</v>
      </c>
      <c r="AD160" s="268">
        <f t="shared" si="67"/>
        <v>0</v>
      </c>
      <c r="AE160" s="268">
        <f t="shared" si="67"/>
        <v>0</v>
      </c>
      <c r="AF160" s="268">
        <f t="shared" si="67"/>
        <v>0</v>
      </c>
      <c r="AG160" s="272">
        <f t="shared" si="67"/>
        <v>1.8620000000000001</v>
      </c>
      <c r="AH160" s="272">
        <f t="shared" si="67"/>
        <v>-0.66400000000000003</v>
      </c>
      <c r="AI160" s="268">
        <f t="shared" si="67"/>
        <v>0</v>
      </c>
      <c r="AJ160" s="272">
        <f t="shared" si="67"/>
        <v>-0.66400000000000003</v>
      </c>
      <c r="AK160" s="268">
        <f t="shared" si="67"/>
        <v>0</v>
      </c>
      <c r="AL160" s="268">
        <f t="shared" si="67"/>
        <v>0</v>
      </c>
      <c r="AM160" s="268">
        <f t="shared" si="67"/>
        <v>0</v>
      </c>
      <c r="AN160" s="268">
        <f t="shared" si="67"/>
        <v>0</v>
      </c>
      <c r="AO160" s="268">
        <f t="shared" si="67"/>
        <v>0</v>
      </c>
      <c r="AP160" s="267"/>
      <c r="AQ160" s="267"/>
    </row>
    <row r="161" spans="2:43" x14ac:dyDescent="0.3">
      <c r="E161" s="88"/>
      <c r="F161" t="s">
        <v>158</v>
      </c>
      <c r="G161" t="s">
        <v>269</v>
      </c>
      <c r="H161" s="279"/>
      <c r="I161" s="267"/>
      <c r="J161" s="272">
        <f t="shared" si="66"/>
        <v>5.8999999999999997E-2</v>
      </c>
      <c r="K161" s="272">
        <f t="shared" ref="K161:AO161" si="68">ROUND(K132, $H97)</f>
        <v>5.8999999999999997E-2</v>
      </c>
      <c r="L161" s="272">
        <f t="shared" si="68"/>
        <v>6.8000000000000005E-2</v>
      </c>
      <c r="M161" s="272">
        <f t="shared" si="68"/>
        <v>6.8000000000000005E-2</v>
      </c>
      <c r="N161" s="272">
        <f t="shared" si="68"/>
        <v>6.8000000000000005E-2</v>
      </c>
      <c r="O161" s="272">
        <f t="shared" si="68"/>
        <v>6.8000000000000005E-2</v>
      </c>
      <c r="P161" s="272">
        <f t="shared" si="68"/>
        <v>6.8000000000000005E-2</v>
      </c>
      <c r="Q161" s="272">
        <f t="shared" si="68"/>
        <v>6.8000000000000005E-2</v>
      </c>
      <c r="R161" s="272">
        <f t="shared" si="68"/>
        <v>3.7999999999999999E-2</v>
      </c>
      <c r="S161" s="272">
        <f t="shared" si="68"/>
        <v>3.7999999999999999E-2</v>
      </c>
      <c r="T161" s="272">
        <f t="shared" si="68"/>
        <v>3.7999999999999999E-2</v>
      </c>
      <c r="U161" s="272">
        <f t="shared" si="68"/>
        <v>3.7999999999999999E-2</v>
      </c>
      <c r="V161" s="272">
        <f t="shared" si="68"/>
        <v>3.7999999999999999E-2</v>
      </c>
      <c r="W161" s="268">
        <f t="shared" si="68"/>
        <v>0</v>
      </c>
      <c r="X161" s="268">
        <f t="shared" si="68"/>
        <v>0</v>
      </c>
      <c r="Y161" s="268">
        <f t="shared" si="68"/>
        <v>0</v>
      </c>
      <c r="Z161" s="268">
        <f t="shared" si="68"/>
        <v>0</v>
      </c>
      <c r="AA161" s="268">
        <f t="shared" si="68"/>
        <v>0</v>
      </c>
      <c r="AB161" s="268">
        <f t="shared" si="68"/>
        <v>0</v>
      </c>
      <c r="AC161" s="268">
        <f t="shared" si="68"/>
        <v>0</v>
      </c>
      <c r="AD161" s="268">
        <f t="shared" si="68"/>
        <v>0</v>
      </c>
      <c r="AE161" s="268">
        <f t="shared" si="68"/>
        <v>0</v>
      </c>
      <c r="AF161" s="268">
        <f t="shared" si="68"/>
        <v>0</v>
      </c>
      <c r="AG161" s="272">
        <f t="shared" si="68"/>
        <v>1.4419999999999999</v>
      </c>
      <c r="AH161" s="272">
        <f t="shared" si="68"/>
        <v>-6.3E-2</v>
      </c>
      <c r="AI161" s="268">
        <f t="shared" si="68"/>
        <v>0</v>
      </c>
      <c r="AJ161" s="272">
        <f t="shared" si="68"/>
        <v>-6.3E-2</v>
      </c>
      <c r="AK161" s="268">
        <f t="shared" si="68"/>
        <v>0</v>
      </c>
      <c r="AL161" s="268">
        <f t="shared" si="68"/>
        <v>0</v>
      </c>
      <c r="AM161" s="268">
        <f t="shared" si="68"/>
        <v>0</v>
      </c>
      <c r="AN161" s="268">
        <f t="shared" si="68"/>
        <v>0</v>
      </c>
      <c r="AO161" s="268">
        <f t="shared" si="68"/>
        <v>0</v>
      </c>
      <c r="AP161" s="267"/>
      <c r="AQ161" s="267"/>
    </row>
    <row r="162" spans="2:43" x14ac:dyDescent="0.3">
      <c r="E162" s="88"/>
      <c r="F162" t="s">
        <v>159</v>
      </c>
      <c r="G162" t="s">
        <v>270</v>
      </c>
      <c r="H162" s="51"/>
      <c r="J162" s="121">
        <f t="shared" si="66"/>
        <v>20.22</v>
      </c>
      <c r="K162" s="121">
        <f t="shared" ref="K162:AO162" si="69">ROUND(K133, $H98)</f>
        <v>0</v>
      </c>
      <c r="L162" s="121">
        <f t="shared" si="69"/>
        <v>5.93</v>
      </c>
      <c r="M162" s="121">
        <f t="shared" si="69"/>
        <v>8.89</v>
      </c>
      <c r="N162" s="121">
        <f t="shared" si="69"/>
        <v>22.39</v>
      </c>
      <c r="O162" s="121">
        <f t="shared" si="69"/>
        <v>46.29</v>
      </c>
      <c r="P162" s="121">
        <f t="shared" si="69"/>
        <v>136.08000000000001</v>
      </c>
      <c r="Q162" s="121">
        <f t="shared" si="69"/>
        <v>0</v>
      </c>
      <c r="R162" s="121">
        <f t="shared" si="69"/>
        <v>8.34</v>
      </c>
      <c r="S162" s="121">
        <f t="shared" si="69"/>
        <v>201.13</v>
      </c>
      <c r="T162" s="121">
        <f t="shared" si="69"/>
        <v>364.65</v>
      </c>
      <c r="U162" s="121">
        <f t="shared" si="69"/>
        <v>560.79999999999995</v>
      </c>
      <c r="V162" s="121">
        <f t="shared" si="69"/>
        <v>870.87</v>
      </c>
      <c r="W162" s="79">
        <f t="shared" si="69"/>
        <v>0</v>
      </c>
      <c r="X162" s="79">
        <f t="shared" si="69"/>
        <v>0</v>
      </c>
      <c r="Y162" s="79">
        <f t="shared" si="69"/>
        <v>0</v>
      </c>
      <c r="Z162" s="79">
        <f t="shared" si="69"/>
        <v>0</v>
      </c>
      <c r="AA162" s="79">
        <f t="shared" si="69"/>
        <v>0</v>
      </c>
      <c r="AB162" s="79">
        <f t="shared" si="69"/>
        <v>0</v>
      </c>
      <c r="AC162" s="79">
        <f t="shared" si="69"/>
        <v>0</v>
      </c>
      <c r="AD162" s="79">
        <f t="shared" si="69"/>
        <v>0</v>
      </c>
      <c r="AE162" s="79">
        <f t="shared" si="69"/>
        <v>0</v>
      </c>
      <c r="AF162" s="79">
        <f t="shared" si="69"/>
        <v>0</v>
      </c>
      <c r="AG162" s="121">
        <f t="shared" si="69"/>
        <v>0</v>
      </c>
      <c r="AH162" s="121">
        <f t="shared" si="69"/>
        <v>0</v>
      </c>
      <c r="AI162" s="79">
        <f t="shared" si="69"/>
        <v>0</v>
      </c>
      <c r="AJ162" s="121">
        <f t="shared" si="69"/>
        <v>0</v>
      </c>
      <c r="AK162" s="79">
        <f t="shared" si="69"/>
        <v>0</v>
      </c>
      <c r="AL162" s="79">
        <f t="shared" si="69"/>
        <v>0</v>
      </c>
      <c r="AM162" s="79">
        <f t="shared" si="69"/>
        <v>0</v>
      </c>
      <c r="AN162" s="79">
        <f t="shared" si="69"/>
        <v>0</v>
      </c>
      <c r="AO162" s="79">
        <f t="shared" si="69"/>
        <v>0</v>
      </c>
    </row>
    <row r="163" spans="2:43" x14ac:dyDescent="0.3">
      <c r="E163" s="88"/>
      <c r="F163" t="s">
        <v>160</v>
      </c>
      <c r="G163" t="s">
        <v>271</v>
      </c>
      <c r="H163" s="51"/>
      <c r="J163" s="121">
        <f t="shared" si="66"/>
        <v>0</v>
      </c>
      <c r="K163" s="121">
        <f t="shared" ref="K163:AO163" si="70">ROUND(K134, $H99)</f>
        <v>0</v>
      </c>
      <c r="L163" s="121">
        <f t="shared" si="70"/>
        <v>0</v>
      </c>
      <c r="M163" s="121">
        <f t="shared" si="70"/>
        <v>0</v>
      </c>
      <c r="N163" s="121">
        <f t="shared" si="70"/>
        <v>0</v>
      </c>
      <c r="O163" s="121">
        <f t="shared" si="70"/>
        <v>0</v>
      </c>
      <c r="P163" s="121">
        <f t="shared" si="70"/>
        <v>0</v>
      </c>
      <c r="Q163" s="121">
        <f t="shared" si="70"/>
        <v>0</v>
      </c>
      <c r="R163" s="121">
        <f t="shared" si="70"/>
        <v>2.87</v>
      </c>
      <c r="S163" s="121">
        <f t="shared" si="70"/>
        <v>2.87</v>
      </c>
      <c r="T163" s="121">
        <f t="shared" si="70"/>
        <v>2.87</v>
      </c>
      <c r="U163" s="121">
        <f t="shared" si="70"/>
        <v>2.87</v>
      </c>
      <c r="V163" s="121">
        <f t="shared" si="70"/>
        <v>2.87</v>
      </c>
      <c r="W163" s="79">
        <f t="shared" si="70"/>
        <v>0</v>
      </c>
      <c r="X163" s="79">
        <f t="shared" si="70"/>
        <v>0</v>
      </c>
      <c r="Y163" s="79">
        <f t="shared" si="70"/>
        <v>0</v>
      </c>
      <c r="Z163" s="79">
        <f t="shared" si="70"/>
        <v>0</v>
      </c>
      <c r="AA163" s="79">
        <f t="shared" si="70"/>
        <v>0</v>
      </c>
      <c r="AB163" s="79">
        <f t="shared" si="70"/>
        <v>0</v>
      </c>
      <c r="AC163" s="79">
        <f t="shared" si="70"/>
        <v>0</v>
      </c>
      <c r="AD163" s="79">
        <f t="shared" si="70"/>
        <v>0</v>
      </c>
      <c r="AE163" s="79">
        <f t="shared" si="70"/>
        <v>0</v>
      </c>
      <c r="AF163" s="79">
        <f t="shared" si="70"/>
        <v>0</v>
      </c>
      <c r="AG163" s="121">
        <f t="shared" si="70"/>
        <v>0</v>
      </c>
      <c r="AH163" s="121">
        <f t="shared" si="70"/>
        <v>0</v>
      </c>
      <c r="AI163" s="79">
        <f t="shared" si="70"/>
        <v>0</v>
      </c>
      <c r="AJ163" s="121">
        <f t="shared" si="70"/>
        <v>0</v>
      </c>
      <c r="AK163" s="79">
        <f t="shared" si="70"/>
        <v>0</v>
      </c>
      <c r="AL163" s="79">
        <f t="shared" si="70"/>
        <v>0</v>
      </c>
      <c r="AM163" s="79">
        <f t="shared" si="70"/>
        <v>0</v>
      </c>
      <c r="AN163" s="79">
        <f t="shared" si="70"/>
        <v>0</v>
      </c>
      <c r="AO163" s="79">
        <f t="shared" si="70"/>
        <v>0</v>
      </c>
    </row>
    <row r="164" spans="2:43" x14ac:dyDescent="0.3">
      <c r="E164" s="88"/>
      <c r="F164" t="s">
        <v>161</v>
      </c>
      <c r="G164" t="s">
        <v>271</v>
      </c>
      <c r="H164" s="51"/>
      <c r="J164" s="121">
        <f t="shared" si="66"/>
        <v>0</v>
      </c>
      <c r="K164" s="121">
        <f t="shared" ref="K164:AO164" si="71">ROUND(K135, $H100)</f>
        <v>0</v>
      </c>
      <c r="L164" s="121">
        <f t="shared" si="71"/>
        <v>0</v>
      </c>
      <c r="M164" s="121">
        <f t="shared" si="71"/>
        <v>0</v>
      </c>
      <c r="N164" s="121">
        <f t="shared" si="71"/>
        <v>0</v>
      </c>
      <c r="O164" s="121">
        <f t="shared" si="71"/>
        <v>0</v>
      </c>
      <c r="P164" s="121">
        <f t="shared" si="71"/>
        <v>0</v>
      </c>
      <c r="Q164" s="121">
        <f t="shared" si="71"/>
        <v>0</v>
      </c>
      <c r="R164" s="121">
        <f t="shared" si="71"/>
        <v>5.2</v>
      </c>
      <c r="S164" s="121">
        <f t="shared" si="71"/>
        <v>5.2</v>
      </c>
      <c r="T164" s="121">
        <f t="shared" si="71"/>
        <v>5.2</v>
      </c>
      <c r="U164" s="121">
        <f t="shared" si="71"/>
        <v>5.2</v>
      </c>
      <c r="V164" s="121">
        <f t="shared" si="71"/>
        <v>5.2</v>
      </c>
      <c r="W164" s="79">
        <f t="shared" si="71"/>
        <v>0</v>
      </c>
      <c r="X164" s="79">
        <f t="shared" si="71"/>
        <v>0</v>
      </c>
      <c r="Y164" s="79">
        <f t="shared" si="71"/>
        <v>0</v>
      </c>
      <c r="Z164" s="79">
        <f t="shared" si="71"/>
        <v>0</v>
      </c>
      <c r="AA164" s="79">
        <f t="shared" si="71"/>
        <v>0</v>
      </c>
      <c r="AB164" s="79">
        <f t="shared" si="71"/>
        <v>0</v>
      </c>
      <c r="AC164" s="79">
        <f t="shared" si="71"/>
        <v>0</v>
      </c>
      <c r="AD164" s="79">
        <f t="shared" si="71"/>
        <v>0</v>
      </c>
      <c r="AE164" s="79">
        <f t="shared" si="71"/>
        <v>0</v>
      </c>
      <c r="AF164" s="79">
        <f t="shared" si="71"/>
        <v>0</v>
      </c>
      <c r="AG164" s="121">
        <f t="shared" si="71"/>
        <v>0</v>
      </c>
      <c r="AH164" s="121">
        <f t="shared" si="71"/>
        <v>0</v>
      </c>
      <c r="AI164" s="79">
        <f t="shared" si="71"/>
        <v>0</v>
      </c>
      <c r="AJ164" s="121">
        <f t="shared" si="71"/>
        <v>0</v>
      </c>
      <c r="AK164" s="79">
        <f t="shared" si="71"/>
        <v>0</v>
      </c>
      <c r="AL164" s="79">
        <f t="shared" si="71"/>
        <v>0</v>
      </c>
      <c r="AM164" s="79">
        <f t="shared" si="71"/>
        <v>0</v>
      </c>
      <c r="AN164" s="79">
        <f t="shared" si="71"/>
        <v>0</v>
      </c>
      <c r="AO164" s="79">
        <f t="shared" si="71"/>
        <v>0</v>
      </c>
    </row>
    <row r="165" spans="2:43" x14ac:dyDescent="0.3">
      <c r="E165" s="88"/>
      <c r="F165" s="37" t="s">
        <v>162</v>
      </c>
      <c r="G165" s="37" t="s">
        <v>272</v>
      </c>
      <c r="H165" s="283"/>
      <c r="I165" s="269"/>
      <c r="J165" s="273">
        <f t="shared" si="66"/>
        <v>0</v>
      </c>
      <c r="K165" s="273">
        <f t="shared" ref="K165:AO165" si="72">ROUND(K136, $H101)</f>
        <v>0</v>
      </c>
      <c r="L165" s="273">
        <f t="shared" si="72"/>
        <v>0</v>
      </c>
      <c r="M165" s="273">
        <f t="shared" si="72"/>
        <v>0</v>
      </c>
      <c r="N165" s="273">
        <f t="shared" si="72"/>
        <v>0</v>
      </c>
      <c r="O165" s="273">
        <f t="shared" si="72"/>
        <v>0</v>
      </c>
      <c r="P165" s="273">
        <f t="shared" si="72"/>
        <v>0</v>
      </c>
      <c r="Q165" s="273">
        <f t="shared" si="72"/>
        <v>0</v>
      </c>
      <c r="R165" s="273">
        <f t="shared" si="72"/>
        <v>0.14499999999999999</v>
      </c>
      <c r="S165" s="273">
        <f t="shared" si="72"/>
        <v>0.14499999999999999</v>
      </c>
      <c r="T165" s="273">
        <f t="shared" si="72"/>
        <v>0.14499999999999999</v>
      </c>
      <c r="U165" s="273">
        <f t="shared" si="72"/>
        <v>0.14499999999999999</v>
      </c>
      <c r="V165" s="273">
        <f t="shared" si="72"/>
        <v>0.14499999999999999</v>
      </c>
      <c r="W165" s="270">
        <f t="shared" si="72"/>
        <v>0</v>
      </c>
      <c r="X165" s="270">
        <f t="shared" si="72"/>
        <v>0</v>
      </c>
      <c r="Y165" s="270">
        <f t="shared" si="72"/>
        <v>0</v>
      </c>
      <c r="Z165" s="270">
        <f t="shared" si="72"/>
        <v>0</v>
      </c>
      <c r="AA165" s="270">
        <f t="shared" si="72"/>
        <v>0</v>
      </c>
      <c r="AB165" s="270">
        <f t="shared" si="72"/>
        <v>0</v>
      </c>
      <c r="AC165" s="270">
        <f t="shared" si="72"/>
        <v>0</v>
      </c>
      <c r="AD165" s="270">
        <f t="shared" si="72"/>
        <v>0</v>
      </c>
      <c r="AE165" s="270">
        <f t="shared" si="72"/>
        <v>0</v>
      </c>
      <c r="AF165" s="270">
        <f t="shared" si="72"/>
        <v>0</v>
      </c>
      <c r="AG165" s="273">
        <f t="shared" si="72"/>
        <v>0</v>
      </c>
      <c r="AH165" s="273">
        <f t="shared" si="72"/>
        <v>0</v>
      </c>
      <c r="AI165" s="270">
        <f t="shared" si="72"/>
        <v>0</v>
      </c>
      <c r="AJ165" s="273">
        <f t="shared" si="72"/>
        <v>0.215</v>
      </c>
      <c r="AK165" s="270">
        <f t="shared" si="72"/>
        <v>0</v>
      </c>
      <c r="AL165" s="270">
        <f t="shared" si="72"/>
        <v>0</v>
      </c>
      <c r="AM165" s="270">
        <f t="shared" si="72"/>
        <v>0</v>
      </c>
      <c r="AN165" s="270">
        <f t="shared" si="72"/>
        <v>0</v>
      </c>
      <c r="AO165" s="270">
        <f t="shared" si="72"/>
        <v>0</v>
      </c>
      <c r="AP165" s="267"/>
      <c r="AQ165" s="267"/>
    </row>
    <row r="166" spans="2:43" x14ac:dyDescent="0.3">
      <c r="E166" s="88"/>
      <c r="J166" s="89"/>
      <c r="K166" s="89"/>
      <c r="L166" s="89"/>
      <c r="M166" s="89"/>
      <c r="N166" s="89"/>
      <c r="O166" s="89"/>
      <c r="P166" s="89"/>
      <c r="Q166" s="89"/>
      <c r="R166" s="89"/>
      <c r="S166" s="89"/>
      <c r="T166" s="89"/>
      <c r="U166" s="89"/>
      <c r="V166" s="89"/>
      <c r="W166" s="89"/>
      <c r="X166" s="89"/>
      <c r="Y166" s="89"/>
      <c r="Z166" s="89"/>
      <c r="AA166" s="89"/>
      <c r="AB166" s="89"/>
      <c r="AC166" s="89"/>
      <c r="AD166" s="89"/>
      <c r="AE166" s="89"/>
      <c r="AF166" s="89"/>
      <c r="AG166" s="89"/>
      <c r="AH166" s="89"/>
      <c r="AI166" s="89"/>
      <c r="AJ166" s="89"/>
      <c r="AK166" s="89"/>
      <c r="AL166" s="89"/>
      <c r="AM166" s="89"/>
      <c r="AN166" s="89"/>
      <c r="AO166" s="89"/>
    </row>
    <row r="167" spans="2:43" x14ac:dyDescent="0.3">
      <c r="E167" s="32" t="s">
        <v>756</v>
      </c>
      <c r="I167" t="s">
        <v>154</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Q167" t="s">
        <v>155</v>
      </c>
    </row>
    <row r="168" spans="2:43" x14ac:dyDescent="0.3">
      <c r="C168" s="88"/>
      <c r="F168" s="23" t="s">
        <v>156</v>
      </c>
      <c r="G168" s="23" t="s">
        <v>269</v>
      </c>
      <c r="H168" s="278"/>
      <c r="I168" s="266"/>
      <c r="J168" s="271">
        <f t="shared" ref="J168" si="73">ROUND( J139, $H95)</f>
        <v>3.1179999999999999</v>
      </c>
      <c r="K168" s="271">
        <f t="shared" ref="K168:AO168" si="74">ROUND( K139, $H95)</f>
        <v>3.1179999999999999</v>
      </c>
      <c r="L168" s="271">
        <f t="shared" si="74"/>
        <v>3.55</v>
      </c>
      <c r="M168" s="271">
        <f t="shared" si="74"/>
        <v>3.55</v>
      </c>
      <c r="N168" s="271">
        <f t="shared" si="74"/>
        <v>3.55</v>
      </c>
      <c r="O168" s="271">
        <f t="shared" si="74"/>
        <v>3.55</v>
      </c>
      <c r="P168" s="271">
        <f t="shared" si="74"/>
        <v>3.55</v>
      </c>
      <c r="Q168" s="271">
        <f t="shared" si="74"/>
        <v>3.55</v>
      </c>
      <c r="R168" s="271">
        <f t="shared" si="74"/>
        <v>2.2080000000000002</v>
      </c>
      <c r="S168" s="271">
        <f t="shared" si="74"/>
        <v>2.2080000000000002</v>
      </c>
      <c r="T168" s="271">
        <f t="shared" si="74"/>
        <v>2.2080000000000002</v>
      </c>
      <c r="U168" s="271">
        <f t="shared" si="74"/>
        <v>2.2080000000000002</v>
      </c>
      <c r="V168" s="271">
        <f t="shared" si="74"/>
        <v>2.2080000000000002</v>
      </c>
      <c r="W168" s="271">
        <f t="shared" si="74"/>
        <v>1.514</v>
      </c>
      <c r="X168" s="271">
        <f t="shared" si="74"/>
        <v>1.514</v>
      </c>
      <c r="Y168" s="271">
        <f t="shared" si="74"/>
        <v>1.514</v>
      </c>
      <c r="Z168" s="271">
        <f t="shared" si="74"/>
        <v>1.514</v>
      </c>
      <c r="AA168" s="271">
        <f t="shared" si="74"/>
        <v>1.514</v>
      </c>
      <c r="AB168" s="271">
        <f t="shared" si="74"/>
        <v>1.1830000000000001</v>
      </c>
      <c r="AC168" s="271">
        <f t="shared" si="74"/>
        <v>1.1830000000000001</v>
      </c>
      <c r="AD168" s="271">
        <f t="shared" si="74"/>
        <v>1.1830000000000001</v>
      </c>
      <c r="AE168" s="271">
        <f t="shared" si="74"/>
        <v>1.1830000000000001</v>
      </c>
      <c r="AF168" s="271">
        <f t="shared" si="74"/>
        <v>1.1830000000000001</v>
      </c>
      <c r="AG168" s="271">
        <f t="shared" si="74"/>
        <v>8.9710000000000001</v>
      </c>
      <c r="AH168" s="271">
        <f t="shared" si="74"/>
        <v>-4.2030000000000003</v>
      </c>
      <c r="AI168" s="271">
        <f t="shared" si="74"/>
        <v>-3.496</v>
      </c>
      <c r="AJ168" s="271">
        <f t="shared" si="74"/>
        <v>-4.2030000000000003</v>
      </c>
      <c r="AK168" s="280">
        <f t="shared" si="74"/>
        <v>0</v>
      </c>
      <c r="AL168" s="271">
        <f t="shared" si="74"/>
        <v>-3.496</v>
      </c>
      <c r="AM168" s="280">
        <f t="shared" si="74"/>
        <v>0</v>
      </c>
      <c r="AN168" s="271">
        <f t="shared" si="74"/>
        <v>-1.8</v>
      </c>
      <c r="AO168" s="280">
        <f t="shared" si="74"/>
        <v>0</v>
      </c>
      <c r="AP168" s="267"/>
      <c r="AQ168" s="267"/>
    </row>
    <row r="169" spans="2:43" x14ac:dyDescent="0.3">
      <c r="C169" s="88"/>
      <c r="F169" t="s">
        <v>157</v>
      </c>
      <c r="G169" t="s">
        <v>269</v>
      </c>
      <c r="H169" s="279"/>
      <c r="I169" s="267"/>
      <c r="J169" s="272">
        <f t="shared" ref="J169:J174" si="75">ROUND( J140, $H96)</f>
        <v>0.49299999999999999</v>
      </c>
      <c r="K169" s="272">
        <f t="shared" ref="K169:AO169" si="76">ROUND( K140, $H96)</f>
        <v>0.49299999999999999</v>
      </c>
      <c r="L169" s="272">
        <f t="shared" si="76"/>
        <v>0.56100000000000005</v>
      </c>
      <c r="M169" s="272">
        <f t="shared" si="76"/>
        <v>0.56100000000000005</v>
      </c>
      <c r="N169" s="272">
        <f t="shared" si="76"/>
        <v>0.56100000000000005</v>
      </c>
      <c r="O169" s="272">
        <f t="shared" si="76"/>
        <v>0.56100000000000005</v>
      </c>
      <c r="P169" s="272">
        <f t="shared" si="76"/>
        <v>0.56100000000000005</v>
      </c>
      <c r="Q169" s="272">
        <f t="shared" si="76"/>
        <v>0.56100000000000005</v>
      </c>
      <c r="R169" s="272">
        <f t="shared" si="76"/>
        <v>0.35799999999999998</v>
      </c>
      <c r="S169" s="272">
        <f t="shared" si="76"/>
        <v>0.35799999999999998</v>
      </c>
      <c r="T169" s="272">
        <f t="shared" si="76"/>
        <v>0.35799999999999998</v>
      </c>
      <c r="U169" s="272">
        <f t="shared" si="76"/>
        <v>0.35799999999999998</v>
      </c>
      <c r="V169" s="272">
        <f t="shared" si="76"/>
        <v>0.35799999999999998</v>
      </c>
      <c r="W169" s="272">
        <f t="shared" si="76"/>
        <v>0.26300000000000001</v>
      </c>
      <c r="X169" s="272">
        <f t="shared" si="76"/>
        <v>0.26300000000000001</v>
      </c>
      <c r="Y169" s="272">
        <f t="shared" si="76"/>
        <v>0.26300000000000001</v>
      </c>
      <c r="Z169" s="272">
        <f t="shared" si="76"/>
        <v>0.26300000000000001</v>
      </c>
      <c r="AA169" s="272">
        <f t="shared" si="76"/>
        <v>0.26300000000000001</v>
      </c>
      <c r="AB169" s="272">
        <f t="shared" si="76"/>
        <v>0.20599999999999999</v>
      </c>
      <c r="AC169" s="272">
        <f t="shared" si="76"/>
        <v>0.20599999999999999</v>
      </c>
      <c r="AD169" s="272">
        <f t="shared" si="76"/>
        <v>0.20599999999999999</v>
      </c>
      <c r="AE169" s="272">
        <f t="shared" si="76"/>
        <v>0.20599999999999999</v>
      </c>
      <c r="AF169" s="272">
        <f t="shared" si="76"/>
        <v>0.20599999999999999</v>
      </c>
      <c r="AG169" s="272">
        <f t="shared" si="76"/>
        <v>1.4550000000000001</v>
      </c>
      <c r="AH169" s="272">
        <f t="shared" si="76"/>
        <v>-0.66400000000000003</v>
      </c>
      <c r="AI169" s="272">
        <f t="shared" si="76"/>
        <v>-0.56100000000000005</v>
      </c>
      <c r="AJ169" s="272">
        <f t="shared" si="76"/>
        <v>-0.66400000000000003</v>
      </c>
      <c r="AK169" s="268">
        <f t="shared" si="76"/>
        <v>0</v>
      </c>
      <c r="AL169" s="272">
        <f t="shared" si="76"/>
        <v>-0.56100000000000005</v>
      </c>
      <c r="AM169" s="268">
        <f t="shared" si="76"/>
        <v>0</v>
      </c>
      <c r="AN169" s="272">
        <f t="shared" si="76"/>
        <v>-0.313</v>
      </c>
      <c r="AO169" s="268">
        <f t="shared" si="76"/>
        <v>0</v>
      </c>
      <c r="AP169" s="267"/>
      <c r="AQ169" s="267"/>
    </row>
    <row r="170" spans="2:43" x14ac:dyDescent="0.3">
      <c r="C170" s="88"/>
      <c r="F170" t="s">
        <v>158</v>
      </c>
      <c r="G170" t="s">
        <v>269</v>
      </c>
      <c r="H170" s="279"/>
      <c r="I170" s="267"/>
      <c r="J170" s="272">
        <f t="shared" si="75"/>
        <v>4.5999999999999999E-2</v>
      </c>
      <c r="K170" s="272">
        <f t="shared" ref="K170:AO170" si="77">ROUND( K141, $H97)</f>
        <v>4.5999999999999999E-2</v>
      </c>
      <c r="L170" s="272">
        <f t="shared" si="77"/>
        <v>5.2999999999999999E-2</v>
      </c>
      <c r="M170" s="272">
        <f t="shared" si="77"/>
        <v>5.2999999999999999E-2</v>
      </c>
      <c r="N170" s="272">
        <f t="shared" si="77"/>
        <v>5.2999999999999999E-2</v>
      </c>
      <c r="O170" s="272">
        <f t="shared" si="77"/>
        <v>5.2999999999999999E-2</v>
      </c>
      <c r="P170" s="272">
        <f t="shared" si="77"/>
        <v>5.2999999999999999E-2</v>
      </c>
      <c r="Q170" s="272">
        <f t="shared" si="77"/>
        <v>5.2999999999999999E-2</v>
      </c>
      <c r="R170" s="272">
        <f t="shared" si="77"/>
        <v>0.03</v>
      </c>
      <c r="S170" s="272">
        <f t="shared" si="77"/>
        <v>0.03</v>
      </c>
      <c r="T170" s="272">
        <f t="shared" si="77"/>
        <v>0.03</v>
      </c>
      <c r="U170" s="272">
        <f t="shared" si="77"/>
        <v>0.03</v>
      </c>
      <c r="V170" s="272">
        <f t="shared" si="77"/>
        <v>0.03</v>
      </c>
      <c r="W170" s="272">
        <f t="shared" si="77"/>
        <v>1.4E-2</v>
      </c>
      <c r="X170" s="272">
        <f t="shared" si="77"/>
        <v>1.4E-2</v>
      </c>
      <c r="Y170" s="272">
        <f t="shared" si="77"/>
        <v>1.4E-2</v>
      </c>
      <c r="Z170" s="272">
        <f t="shared" si="77"/>
        <v>1.4E-2</v>
      </c>
      <c r="AA170" s="272">
        <f t="shared" si="77"/>
        <v>1.4E-2</v>
      </c>
      <c r="AB170" s="272">
        <f t="shared" si="77"/>
        <v>8.0000000000000002E-3</v>
      </c>
      <c r="AC170" s="272">
        <f t="shared" si="77"/>
        <v>8.0000000000000002E-3</v>
      </c>
      <c r="AD170" s="272">
        <f t="shared" si="77"/>
        <v>8.0000000000000002E-3</v>
      </c>
      <c r="AE170" s="272">
        <f t="shared" si="77"/>
        <v>8.0000000000000002E-3</v>
      </c>
      <c r="AF170" s="272">
        <f t="shared" si="77"/>
        <v>8.0000000000000002E-3</v>
      </c>
      <c r="AG170" s="272">
        <f t="shared" si="77"/>
        <v>1.127</v>
      </c>
      <c r="AH170" s="272">
        <f t="shared" si="77"/>
        <v>-6.3E-2</v>
      </c>
      <c r="AI170" s="272">
        <f t="shared" si="77"/>
        <v>-4.9000000000000002E-2</v>
      </c>
      <c r="AJ170" s="272">
        <f t="shared" si="77"/>
        <v>-6.3E-2</v>
      </c>
      <c r="AK170" s="268">
        <f t="shared" si="77"/>
        <v>0</v>
      </c>
      <c r="AL170" s="272">
        <f t="shared" si="77"/>
        <v>-4.9000000000000002E-2</v>
      </c>
      <c r="AM170" s="268">
        <f t="shared" si="77"/>
        <v>0</v>
      </c>
      <c r="AN170" s="272">
        <f t="shared" si="77"/>
        <v>-1.7000000000000001E-2</v>
      </c>
      <c r="AO170" s="268">
        <f t="shared" si="77"/>
        <v>0</v>
      </c>
      <c r="AP170" s="267"/>
      <c r="AQ170" s="267"/>
    </row>
    <row r="171" spans="2:43" x14ac:dyDescent="0.3">
      <c r="C171" s="88"/>
      <c r="F171" t="s">
        <v>159</v>
      </c>
      <c r="G171" t="s">
        <v>270</v>
      </c>
      <c r="H171" s="51"/>
      <c r="J171" s="121">
        <f t="shared" si="75"/>
        <v>17.86</v>
      </c>
      <c r="K171" s="121">
        <f t="shared" ref="K171:AO171" si="78">ROUND( K142, $H98)</f>
        <v>0</v>
      </c>
      <c r="L171" s="121">
        <f t="shared" si="78"/>
        <v>4.6500000000000004</v>
      </c>
      <c r="M171" s="121">
        <f t="shared" si="78"/>
        <v>6.96</v>
      </c>
      <c r="N171" s="121">
        <f t="shared" si="78"/>
        <v>17.510000000000002</v>
      </c>
      <c r="O171" s="121">
        <f t="shared" si="78"/>
        <v>36.19</v>
      </c>
      <c r="P171" s="121">
        <f t="shared" si="78"/>
        <v>106.35</v>
      </c>
      <c r="Q171" s="121">
        <f t="shared" si="78"/>
        <v>0</v>
      </c>
      <c r="R171" s="121">
        <f t="shared" si="78"/>
        <v>6.53</v>
      </c>
      <c r="S171" s="121">
        <f t="shared" si="78"/>
        <v>157.18</v>
      </c>
      <c r="T171" s="121">
        <f t="shared" si="78"/>
        <v>284.95</v>
      </c>
      <c r="U171" s="121">
        <f t="shared" si="78"/>
        <v>438.22</v>
      </c>
      <c r="V171" s="121">
        <f t="shared" si="78"/>
        <v>680.51</v>
      </c>
      <c r="W171" s="121">
        <f t="shared" si="78"/>
        <v>7.89</v>
      </c>
      <c r="X171" s="121">
        <f t="shared" si="78"/>
        <v>241.37</v>
      </c>
      <c r="Y171" s="121">
        <f t="shared" si="78"/>
        <v>439.4</v>
      </c>
      <c r="Z171" s="121">
        <f t="shared" si="78"/>
        <v>676.94</v>
      </c>
      <c r="AA171" s="121">
        <f t="shared" si="78"/>
        <v>1052.46</v>
      </c>
      <c r="AB171" s="121">
        <f t="shared" si="78"/>
        <v>82.98</v>
      </c>
      <c r="AC171" s="121">
        <f t="shared" si="78"/>
        <v>1381.13</v>
      </c>
      <c r="AD171" s="121">
        <f t="shared" si="78"/>
        <v>4372.6000000000004</v>
      </c>
      <c r="AE171" s="121">
        <f t="shared" si="78"/>
        <v>9645.1200000000008</v>
      </c>
      <c r="AF171" s="121">
        <f t="shared" si="78"/>
        <v>29580.01</v>
      </c>
      <c r="AG171" s="121">
        <f t="shared" si="78"/>
        <v>0</v>
      </c>
      <c r="AH171" s="121">
        <f t="shared" si="78"/>
        <v>0</v>
      </c>
      <c r="AI171" s="121">
        <f t="shared" si="78"/>
        <v>0</v>
      </c>
      <c r="AJ171" s="121">
        <f t="shared" si="78"/>
        <v>0</v>
      </c>
      <c r="AK171" s="79">
        <f t="shared" si="78"/>
        <v>0</v>
      </c>
      <c r="AL171" s="121">
        <f t="shared" si="78"/>
        <v>0</v>
      </c>
      <c r="AM171" s="79">
        <f t="shared" si="78"/>
        <v>0</v>
      </c>
      <c r="AN171" s="121">
        <f t="shared" si="78"/>
        <v>0</v>
      </c>
      <c r="AO171" s="79">
        <f t="shared" si="78"/>
        <v>0</v>
      </c>
    </row>
    <row r="172" spans="2:43" x14ac:dyDescent="0.3">
      <c r="C172" s="88"/>
      <c r="F172" t="s">
        <v>160</v>
      </c>
      <c r="G172" t="s">
        <v>271</v>
      </c>
      <c r="H172" s="51"/>
      <c r="J172" s="121">
        <f t="shared" si="75"/>
        <v>0</v>
      </c>
      <c r="K172" s="121">
        <f t="shared" ref="K172:AO172" si="79">ROUND( K143, $H99)</f>
        <v>0</v>
      </c>
      <c r="L172" s="121">
        <f t="shared" si="79"/>
        <v>0</v>
      </c>
      <c r="M172" s="121">
        <f t="shared" si="79"/>
        <v>0</v>
      </c>
      <c r="N172" s="121">
        <f t="shared" si="79"/>
        <v>0</v>
      </c>
      <c r="O172" s="121">
        <f t="shared" si="79"/>
        <v>0</v>
      </c>
      <c r="P172" s="121">
        <f t="shared" si="79"/>
        <v>0</v>
      </c>
      <c r="Q172" s="121">
        <f t="shared" si="79"/>
        <v>0</v>
      </c>
      <c r="R172" s="121">
        <f t="shared" si="79"/>
        <v>2.25</v>
      </c>
      <c r="S172" s="121">
        <f t="shared" si="79"/>
        <v>2.25</v>
      </c>
      <c r="T172" s="121">
        <f t="shared" si="79"/>
        <v>2.25</v>
      </c>
      <c r="U172" s="121">
        <f t="shared" si="79"/>
        <v>2.25</v>
      </c>
      <c r="V172" s="121">
        <f t="shared" si="79"/>
        <v>2.25</v>
      </c>
      <c r="W172" s="121">
        <f t="shared" si="79"/>
        <v>3.93</v>
      </c>
      <c r="X172" s="121">
        <f t="shared" si="79"/>
        <v>3.93</v>
      </c>
      <c r="Y172" s="121">
        <f t="shared" si="79"/>
        <v>3.93</v>
      </c>
      <c r="Z172" s="121">
        <f t="shared" si="79"/>
        <v>3.93</v>
      </c>
      <c r="AA172" s="121">
        <f t="shared" si="79"/>
        <v>3.93</v>
      </c>
      <c r="AB172" s="121">
        <f t="shared" si="79"/>
        <v>4.78</v>
      </c>
      <c r="AC172" s="121">
        <f t="shared" si="79"/>
        <v>4.78</v>
      </c>
      <c r="AD172" s="121">
        <f t="shared" si="79"/>
        <v>4.78</v>
      </c>
      <c r="AE172" s="121">
        <f t="shared" si="79"/>
        <v>4.78</v>
      </c>
      <c r="AF172" s="121">
        <f t="shared" si="79"/>
        <v>4.78</v>
      </c>
      <c r="AG172" s="121">
        <f t="shared" si="79"/>
        <v>0</v>
      </c>
      <c r="AH172" s="121">
        <f t="shared" si="79"/>
        <v>0</v>
      </c>
      <c r="AI172" s="121">
        <f t="shared" si="79"/>
        <v>0</v>
      </c>
      <c r="AJ172" s="121">
        <f t="shared" si="79"/>
        <v>0</v>
      </c>
      <c r="AK172" s="79">
        <f t="shared" si="79"/>
        <v>0</v>
      </c>
      <c r="AL172" s="121">
        <f t="shared" si="79"/>
        <v>0</v>
      </c>
      <c r="AM172" s="79">
        <f t="shared" si="79"/>
        <v>0</v>
      </c>
      <c r="AN172" s="121">
        <f t="shared" si="79"/>
        <v>0</v>
      </c>
      <c r="AO172" s="79">
        <f t="shared" si="79"/>
        <v>0</v>
      </c>
    </row>
    <row r="173" spans="2:43" x14ac:dyDescent="0.3">
      <c r="C173" s="88"/>
      <c r="F173" t="s">
        <v>161</v>
      </c>
      <c r="G173" t="s">
        <v>271</v>
      </c>
      <c r="H173" s="51"/>
      <c r="J173" s="121">
        <f t="shared" si="75"/>
        <v>0</v>
      </c>
      <c r="K173" s="121">
        <f t="shared" ref="K173:AO173" si="80">ROUND( K144, $H100)</f>
        <v>0</v>
      </c>
      <c r="L173" s="121">
        <f t="shared" si="80"/>
        <v>0</v>
      </c>
      <c r="M173" s="121">
        <f t="shared" si="80"/>
        <v>0</v>
      </c>
      <c r="N173" s="121">
        <f t="shared" si="80"/>
        <v>0</v>
      </c>
      <c r="O173" s="121">
        <f t="shared" si="80"/>
        <v>0</v>
      </c>
      <c r="P173" s="121">
        <f t="shared" si="80"/>
        <v>0</v>
      </c>
      <c r="Q173" s="121">
        <f t="shared" si="80"/>
        <v>0</v>
      </c>
      <c r="R173" s="121">
        <f t="shared" si="80"/>
        <v>4.07</v>
      </c>
      <c r="S173" s="121">
        <f t="shared" si="80"/>
        <v>4.07</v>
      </c>
      <c r="T173" s="121">
        <f t="shared" si="80"/>
        <v>4.07</v>
      </c>
      <c r="U173" s="121">
        <f t="shared" si="80"/>
        <v>4.07</v>
      </c>
      <c r="V173" s="121">
        <f t="shared" si="80"/>
        <v>4.07</v>
      </c>
      <c r="W173" s="121">
        <f t="shared" si="80"/>
        <v>5.43</v>
      </c>
      <c r="X173" s="121">
        <f t="shared" si="80"/>
        <v>5.43</v>
      </c>
      <c r="Y173" s="121">
        <f t="shared" si="80"/>
        <v>5.43</v>
      </c>
      <c r="Z173" s="121">
        <f t="shared" si="80"/>
        <v>5.43</v>
      </c>
      <c r="AA173" s="121">
        <f t="shared" si="80"/>
        <v>5.43</v>
      </c>
      <c r="AB173" s="121">
        <f t="shared" si="80"/>
        <v>6.3</v>
      </c>
      <c r="AC173" s="121">
        <f t="shared" si="80"/>
        <v>6.3</v>
      </c>
      <c r="AD173" s="121">
        <f t="shared" si="80"/>
        <v>6.3</v>
      </c>
      <c r="AE173" s="121">
        <f t="shared" si="80"/>
        <v>6.3</v>
      </c>
      <c r="AF173" s="121">
        <f t="shared" si="80"/>
        <v>6.3</v>
      </c>
      <c r="AG173" s="121">
        <f t="shared" si="80"/>
        <v>0</v>
      </c>
      <c r="AH173" s="121">
        <f t="shared" si="80"/>
        <v>0</v>
      </c>
      <c r="AI173" s="121">
        <f t="shared" si="80"/>
        <v>0</v>
      </c>
      <c r="AJ173" s="121">
        <f t="shared" si="80"/>
        <v>0</v>
      </c>
      <c r="AK173" s="79">
        <f t="shared" si="80"/>
        <v>0</v>
      </c>
      <c r="AL173" s="121">
        <f t="shared" si="80"/>
        <v>0</v>
      </c>
      <c r="AM173" s="79">
        <f t="shared" si="80"/>
        <v>0</v>
      </c>
      <c r="AN173" s="121">
        <f t="shared" si="80"/>
        <v>0</v>
      </c>
      <c r="AO173" s="79">
        <f t="shared" si="80"/>
        <v>0</v>
      </c>
    </row>
    <row r="174" spans="2:43" x14ac:dyDescent="0.3">
      <c r="C174" s="88"/>
      <c r="F174" s="37" t="s">
        <v>162</v>
      </c>
      <c r="G174" s="37" t="s">
        <v>272</v>
      </c>
      <c r="H174" s="283"/>
      <c r="I174" s="269"/>
      <c r="J174" s="273">
        <f t="shared" si="75"/>
        <v>0</v>
      </c>
      <c r="K174" s="273">
        <f t="shared" ref="K174:AO174" si="81">ROUND( K145, $H101)</f>
        <v>0</v>
      </c>
      <c r="L174" s="273">
        <f t="shared" si="81"/>
        <v>0</v>
      </c>
      <c r="M174" s="273">
        <f t="shared" si="81"/>
        <v>0</v>
      </c>
      <c r="N174" s="273">
        <f t="shared" si="81"/>
        <v>0</v>
      </c>
      <c r="O174" s="273">
        <f t="shared" si="81"/>
        <v>0</v>
      </c>
      <c r="P174" s="273">
        <f t="shared" si="81"/>
        <v>0</v>
      </c>
      <c r="Q174" s="273">
        <f t="shared" si="81"/>
        <v>0</v>
      </c>
      <c r="R174" s="273">
        <f t="shared" si="81"/>
        <v>0.113</v>
      </c>
      <c r="S174" s="273">
        <f t="shared" si="81"/>
        <v>0.113</v>
      </c>
      <c r="T174" s="273">
        <f t="shared" si="81"/>
        <v>0.113</v>
      </c>
      <c r="U174" s="273">
        <f t="shared" si="81"/>
        <v>0.113</v>
      </c>
      <c r="V174" s="273">
        <f t="shared" si="81"/>
        <v>0.113</v>
      </c>
      <c r="W174" s="273">
        <f t="shared" si="81"/>
        <v>0.106</v>
      </c>
      <c r="X174" s="273">
        <f t="shared" si="81"/>
        <v>0.106</v>
      </c>
      <c r="Y174" s="273">
        <f t="shared" si="81"/>
        <v>0.106</v>
      </c>
      <c r="Z174" s="273">
        <f t="shared" si="81"/>
        <v>0.106</v>
      </c>
      <c r="AA174" s="273">
        <f t="shared" si="81"/>
        <v>0.106</v>
      </c>
      <c r="AB174" s="273">
        <f t="shared" si="81"/>
        <v>5.3999999999999999E-2</v>
      </c>
      <c r="AC174" s="273">
        <f t="shared" si="81"/>
        <v>5.3999999999999999E-2</v>
      </c>
      <c r="AD174" s="273">
        <f t="shared" si="81"/>
        <v>5.3999999999999999E-2</v>
      </c>
      <c r="AE174" s="273">
        <f t="shared" si="81"/>
        <v>5.3999999999999999E-2</v>
      </c>
      <c r="AF174" s="273">
        <f t="shared" si="81"/>
        <v>5.3999999999999999E-2</v>
      </c>
      <c r="AG174" s="273">
        <f t="shared" si="81"/>
        <v>0</v>
      </c>
      <c r="AH174" s="273">
        <f t="shared" si="81"/>
        <v>0</v>
      </c>
      <c r="AI174" s="273">
        <f t="shared" si="81"/>
        <v>0</v>
      </c>
      <c r="AJ174" s="273">
        <f t="shared" si="81"/>
        <v>0.215</v>
      </c>
      <c r="AK174" s="270">
        <f t="shared" si="81"/>
        <v>0</v>
      </c>
      <c r="AL174" s="273">
        <f t="shared" si="81"/>
        <v>0.16700000000000001</v>
      </c>
      <c r="AM174" s="270">
        <f t="shared" si="81"/>
        <v>0</v>
      </c>
      <c r="AN174" s="273">
        <f t="shared" si="81"/>
        <v>0.13</v>
      </c>
      <c r="AO174" s="270">
        <f t="shared" si="81"/>
        <v>0</v>
      </c>
      <c r="AP174" s="267"/>
      <c r="AQ174" s="267"/>
    </row>
    <row r="175" spans="2:43" x14ac:dyDescent="0.3">
      <c r="C175" s="88"/>
    </row>
    <row r="176" spans="2:43" x14ac:dyDescent="0.3">
      <c r="B176" s="30" t="s">
        <v>231</v>
      </c>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row>
    <row r="178" spans="2:43" x14ac:dyDescent="0.3">
      <c r="E178" t="s">
        <v>232</v>
      </c>
      <c r="G178" s="6" t="s">
        <v>55</v>
      </c>
      <c r="H178" s="103">
        <f t="array" ref="H178">SUM(IF(ISERROR(H20:AO174), 1))</f>
        <v>0</v>
      </c>
    </row>
    <row r="180" spans="2:43" x14ac:dyDescent="0.3">
      <c r="B180" s="30" t="s">
        <v>106</v>
      </c>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row>
  </sheetData>
  <sheetProtection sheet="1" objects="1" formatCells="0" formatColumns="0" formatRows="0" sort="0" autoFilter="0"/>
  <conditionalFormatting sqref="A4:I4 AP4:XFD4">
    <cfRule type="expression" dxfId="23" priority="10">
      <formula>LEFT($A$4,1) &lt;&gt; "0"</formula>
    </cfRule>
  </conditionalFormatting>
  <conditionalFormatting sqref="R4:AF4">
    <cfRule type="expression" dxfId="22" priority="9">
      <formula>LEFT($A$4,1) &lt;&gt; "0"</formula>
    </cfRule>
  </conditionalFormatting>
  <conditionalFormatting sqref="L4:Q4">
    <cfRule type="expression" dxfId="21" priority="8">
      <formula>LEFT($A$4,1) &lt;&gt; "0"</formula>
    </cfRule>
  </conditionalFormatting>
  <conditionalFormatting sqref="J4:K4">
    <cfRule type="expression" dxfId="20" priority="7">
      <formula>LEFT($A$4,1) &lt;&gt; "0"</formula>
    </cfRule>
  </conditionalFormatting>
  <conditionalFormatting sqref="AG4">
    <cfRule type="expression" dxfId="19" priority="6">
      <formula>LEFT($A$4,1) &lt;&gt; "0"</formula>
    </cfRule>
  </conditionalFormatting>
  <conditionalFormatting sqref="AH4:AI4">
    <cfRule type="expression" dxfId="18" priority="5">
      <formula>LEFT($A$4,1) &lt;&gt; "0"</formula>
    </cfRule>
  </conditionalFormatting>
  <conditionalFormatting sqref="AJ4:AK4">
    <cfRule type="expression" dxfId="17" priority="4">
      <formula>LEFT($A$4,1) &lt;&gt; "0"</formula>
    </cfRule>
  </conditionalFormatting>
  <conditionalFormatting sqref="AL4:AM4">
    <cfRule type="expression" dxfId="16" priority="3">
      <formula>LEFT($A$4,1) &lt;&gt; "0"</formula>
    </cfRule>
  </conditionalFormatting>
  <conditionalFormatting sqref="AN4:AO4">
    <cfRule type="expression" dxfId="15" priority="2">
      <formula>LEFT($A$4,1) &lt;&gt; "0"</formula>
    </cfRule>
  </conditionalFormatting>
  <conditionalFormatting sqref="H178">
    <cfRule type="cellIs" dxfId="14" priority="1" operator="greaterThan">
      <formula>0</formula>
    </cfRule>
  </conditionalFormatting>
  <hyperlinks>
    <hyperlink ref="B5:F5" location="'Model map'!A1" display="Click here to return to model map"/>
    <hyperlink ref="AQ94"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80" width="0" hidden="1" customWidth="1"/>
    <col min="81" max="16384" width="9.21875" hidden="1"/>
  </cols>
  <sheetData>
    <row r="1" spans="1:43" s="1" customFormat="1" x14ac:dyDescent="0.3">
      <c r="A1" s="1" t="str">
        <f ca="1">MID(CELL("filename",A1),FIND("]",CELL("filename",A1))+1,255)</f>
        <v>Net revenue summary</v>
      </c>
    </row>
    <row r="2" spans="1:43" s="1" customFormat="1" x14ac:dyDescent="0.3">
      <c r="A2" s="1" t="str">
        <f>Cover!D21&amp;" - "&amp;Cover!D23</f>
        <v>WPD Mid West - April 22 Pricing</v>
      </c>
    </row>
    <row r="3" spans="1:43" s="5" customFormat="1" x14ac:dyDescent="0.3">
      <c r="A3" s="5" t="str">
        <f>Cover!D2&amp;" - "&amp;Cover!D8&amp;" v"&amp;Cover!D10&amp;" - "&amp;Cover!D19</f>
        <v>CDCM charging model - Release for charge setting v7 - 2022/23</v>
      </c>
    </row>
    <row r="4" spans="1:43" x14ac:dyDescent="0.3">
      <c r="A4" s="12" t="str">
        <f>H211 &amp; IF(H211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J5" s="114" t="s">
        <v>913</v>
      </c>
      <c r="K5" s="114" t="s">
        <v>831</v>
      </c>
      <c r="L5" s="114" t="s">
        <v>914</v>
      </c>
      <c r="M5" s="114" t="s">
        <v>915</v>
      </c>
      <c r="N5" s="114" t="s">
        <v>916</v>
      </c>
      <c r="O5" s="114" t="s">
        <v>917</v>
      </c>
      <c r="P5" s="114" t="s">
        <v>918</v>
      </c>
      <c r="Q5" s="114" t="s">
        <v>832</v>
      </c>
      <c r="R5" s="114" t="s">
        <v>919</v>
      </c>
      <c r="S5" s="114" t="s">
        <v>920</v>
      </c>
      <c r="T5" s="114" t="s">
        <v>921</v>
      </c>
      <c r="U5" s="114" t="s">
        <v>922</v>
      </c>
      <c r="V5" s="114" t="s">
        <v>923</v>
      </c>
      <c r="W5" s="114" t="s">
        <v>924</v>
      </c>
      <c r="X5" s="114" t="s">
        <v>925</v>
      </c>
      <c r="Y5" s="114" t="s">
        <v>926</v>
      </c>
      <c r="Z5" s="114" t="s">
        <v>927</v>
      </c>
      <c r="AA5" s="114" t="s">
        <v>928</v>
      </c>
      <c r="AB5" s="114" t="s">
        <v>929</v>
      </c>
      <c r="AC5" s="114" t="s">
        <v>930</v>
      </c>
      <c r="AD5" s="114" t="s">
        <v>931</v>
      </c>
      <c r="AE5" s="114" t="s">
        <v>932</v>
      </c>
      <c r="AF5" s="114" t="s">
        <v>933</v>
      </c>
      <c r="AG5" s="114" t="s">
        <v>841</v>
      </c>
      <c r="AH5" s="114" t="s">
        <v>833</v>
      </c>
      <c r="AI5" s="114" t="s">
        <v>834</v>
      </c>
      <c r="AJ5" s="114" t="s">
        <v>835</v>
      </c>
      <c r="AK5" s="114" t="s">
        <v>844</v>
      </c>
      <c r="AL5" s="114" t="s">
        <v>836</v>
      </c>
      <c r="AM5" s="114" t="s">
        <v>843</v>
      </c>
      <c r="AN5" s="114" t="s">
        <v>837</v>
      </c>
      <c r="AO5" s="114" t="s">
        <v>842</v>
      </c>
      <c r="AQ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row>
    <row r="9" spans="1:43" x14ac:dyDescent="0.3">
      <c r="C9" s="29" t="s">
        <v>757</v>
      </c>
    </row>
    <row r="10" spans="1:43" x14ac:dyDescent="0.3">
      <c r="C10" s="28"/>
    </row>
    <row r="11" spans="1:43" x14ac:dyDescent="0.3">
      <c r="B11" s="30" t="s">
        <v>758</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row>
    <row r="12" spans="1:43" x14ac:dyDescent="0.3">
      <c r="D12" s="2"/>
      <c r="E12" s="2"/>
    </row>
    <row r="13" spans="1:43" x14ac:dyDescent="0.3">
      <c r="C13" s="31" t="str">
        <f ca="1">INDEX('Version control'!$H$34:$H$57,MATCH($A$1,'Version control'!$F$34:$F$57,0),1)&amp;"-A: Volume forecasts"</f>
        <v>Section 118-A: Volume forecasts</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row>
    <row r="14" spans="1:43" x14ac:dyDescent="0.3">
      <c r="D14" s="32"/>
    </row>
    <row r="15" spans="1:43" x14ac:dyDescent="0.3">
      <c r="C15" s="51"/>
      <c r="D15" s="51"/>
      <c r="E15" s="378" t="s">
        <v>1010</v>
      </c>
      <c r="G15" s="378" t="s">
        <v>149</v>
      </c>
      <c r="J15" s="51">
        <f>'Fixed inputs'!J169</f>
        <v>1</v>
      </c>
      <c r="K15" s="51">
        <f>'Fixed inputs'!K169</f>
        <v>2</v>
      </c>
      <c r="L15" s="51">
        <f>'Fixed inputs'!L169</f>
        <v>3</v>
      </c>
      <c r="M15" s="51">
        <f>'Fixed inputs'!M169</f>
        <v>3</v>
      </c>
      <c r="N15" s="51">
        <f>'Fixed inputs'!N169</f>
        <v>3</v>
      </c>
      <c r="O15" s="51">
        <f>'Fixed inputs'!O169</f>
        <v>3</v>
      </c>
      <c r="P15" s="51">
        <f>'Fixed inputs'!P169</f>
        <v>3</v>
      </c>
      <c r="Q15" s="51">
        <f>'Fixed inputs'!Q169</f>
        <v>4</v>
      </c>
      <c r="R15" s="51">
        <f>'Fixed inputs'!R169</f>
        <v>5</v>
      </c>
      <c r="S15" s="51">
        <f>'Fixed inputs'!S169</f>
        <v>5</v>
      </c>
      <c r="T15" s="51">
        <f>'Fixed inputs'!T169</f>
        <v>5</v>
      </c>
      <c r="U15" s="51">
        <f>'Fixed inputs'!U169</f>
        <v>5</v>
      </c>
      <c r="V15" s="51">
        <f>'Fixed inputs'!V169</f>
        <v>5</v>
      </c>
      <c r="W15" s="51">
        <f>'Fixed inputs'!W169</f>
        <v>6</v>
      </c>
      <c r="X15" s="51">
        <f>'Fixed inputs'!X169</f>
        <v>6</v>
      </c>
      <c r="Y15" s="51">
        <f>'Fixed inputs'!Y169</f>
        <v>6</v>
      </c>
      <c r="Z15" s="51">
        <f>'Fixed inputs'!Z169</f>
        <v>6</v>
      </c>
      <c r="AA15" s="51">
        <f>'Fixed inputs'!AA169</f>
        <v>6</v>
      </c>
      <c r="AB15" s="51">
        <f>'Fixed inputs'!AB169</f>
        <v>7</v>
      </c>
      <c r="AC15" s="51">
        <f>'Fixed inputs'!AC169</f>
        <v>7</v>
      </c>
      <c r="AD15" s="51">
        <f>'Fixed inputs'!AD169</f>
        <v>7</v>
      </c>
      <c r="AE15" s="51">
        <f>'Fixed inputs'!AE169</f>
        <v>7</v>
      </c>
      <c r="AF15" s="51">
        <f>'Fixed inputs'!AF169</f>
        <v>7</v>
      </c>
      <c r="AG15" s="51">
        <f>'Fixed inputs'!AG169</f>
        <v>8</v>
      </c>
      <c r="AH15" s="51">
        <f>'Fixed inputs'!AH169</f>
        <v>9</v>
      </c>
      <c r="AI15" s="51">
        <f>'Fixed inputs'!AI169</f>
        <v>10</v>
      </c>
      <c r="AJ15" s="51">
        <f>'Fixed inputs'!AJ169</f>
        <v>11</v>
      </c>
      <c r="AK15" s="51">
        <f>'Fixed inputs'!AK169</f>
        <v>12</v>
      </c>
      <c r="AL15" s="51">
        <f>'Fixed inputs'!AL169</f>
        <v>13</v>
      </c>
      <c r="AM15" s="51">
        <f>'Fixed inputs'!AM169</f>
        <v>14</v>
      </c>
      <c r="AN15" s="51">
        <f>'Fixed inputs'!AN169</f>
        <v>15</v>
      </c>
      <c r="AO15" s="51">
        <f>'Fixed inputs'!AO169</f>
        <v>16</v>
      </c>
    </row>
    <row r="16" spans="1:43" x14ac:dyDescent="0.3">
      <c r="E16" s="28"/>
      <c r="G16" s="28"/>
    </row>
    <row r="17" spans="1:43" x14ac:dyDescent="0.3">
      <c r="C17" s="51"/>
      <c r="D17" s="51"/>
      <c r="E17" s="378" t="s">
        <v>944</v>
      </c>
      <c r="G17" s="378" t="s">
        <v>149</v>
      </c>
      <c r="J17" s="51">
        <f>'Fixed inputs'!J168</f>
        <v>1</v>
      </c>
      <c r="K17" s="51">
        <f>'Fixed inputs'!K168</f>
        <v>0</v>
      </c>
      <c r="L17" s="51">
        <f>'Fixed inputs'!L168</f>
        <v>0</v>
      </c>
      <c r="M17" s="51">
        <f>'Fixed inputs'!M168</f>
        <v>1</v>
      </c>
      <c r="N17" s="51">
        <f>'Fixed inputs'!N168</f>
        <v>2</v>
      </c>
      <c r="O17" s="51">
        <f>'Fixed inputs'!O168</f>
        <v>3</v>
      </c>
      <c r="P17" s="51">
        <f>'Fixed inputs'!P168</f>
        <v>4</v>
      </c>
      <c r="Q17" s="51">
        <f>'Fixed inputs'!Q168</f>
        <v>0</v>
      </c>
      <c r="R17" s="51">
        <f>'Fixed inputs'!R168</f>
        <v>0</v>
      </c>
      <c r="S17" s="51">
        <f>'Fixed inputs'!S168</f>
        <v>1</v>
      </c>
      <c r="T17" s="51">
        <f>'Fixed inputs'!T168</f>
        <v>2</v>
      </c>
      <c r="U17" s="51">
        <f>'Fixed inputs'!U168</f>
        <v>3</v>
      </c>
      <c r="V17" s="51">
        <f>'Fixed inputs'!V168</f>
        <v>4</v>
      </c>
      <c r="W17" s="51">
        <f>'Fixed inputs'!W168</f>
        <v>0</v>
      </c>
      <c r="X17" s="51">
        <f>'Fixed inputs'!X168</f>
        <v>1</v>
      </c>
      <c r="Y17" s="51">
        <f>'Fixed inputs'!Y168</f>
        <v>2</v>
      </c>
      <c r="Z17" s="51">
        <f>'Fixed inputs'!Z168</f>
        <v>3</v>
      </c>
      <c r="AA17" s="51">
        <f>'Fixed inputs'!AA168</f>
        <v>4</v>
      </c>
      <c r="AB17" s="51">
        <f>'Fixed inputs'!AB168</f>
        <v>0</v>
      </c>
      <c r="AC17" s="51">
        <f>'Fixed inputs'!AC168</f>
        <v>1</v>
      </c>
      <c r="AD17" s="51">
        <f>'Fixed inputs'!AD168</f>
        <v>2</v>
      </c>
      <c r="AE17" s="51">
        <f>'Fixed inputs'!AE168</f>
        <v>3</v>
      </c>
      <c r="AF17" s="51">
        <f>'Fixed inputs'!AF168</f>
        <v>4</v>
      </c>
      <c r="AG17" s="51">
        <f>'Fixed inputs'!AG168</f>
        <v>1</v>
      </c>
      <c r="AH17" s="51">
        <f>'Fixed inputs'!AH168</f>
        <v>0</v>
      </c>
      <c r="AI17" s="51">
        <f>'Fixed inputs'!AI168</f>
        <v>0</v>
      </c>
      <c r="AJ17" s="51">
        <f>'Fixed inputs'!AJ168</f>
        <v>0</v>
      </c>
      <c r="AK17" s="51">
        <f>'Fixed inputs'!AK168</f>
        <v>0</v>
      </c>
      <c r="AL17" s="51">
        <f>'Fixed inputs'!AL168</f>
        <v>0</v>
      </c>
      <c r="AM17" s="51">
        <f>'Fixed inputs'!AM168</f>
        <v>0</v>
      </c>
      <c r="AN17" s="51">
        <f>'Fixed inputs'!AN168</f>
        <v>0</v>
      </c>
      <c r="AO17" s="51">
        <f>'Fixed inputs'!AO168</f>
        <v>0</v>
      </c>
    </row>
    <row r="18" spans="1:43" x14ac:dyDescent="0.3">
      <c r="D18" s="32"/>
    </row>
    <row r="19" spans="1:43" x14ac:dyDescent="0.3">
      <c r="A19" s="320"/>
      <c r="E19" s="32" t="s">
        <v>245</v>
      </c>
      <c r="I19" t="s">
        <v>154</v>
      </c>
      <c r="AQ19" t="s">
        <v>246</v>
      </c>
    </row>
    <row r="20" spans="1:43" x14ac:dyDescent="0.3">
      <c r="A20" s="320"/>
      <c r="E20" s="32"/>
      <c r="F20" s="29" t="s">
        <v>1039</v>
      </c>
    </row>
    <row r="21" spans="1:43" x14ac:dyDescent="0.3">
      <c r="A21" s="320"/>
      <c r="E21" s="32"/>
      <c r="F21" s="29" t="s">
        <v>1035</v>
      </c>
    </row>
    <row r="22" spans="1:43" x14ac:dyDescent="0.3">
      <c r="A22" s="320"/>
      <c r="F22" s="78" t="s">
        <v>247</v>
      </c>
      <c r="G22" s="78" t="s">
        <v>207</v>
      </c>
      <c r="H22" s="325">
        <v>0</v>
      </c>
      <c r="I22" s="23"/>
      <c r="J22" s="193">
        <f>INDEX('Volume adjustments'!$J$527:$Y$567,J$17 + 1 + $H22*$H$28, J$15)</f>
        <v>908173.56228729698</v>
      </c>
      <c r="K22" s="193">
        <f>INDEX('Volume adjustments'!$J$527:$Y$567,K$17 + 1 + $H22*$H$28, K$15)</f>
        <v>79.092618502232185</v>
      </c>
      <c r="L22" s="193">
        <f>INDEX('Volume adjustments'!$J$527:$Y$567,L$17 + 1 + $H22*$H$28, L$15)</f>
        <v>0</v>
      </c>
      <c r="M22" s="193">
        <f>INDEX('Volume adjustments'!$J$527:$Y$567,M$17 + 1 + $H22*$H$28, M$15)</f>
        <v>10542.196730826568</v>
      </c>
      <c r="N22" s="193">
        <f>INDEX('Volume adjustments'!$J$527:$Y$567,N$17 + 1 + $H22*$H$28, N$15)</f>
        <v>44248.438611225938</v>
      </c>
      <c r="O22" s="193">
        <f>INDEX('Volume adjustments'!$J$527:$Y$567,O$17 + 1 + $H22*$H$28, O$15)</f>
        <v>56137.558818578182</v>
      </c>
      <c r="P22" s="193">
        <f>INDEX('Volume adjustments'!$J$527:$Y$567,P$17 + 1 + $H22*$H$28, P$15)</f>
        <v>180970.16538484537</v>
      </c>
      <c r="Q22" s="193">
        <f>INDEX('Volume adjustments'!$J$527:$Y$567,Q$17 + 1 + $H22*$H$28, Q$15)</f>
        <v>127.63198085068298</v>
      </c>
      <c r="R22" s="193">
        <f>INDEX('Volume adjustments'!$J$527:$Y$567,R$17 + 1 + $H22*$H$28, R$15)</f>
        <v>0</v>
      </c>
      <c r="S22" s="193">
        <f>INDEX('Volume adjustments'!$J$527:$Y$567,S$17 + 1 + $H22*$H$28, S$15)</f>
        <v>62012.489288938974</v>
      </c>
      <c r="T22" s="193">
        <f>INDEX('Volume adjustments'!$J$527:$Y$567,T$17 + 1 + $H22*$H$28, T$15)</f>
        <v>92669.987736650684</v>
      </c>
      <c r="U22" s="193">
        <f>INDEX('Volume adjustments'!$J$527:$Y$567,U$17 + 1 + $H22*$H$28, U$15)</f>
        <v>50034.646144910752</v>
      </c>
      <c r="V22" s="193">
        <f>INDEX('Volume adjustments'!$J$527:$Y$567,V$17 + 1 + $H22*$H$28, V$15)</f>
        <v>49213.927350924445</v>
      </c>
      <c r="W22" s="193">
        <f>INDEX('Volume adjustments'!$J$527:$Y$567,W$17 + 1 + $H22*$H$28, W$15)</f>
        <v>0</v>
      </c>
      <c r="X22" s="193">
        <f>INDEX('Volume adjustments'!$J$527:$Y$567,X$17 + 1 + $H22*$H$28, X$15)</f>
        <v>165.27685456335206</v>
      </c>
      <c r="Y22" s="193">
        <f>INDEX('Volume adjustments'!$J$527:$Y$567,Y$17 + 1 + $H22*$H$28, Y$15)</f>
        <v>848.43683032169793</v>
      </c>
      <c r="Z22" s="193">
        <f>INDEX('Volume adjustments'!$J$527:$Y$567,Z$17 + 1 + $H22*$H$28, Z$15)</f>
        <v>1529.592604563642</v>
      </c>
      <c r="AA22" s="193">
        <f>INDEX('Volume adjustments'!$J$527:$Y$567,AA$17 + 1 + $H22*$H$28, AA$15)</f>
        <v>17596.149942377655</v>
      </c>
      <c r="AB22" s="193">
        <f>INDEX('Volume adjustments'!$J$527:$Y$567,AB$17 + 1 + $H22*$H$28, AB$15)</f>
        <v>0</v>
      </c>
      <c r="AC22" s="193">
        <f>INDEX('Volume adjustments'!$J$527:$Y$567,AC$17 + 1 + $H22*$H$28, AC$15)</f>
        <v>95716.204981290939</v>
      </c>
      <c r="AD22" s="193">
        <f>INDEX('Volume adjustments'!$J$527:$Y$567,AD$17 + 1 + $H22*$H$28, AD$15)</f>
        <v>170744.01178947199</v>
      </c>
      <c r="AE22" s="193">
        <f>INDEX('Volume adjustments'!$J$527:$Y$567,AE$17 + 1 + $H22*$H$28, AE$15)</f>
        <v>93417.07755487453</v>
      </c>
      <c r="AF22" s="193">
        <f>INDEX('Volume adjustments'!$J$527:$Y$567,AF$17 + 1 + $H22*$H$28, AF$15)</f>
        <v>296932.42327001889</v>
      </c>
      <c r="AG22" s="193">
        <f>INDEX('Volume adjustments'!$J$527:$Y$567,AG$17 + 1 + $H22*$H$28, AG$15)</f>
        <v>9658.0802606626021</v>
      </c>
      <c r="AH22" s="193">
        <f>INDEX('Volume adjustments'!$J$527:$Y$567,AH$17 + 1 + $H22*$H$28, AH$15)</f>
        <v>124.04293104575001</v>
      </c>
      <c r="AI22" s="193">
        <f>INDEX('Volume adjustments'!$J$527:$Y$567,AI$17 + 1 + $H22*$H$28, AI$15)</f>
        <v>0</v>
      </c>
      <c r="AJ22" s="193">
        <f>INDEX('Volume adjustments'!$J$527:$Y$567,AJ$17 + 1 + $H22*$H$28, AJ$15)</f>
        <v>4277.9371551869754</v>
      </c>
      <c r="AK22" s="193">
        <f>INDEX('Volume adjustments'!$J$527:$Y$567,AK$17 + 1 + $H22*$H$28, AK$15)</f>
        <v>0</v>
      </c>
      <c r="AL22" s="193">
        <f>INDEX('Volume adjustments'!$J$527:$Y$567,AL$17 + 1 + $H22*$H$28, AL$15)</f>
        <v>907.20921076491038</v>
      </c>
      <c r="AM22" s="193">
        <f>INDEX('Volume adjustments'!$J$527:$Y$567,AM$17 + 1 + $H22*$H$28, AM$15)</f>
        <v>0</v>
      </c>
      <c r="AN22" s="193">
        <f>INDEX('Volume adjustments'!$J$527:$Y$567,AN$17 + 1 + $H22*$H$28, AN$15)</f>
        <v>81186.840431867386</v>
      </c>
      <c r="AO22" s="193">
        <f>INDEX('Volume adjustments'!$J$527:$Y$567,AO$17 + 1 + $H22*$H$28, AO$15)</f>
        <v>0</v>
      </c>
    </row>
    <row r="23" spans="1:43" x14ac:dyDescent="0.3">
      <c r="A23" s="320"/>
      <c r="E23" s="28"/>
      <c r="F23" s="72" t="s">
        <v>248</v>
      </c>
      <c r="G23" s="72" t="s">
        <v>207</v>
      </c>
      <c r="H23" s="376">
        <v>1</v>
      </c>
      <c r="J23" s="339">
        <f>INDEX('Volume adjustments'!$J$527:$Y$567,J$17 + 1 + $H23*$H$28, J$15)</f>
        <v>2700660.7423146009</v>
      </c>
      <c r="K23" s="339">
        <f>INDEX('Volume adjustments'!$J$527:$Y$567,K$17 + 1 + $H23*$H$28, K$15)</f>
        <v>3392.6048671577928</v>
      </c>
      <c r="L23" s="339">
        <f>INDEX('Volume adjustments'!$J$527:$Y$567,L$17 + 1 + $H23*$H$28, L$15)</f>
        <v>0</v>
      </c>
      <c r="M23" s="339">
        <f>INDEX('Volume adjustments'!$J$527:$Y$567,M$17 + 1 + $H23*$H$28, M$15)</f>
        <v>43276.151386902842</v>
      </c>
      <c r="N23" s="339">
        <f>INDEX('Volume adjustments'!$J$527:$Y$567,N$17 + 1 + $H23*$H$28, N$15)</f>
        <v>181641.6613032938</v>
      </c>
      <c r="O23" s="339">
        <f>INDEX('Volume adjustments'!$J$527:$Y$567,O$17 + 1 + $H23*$H$28, O$15)</f>
        <v>230446.9889866561</v>
      </c>
      <c r="P23" s="339">
        <f>INDEX('Volume adjustments'!$J$527:$Y$567,P$17 + 1 + $H23*$H$28, P$15)</f>
        <v>742889.9757492349</v>
      </c>
      <c r="Q23" s="339">
        <f>INDEX('Volume adjustments'!$J$527:$Y$567,Q$17 + 1 + $H23*$H$28, Q$15)</f>
        <v>959.76246317801258</v>
      </c>
      <c r="R23" s="339">
        <f>INDEX('Volume adjustments'!$J$527:$Y$567,R$17 + 1 + $H23*$H$28, R$15)</f>
        <v>0</v>
      </c>
      <c r="S23" s="339">
        <f>INDEX('Volume adjustments'!$J$527:$Y$567,S$17 + 1 + $H23*$H$28, S$15)</f>
        <v>237940.27466714167</v>
      </c>
      <c r="T23" s="339">
        <f>INDEX('Volume adjustments'!$J$527:$Y$567,T$17 + 1 + $H23*$H$28, T$15)</f>
        <v>355572.28210466803</v>
      </c>
      <c r="U23" s="339">
        <f>INDEX('Volume adjustments'!$J$527:$Y$567,U$17 + 1 + $H23*$H$28, U$15)</f>
        <v>191981.60859375176</v>
      </c>
      <c r="V23" s="339">
        <f>INDEX('Volume adjustments'!$J$527:$Y$567,V$17 + 1 + $H23*$H$28, V$15)</f>
        <v>188832.53237531945</v>
      </c>
      <c r="W23" s="339">
        <f>INDEX('Volume adjustments'!$J$527:$Y$567,W$17 + 1 + $H23*$H$28, W$15)</f>
        <v>0</v>
      </c>
      <c r="X23" s="339">
        <f>INDEX('Volume adjustments'!$J$527:$Y$567,X$17 + 1 + $H23*$H$28, X$15)</f>
        <v>436.69171436386927</v>
      </c>
      <c r="Y23" s="339">
        <f>INDEX('Volume adjustments'!$J$527:$Y$567,Y$17 + 1 + $H23*$H$28, Y$15)</f>
        <v>2241.7254668929554</v>
      </c>
      <c r="Z23" s="339">
        <f>INDEX('Volume adjustments'!$J$527:$Y$567,Z$17 + 1 + $H23*$H$28, Z$15)</f>
        <v>4041.4637520171209</v>
      </c>
      <c r="AA23" s="339">
        <f>INDEX('Volume adjustments'!$J$527:$Y$567,AA$17 + 1 + $H23*$H$28, AA$15)</f>
        <v>46492.250259973443</v>
      </c>
      <c r="AB23" s="339">
        <f>INDEX('Volume adjustments'!$J$527:$Y$567,AB$17 + 1 + $H23*$H$28, AB$15)</f>
        <v>0</v>
      </c>
      <c r="AC23" s="339">
        <f>INDEX('Volume adjustments'!$J$527:$Y$567,AC$17 + 1 + $H23*$H$28, AC$15)</f>
        <v>370887.43495112588</v>
      </c>
      <c r="AD23" s="339">
        <f>INDEX('Volume adjustments'!$J$527:$Y$567,AD$17 + 1 + $H23*$H$28, AD$15)</f>
        <v>661610.10644164355</v>
      </c>
      <c r="AE23" s="339">
        <f>INDEX('Volume adjustments'!$J$527:$Y$567,AE$17 + 1 + $H23*$H$28, AE$15)</f>
        <v>361978.6250586313</v>
      </c>
      <c r="AF23" s="339">
        <f>INDEX('Volume adjustments'!$J$527:$Y$567,AF$17 + 1 + $H23*$H$28, AF$15)</f>
        <v>1150573.2476748892</v>
      </c>
      <c r="AG23" s="339">
        <f>INDEX('Volume adjustments'!$J$527:$Y$567,AG$17 + 1 + $H23*$H$28, AG$15)</f>
        <v>48862.829823812179</v>
      </c>
      <c r="AH23" s="339">
        <f>INDEX('Volume adjustments'!$J$527:$Y$567,AH$17 + 1 + $H23*$H$28, AH$15)</f>
        <v>667.41170453977281</v>
      </c>
      <c r="AI23" s="339">
        <f>INDEX('Volume adjustments'!$J$527:$Y$567,AI$17 + 1 + $H23*$H$28, AI$15)</f>
        <v>0</v>
      </c>
      <c r="AJ23" s="339">
        <f>INDEX('Volume adjustments'!$J$527:$Y$567,AJ$17 + 1 + $H23*$H$28, AJ$15)</f>
        <v>21422.814813085839</v>
      </c>
      <c r="AK23" s="339">
        <f>INDEX('Volume adjustments'!$J$527:$Y$567,AK$17 + 1 + $H23*$H$28, AK$15)</f>
        <v>0</v>
      </c>
      <c r="AL23" s="339">
        <f>INDEX('Volume adjustments'!$J$527:$Y$567,AL$17 + 1 + $H23*$H$28, AL$15)</f>
        <v>3604.4281560365216</v>
      </c>
      <c r="AM23" s="339">
        <f>INDEX('Volume adjustments'!$J$527:$Y$567,AM$17 + 1 + $H23*$H$28, AM$15)</f>
        <v>0</v>
      </c>
      <c r="AN23" s="339">
        <f>INDEX('Volume adjustments'!$J$527:$Y$567,AN$17 + 1 + $H23*$H$28, AN$15)</f>
        <v>281566.89250858821</v>
      </c>
      <c r="AO23" s="339">
        <f>INDEX('Volume adjustments'!$J$527:$Y$567,AO$17 + 1 + $H23*$H$28, AO$15)</f>
        <v>0</v>
      </c>
    </row>
    <row r="24" spans="1:43" x14ac:dyDescent="0.3">
      <c r="A24" s="320"/>
      <c r="E24" s="28"/>
      <c r="F24" s="72" t="s">
        <v>249</v>
      </c>
      <c r="G24" s="72" t="s">
        <v>207</v>
      </c>
      <c r="H24" s="376">
        <v>2</v>
      </c>
      <c r="J24" s="339">
        <f>INDEX('Volume adjustments'!$J$527:$Y$567,J$17 + 1 + $H24*$H$28, J$15)</f>
        <v>4472740.9997048797</v>
      </c>
      <c r="K24" s="339">
        <f>INDEX('Volume adjustments'!$J$527:$Y$567,K$17 + 1 + $H24*$H$28, K$15)</f>
        <v>13095.75106613846</v>
      </c>
      <c r="L24" s="339">
        <f>INDEX('Volume adjustments'!$J$527:$Y$567,L$17 + 1 + $H24*$H$28, L$15)</f>
        <v>0</v>
      </c>
      <c r="M24" s="339">
        <f>INDEX('Volume adjustments'!$J$527:$Y$567,M$17 + 1 + $H24*$H$28, M$15)</f>
        <v>44337.155401507771</v>
      </c>
      <c r="N24" s="339">
        <f>INDEX('Volume adjustments'!$J$527:$Y$567,N$17 + 1 + $H24*$H$28, N$15)</f>
        <v>186094.98087275602</v>
      </c>
      <c r="O24" s="339">
        <f>INDEX('Volume adjustments'!$J$527:$Y$567,O$17 + 1 + $H24*$H$28, O$15)</f>
        <v>236096.87171958454</v>
      </c>
      <c r="P24" s="339">
        <f>INDEX('Volume adjustments'!$J$527:$Y$567,P$17 + 1 + $H24*$H$28, P$15)</f>
        <v>761103.45410669909</v>
      </c>
      <c r="Q24" s="339">
        <f>INDEX('Volume adjustments'!$J$527:$Y$567,Q$17 + 1 + $H24*$H$28, Q$15)</f>
        <v>2930.5689204763953</v>
      </c>
      <c r="R24" s="339">
        <f>INDEX('Volume adjustments'!$J$527:$Y$567,R$17 + 1 + $H24*$H$28, R$15)</f>
        <v>0</v>
      </c>
      <c r="S24" s="339">
        <f>INDEX('Volume adjustments'!$J$527:$Y$567,S$17 + 1 + $H24*$H$28, S$15)</f>
        <v>253902.53763430205</v>
      </c>
      <c r="T24" s="339">
        <f>INDEX('Volume adjustments'!$J$527:$Y$567,T$17 + 1 + $H24*$H$28, T$15)</f>
        <v>379425.90788839856</v>
      </c>
      <c r="U24" s="339">
        <f>INDEX('Volume adjustments'!$J$527:$Y$567,U$17 + 1 + $H24*$H$28, U$15)</f>
        <v>204860.72679061376</v>
      </c>
      <c r="V24" s="339">
        <f>INDEX('Volume adjustments'!$J$527:$Y$567,V$17 + 1 + $H24*$H$28, V$15)</f>
        <v>201500.39426942827</v>
      </c>
      <c r="W24" s="339">
        <f>INDEX('Volume adjustments'!$J$527:$Y$567,W$17 + 1 + $H24*$H$28, W$15)</f>
        <v>0</v>
      </c>
      <c r="X24" s="339">
        <f>INDEX('Volume adjustments'!$J$527:$Y$567,X$17 + 1 + $H24*$H$28, X$15)</f>
        <v>450.15459635774067</v>
      </c>
      <c r="Y24" s="339">
        <f>INDEX('Volume adjustments'!$J$527:$Y$567,Y$17 + 1 + $H24*$H$28, Y$15)</f>
        <v>2310.8362020654781</v>
      </c>
      <c r="Z24" s="339">
        <f>INDEX('Volume adjustments'!$J$527:$Y$567,Z$17 + 1 + $H24*$H$28, Z$15)</f>
        <v>4166.0590850317949</v>
      </c>
      <c r="AA24" s="339">
        <f>INDEX('Volume adjustments'!$J$527:$Y$567,AA$17 + 1 + $H24*$H$28, AA$15)</f>
        <v>47925.571887775201</v>
      </c>
      <c r="AB24" s="339">
        <f>INDEX('Volume adjustments'!$J$527:$Y$567,AB$17 + 1 + $H24*$H$28, AB$15)</f>
        <v>0</v>
      </c>
      <c r="AC24" s="339">
        <f>INDEX('Volume adjustments'!$J$527:$Y$567,AC$17 + 1 + $H24*$H$28, AC$15)</f>
        <v>489370.31514945655</v>
      </c>
      <c r="AD24" s="339">
        <f>INDEX('Volume adjustments'!$J$527:$Y$567,AD$17 + 1 + $H24*$H$28, AD$15)</f>
        <v>872966.60869106569</v>
      </c>
      <c r="AE24" s="339">
        <f>INDEX('Volume adjustments'!$J$527:$Y$567,AE$17 + 1 + $H24*$H$28, AE$15)</f>
        <v>477615.51653981599</v>
      </c>
      <c r="AF24" s="339">
        <f>INDEX('Volume adjustments'!$J$527:$Y$567,AF$17 + 1 + $H24*$H$28, AF$15)</f>
        <v>1518132.8342692214</v>
      </c>
      <c r="AG24" s="339">
        <f>INDEX('Volume adjustments'!$J$527:$Y$567,AG$17 + 1 + $H24*$H$28, AG$15)</f>
        <v>187359.28019489619</v>
      </c>
      <c r="AH24" s="339">
        <f>INDEX('Volume adjustments'!$J$527:$Y$567,AH$17 + 1 + $H24*$H$28, AH$15)</f>
        <v>329.05439631479078</v>
      </c>
      <c r="AI24" s="339">
        <f>INDEX('Volume adjustments'!$J$527:$Y$567,AI$17 + 1 + $H24*$H$28, AI$15)</f>
        <v>0</v>
      </c>
      <c r="AJ24" s="339">
        <f>INDEX('Volume adjustments'!$J$527:$Y$567,AJ$17 + 1 + $H24*$H$28, AJ$15)</f>
        <v>21453.635266692032</v>
      </c>
      <c r="AK24" s="339">
        <f>INDEX('Volume adjustments'!$J$527:$Y$567,AK$17 + 1 + $H24*$H$28, AK$15)</f>
        <v>0</v>
      </c>
      <c r="AL24" s="339">
        <f>INDEX('Volume adjustments'!$J$527:$Y$567,AL$17 + 1 + $H24*$H$28, AL$15)</f>
        <v>5426.3333985064392</v>
      </c>
      <c r="AM24" s="339">
        <f>INDEX('Volume adjustments'!$J$527:$Y$567,AM$17 + 1 + $H24*$H$28, AM$15)</f>
        <v>0</v>
      </c>
      <c r="AN24" s="339">
        <f>INDEX('Volume adjustments'!$J$527:$Y$567,AN$17 + 1 + $H24*$H$28, AN$15)</f>
        <v>341773.46231736481</v>
      </c>
      <c r="AO24" s="339">
        <f>INDEX('Volume adjustments'!$J$527:$Y$567,AO$17 + 1 + $H24*$H$28, AO$15)</f>
        <v>0</v>
      </c>
    </row>
    <row r="25" spans="1:43" x14ac:dyDescent="0.3">
      <c r="A25" s="320"/>
      <c r="E25" s="28"/>
      <c r="F25" s="72" t="s">
        <v>212</v>
      </c>
      <c r="G25" s="72" t="s">
        <v>212</v>
      </c>
      <c r="H25" s="376">
        <v>3</v>
      </c>
      <c r="J25" s="339">
        <f>INDEX('Volume adjustments'!$J$527:$Y$567,J$17 + 1 + $H25*$H$28, J$15)</f>
        <v>2316983.3909131573</v>
      </c>
      <c r="K25" s="339">
        <f>INDEX('Volume adjustments'!$J$527:$Y$567,K$17 + 1 + $H25*$H$28, K$15)</f>
        <v>0</v>
      </c>
      <c r="L25" s="339">
        <f>INDEX('Volume adjustments'!$J$527:$Y$567,L$17 + 1 + $H25*$H$28, L$15)</f>
        <v>0</v>
      </c>
      <c r="M25" s="339">
        <f>INDEX('Volume adjustments'!$J$527:$Y$567,M$17 + 1 + $H25*$H$28, M$15)</f>
        <v>73254.274695125219</v>
      </c>
      <c r="N25" s="339">
        <f>INDEX('Volume adjustments'!$J$527:$Y$567,N$17 + 1 + $H25*$H$28, N$15)</f>
        <v>55284.145014072637</v>
      </c>
      <c r="O25" s="339">
        <f>INDEX('Volume adjustments'!$J$527:$Y$567,O$17 + 1 + $H25*$H$28, O$15)</f>
        <v>28602.568054592724</v>
      </c>
      <c r="P25" s="339">
        <f>INDEX('Volume adjustments'!$J$527:$Y$567,P$17 + 1 + $H25*$H$28, P$15)</f>
        <v>28594.323457617986</v>
      </c>
      <c r="Q25" s="339">
        <f>INDEX('Volume adjustments'!$J$527:$Y$567,Q$17 + 1 + $H25*$H$28, Q$15)</f>
        <v>0</v>
      </c>
      <c r="R25" s="339">
        <f>INDEX('Volume adjustments'!$J$527:$Y$567,R$17 + 1 + $H25*$H$28, R$15)</f>
        <v>0</v>
      </c>
      <c r="S25" s="339">
        <f>INDEX('Volume adjustments'!$J$527:$Y$567,S$17 + 1 + $H25*$H$28, S$15)</f>
        <v>6461.3791307301226</v>
      </c>
      <c r="T25" s="339">
        <f>INDEX('Volume adjustments'!$J$527:$Y$567,T$17 + 1 + $H25*$H$28, T$15)</f>
        <v>5226.3128944582313</v>
      </c>
      <c r="U25" s="339">
        <f>INDEX('Volume adjustments'!$J$527:$Y$567,U$17 + 1 + $H25*$H$28, U$15)</f>
        <v>1821.6194320933253</v>
      </c>
      <c r="V25" s="339">
        <f>INDEX('Volume adjustments'!$J$527:$Y$567,V$17 + 1 + $H25*$H$28, V$15)</f>
        <v>1148.3224537912572</v>
      </c>
      <c r="W25" s="339">
        <f>INDEX('Volume adjustments'!$J$527:$Y$567,W$17 + 1 + $H25*$H$28, W$15)</f>
        <v>0</v>
      </c>
      <c r="X25" s="339">
        <f>INDEX('Volume adjustments'!$J$527:$Y$567,X$17 + 1 + $H25*$H$28, X$15)</f>
        <v>14.227203377601226</v>
      </c>
      <c r="Y25" s="339">
        <f>INDEX('Volume adjustments'!$J$527:$Y$567,Y$17 + 1 + $H25*$H$28, Y$15)</f>
        <v>34.145288106242944</v>
      </c>
      <c r="Z25" s="339">
        <f>INDEX('Volume adjustments'!$J$527:$Y$567,Z$17 + 1 + $H25*$H$28, Z$15)</f>
        <v>38.413449119523314</v>
      </c>
      <c r="AA25" s="339">
        <f>INDEX('Volume adjustments'!$J$527:$Y$567,AA$17 + 1 + $H25*$H$28, AA$15)</f>
        <v>294.50310991634535</v>
      </c>
      <c r="AB25" s="339">
        <f>INDEX('Volume adjustments'!$J$527:$Y$567,AB$17 + 1 + $H25*$H$28, AB$15)</f>
        <v>0</v>
      </c>
      <c r="AC25" s="339">
        <f>INDEX('Volume adjustments'!$J$527:$Y$567,AC$17 + 1 + $H25*$H$28, AC$15)</f>
        <v>2261.2124841732189</v>
      </c>
      <c r="AD25" s="339">
        <f>INDEX('Volume adjustments'!$J$527:$Y$567,AD$17 + 1 + $H25*$H$28, AD$15)</f>
        <v>1220.6903562725615</v>
      </c>
      <c r="AE25" s="339">
        <f>INDEX('Volume adjustments'!$J$527:$Y$567,AE$17 + 1 + $H25*$H$28, AE$15)</f>
        <v>299.60559324766018</v>
      </c>
      <c r="AF25" s="339">
        <f>INDEX('Volume adjustments'!$J$527:$Y$567,AF$17 + 1 + $H25*$H$28, AF$15)</f>
        <v>308.71522277208226</v>
      </c>
      <c r="AG25" s="339">
        <f>INDEX('Volume adjustments'!$J$527:$Y$567,AG$17 + 1 + $H25*$H$28, AG$15)</f>
        <v>29.475632524712577</v>
      </c>
      <c r="AH25" s="339">
        <f>INDEX('Volume adjustments'!$J$527:$Y$567,AH$17 + 1 + $H25*$H$28, AH$15)</f>
        <v>0</v>
      </c>
      <c r="AI25" s="339">
        <f>INDEX('Volume adjustments'!$J$527:$Y$567,AI$17 + 1 + $H25*$H$28, AI$15)</f>
        <v>0</v>
      </c>
      <c r="AJ25" s="339">
        <f>INDEX('Volume adjustments'!$J$527:$Y$567,AJ$17 + 1 + $H25*$H$28, AJ$15)</f>
        <v>654.93140614185506</v>
      </c>
      <c r="AK25" s="339">
        <f>INDEX('Volume adjustments'!$J$527:$Y$567,AK$17 + 1 + $H25*$H$28, AK$15)</f>
        <v>0</v>
      </c>
      <c r="AL25" s="339">
        <f>INDEX('Volume adjustments'!$J$527:$Y$567,AL$17 + 1 + $H25*$H$28, AL$15)</f>
        <v>27.058064434890188</v>
      </c>
      <c r="AM25" s="339">
        <f>INDEX('Volume adjustments'!$J$527:$Y$567,AM$17 + 1 + $H25*$H$28, AM$15)</f>
        <v>0</v>
      </c>
      <c r="AN25" s="339">
        <f>INDEX('Volume adjustments'!$J$527:$Y$567,AN$17 + 1 + $H25*$H$28, AN$15)</f>
        <v>316.31557457887271</v>
      </c>
      <c r="AO25" s="339">
        <f>INDEX('Volume adjustments'!$J$527:$Y$567,AO$17 + 1 + $H25*$H$28, AO$15)</f>
        <v>0</v>
      </c>
    </row>
    <row r="26" spans="1:43" x14ac:dyDescent="0.3">
      <c r="A26" s="320"/>
      <c r="E26" s="28"/>
      <c r="F26" s="72" t="s">
        <v>250</v>
      </c>
      <c r="G26" s="72" t="s">
        <v>251</v>
      </c>
      <c r="H26" s="376">
        <v>4</v>
      </c>
      <c r="J26" s="339">
        <f>INDEX('Volume adjustments'!$J$527:$Y$567,J$17 + 1 + $H26*$H$28, J$15)</f>
        <v>0</v>
      </c>
      <c r="K26" s="339">
        <f>INDEX('Volume adjustments'!$J$527:$Y$567,K$17 + 1 + $H26*$H$28, K$15)</f>
        <v>0</v>
      </c>
      <c r="L26" s="339">
        <f>INDEX('Volume adjustments'!$J$527:$Y$567,L$17 + 1 + $H26*$H$28, L$15)</f>
        <v>0</v>
      </c>
      <c r="M26" s="339">
        <f>INDEX('Volume adjustments'!$J$527:$Y$567,M$17 + 1 + $H26*$H$28, M$15)</f>
        <v>0</v>
      </c>
      <c r="N26" s="339">
        <f>INDEX('Volume adjustments'!$J$527:$Y$567,N$17 + 1 + $H26*$H$28, N$15)</f>
        <v>0</v>
      </c>
      <c r="O26" s="339">
        <f>INDEX('Volume adjustments'!$J$527:$Y$567,O$17 + 1 + $H26*$H$28, O$15)</f>
        <v>0</v>
      </c>
      <c r="P26" s="339">
        <f>INDEX('Volume adjustments'!$J$527:$Y$567,P$17 + 1 + $H26*$H$28, P$15)</f>
        <v>0</v>
      </c>
      <c r="Q26" s="339">
        <f>INDEX('Volume adjustments'!$J$527:$Y$567,Q$17 + 1 + $H26*$H$28, Q$15)</f>
        <v>0</v>
      </c>
      <c r="R26" s="339">
        <f>INDEX('Volume adjustments'!$J$527:$Y$567,R$17 + 1 + $H26*$H$28, R$15)</f>
        <v>0</v>
      </c>
      <c r="S26" s="339">
        <f>INDEX('Volume adjustments'!$J$527:$Y$567,S$17 + 1 + $H26*$H$28, S$15)</f>
        <v>280097.44685078936</v>
      </c>
      <c r="T26" s="339">
        <f>INDEX('Volume adjustments'!$J$527:$Y$567,T$17 + 1 + $H26*$H$28, T$15)</f>
        <v>590737.67677829985</v>
      </c>
      <c r="U26" s="339">
        <f>INDEX('Volume adjustments'!$J$527:$Y$567,U$17 + 1 + $H26*$H$28, U$15)</f>
        <v>328231.20060753607</v>
      </c>
      <c r="V26" s="339">
        <f>INDEX('Volume adjustments'!$J$527:$Y$567,V$17 + 1 + $H26*$H$28, V$15)</f>
        <v>336818.43192775827</v>
      </c>
      <c r="W26" s="339">
        <f>INDEX('Volume adjustments'!$J$527:$Y$567,W$17 + 1 + $H26*$H$28, W$15)</f>
        <v>0</v>
      </c>
      <c r="X26" s="339">
        <f>INDEX('Volume adjustments'!$J$527:$Y$567,X$17 + 1 + $H26*$H$28, X$15)</f>
        <v>437.55551930884275</v>
      </c>
      <c r="Y26" s="339">
        <f>INDEX('Volume adjustments'!$J$527:$Y$567,Y$17 + 1 + $H26*$H$28, Y$15)</f>
        <v>4357.8646747951016</v>
      </c>
      <c r="Z26" s="339">
        <f>INDEX('Volume adjustments'!$J$527:$Y$567,Z$17 + 1 + $H26*$H$28, Z$15)</f>
        <v>7959.9748765133081</v>
      </c>
      <c r="AA26" s="339">
        <f>INDEX('Volume adjustments'!$J$527:$Y$567,AA$17 + 1 + $H26*$H$28, AA$15)</f>
        <v>151572.09873412279</v>
      </c>
      <c r="AB26" s="339">
        <f>INDEX('Volume adjustments'!$J$527:$Y$567,AB$17 + 1 + $H26*$H$28, AB$15)</f>
        <v>0</v>
      </c>
      <c r="AC26" s="339">
        <f>INDEX('Volume adjustments'!$J$527:$Y$567,AC$17 + 1 + $H26*$H$28, AC$15)</f>
        <v>472871.2108175414</v>
      </c>
      <c r="AD26" s="339">
        <f>INDEX('Volume adjustments'!$J$527:$Y$567,AD$17 + 1 + $H26*$H$28, AD$15)</f>
        <v>782731.24384929566</v>
      </c>
      <c r="AE26" s="339">
        <f>INDEX('Volume adjustments'!$J$527:$Y$567,AE$17 + 1 + $H26*$H$28, AE$15)</f>
        <v>409021.37951980095</v>
      </c>
      <c r="AF26" s="339">
        <f>INDEX('Volume adjustments'!$J$527:$Y$567,AF$17 + 1 + $H26*$H$28, AF$15)</f>
        <v>1246221.8227586662</v>
      </c>
      <c r="AG26" s="339">
        <f>INDEX('Volume adjustments'!$J$527:$Y$567,AG$17 + 1 + $H26*$H$28, AG$15)</f>
        <v>0</v>
      </c>
      <c r="AH26" s="339">
        <f>INDEX('Volume adjustments'!$J$527:$Y$567,AH$17 + 1 + $H26*$H$28, AH$15)</f>
        <v>0</v>
      </c>
      <c r="AI26" s="339">
        <f>INDEX('Volume adjustments'!$J$527:$Y$567,AI$17 + 1 + $H26*$H$28, AI$15)</f>
        <v>0</v>
      </c>
      <c r="AJ26" s="339">
        <f>INDEX('Volume adjustments'!$J$527:$Y$567,AJ$17 + 1 + $H26*$H$28, AJ$15)</f>
        <v>0</v>
      </c>
      <c r="AK26" s="339">
        <f>INDEX('Volume adjustments'!$J$527:$Y$567,AK$17 + 1 + $H26*$H$28, AK$15)</f>
        <v>0</v>
      </c>
      <c r="AL26" s="339">
        <f>INDEX('Volume adjustments'!$J$527:$Y$567,AL$17 + 1 + $H26*$H$28, AL$15)</f>
        <v>0</v>
      </c>
      <c r="AM26" s="339">
        <f>INDEX('Volume adjustments'!$J$527:$Y$567,AM$17 + 1 + $H26*$H$28, AM$15)</f>
        <v>0</v>
      </c>
      <c r="AN26" s="339">
        <f>INDEX('Volume adjustments'!$J$527:$Y$567,AN$17 + 1 + $H26*$H$28, AN$15)</f>
        <v>0</v>
      </c>
      <c r="AO26" s="339">
        <f>INDEX('Volume adjustments'!$J$527:$Y$567,AO$17 + 1 + $H26*$H$28, AO$15)</f>
        <v>0</v>
      </c>
    </row>
    <row r="27" spans="1:43" x14ac:dyDescent="0.3">
      <c r="A27" s="320"/>
      <c r="E27" s="28"/>
      <c r="F27" s="72" t="s">
        <v>252</v>
      </c>
      <c r="G27" s="72" t="s">
        <v>251</v>
      </c>
      <c r="H27" s="376">
        <v>5</v>
      </c>
      <c r="J27" s="339">
        <f>INDEX('Volume adjustments'!$J$527:$Y$567,J$17 + 1 + $H27*$H$28, J$15)</f>
        <v>0</v>
      </c>
      <c r="K27" s="339">
        <f>INDEX('Volume adjustments'!$J$527:$Y$567,K$17 + 1 + $H27*$H$28, K$15)</f>
        <v>0</v>
      </c>
      <c r="L27" s="339">
        <f>INDEX('Volume adjustments'!$J$527:$Y$567,L$17 + 1 + $H27*$H$28, L$15)</f>
        <v>0</v>
      </c>
      <c r="M27" s="339">
        <f>INDEX('Volume adjustments'!$J$527:$Y$567,M$17 + 1 + $H27*$H$28, M$15)</f>
        <v>0</v>
      </c>
      <c r="N27" s="339">
        <f>INDEX('Volume adjustments'!$J$527:$Y$567,N$17 + 1 + $H27*$H$28, N$15)</f>
        <v>0</v>
      </c>
      <c r="O27" s="339">
        <f>INDEX('Volume adjustments'!$J$527:$Y$567,O$17 + 1 + $H27*$H$28, O$15)</f>
        <v>0</v>
      </c>
      <c r="P27" s="339">
        <f>INDEX('Volume adjustments'!$J$527:$Y$567,P$17 + 1 + $H27*$H$28, P$15)</f>
        <v>0</v>
      </c>
      <c r="Q27" s="339">
        <f>INDEX('Volume adjustments'!$J$527:$Y$567,Q$17 + 1 + $H27*$H$28, Q$15)</f>
        <v>0</v>
      </c>
      <c r="R27" s="339">
        <f>INDEX('Volume adjustments'!$J$527:$Y$567,R$17 + 1 + $H27*$H$28, R$15)</f>
        <v>0</v>
      </c>
      <c r="S27" s="339">
        <f>INDEX('Volume adjustments'!$J$527:$Y$567,S$17 + 1 + $H27*$H$28, S$15)</f>
        <v>5805.3349058088652</v>
      </c>
      <c r="T27" s="339">
        <f>INDEX('Volume adjustments'!$J$527:$Y$567,T$17 + 1 + $H27*$H$28, T$15)</f>
        <v>12243.703374434506</v>
      </c>
      <c r="U27" s="339">
        <f>INDEX('Volume adjustments'!$J$527:$Y$567,U$17 + 1 + $H27*$H$28, U$15)</f>
        <v>6802.9611390122927</v>
      </c>
      <c r="V27" s="339">
        <f>INDEX('Volume adjustments'!$J$527:$Y$567,V$17 + 1 + $H27*$H$28, V$15)</f>
        <v>6980.9411752034039</v>
      </c>
      <c r="W27" s="339">
        <f>INDEX('Volume adjustments'!$J$527:$Y$567,W$17 + 1 + $H27*$H$28, W$15)</f>
        <v>0</v>
      </c>
      <c r="X27" s="339">
        <f>INDEX('Volume adjustments'!$J$527:$Y$567,X$17 + 1 + $H27*$H$28, X$15)</f>
        <v>0.84134381716200657</v>
      </c>
      <c r="Y27" s="339">
        <f>INDEX('Volume adjustments'!$J$527:$Y$567,Y$17 + 1 + $H27*$H$28, Y$15)</f>
        <v>8.3794223552683675</v>
      </c>
      <c r="Z27" s="339">
        <f>INDEX('Volume adjustments'!$J$527:$Y$567,Z$17 + 1 + $H27*$H$28, Z$15)</f>
        <v>15.305659171430394</v>
      </c>
      <c r="AA27" s="339">
        <f>INDEX('Volume adjustments'!$J$527:$Y$567,AA$17 + 1 + $H27*$H$28, AA$15)</f>
        <v>291.44701071456973</v>
      </c>
      <c r="AB27" s="339">
        <f>INDEX('Volume adjustments'!$J$527:$Y$567,AB$17 + 1 + $H27*$H$28, AB$15)</f>
        <v>0</v>
      </c>
      <c r="AC27" s="339">
        <f>INDEX('Volume adjustments'!$J$527:$Y$567,AC$17 + 1 + $H27*$H$28, AC$15)</f>
        <v>6132.593033999502</v>
      </c>
      <c r="AD27" s="339">
        <f>INDEX('Volume adjustments'!$J$527:$Y$567,AD$17 + 1 + $H27*$H$28, AD$15)</f>
        <v>10151.119509316282</v>
      </c>
      <c r="AE27" s="339">
        <f>INDEX('Volume adjustments'!$J$527:$Y$567,AE$17 + 1 + $H27*$H$28, AE$15)</f>
        <v>5304.5345231808924</v>
      </c>
      <c r="AF27" s="339">
        <f>INDEX('Volume adjustments'!$J$527:$Y$567,AF$17 + 1 + $H27*$H$28, AF$15)</f>
        <v>16162.056590112155</v>
      </c>
      <c r="AG27" s="339">
        <f>INDEX('Volume adjustments'!$J$527:$Y$567,AG$17 + 1 + $H27*$H$28, AG$15)</f>
        <v>0</v>
      </c>
      <c r="AH27" s="339">
        <f>INDEX('Volume adjustments'!$J$527:$Y$567,AH$17 + 1 + $H27*$H$28, AH$15)</f>
        <v>0</v>
      </c>
      <c r="AI27" s="339">
        <f>INDEX('Volume adjustments'!$J$527:$Y$567,AI$17 + 1 + $H27*$H$28, AI$15)</f>
        <v>0</v>
      </c>
      <c r="AJ27" s="339">
        <f>INDEX('Volume adjustments'!$J$527:$Y$567,AJ$17 + 1 + $H27*$H$28, AJ$15)</f>
        <v>0</v>
      </c>
      <c r="AK27" s="339">
        <f>INDEX('Volume adjustments'!$J$527:$Y$567,AK$17 + 1 + $H27*$H$28, AK$15)</f>
        <v>0</v>
      </c>
      <c r="AL27" s="339">
        <f>INDEX('Volume adjustments'!$J$527:$Y$567,AL$17 + 1 + $H27*$H$28, AL$15)</f>
        <v>0</v>
      </c>
      <c r="AM27" s="339">
        <f>INDEX('Volume adjustments'!$J$527:$Y$567,AM$17 + 1 + $H27*$H$28, AM$15)</f>
        <v>0</v>
      </c>
      <c r="AN27" s="339">
        <f>INDEX('Volume adjustments'!$J$527:$Y$567,AN$17 + 1 + $H27*$H$28, AN$15)</f>
        <v>0</v>
      </c>
      <c r="AO27" s="339">
        <f>INDEX('Volume adjustments'!$J$527:$Y$567,AO$17 + 1 + $H27*$H$28, AO$15)</f>
        <v>0</v>
      </c>
    </row>
    <row r="28" spans="1:43" x14ac:dyDescent="0.3">
      <c r="A28" s="320"/>
      <c r="E28" s="28"/>
      <c r="F28" s="80" t="s">
        <v>253</v>
      </c>
      <c r="G28" s="80" t="s">
        <v>254</v>
      </c>
      <c r="H28" s="326">
        <v>6</v>
      </c>
      <c r="I28" s="37"/>
      <c r="J28" s="195">
        <f>INDEX('Volume adjustments'!$J$527:$Y$567,J$17 + 1 + $H28*$H$28, J$15)</f>
        <v>0</v>
      </c>
      <c r="K28" s="195">
        <f>INDEX('Volume adjustments'!$J$527:$Y$567,K$17 + 1 + $H28*$H$28, K$15)</f>
        <v>0</v>
      </c>
      <c r="L28" s="195">
        <f>INDEX('Volume adjustments'!$J$527:$Y$567,L$17 + 1 + $H28*$H$28, L$15)</f>
        <v>0</v>
      </c>
      <c r="M28" s="195">
        <f>INDEX('Volume adjustments'!$J$527:$Y$567,M$17 + 1 + $H28*$H$28, M$15)</f>
        <v>0</v>
      </c>
      <c r="N28" s="195">
        <f>INDEX('Volume adjustments'!$J$527:$Y$567,N$17 + 1 + $H28*$H$28, N$15)</f>
        <v>0</v>
      </c>
      <c r="O28" s="195">
        <f>INDEX('Volume adjustments'!$J$527:$Y$567,O$17 + 1 + $H28*$H$28, O$15)</f>
        <v>0</v>
      </c>
      <c r="P28" s="195">
        <f>INDEX('Volume adjustments'!$J$527:$Y$567,P$17 + 1 + $H28*$H$28, P$15)</f>
        <v>0</v>
      </c>
      <c r="Q28" s="195">
        <f>INDEX('Volume adjustments'!$J$527:$Y$567,Q$17 + 1 + $H28*$H$28, Q$15)</f>
        <v>0</v>
      </c>
      <c r="R28" s="195">
        <f>INDEX('Volume adjustments'!$J$527:$Y$567,R$17 + 1 + $H28*$H$28, R$15)</f>
        <v>0</v>
      </c>
      <c r="S28" s="195">
        <f>INDEX('Volume adjustments'!$J$527:$Y$567,S$17 + 1 + $H28*$H$28, S$15)</f>
        <v>70388.252001957808</v>
      </c>
      <c r="T28" s="195">
        <f>INDEX('Volume adjustments'!$J$527:$Y$567,T$17 + 1 + $H28*$H$28, T$15)</f>
        <v>105186.52814327805</v>
      </c>
      <c r="U28" s="195">
        <f>INDEX('Volume adjustments'!$J$527:$Y$567,U$17 + 1 + $H28*$H$28, U$15)</f>
        <v>56792.612618196406</v>
      </c>
      <c r="V28" s="195">
        <f>INDEX('Volume adjustments'!$J$527:$Y$567,V$17 + 1 + $H28*$H$28, V$15)</f>
        <v>55861.042833524734</v>
      </c>
      <c r="W28" s="195">
        <f>INDEX('Volume adjustments'!$J$527:$Y$567,W$17 + 1 + $H28*$H$28, W$15)</f>
        <v>0</v>
      </c>
      <c r="X28" s="195">
        <f>INDEX('Volume adjustments'!$J$527:$Y$567,X$17 + 1 + $H28*$H$28, X$15)</f>
        <v>120.35421296383187</v>
      </c>
      <c r="Y28" s="195">
        <f>INDEX('Volume adjustments'!$J$527:$Y$567,Y$17 + 1 + $H28*$H$28, Y$15)</f>
        <v>617.82968481987496</v>
      </c>
      <c r="Z28" s="195">
        <f>INDEX('Volume adjustments'!$J$527:$Y$567,Z$17 + 1 + $H28*$H$28, Z$15)</f>
        <v>1113.8457018916126</v>
      </c>
      <c r="AA28" s="195">
        <f>INDEX('Volume adjustments'!$J$527:$Y$567,AA$17 + 1 + $H28*$H$28, AA$15)</f>
        <v>12813.474597537663</v>
      </c>
      <c r="AB28" s="195">
        <f>INDEX('Volume adjustments'!$J$527:$Y$567,AB$17 + 1 + $H28*$H$28, AB$15)</f>
        <v>0</v>
      </c>
      <c r="AC28" s="195">
        <f>INDEX('Volume adjustments'!$J$527:$Y$567,AC$17 + 1 + $H28*$H$28, AC$15)</f>
        <v>106158.57836800472</v>
      </c>
      <c r="AD28" s="195">
        <f>INDEX('Volume adjustments'!$J$527:$Y$567,AD$17 + 1 + $H28*$H$28, AD$15)</f>
        <v>189371.71150865365</v>
      </c>
      <c r="AE28" s="195">
        <f>INDEX('Volume adjustments'!$J$527:$Y$567,AE$17 + 1 + $H28*$H$28, AE$15)</f>
        <v>103608.62249456655</v>
      </c>
      <c r="AF28" s="195">
        <f>INDEX('Volume adjustments'!$J$527:$Y$567,AF$17 + 1 + $H28*$H$28, AF$15)</f>
        <v>329326.9298743431</v>
      </c>
      <c r="AG28" s="195">
        <f>INDEX('Volume adjustments'!$J$527:$Y$567,AG$17 + 1 + $H28*$H$28, AG$15)</f>
        <v>0</v>
      </c>
      <c r="AH28" s="195">
        <f>INDEX('Volume adjustments'!$J$527:$Y$567,AH$17 + 1 + $H28*$H$28, AH$15)</f>
        <v>0</v>
      </c>
      <c r="AI28" s="195">
        <f>INDEX('Volume adjustments'!$J$527:$Y$567,AI$17 + 1 + $H28*$H$28, AI$15)</f>
        <v>0</v>
      </c>
      <c r="AJ28" s="195">
        <f>INDEX('Volume adjustments'!$J$527:$Y$567,AJ$17 + 1 + $H28*$H$28, AJ$15)</f>
        <v>3604.9287740861882</v>
      </c>
      <c r="AK28" s="195">
        <f>INDEX('Volume adjustments'!$J$527:$Y$567,AK$17 + 1 + $H28*$H$28, AK$15)</f>
        <v>0</v>
      </c>
      <c r="AL28" s="195">
        <f>INDEX('Volume adjustments'!$J$527:$Y$567,AL$17 + 1 + $H28*$H$28, AL$15)</f>
        <v>199.32917063675237</v>
      </c>
      <c r="AM28" s="195">
        <f>INDEX('Volume adjustments'!$J$527:$Y$567,AM$17 + 1 + $H28*$H$28, AM$15)</f>
        <v>0</v>
      </c>
      <c r="AN28" s="195">
        <f>INDEX('Volume adjustments'!$J$527:$Y$567,AN$17 + 1 + $H28*$H$28, AN$15)</f>
        <v>26105.589426777409</v>
      </c>
      <c r="AO28" s="195">
        <f>INDEX('Volume adjustments'!$J$527:$Y$567,AO$17 + 1 + $H28*$H$28, AO$15)</f>
        <v>0</v>
      </c>
    </row>
    <row r="29" spans="1:43" s="260" customFormat="1" x14ac:dyDescent="0.3">
      <c r="A29" s="377"/>
      <c r="E29" s="264"/>
      <c r="F29" s="235"/>
      <c r="G29" s="23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65"/>
      <c r="AL29" s="265"/>
      <c r="AM29" s="265"/>
      <c r="AN29" s="265"/>
      <c r="AO29" s="265"/>
    </row>
    <row r="30" spans="1:43" x14ac:dyDescent="0.3">
      <c r="A30" s="320"/>
      <c r="E30" s="32" t="s">
        <v>255</v>
      </c>
      <c r="F30" s="352"/>
      <c r="G30" s="352"/>
      <c r="H30" s="311"/>
      <c r="I30" s="311" t="s">
        <v>154</v>
      </c>
      <c r="J30" s="403"/>
      <c r="K30" s="403"/>
      <c r="L30" s="403"/>
      <c r="M30" s="403"/>
      <c r="N30" s="403"/>
      <c r="O30" s="403"/>
      <c r="P30" s="403"/>
      <c r="Q30" s="403"/>
      <c r="R30" s="403"/>
      <c r="S30" s="403"/>
      <c r="T30" s="403"/>
      <c r="U30" s="403"/>
      <c r="V30" s="403"/>
      <c r="W30" s="403"/>
      <c r="X30" s="403"/>
      <c r="Y30" s="403"/>
      <c r="Z30" s="403"/>
      <c r="AA30" s="403"/>
      <c r="AB30" s="403"/>
      <c r="AC30" s="403"/>
      <c r="AD30" s="403"/>
      <c r="AE30" s="403"/>
      <c r="AF30" s="403"/>
      <c r="AG30" s="403"/>
      <c r="AH30" s="403"/>
      <c r="AI30" s="403"/>
      <c r="AJ30" s="403"/>
      <c r="AK30" s="403"/>
      <c r="AL30" s="403"/>
      <c r="AM30" s="403"/>
      <c r="AN30" s="403"/>
      <c r="AO30" s="403"/>
      <c r="AQ30" t="s">
        <v>246</v>
      </c>
    </row>
    <row r="31" spans="1:43" x14ac:dyDescent="0.3">
      <c r="A31" s="320"/>
      <c r="E31" s="32"/>
      <c r="F31" s="405" t="s">
        <v>1039</v>
      </c>
      <c r="G31" s="311"/>
      <c r="H31" s="311"/>
      <c r="I31" s="311"/>
      <c r="J31" s="311"/>
      <c r="K31" s="311"/>
      <c r="L31" s="311"/>
      <c r="M31" s="311"/>
      <c r="N31" s="311"/>
      <c r="O31" s="311"/>
      <c r="P31" s="311"/>
      <c r="Q31" s="311"/>
      <c r="R31" s="311"/>
      <c r="S31" s="311"/>
      <c r="T31" s="311"/>
      <c r="U31" s="311"/>
      <c r="V31" s="311"/>
      <c r="W31" s="311"/>
      <c r="X31" s="311"/>
      <c r="Y31" s="311"/>
      <c r="Z31" s="311"/>
      <c r="AA31" s="311"/>
      <c r="AB31" s="311"/>
      <c r="AC31" s="311"/>
      <c r="AD31" s="311"/>
      <c r="AE31" s="311"/>
      <c r="AF31" s="311"/>
      <c r="AG31" s="311"/>
      <c r="AH31" s="311"/>
      <c r="AI31" s="311"/>
      <c r="AJ31" s="311"/>
      <c r="AK31" s="311"/>
      <c r="AL31" s="311"/>
      <c r="AM31" s="311"/>
      <c r="AN31" s="311"/>
      <c r="AO31" s="311"/>
    </row>
    <row r="32" spans="1:43" x14ac:dyDescent="0.3">
      <c r="A32" s="320"/>
      <c r="E32" s="32"/>
      <c r="F32" s="404" t="s">
        <v>1035</v>
      </c>
      <c r="G32" s="37"/>
    </row>
    <row r="33" spans="1:43" x14ac:dyDescent="0.3">
      <c r="A33" s="320"/>
      <c r="F33" s="72" t="s">
        <v>247</v>
      </c>
      <c r="G33" s="72" t="s">
        <v>207</v>
      </c>
      <c r="H33" s="325">
        <v>0</v>
      </c>
      <c r="I33" s="23"/>
      <c r="J33" s="193">
        <f>INDEX('Volume adjustments'!$J$571:$Y$611,J$17 + 1 + $H33*$H$39, J$15)</f>
        <v>11244.916691828073</v>
      </c>
      <c r="K33" s="193">
        <f>INDEX('Volume adjustments'!$J$571:$Y$611,K$17 + 1 + $H33*$H$39, K$15)</f>
        <v>0</v>
      </c>
      <c r="L33" s="193">
        <f>INDEX('Volume adjustments'!$J$571:$Y$611,L$17 + 1 + $H33*$H$39, L$15)</f>
        <v>0</v>
      </c>
      <c r="M33" s="193">
        <f>INDEX('Volume adjustments'!$J$571:$Y$611,M$17 + 1 + $H33*$H$39, M$15)</f>
        <v>25.345746314499099</v>
      </c>
      <c r="N33" s="193">
        <f>INDEX('Volume adjustments'!$J$571:$Y$611,N$17 + 1 + $H33*$H$39, N$15)</f>
        <v>106.38292269517217</v>
      </c>
      <c r="O33" s="193">
        <f>INDEX('Volume adjustments'!$J$571:$Y$611,O$17 + 1 + $H33*$H$39, O$15)</f>
        <v>134.96696759323282</v>
      </c>
      <c r="P33" s="193">
        <f>INDEX('Volume adjustments'!$J$571:$Y$611,P$17 + 1 + $H33*$H$39, P$15)</f>
        <v>435.09185224411988</v>
      </c>
      <c r="Q33" s="193">
        <f>INDEX('Volume adjustments'!$J$571:$Y$611,Q$17 + 1 + $H33*$H$39, Q$15)</f>
        <v>0</v>
      </c>
      <c r="R33" s="193">
        <f>INDEX('Volume adjustments'!$J$571:$Y$611,R$17 + 1 + $H33*$H$39, R$15)</f>
        <v>0</v>
      </c>
      <c r="S33" s="193">
        <f>INDEX('Volume adjustments'!$J$571:$Y$611,S$17 + 1 + $H33*$H$39, S$15)</f>
        <v>554.5724790936348</v>
      </c>
      <c r="T33" s="193">
        <f>INDEX('Volume adjustments'!$J$571:$Y$611,T$17 + 1 + $H33*$H$39, T$15)</f>
        <v>828.73991071759519</v>
      </c>
      <c r="U33" s="193">
        <f>INDEX('Volume adjustments'!$J$571:$Y$611,U$17 + 1 + $H33*$H$39, U$15)</f>
        <v>447.45563468462888</v>
      </c>
      <c r="V33" s="193">
        <f>INDEX('Volume adjustments'!$J$571:$Y$611,V$17 + 1 + $H33*$H$39, V$15)</f>
        <v>440.11601549761281</v>
      </c>
      <c r="W33" s="193">
        <f>INDEX('Volume adjustments'!$J$571:$Y$611,W$17 + 1 + $H33*$H$39, W$15)</f>
        <v>0</v>
      </c>
      <c r="X33" s="193">
        <f>INDEX('Volume adjustments'!$J$571:$Y$611,X$17 + 1 + $H33*$H$39, X$15)</f>
        <v>0</v>
      </c>
      <c r="Y33" s="193">
        <f>INDEX('Volume adjustments'!$J$571:$Y$611,Y$17 + 1 + $H33*$H$39, Y$15)</f>
        <v>0</v>
      </c>
      <c r="Z33" s="193">
        <f>INDEX('Volume adjustments'!$J$571:$Y$611,Z$17 + 1 + $H33*$H$39, Z$15)</f>
        <v>0</v>
      </c>
      <c r="AA33" s="193">
        <f>INDEX('Volume adjustments'!$J$571:$Y$611,AA$17 + 1 + $H33*$H$39, AA$15)</f>
        <v>0</v>
      </c>
      <c r="AB33" s="193">
        <f>INDEX('Volume adjustments'!$J$571:$Y$611,AB$17 + 1 + $H33*$H$39, AB$15)</f>
        <v>0</v>
      </c>
      <c r="AC33" s="193">
        <f>INDEX('Volume adjustments'!$J$571:$Y$611,AC$17 + 1 + $H33*$H$39, AC$15)</f>
        <v>0</v>
      </c>
      <c r="AD33" s="193">
        <f>INDEX('Volume adjustments'!$J$571:$Y$611,AD$17 + 1 + $H33*$H$39, AD$15)</f>
        <v>0</v>
      </c>
      <c r="AE33" s="193">
        <f>INDEX('Volume adjustments'!$J$571:$Y$611,AE$17 + 1 + $H33*$H$39, AE$15)</f>
        <v>0</v>
      </c>
      <c r="AF33" s="193">
        <f>INDEX('Volume adjustments'!$J$571:$Y$611,AF$17 + 1 + $H33*$H$39, AF$15)</f>
        <v>0</v>
      </c>
      <c r="AG33" s="193">
        <f>INDEX('Volume adjustments'!$J$571:$Y$611,AG$17 + 1 + $H33*$H$39, AG$15)</f>
        <v>4.4788941885141398</v>
      </c>
      <c r="AH33" s="193">
        <f>INDEX('Volume adjustments'!$J$571:$Y$611,AH$17 + 1 + $H33*$H$39, AH$15)</f>
        <v>1.4162400381651923</v>
      </c>
      <c r="AI33" s="193">
        <f>INDEX('Volume adjustments'!$J$571:$Y$611,AI$17 + 1 + $H33*$H$39, AI$15)</f>
        <v>0</v>
      </c>
      <c r="AJ33" s="193">
        <f>INDEX('Volume adjustments'!$J$571:$Y$611,AJ$17 + 1 + $H33*$H$39, AJ$15)</f>
        <v>0</v>
      </c>
      <c r="AK33" s="193">
        <f>INDEX('Volume adjustments'!$J$571:$Y$611,AK$17 + 1 + $H33*$H$39, AK$15)</f>
        <v>0</v>
      </c>
      <c r="AL33" s="193">
        <f>INDEX('Volume adjustments'!$J$571:$Y$611,AL$17 + 1 + $H33*$H$39, AL$15)</f>
        <v>0</v>
      </c>
      <c r="AM33" s="193">
        <f>INDEX('Volume adjustments'!$J$571:$Y$611,AM$17 + 1 + $H33*$H$39, AM$15)</f>
        <v>0</v>
      </c>
      <c r="AN33" s="193">
        <f>INDEX('Volume adjustments'!$J$571:$Y$611,AN$17 + 1 + $H33*$H$39, AN$15)</f>
        <v>0</v>
      </c>
      <c r="AO33" s="193">
        <f>INDEX('Volume adjustments'!$J$571:$Y$611,AO$17 + 1 + $H33*$H$39, AO$15)</f>
        <v>0</v>
      </c>
    </row>
    <row r="34" spans="1:43" x14ac:dyDescent="0.3">
      <c r="A34" s="320"/>
      <c r="E34" s="28"/>
      <c r="F34" s="72" t="s">
        <v>248</v>
      </c>
      <c r="G34" s="72" t="s">
        <v>207</v>
      </c>
      <c r="H34" s="376">
        <v>1</v>
      </c>
      <c r="J34" s="339">
        <f>INDEX('Volume adjustments'!$J$571:$Y$611,J$17 + 1 + $H34*$H$39, J$15)</f>
        <v>31905.391196577795</v>
      </c>
      <c r="K34" s="339">
        <f>INDEX('Volume adjustments'!$J$571:$Y$611,K$17 + 1 + $H34*$H$39, K$15)</f>
        <v>0</v>
      </c>
      <c r="L34" s="339">
        <f>INDEX('Volume adjustments'!$J$571:$Y$611,L$17 + 1 + $H34*$H$39, L$15)</f>
        <v>0</v>
      </c>
      <c r="M34" s="339">
        <f>INDEX('Volume adjustments'!$J$571:$Y$611,M$17 + 1 + $H34*$H$39, M$15)</f>
        <v>108.92045730750806</v>
      </c>
      <c r="N34" s="339">
        <f>INDEX('Volume adjustments'!$J$571:$Y$611,N$17 + 1 + $H34*$H$39, N$15)</f>
        <v>457.16849075534611</v>
      </c>
      <c r="O34" s="339">
        <f>INDEX('Volume adjustments'!$J$571:$Y$611,O$17 + 1 + $H34*$H$39, O$15)</f>
        <v>580.00516730702805</v>
      </c>
      <c r="P34" s="339">
        <f>INDEX('Volume adjustments'!$J$571:$Y$611,P$17 + 1 + $H34*$H$39, P$15)</f>
        <v>1869.7576677823238</v>
      </c>
      <c r="Q34" s="339">
        <f>INDEX('Volume adjustments'!$J$571:$Y$611,Q$17 + 1 + $H34*$H$39, Q$15)</f>
        <v>0</v>
      </c>
      <c r="R34" s="339">
        <f>INDEX('Volume adjustments'!$J$571:$Y$611,R$17 + 1 + $H34*$H$39, R$15)</f>
        <v>0</v>
      </c>
      <c r="S34" s="339">
        <f>INDEX('Volume adjustments'!$J$571:$Y$611,S$17 + 1 + $H34*$H$39, S$15)</f>
        <v>2064.9906269954017</v>
      </c>
      <c r="T34" s="339">
        <f>INDEX('Volume adjustments'!$J$571:$Y$611,T$17 + 1 + $H34*$H$39, T$15)</f>
        <v>3085.8728342339809</v>
      </c>
      <c r="U34" s="339">
        <f>INDEX('Volume adjustments'!$J$571:$Y$611,U$17 + 1 + $H34*$H$39, U$15)</f>
        <v>1666.1333305434889</v>
      </c>
      <c r="V34" s="339">
        <f>INDEX('Volume adjustments'!$J$571:$Y$611,V$17 + 1 + $H34*$H$39, V$15)</f>
        <v>1638.8037290968496</v>
      </c>
      <c r="W34" s="339">
        <f>INDEX('Volume adjustments'!$J$571:$Y$611,W$17 + 1 + $H34*$H$39, W$15)</f>
        <v>0</v>
      </c>
      <c r="X34" s="339">
        <f>INDEX('Volume adjustments'!$J$571:$Y$611,X$17 + 1 + $H34*$H$39, X$15)</f>
        <v>0</v>
      </c>
      <c r="Y34" s="339">
        <f>INDEX('Volume adjustments'!$J$571:$Y$611,Y$17 + 1 + $H34*$H$39, Y$15)</f>
        <v>0</v>
      </c>
      <c r="Z34" s="339">
        <f>INDEX('Volume adjustments'!$J$571:$Y$611,Z$17 + 1 + $H34*$H$39, Z$15)</f>
        <v>0</v>
      </c>
      <c r="AA34" s="339">
        <f>INDEX('Volume adjustments'!$J$571:$Y$611,AA$17 + 1 + $H34*$H$39, AA$15)</f>
        <v>0</v>
      </c>
      <c r="AB34" s="339">
        <f>INDEX('Volume adjustments'!$J$571:$Y$611,AB$17 + 1 + $H34*$H$39, AB$15)</f>
        <v>0</v>
      </c>
      <c r="AC34" s="339">
        <f>INDEX('Volume adjustments'!$J$571:$Y$611,AC$17 + 1 + $H34*$H$39, AC$15)</f>
        <v>0</v>
      </c>
      <c r="AD34" s="339">
        <f>INDEX('Volume adjustments'!$J$571:$Y$611,AD$17 + 1 + $H34*$H$39, AD$15)</f>
        <v>0</v>
      </c>
      <c r="AE34" s="339">
        <f>INDEX('Volume adjustments'!$J$571:$Y$611,AE$17 + 1 + $H34*$H$39, AE$15)</f>
        <v>0</v>
      </c>
      <c r="AF34" s="339">
        <f>INDEX('Volume adjustments'!$J$571:$Y$611,AF$17 + 1 + $H34*$H$39, AF$15)</f>
        <v>0</v>
      </c>
      <c r="AG34" s="339">
        <f>INDEX('Volume adjustments'!$J$571:$Y$611,AG$17 + 1 + $H34*$H$39, AG$15)</f>
        <v>207.65367753570459</v>
      </c>
      <c r="AH34" s="339">
        <f>INDEX('Volume adjustments'!$J$571:$Y$611,AH$17 + 1 + $H34*$H$39, AH$15)</f>
        <v>7.6951102681025541</v>
      </c>
      <c r="AI34" s="339">
        <f>INDEX('Volume adjustments'!$J$571:$Y$611,AI$17 + 1 + $H34*$H$39, AI$15)</f>
        <v>0</v>
      </c>
      <c r="AJ34" s="339">
        <f>INDEX('Volume adjustments'!$J$571:$Y$611,AJ$17 + 1 + $H34*$H$39, AJ$15)</f>
        <v>0</v>
      </c>
      <c r="AK34" s="339">
        <f>INDEX('Volume adjustments'!$J$571:$Y$611,AK$17 + 1 + $H34*$H$39, AK$15)</f>
        <v>0</v>
      </c>
      <c r="AL34" s="339">
        <f>INDEX('Volume adjustments'!$J$571:$Y$611,AL$17 + 1 + $H34*$H$39, AL$15)</f>
        <v>0</v>
      </c>
      <c r="AM34" s="339">
        <f>INDEX('Volume adjustments'!$J$571:$Y$611,AM$17 + 1 + $H34*$H$39, AM$15)</f>
        <v>0</v>
      </c>
      <c r="AN34" s="339">
        <f>INDEX('Volume adjustments'!$J$571:$Y$611,AN$17 + 1 + $H34*$H$39, AN$15)</f>
        <v>0</v>
      </c>
      <c r="AO34" s="339">
        <f>INDEX('Volume adjustments'!$J$571:$Y$611,AO$17 + 1 + $H34*$H$39, AO$15)</f>
        <v>0</v>
      </c>
    </row>
    <row r="35" spans="1:43" x14ac:dyDescent="0.3">
      <c r="A35" s="320"/>
      <c r="E35" s="28"/>
      <c r="F35" s="72" t="s">
        <v>249</v>
      </c>
      <c r="G35" s="72" t="s">
        <v>207</v>
      </c>
      <c r="H35" s="376">
        <v>2</v>
      </c>
      <c r="J35" s="339">
        <f>INDEX('Volume adjustments'!$J$571:$Y$611,J$17 + 1 + $H35*$H$39, J$15)</f>
        <v>49515.527633638289</v>
      </c>
      <c r="K35" s="339">
        <f>INDEX('Volume adjustments'!$J$571:$Y$611,K$17 + 1 + $H35*$H$39, K$15)</f>
        <v>0</v>
      </c>
      <c r="L35" s="339">
        <f>INDEX('Volume adjustments'!$J$571:$Y$611,L$17 + 1 + $H35*$H$39, L$15)</f>
        <v>0</v>
      </c>
      <c r="M35" s="339">
        <f>INDEX('Volume adjustments'!$J$571:$Y$611,M$17 + 1 + $H35*$H$39, M$15)</f>
        <v>107.1605759851722</v>
      </c>
      <c r="N35" s="339">
        <f>INDEX('Volume adjustments'!$J$571:$Y$611,N$17 + 1 + $H35*$H$39, N$15)</f>
        <v>449.78179492308999</v>
      </c>
      <c r="O35" s="339">
        <f>INDEX('Volume adjustments'!$J$571:$Y$611,O$17 + 1 + $H35*$H$39, O$15)</f>
        <v>570.63373896349719</v>
      </c>
      <c r="P35" s="339">
        <f>INDEX('Volume adjustments'!$J$571:$Y$611,P$17 + 1 + $H35*$H$39, P$15)</f>
        <v>1839.54707485822</v>
      </c>
      <c r="Q35" s="339">
        <f>INDEX('Volume adjustments'!$J$571:$Y$611,Q$17 + 1 + $H35*$H$39, Q$15)</f>
        <v>0</v>
      </c>
      <c r="R35" s="339">
        <f>INDEX('Volume adjustments'!$J$571:$Y$611,R$17 + 1 + $H35*$H$39, R$15)</f>
        <v>0</v>
      </c>
      <c r="S35" s="339">
        <f>INDEX('Volume adjustments'!$J$571:$Y$611,S$17 + 1 + $H35*$H$39, S$15)</f>
        <v>2862.7335648077615</v>
      </c>
      <c r="T35" s="339">
        <f>INDEX('Volume adjustments'!$J$571:$Y$611,T$17 + 1 + $H35*$H$39, T$15)</f>
        <v>4278.0008895942292</v>
      </c>
      <c r="U35" s="339">
        <f>INDEX('Volume adjustments'!$J$571:$Y$611,U$17 + 1 + $H35*$H$39, U$15)</f>
        <v>2309.7905367889166</v>
      </c>
      <c r="V35" s="339">
        <f>INDEX('Volume adjustments'!$J$571:$Y$611,V$17 + 1 + $H35*$H$39, V$15)</f>
        <v>2271.9030198426772</v>
      </c>
      <c r="W35" s="339">
        <f>INDEX('Volume adjustments'!$J$571:$Y$611,W$17 + 1 + $H35*$H$39, W$15)</f>
        <v>0</v>
      </c>
      <c r="X35" s="339">
        <f>INDEX('Volume adjustments'!$J$571:$Y$611,X$17 + 1 + $H35*$H$39, X$15)</f>
        <v>0</v>
      </c>
      <c r="Y35" s="339">
        <f>INDEX('Volume adjustments'!$J$571:$Y$611,Y$17 + 1 + $H35*$H$39, Y$15)</f>
        <v>0</v>
      </c>
      <c r="Z35" s="339">
        <f>INDEX('Volume adjustments'!$J$571:$Y$611,Z$17 + 1 + $H35*$H$39, Z$15)</f>
        <v>0</v>
      </c>
      <c r="AA35" s="339">
        <f>INDEX('Volume adjustments'!$J$571:$Y$611,AA$17 + 1 + $H35*$H$39, AA$15)</f>
        <v>0</v>
      </c>
      <c r="AB35" s="339">
        <f>INDEX('Volume adjustments'!$J$571:$Y$611,AB$17 + 1 + $H35*$H$39, AB$15)</f>
        <v>0</v>
      </c>
      <c r="AC35" s="339">
        <f>INDEX('Volume adjustments'!$J$571:$Y$611,AC$17 + 1 + $H35*$H$39, AC$15)</f>
        <v>0</v>
      </c>
      <c r="AD35" s="339">
        <f>INDEX('Volume adjustments'!$J$571:$Y$611,AD$17 + 1 + $H35*$H$39, AD$15)</f>
        <v>0</v>
      </c>
      <c r="AE35" s="339">
        <f>INDEX('Volume adjustments'!$J$571:$Y$611,AE$17 + 1 + $H35*$H$39, AE$15)</f>
        <v>0</v>
      </c>
      <c r="AF35" s="339">
        <f>INDEX('Volume adjustments'!$J$571:$Y$611,AF$17 + 1 + $H35*$H$39, AF$15)</f>
        <v>0</v>
      </c>
      <c r="AG35" s="339">
        <f>INDEX('Volume adjustments'!$J$571:$Y$611,AG$17 + 1 + $H35*$H$39, AG$15)</f>
        <v>324.70153315126709</v>
      </c>
      <c r="AH35" s="339">
        <f>INDEX('Volume adjustments'!$J$571:$Y$611,AH$17 + 1 + $H35*$H$39, AH$15)</f>
        <v>3.9412575596031192</v>
      </c>
      <c r="AI35" s="339">
        <f>INDEX('Volume adjustments'!$J$571:$Y$611,AI$17 + 1 + $H35*$H$39, AI$15)</f>
        <v>0</v>
      </c>
      <c r="AJ35" s="339">
        <f>INDEX('Volume adjustments'!$J$571:$Y$611,AJ$17 + 1 + $H35*$H$39, AJ$15)</f>
        <v>0</v>
      </c>
      <c r="AK35" s="339">
        <f>INDEX('Volume adjustments'!$J$571:$Y$611,AK$17 + 1 + $H35*$H$39, AK$15)</f>
        <v>0</v>
      </c>
      <c r="AL35" s="339">
        <f>INDEX('Volume adjustments'!$J$571:$Y$611,AL$17 + 1 + $H35*$H$39, AL$15)</f>
        <v>0</v>
      </c>
      <c r="AM35" s="339">
        <f>INDEX('Volume adjustments'!$J$571:$Y$611,AM$17 + 1 + $H35*$H$39, AM$15)</f>
        <v>0</v>
      </c>
      <c r="AN35" s="339">
        <f>INDEX('Volume adjustments'!$J$571:$Y$611,AN$17 + 1 + $H35*$H$39, AN$15)</f>
        <v>0</v>
      </c>
      <c r="AO35" s="339">
        <f>INDEX('Volume adjustments'!$J$571:$Y$611,AO$17 + 1 + $H35*$H$39, AO$15)</f>
        <v>0</v>
      </c>
    </row>
    <row r="36" spans="1:43" x14ac:dyDescent="0.3">
      <c r="A36" s="320"/>
      <c r="E36" s="28"/>
      <c r="F36" s="72" t="s">
        <v>212</v>
      </c>
      <c r="G36" s="72" t="s">
        <v>212</v>
      </c>
      <c r="H36" s="376">
        <v>3</v>
      </c>
      <c r="J36" s="339">
        <f>INDEX('Volume adjustments'!$J$571:$Y$611,J$17 + 1 + $H36*$H$39, J$15)</f>
        <v>30904.405938754266</v>
      </c>
      <c r="K36" s="339">
        <f>INDEX('Volume adjustments'!$J$571:$Y$611,K$17 + 1 + $H36*$H$39, K$15)</f>
        <v>0</v>
      </c>
      <c r="L36" s="339">
        <f>INDEX('Volume adjustments'!$J$571:$Y$611,L$17 + 1 + $H36*$H$39, L$15)</f>
        <v>0</v>
      </c>
      <c r="M36" s="339">
        <f>INDEX('Volume adjustments'!$J$571:$Y$611,M$17 + 1 + $H36*$H$39, M$15)</f>
        <v>204.13858265677618</v>
      </c>
      <c r="N36" s="339">
        <f>INDEX('Volume adjustments'!$J$571:$Y$611,N$17 + 1 + $H36*$H$39, N$15)</f>
        <v>154.06100263136565</v>
      </c>
      <c r="O36" s="339">
        <f>INDEX('Volume adjustments'!$J$571:$Y$611,O$17 + 1 + $H36*$H$39, O$15)</f>
        <v>79.707125997892078</v>
      </c>
      <c r="P36" s="339">
        <f>INDEX('Volume adjustments'!$J$571:$Y$611,P$17 + 1 + $H36*$H$39, P$15)</f>
        <v>79.68415067873147</v>
      </c>
      <c r="Q36" s="339">
        <f>INDEX('Volume adjustments'!$J$571:$Y$611,Q$17 + 1 + $H36*$H$39, Q$15)</f>
        <v>0</v>
      </c>
      <c r="R36" s="339">
        <f>INDEX('Volume adjustments'!$J$571:$Y$611,R$17 + 1 + $H36*$H$39, R$15)</f>
        <v>0</v>
      </c>
      <c r="S36" s="339">
        <f>INDEX('Volume adjustments'!$J$571:$Y$611,S$17 + 1 + $H36*$H$39, S$15)</f>
        <v>39.077594674274273</v>
      </c>
      <c r="T36" s="339">
        <f>INDEX('Volume adjustments'!$J$571:$Y$611,T$17 + 1 + $H36*$H$39, T$15)</f>
        <v>31.608072022774834</v>
      </c>
      <c r="U36" s="339">
        <f>INDEX('Volume adjustments'!$J$571:$Y$611,U$17 + 1 + $H36*$H$39, U$15)</f>
        <v>11.016921368933966</v>
      </c>
      <c r="V36" s="339">
        <f>INDEX('Volume adjustments'!$J$571:$Y$611,V$17 + 1 + $H36*$H$39, V$15)</f>
        <v>6.9449073482168764</v>
      </c>
      <c r="W36" s="339">
        <f>INDEX('Volume adjustments'!$J$571:$Y$611,W$17 + 1 + $H36*$H$39, W$15)</f>
        <v>0</v>
      </c>
      <c r="X36" s="339">
        <f>INDEX('Volume adjustments'!$J$571:$Y$611,X$17 + 1 + $H36*$H$39, X$15)</f>
        <v>0</v>
      </c>
      <c r="Y36" s="339">
        <f>INDEX('Volume adjustments'!$J$571:$Y$611,Y$17 + 1 + $H36*$H$39, Y$15)</f>
        <v>0</v>
      </c>
      <c r="Z36" s="339">
        <f>INDEX('Volume adjustments'!$J$571:$Y$611,Z$17 + 1 + $H36*$H$39, Z$15)</f>
        <v>0</v>
      </c>
      <c r="AA36" s="339">
        <f>INDEX('Volume adjustments'!$J$571:$Y$611,AA$17 + 1 + $H36*$H$39, AA$15)</f>
        <v>0</v>
      </c>
      <c r="AB36" s="339">
        <f>INDEX('Volume adjustments'!$J$571:$Y$611,AB$17 + 1 + $H36*$H$39, AB$15)</f>
        <v>0</v>
      </c>
      <c r="AC36" s="339">
        <f>INDEX('Volume adjustments'!$J$571:$Y$611,AC$17 + 1 + $H36*$H$39, AC$15)</f>
        <v>0</v>
      </c>
      <c r="AD36" s="339">
        <f>INDEX('Volume adjustments'!$J$571:$Y$611,AD$17 + 1 + $H36*$H$39, AD$15)</f>
        <v>0</v>
      </c>
      <c r="AE36" s="339">
        <f>INDEX('Volume adjustments'!$J$571:$Y$611,AE$17 + 1 + $H36*$H$39, AE$15)</f>
        <v>0</v>
      </c>
      <c r="AF36" s="339">
        <f>INDEX('Volume adjustments'!$J$571:$Y$611,AF$17 + 1 + $H36*$H$39, AF$15)</f>
        <v>0</v>
      </c>
      <c r="AG36" s="339">
        <f>INDEX('Volume adjustments'!$J$571:$Y$611,AG$17 + 1 + $H36*$H$39, AG$15)</f>
        <v>0</v>
      </c>
      <c r="AH36" s="339">
        <f>INDEX('Volume adjustments'!$J$571:$Y$611,AH$17 + 1 + $H36*$H$39, AH$15)</f>
        <v>0</v>
      </c>
      <c r="AI36" s="339">
        <f>INDEX('Volume adjustments'!$J$571:$Y$611,AI$17 + 1 + $H36*$H$39, AI$15)</f>
        <v>0</v>
      </c>
      <c r="AJ36" s="339">
        <f>INDEX('Volume adjustments'!$J$571:$Y$611,AJ$17 + 1 + $H36*$H$39, AJ$15)</f>
        <v>0</v>
      </c>
      <c r="AK36" s="339">
        <f>INDEX('Volume adjustments'!$J$571:$Y$611,AK$17 + 1 + $H36*$H$39, AK$15)</f>
        <v>0</v>
      </c>
      <c r="AL36" s="339">
        <f>INDEX('Volume adjustments'!$J$571:$Y$611,AL$17 + 1 + $H36*$H$39, AL$15)</f>
        <v>0</v>
      </c>
      <c r="AM36" s="339">
        <f>INDEX('Volume adjustments'!$J$571:$Y$611,AM$17 + 1 + $H36*$H$39, AM$15)</f>
        <v>0</v>
      </c>
      <c r="AN36" s="339">
        <f>INDEX('Volume adjustments'!$J$571:$Y$611,AN$17 + 1 + $H36*$H$39, AN$15)</f>
        <v>0</v>
      </c>
      <c r="AO36" s="339">
        <f>INDEX('Volume adjustments'!$J$571:$Y$611,AO$17 + 1 + $H36*$H$39, AO$15)</f>
        <v>0</v>
      </c>
    </row>
    <row r="37" spans="1:43" x14ac:dyDescent="0.3">
      <c r="A37" s="320"/>
      <c r="E37" s="28"/>
      <c r="F37" s="72" t="s">
        <v>250</v>
      </c>
      <c r="G37" s="72" t="s">
        <v>251</v>
      </c>
      <c r="H37" s="376">
        <v>4</v>
      </c>
      <c r="J37" s="339">
        <f>INDEX('Volume adjustments'!$J$571:$Y$611,J$17 + 1 + $H37*$H$39, J$15)</f>
        <v>0</v>
      </c>
      <c r="K37" s="339">
        <f>INDEX('Volume adjustments'!$J$571:$Y$611,K$17 + 1 + $H37*$H$39, K$15)</f>
        <v>0</v>
      </c>
      <c r="L37" s="339">
        <f>INDEX('Volume adjustments'!$J$571:$Y$611,L$17 + 1 + $H37*$H$39, L$15)</f>
        <v>0</v>
      </c>
      <c r="M37" s="339">
        <f>INDEX('Volume adjustments'!$J$571:$Y$611,M$17 + 1 + $H37*$H$39, M$15)</f>
        <v>0</v>
      </c>
      <c r="N37" s="339">
        <f>INDEX('Volume adjustments'!$J$571:$Y$611,N$17 + 1 + $H37*$H$39, N$15)</f>
        <v>0</v>
      </c>
      <c r="O37" s="339">
        <f>INDEX('Volume adjustments'!$J$571:$Y$611,O$17 + 1 + $H37*$H$39, O$15)</f>
        <v>0</v>
      </c>
      <c r="P37" s="339">
        <f>INDEX('Volume adjustments'!$J$571:$Y$611,P$17 + 1 + $H37*$H$39, P$15)</f>
        <v>0</v>
      </c>
      <c r="Q37" s="339">
        <f>INDEX('Volume adjustments'!$J$571:$Y$611,Q$17 + 1 + $H37*$H$39, Q$15)</f>
        <v>0</v>
      </c>
      <c r="R37" s="339">
        <f>INDEX('Volume adjustments'!$J$571:$Y$611,R$17 + 1 + $H37*$H$39, R$15)</f>
        <v>0</v>
      </c>
      <c r="S37" s="339">
        <f>INDEX('Volume adjustments'!$J$571:$Y$611,S$17 + 1 + $H37*$H$39, S$15)</f>
        <v>3191.8406087588619</v>
      </c>
      <c r="T37" s="339">
        <f>INDEX('Volume adjustments'!$J$571:$Y$611,T$17 + 1 + $H37*$H$39, T$15)</f>
        <v>6731.7304283365711</v>
      </c>
      <c r="U37" s="339">
        <f>INDEX('Volume adjustments'!$J$571:$Y$611,U$17 + 1 + $H37*$H$39, U$15)</f>
        <v>3740.3471075511425</v>
      </c>
      <c r="V37" s="339">
        <f>INDEX('Volume adjustments'!$J$571:$Y$611,V$17 + 1 + $H37*$H$39, V$15)</f>
        <v>3838.2026001765089</v>
      </c>
      <c r="W37" s="339">
        <f>INDEX('Volume adjustments'!$J$571:$Y$611,W$17 + 1 + $H37*$H$39, W$15)</f>
        <v>0</v>
      </c>
      <c r="X37" s="339">
        <f>INDEX('Volume adjustments'!$J$571:$Y$611,X$17 + 1 + $H37*$H$39, X$15)</f>
        <v>0</v>
      </c>
      <c r="Y37" s="339">
        <f>INDEX('Volume adjustments'!$J$571:$Y$611,Y$17 + 1 + $H37*$H$39, Y$15)</f>
        <v>0</v>
      </c>
      <c r="Z37" s="339">
        <f>INDEX('Volume adjustments'!$J$571:$Y$611,Z$17 + 1 + $H37*$H$39, Z$15)</f>
        <v>0</v>
      </c>
      <c r="AA37" s="339">
        <f>INDEX('Volume adjustments'!$J$571:$Y$611,AA$17 + 1 + $H37*$H$39, AA$15)</f>
        <v>0</v>
      </c>
      <c r="AB37" s="339">
        <f>INDEX('Volume adjustments'!$J$571:$Y$611,AB$17 + 1 + $H37*$H$39, AB$15)</f>
        <v>0</v>
      </c>
      <c r="AC37" s="339">
        <f>INDEX('Volume adjustments'!$J$571:$Y$611,AC$17 + 1 + $H37*$H$39, AC$15)</f>
        <v>0</v>
      </c>
      <c r="AD37" s="339">
        <f>INDEX('Volume adjustments'!$J$571:$Y$611,AD$17 + 1 + $H37*$H$39, AD$15)</f>
        <v>0</v>
      </c>
      <c r="AE37" s="339">
        <f>INDEX('Volume adjustments'!$J$571:$Y$611,AE$17 + 1 + $H37*$H$39, AE$15)</f>
        <v>0</v>
      </c>
      <c r="AF37" s="339">
        <f>INDEX('Volume adjustments'!$J$571:$Y$611,AF$17 + 1 + $H37*$H$39, AF$15)</f>
        <v>0</v>
      </c>
      <c r="AG37" s="339">
        <f>INDEX('Volume adjustments'!$J$571:$Y$611,AG$17 + 1 + $H37*$H$39, AG$15)</f>
        <v>0</v>
      </c>
      <c r="AH37" s="339">
        <f>INDEX('Volume adjustments'!$J$571:$Y$611,AH$17 + 1 + $H37*$H$39, AH$15)</f>
        <v>0</v>
      </c>
      <c r="AI37" s="339">
        <f>INDEX('Volume adjustments'!$J$571:$Y$611,AI$17 + 1 + $H37*$H$39, AI$15)</f>
        <v>0</v>
      </c>
      <c r="AJ37" s="339">
        <f>INDEX('Volume adjustments'!$J$571:$Y$611,AJ$17 + 1 + $H37*$H$39, AJ$15)</f>
        <v>0</v>
      </c>
      <c r="AK37" s="339">
        <f>INDEX('Volume adjustments'!$J$571:$Y$611,AK$17 + 1 + $H37*$H$39, AK$15)</f>
        <v>0</v>
      </c>
      <c r="AL37" s="339">
        <f>INDEX('Volume adjustments'!$J$571:$Y$611,AL$17 + 1 + $H37*$H$39, AL$15)</f>
        <v>0</v>
      </c>
      <c r="AM37" s="339">
        <f>INDEX('Volume adjustments'!$J$571:$Y$611,AM$17 + 1 + $H37*$H$39, AM$15)</f>
        <v>0</v>
      </c>
      <c r="AN37" s="339">
        <f>INDEX('Volume adjustments'!$J$571:$Y$611,AN$17 + 1 + $H37*$H$39, AN$15)</f>
        <v>0</v>
      </c>
      <c r="AO37" s="339">
        <f>INDEX('Volume adjustments'!$J$571:$Y$611,AO$17 + 1 + $H37*$H$39, AO$15)</f>
        <v>0</v>
      </c>
    </row>
    <row r="38" spans="1:43" x14ac:dyDescent="0.3">
      <c r="A38" s="320"/>
      <c r="E38" s="28"/>
      <c r="F38" s="72" t="s">
        <v>252</v>
      </c>
      <c r="G38" s="72" t="s">
        <v>251</v>
      </c>
      <c r="H38" s="376">
        <v>5</v>
      </c>
      <c r="J38" s="339">
        <f>INDEX('Volume adjustments'!$J$571:$Y$611,J$17 + 1 + $H38*$H$39, J$15)</f>
        <v>0</v>
      </c>
      <c r="K38" s="339">
        <f>INDEX('Volume adjustments'!$J$571:$Y$611,K$17 + 1 + $H38*$H$39, K$15)</f>
        <v>0</v>
      </c>
      <c r="L38" s="339">
        <f>INDEX('Volume adjustments'!$J$571:$Y$611,L$17 + 1 + $H38*$H$39, L$15)</f>
        <v>0</v>
      </c>
      <c r="M38" s="339">
        <f>INDEX('Volume adjustments'!$J$571:$Y$611,M$17 + 1 + $H38*$H$39, M$15)</f>
        <v>0</v>
      </c>
      <c r="N38" s="339">
        <f>INDEX('Volume adjustments'!$J$571:$Y$611,N$17 + 1 + $H38*$H$39, N$15)</f>
        <v>0</v>
      </c>
      <c r="O38" s="339">
        <f>INDEX('Volume adjustments'!$J$571:$Y$611,O$17 + 1 + $H38*$H$39, O$15)</f>
        <v>0</v>
      </c>
      <c r="P38" s="339">
        <f>INDEX('Volume adjustments'!$J$571:$Y$611,P$17 + 1 + $H38*$H$39, P$15)</f>
        <v>0</v>
      </c>
      <c r="Q38" s="339">
        <f>INDEX('Volume adjustments'!$J$571:$Y$611,Q$17 + 1 + $H38*$H$39, Q$15)</f>
        <v>0</v>
      </c>
      <c r="R38" s="339">
        <f>INDEX('Volume adjustments'!$J$571:$Y$611,R$17 + 1 + $H38*$H$39, R$15)</f>
        <v>0</v>
      </c>
      <c r="S38" s="339">
        <f>INDEX('Volume adjustments'!$J$571:$Y$611,S$17 + 1 + $H38*$H$39, S$15)</f>
        <v>8.6021462198396907</v>
      </c>
      <c r="T38" s="339">
        <f>INDEX('Volume adjustments'!$J$571:$Y$611,T$17 + 1 + $H38*$H$39, T$15)</f>
        <v>18.142299868668054</v>
      </c>
      <c r="U38" s="339">
        <f>INDEX('Volume adjustments'!$J$571:$Y$611,U$17 + 1 + $H38*$H$39, U$15)</f>
        <v>10.080394567265232</v>
      </c>
      <c r="V38" s="339">
        <f>INDEX('Volume adjustments'!$J$571:$Y$611,V$17 + 1 + $H38*$H$39, V$15)</f>
        <v>10.344119282612207</v>
      </c>
      <c r="W38" s="339">
        <f>INDEX('Volume adjustments'!$J$571:$Y$611,W$17 + 1 + $H38*$H$39, W$15)</f>
        <v>0</v>
      </c>
      <c r="X38" s="339">
        <f>INDEX('Volume adjustments'!$J$571:$Y$611,X$17 + 1 + $H38*$H$39, X$15)</f>
        <v>0</v>
      </c>
      <c r="Y38" s="339">
        <f>INDEX('Volume adjustments'!$J$571:$Y$611,Y$17 + 1 + $H38*$H$39, Y$15)</f>
        <v>0</v>
      </c>
      <c r="Z38" s="339">
        <f>INDEX('Volume adjustments'!$J$571:$Y$611,Z$17 + 1 + $H38*$H$39, Z$15)</f>
        <v>0</v>
      </c>
      <c r="AA38" s="339">
        <f>INDEX('Volume adjustments'!$J$571:$Y$611,AA$17 + 1 + $H38*$H$39, AA$15)</f>
        <v>0</v>
      </c>
      <c r="AB38" s="339">
        <f>INDEX('Volume adjustments'!$J$571:$Y$611,AB$17 + 1 + $H38*$H$39, AB$15)</f>
        <v>0</v>
      </c>
      <c r="AC38" s="339">
        <f>INDEX('Volume adjustments'!$J$571:$Y$611,AC$17 + 1 + $H38*$H$39, AC$15)</f>
        <v>0</v>
      </c>
      <c r="AD38" s="339">
        <f>INDEX('Volume adjustments'!$J$571:$Y$611,AD$17 + 1 + $H38*$H$39, AD$15)</f>
        <v>0</v>
      </c>
      <c r="AE38" s="339">
        <f>INDEX('Volume adjustments'!$J$571:$Y$611,AE$17 + 1 + $H38*$H$39, AE$15)</f>
        <v>0</v>
      </c>
      <c r="AF38" s="339">
        <f>INDEX('Volume adjustments'!$J$571:$Y$611,AF$17 + 1 + $H38*$H$39, AF$15)</f>
        <v>0</v>
      </c>
      <c r="AG38" s="339">
        <f>INDEX('Volume adjustments'!$J$571:$Y$611,AG$17 + 1 + $H38*$H$39, AG$15)</f>
        <v>0</v>
      </c>
      <c r="AH38" s="339">
        <f>INDEX('Volume adjustments'!$J$571:$Y$611,AH$17 + 1 + $H38*$H$39, AH$15)</f>
        <v>0</v>
      </c>
      <c r="AI38" s="339">
        <f>INDEX('Volume adjustments'!$J$571:$Y$611,AI$17 + 1 + $H38*$H$39, AI$15)</f>
        <v>0</v>
      </c>
      <c r="AJ38" s="339">
        <f>INDEX('Volume adjustments'!$J$571:$Y$611,AJ$17 + 1 + $H38*$H$39, AJ$15)</f>
        <v>0</v>
      </c>
      <c r="AK38" s="339">
        <f>INDEX('Volume adjustments'!$J$571:$Y$611,AK$17 + 1 + $H38*$H$39, AK$15)</f>
        <v>0</v>
      </c>
      <c r="AL38" s="339">
        <f>INDEX('Volume adjustments'!$J$571:$Y$611,AL$17 + 1 + $H38*$H$39, AL$15)</f>
        <v>0</v>
      </c>
      <c r="AM38" s="339">
        <f>INDEX('Volume adjustments'!$J$571:$Y$611,AM$17 + 1 + $H38*$H$39, AM$15)</f>
        <v>0</v>
      </c>
      <c r="AN38" s="339">
        <f>INDEX('Volume adjustments'!$J$571:$Y$611,AN$17 + 1 + $H38*$H$39, AN$15)</f>
        <v>0</v>
      </c>
      <c r="AO38" s="339">
        <f>INDEX('Volume adjustments'!$J$571:$Y$611,AO$17 + 1 + $H38*$H$39, AO$15)</f>
        <v>0</v>
      </c>
    </row>
    <row r="39" spans="1:43" x14ac:dyDescent="0.3">
      <c r="A39" s="320"/>
      <c r="E39" s="28"/>
      <c r="F39" s="80" t="s">
        <v>253</v>
      </c>
      <c r="G39" s="80" t="s">
        <v>254</v>
      </c>
      <c r="H39" s="326">
        <v>6</v>
      </c>
      <c r="I39" s="37"/>
      <c r="J39" s="195">
        <f>INDEX('Volume adjustments'!$J$571:$Y$611,J$17 + 1 + $H39*$H$39, J$15)</f>
        <v>0</v>
      </c>
      <c r="K39" s="195">
        <f>INDEX('Volume adjustments'!$J$571:$Y$611,K$17 + 1 + $H39*$H$39, K$15)</f>
        <v>0</v>
      </c>
      <c r="L39" s="195">
        <f>INDEX('Volume adjustments'!$J$571:$Y$611,L$17 + 1 + $H39*$H$39, L$15)</f>
        <v>0</v>
      </c>
      <c r="M39" s="195">
        <f>INDEX('Volume adjustments'!$J$571:$Y$611,M$17 + 1 + $H39*$H$39, M$15)</f>
        <v>0</v>
      </c>
      <c r="N39" s="195">
        <f>INDEX('Volume adjustments'!$J$571:$Y$611,N$17 + 1 + $H39*$H$39, N$15)</f>
        <v>0</v>
      </c>
      <c r="O39" s="195">
        <f>INDEX('Volume adjustments'!$J$571:$Y$611,O$17 + 1 + $H39*$H$39, O$15)</f>
        <v>0</v>
      </c>
      <c r="P39" s="195">
        <f>INDEX('Volume adjustments'!$J$571:$Y$611,P$17 + 1 + $H39*$H$39, P$15)</f>
        <v>0</v>
      </c>
      <c r="Q39" s="195">
        <f>INDEX('Volume adjustments'!$J$571:$Y$611,Q$17 + 1 + $H39*$H$39, Q$15)</f>
        <v>0</v>
      </c>
      <c r="R39" s="195">
        <f>INDEX('Volume adjustments'!$J$571:$Y$611,R$17 + 1 + $H39*$H$39, R$15)</f>
        <v>0</v>
      </c>
      <c r="S39" s="195">
        <f>INDEX('Volume adjustments'!$J$571:$Y$611,S$17 + 1 + $H39*$H$39, S$15)</f>
        <v>741.93247749313116</v>
      </c>
      <c r="T39" s="195">
        <f>INDEX('Volume adjustments'!$J$571:$Y$611,T$17 + 1 + $H39*$H$39, T$15)</f>
        <v>1108.7262320716898</v>
      </c>
      <c r="U39" s="195">
        <f>INDEX('Volume adjustments'!$J$571:$Y$611,U$17 + 1 + $H39*$H$39, U$15)</f>
        <v>598.6266540892949</v>
      </c>
      <c r="V39" s="195">
        <f>INDEX('Volume adjustments'!$J$571:$Y$611,V$17 + 1 + $H39*$H$39, V$15)</f>
        <v>588.80737518065018</v>
      </c>
      <c r="W39" s="195">
        <f>INDEX('Volume adjustments'!$J$571:$Y$611,W$17 + 1 + $H39*$H$39, W$15)</f>
        <v>0</v>
      </c>
      <c r="X39" s="195">
        <f>INDEX('Volume adjustments'!$J$571:$Y$611,X$17 + 1 + $H39*$H$39, X$15)</f>
        <v>0</v>
      </c>
      <c r="Y39" s="195">
        <f>INDEX('Volume adjustments'!$J$571:$Y$611,Y$17 + 1 + $H39*$H$39, Y$15)</f>
        <v>0</v>
      </c>
      <c r="Z39" s="195">
        <f>INDEX('Volume adjustments'!$J$571:$Y$611,Z$17 + 1 + $H39*$H$39, Z$15)</f>
        <v>0</v>
      </c>
      <c r="AA39" s="195">
        <f>INDEX('Volume adjustments'!$J$571:$Y$611,AA$17 + 1 + $H39*$H$39, AA$15)</f>
        <v>0</v>
      </c>
      <c r="AB39" s="195">
        <f>INDEX('Volume adjustments'!$J$571:$Y$611,AB$17 + 1 + $H39*$H$39, AB$15)</f>
        <v>0</v>
      </c>
      <c r="AC39" s="195">
        <f>INDEX('Volume adjustments'!$J$571:$Y$611,AC$17 + 1 + $H39*$H$39, AC$15)</f>
        <v>0</v>
      </c>
      <c r="AD39" s="195">
        <f>INDEX('Volume adjustments'!$J$571:$Y$611,AD$17 + 1 + $H39*$H$39, AD$15)</f>
        <v>0</v>
      </c>
      <c r="AE39" s="195">
        <f>INDEX('Volume adjustments'!$J$571:$Y$611,AE$17 + 1 + $H39*$H$39, AE$15)</f>
        <v>0</v>
      </c>
      <c r="AF39" s="195">
        <f>INDEX('Volume adjustments'!$J$571:$Y$611,AF$17 + 1 + $H39*$H$39, AF$15)</f>
        <v>0</v>
      </c>
      <c r="AG39" s="195">
        <f>INDEX('Volume adjustments'!$J$571:$Y$611,AG$17 + 1 + $H39*$H$39, AG$15)</f>
        <v>0</v>
      </c>
      <c r="AH39" s="195">
        <f>INDEX('Volume adjustments'!$J$571:$Y$611,AH$17 + 1 + $H39*$H$39, AH$15)</f>
        <v>0</v>
      </c>
      <c r="AI39" s="195">
        <f>INDEX('Volume adjustments'!$J$571:$Y$611,AI$17 + 1 + $H39*$H$39, AI$15)</f>
        <v>0</v>
      </c>
      <c r="AJ39" s="195">
        <f>INDEX('Volume adjustments'!$J$571:$Y$611,AJ$17 + 1 + $H39*$H$39, AJ$15)</f>
        <v>0</v>
      </c>
      <c r="AK39" s="195">
        <f>INDEX('Volume adjustments'!$J$571:$Y$611,AK$17 + 1 + $H39*$H$39, AK$15)</f>
        <v>0</v>
      </c>
      <c r="AL39" s="195">
        <f>INDEX('Volume adjustments'!$J$571:$Y$611,AL$17 + 1 + $H39*$H$39, AL$15)</f>
        <v>0</v>
      </c>
      <c r="AM39" s="195">
        <f>INDEX('Volume adjustments'!$J$571:$Y$611,AM$17 + 1 + $H39*$H$39, AM$15)</f>
        <v>0</v>
      </c>
      <c r="AN39" s="195">
        <f>INDEX('Volume adjustments'!$J$571:$Y$611,AN$17 + 1 + $H39*$H$39, AN$15)</f>
        <v>0</v>
      </c>
      <c r="AO39" s="195">
        <f>INDEX('Volume adjustments'!$J$571:$Y$611,AO$17 + 1 + $H39*$H$39, AO$15)</f>
        <v>0</v>
      </c>
    </row>
    <row r="40" spans="1:43" s="260" customFormat="1" x14ac:dyDescent="0.3">
      <c r="A40" s="377"/>
      <c r="E40" s="264"/>
      <c r="F40" s="235"/>
      <c r="G40" s="23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265"/>
      <c r="AL40" s="265"/>
      <c r="AM40" s="265"/>
      <c r="AN40" s="265"/>
      <c r="AO40" s="265"/>
    </row>
    <row r="41" spans="1:43" x14ac:dyDescent="0.3">
      <c r="A41" s="320"/>
      <c r="E41" s="32" t="s">
        <v>256</v>
      </c>
      <c r="F41" s="352"/>
      <c r="G41" s="352"/>
      <c r="H41" s="311"/>
      <c r="I41" s="311" t="s">
        <v>154</v>
      </c>
      <c r="J41" s="403"/>
      <c r="K41" s="403"/>
      <c r="L41" s="403"/>
      <c r="M41" s="403"/>
      <c r="N41" s="403"/>
      <c r="O41" s="403"/>
      <c r="P41" s="403"/>
      <c r="Q41" s="403"/>
      <c r="R41" s="403"/>
      <c r="S41" s="403"/>
      <c r="T41" s="403"/>
      <c r="U41" s="403"/>
      <c r="V41" s="403"/>
      <c r="W41" s="403"/>
      <c r="X41" s="403"/>
      <c r="Y41" s="403"/>
      <c r="Z41" s="403"/>
      <c r="AA41" s="403"/>
      <c r="AB41" s="403"/>
      <c r="AC41" s="403"/>
      <c r="AD41" s="403"/>
      <c r="AE41" s="403"/>
      <c r="AF41" s="403"/>
      <c r="AG41" s="403"/>
      <c r="AH41" s="403"/>
      <c r="AI41" s="403"/>
      <c r="AJ41" s="403"/>
      <c r="AK41" s="403"/>
      <c r="AL41" s="403"/>
      <c r="AM41" s="403"/>
      <c r="AN41" s="403"/>
      <c r="AO41" s="403"/>
      <c r="AP41" s="311"/>
      <c r="AQ41" t="s">
        <v>246</v>
      </c>
    </row>
    <row r="42" spans="1:43" x14ac:dyDescent="0.3">
      <c r="A42" s="320"/>
      <c r="E42" s="32"/>
      <c r="F42" s="405" t="s">
        <v>1039</v>
      </c>
      <c r="G42" s="311"/>
      <c r="H42" s="311"/>
      <c r="I42" s="311"/>
      <c r="J42" s="311"/>
      <c r="K42" s="311"/>
      <c r="L42" s="311"/>
      <c r="M42" s="311"/>
      <c r="N42" s="311"/>
      <c r="O42" s="311"/>
      <c r="P42" s="311"/>
      <c r="Q42" s="311"/>
      <c r="R42" s="311"/>
      <c r="S42" s="311"/>
      <c r="T42" s="311"/>
      <c r="U42" s="311"/>
      <c r="V42" s="311"/>
      <c r="W42" s="311"/>
      <c r="X42" s="311"/>
      <c r="Y42" s="311"/>
      <c r="Z42" s="311"/>
      <c r="AA42" s="311"/>
      <c r="AB42" s="311"/>
      <c r="AC42" s="311"/>
      <c r="AD42" s="311"/>
      <c r="AE42" s="311"/>
      <c r="AF42" s="311"/>
      <c r="AG42" s="311"/>
      <c r="AH42" s="311"/>
      <c r="AI42" s="311"/>
      <c r="AJ42" s="311"/>
      <c r="AK42" s="311"/>
      <c r="AL42" s="311"/>
      <c r="AM42" s="311"/>
      <c r="AN42" s="311"/>
      <c r="AO42" s="311"/>
      <c r="AP42" s="311"/>
    </row>
    <row r="43" spans="1:43" x14ac:dyDescent="0.3">
      <c r="A43" s="320"/>
      <c r="E43" s="32"/>
      <c r="F43" s="404" t="s">
        <v>1035</v>
      </c>
      <c r="G43" s="37"/>
    </row>
    <row r="44" spans="1:43" x14ac:dyDescent="0.3">
      <c r="A44" s="320"/>
      <c r="E44" s="28"/>
      <c r="F44" s="72" t="s">
        <v>247</v>
      </c>
      <c r="G44" s="72" t="s">
        <v>207</v>
      </c>
      <c r="H44" s="325">
        <v>0</v>
      </c>
      <c r="I44" s="23"/>
      <c r="J44" s="193">
        <f>INDEX('Volume adjustments'!$J$615:$Y$655,J$17 + 1 + $H44*$H$50, J$15)</f>
        <v>23494.309373783628</v>
      </c>
      <c r="K44" s="193">
        <f>INDEX('Volume adjustments'!$J$615:$Y$655,K$17 + 1 + $H44*$H$50, K$15)</f>
        <v>0</v>
      </c>
      <c r="L44" s="193">
        <f>INDEX('Volume adjustments'!$J$615:$Y$655,L$17 + 1 + $H44*$H$50, L$15)</f>
        <v>0</v>
      </c>
      <c r="M44" s="193">
        <f>INDEX('Volume adjustments'!$J$615:$Y$655,M$17 + 1 + $H44*$H$50, M$15)</f>
        <v>134.22688975140395</v>
      </c>
      <c r="N44" s="193">
        <f>INDEX('Volume adjustments'!$J$615:$Y$655,N$17 + 1 + $H44*$H$50, N$15)</f>
        <v>563.38640254867573</v>
      </c>
      <c r="O44" s="193">
        <f>INDEX('Volume adjustments'!$J$615:$Y$655,O$17 + 1 + $H44*$H$50, O$15)</f>
        <v>714.76278719221432</v>
      </c>
      <c r="P44" s="193">
        <f>INDEX('Volume adjustments'!$J$615:$Y$655,P$17 + 1 + $H44*$H$50, P$15)</f>
        <v>2304.1746476211338</v>
      </c>
      <c r="Q44" s="193">
        <f>INDEX('Volume adjustments'!$J$615:$Y$655,Q$17 + 1 + $H44*$H$50, Q$15)</f>
        <v>0</v>
      </c>
      <c r="R44" s="193">
        <f>INDEX('Volume adjustments'!$J$615:$Y$655,R$17 + 1 + $H44*$H$50, R$15)</f>
        <v>0</v>
      </c>
      <c r="S44" s="193">
        <f>INDEX('Volume adjustments'!$J$615:$Y$655,S$17 + 1 + $H44*$H$50, S$15)</f>
        <v>5092.3678206961267</v>
      </c>
      <c r="T44" s="193">
        <f>INDEX('Volume adjustments'!$J$615:$Y$655,T$17 + 1 + $H44*$H$50, T$15)</f>
        <v>7609.9132433730265</v>
      </c>
      <c r="U44" s="193">
        <f>INDEX('Volume adjustments'!$J$615:$Y$655,U$17 + 1 + $H44*$H$50, U$15)</f>
        <v>4108.7662319291576</v>
      </c>
      <c r="V44" s="193">
        <f>INDEX('Volume adjustments'!$J$615:$Y$655,V$17 + 1 + $H44*$H$50, V$15)</f>
        <v>4041.3700989201598</v>
      </c>
      <c r="W44" s="193">
        <f>INDEX('Volume adjustments'!$J$615:$Y$655,W$17 + 1 + $H44*$H$50, W$15)</f>
        <v>0</v>
      </c>
      <c r="X44" s="193">
        <f>INDEX('Volume adjustments'!$J$615:$Y$655,X$17 + 1 + $H44*$H$50, X$15)</f>
        <v>11.470696027676713</v>
      </c>
      <c r="Y44" s="193">
        <f>INDEX('Volume adjustments'!$J$615:$Y$655,Y$17 + 1 + $H44*$H$50, Y$15)</f>
        <v>58.883991984342245</v>
      </c>
      <c r="Z44" s="193">
        <f>INDEX('Volume adjustments'!$J$615:$Y$655,Z$17 + 1 + $H44*$H$50, Z$15)</f>
        <v>106.1581905069866</v>
      </c>
      <c r="AA44" s="193">
        <f>INDEX('Volume adjustments'!$J$615:$Y$655,AA$17 + 1 + $H44*$H$50, AA$15)</f>
        <v>1221.2241561571352</v>
      </c>
      <c r="AB44" s="193">
        <f>INDEX('Volume adjustments'!$J$615:$Y$655,AB$17 + 1 + $H44*$H$50, AB$15)</f>
        <v>0</v>
      </c>
      <c r="AC44" s="193">
        <f>INDEX('Volume adjustments'!$J$615:$Y$655,AC$17 + 1 + $H44*$H$50, AC$15)</f>
        <v>1505.4198786766365</v>
      </c>
      <c r="AD44" s="193">
        <f>INDEX('Volume adjustments'!$J$615:$Y$655,AD$17 + 1 + $H44*$H$50, AD$15)</f>
        <v>2685.4536236900685</v>
      </c>
      <c r="AE44" s="193">
        <f>INDEX('Volume adjustments'!$J$615:$Y$655,AE$17 + 1 + $H44*$H$50, AE$15)</f>
        <v>1469.2593128454439</v>
      </c>
      <c r="AF44" s="193">
        <f>INDEX('Volume adjustments'!$J$615:$Y$655,AF$17 + 1 + $H44*$H$50, AF$15)</f>
        <v>4670.1389038740672</v>
      </c>
      <c r="AG44" s="193">
        <f>INDEX('Volume adjustments'!$J$615:$Y$655,AG$17 + 1 + $H44*$H$50, AG$15)</f>
        <v>4.7499448082760933</v>
      </c>
      <c r="AH44" s="193">
        <f>INDEX('Volume adjustments'!$J$615:$Y$655,AH$17 + 1 + $H44*$H$50, AH$15)</f>
        <v>0</v>
      </c>
      <c r="AI44" s="193">
        <f>INDEX('Volume adjustments'!$J$615:$Y$655,AI$17 + 1 + $H44*$H$50, AI$15)</f>
        <v>0</v>
      </c>
      <c r="AJ44" s="193">
        <f>INDEX('Volume adjustments'!$J$615:$Y$655,AJ$17 + 1 + $H44*$H$50, AJ$15)</f>
        <v>2.405417066698996</v>
      </c>
      <c r="AK44" s="193">
        <f>INDEX('Volume adjustments'!$J$615:$Y$655,AK$17 + 1 + $H44*$H$50, AK$15)</f>
        <v>0</v>
      </c>
      <c r="AL44" s="193">
        <f>INDEX('Volume adjustments'!$J$615:$Y$655,AL$17 + 1 + $H44*$H$50, AL$15)</f>
        <v>0</v>
      </c>
      <c r="AM44" s="193">
        <f>INDEX('Volume adjustments'!$J$615:$Y$655,AM$17 + 1 + $H44*$H$50, AM$15)</f>
        <v>0</v>
      </c>
      <c r="AN44" s="193">
        <f>INDEX('Volume adjustments'!$J$615:$Y$655,AN$17 + 1 + $H44*$H$50, AN$15)</f>
        <v>5.5315659252622229</v>
      </c>
      <c r="AO44" s="193">
        <f>INDEX('Volume adjustments'!$J$615:$Y$655,AO$17 + 1 + $H44*$H$50, AO$15)</f>
        <v>0</v>
      </c>
    </row>
    <row r="45" spans="1:43" x14ac:dyDescent="0.3">
      <c r="A45" s="320"/>
      <c r="E45" s="28"/>
      <c r="F45" s="72" t="s">
        <v>248</v>
      </c>
      <c r="G45" s="72" t="s">
        <v>207</v>
      </c>
      <c r="H45" s="376">
        <v>1</v>
      </c>
      <c r="J45" s="339">
        <f>INDEX('Volume adjustments'!$J$615:$Y$655,J$17 + 1 + $H45*$H$50, J$15)</f>
        <v>66581.853503650185</v>
      </c>
      <c r="K45" s="339">
        <f>INDEX('Volume adjustments'!$J$615:$Y$655,K$17 + 1 + $H45*$H$50, K$15)</f>
        <v>0</v>
      </c>
      <c r="L45" s="339">
        <f>INDEX('Volume adjustments'!$J$615:$Y$655,L$17 + 1 + $H45*$H$50, L$15)</f>
        <v>0</v>
      </c>
      <c r="M45" s="339">
        <f>INDEX('Volume adjustments'!$J$615:$Y$655,M$17 + 1 + $H45*$H$50, M$15)</f>
        <v>560.86101090414024</v>
      </c>
      <c r="N45" s="339">
        <f>INDEX('Volume adjustments'!$J$615:$Y$655,N$17 + 1 + $H45*$H$50, N$15)</f>
        <v>2354.0846982919243</v>
      </c>
      <c r="O45" s="339">
        <f>INDEX('Volume adjustments'!$J$615:$Y$655,O$17 + 1 + $H45*$H$50, O$15)</f>
        <v>2986.6041008902475</v>
      </c>
      <c r="P45" s="339">
        <f>INDEX('Volume adjustments'!$J$615:$Y$655,P$17 + 1 + $H45*$H$50, P$15)</f>
        <v>9627.8899448384436</v>
      </c>
      <c r="Q45" s="339">
        <f>INDEX('Volume adjustments'!$J$615:$Y$655,Q$17 + 1 + $H45*$H$50, Q$15)</f>
        <v>0</v>
      </c>
      <c r="R45" s="339">
        <f>INDEX('Volume adjustments'!$J$615:$Y$655,R$17 + 1 + $H45*$H$50, R$15)</f>
        <v>0</v>
      </c>
      <c r="S45" s="339">
        <f>INDEX('Volume adjustments'!$J$615:$Y$655,S$17 + 1 + $H45*$H$50, S$15)</f>
        <v>18174.481136935185</v>
      </c>
      <c r="T45" s="339">
        <f>INDEX('Volume adjustments'!$J$615:$Y$655,T$17 + 1 + $H45*$H$50, T$15)</f>
        <v>27159.511953025001</v>
      </c>
      <c r="U45" s="339">
        <f>INDEX('Volume adjustments'!$J$615:$Y$655,U$17 + 1 + $H45*$H$50, U$15)</f>
        <v>14664.04175966706</v>
      </c>
      <c r="V45" s="339">
        <f>INDEX('Volume adjustments'!$J$615:$Y$655,V$17 + 1 + $H45*$H$50, V$15)</f>
        <v>14423.507338116386</v>
      </c>
      <c r="W45" s="339">
        <f>INDEX('Volume adjustments'!$J$615:$Y$655,W$17 + 1 + $H45*$H$50, W$15)</f>
        <v>0</v>
      </c>
      <c r="X45" s="339">
        <f>INDEX('Volume adjustments'!$J$615:$Y$655,X$17 + 1 + $H45*$H$50, X$15)</f>
        <v>43.278708143533713</v>
      </c>
      <c r="Y45" s="339">
        <f>INDEX('Volume adjustments'!$J$615:$Y$655,Y$17 + 1 + $H45*$H$50, Y$15)</f>
        <v>222.16813149504119</v>
      </c>
      <c r="Z45" s="339">
        <f>INDEX('Volume adjustments'!$J$615:$Y$655,Z$17 + 1 + $H45*$H$50, Z$15)</f>
        <v>400.53274299241258</v>
      </c>
      <c r="AA45" s="339">
        <f>INDEX('Volume adjustments'!$J$615:$Y$655,AA$17 + 1 + $H45*$H$50, AA$15)</f>
        <v>4607.6544705424303</v>
      </c>
      <c r="AB45" s="339">
        <f>INDEX('Volume adjustments'!$J$615:$Y$655,AB$17 + 1 + $H45*$H$50, AB$15)</f>
        <v>0</v>
      </c>
      <c r="AC45" s="339">
        <f>INDEX('Volume adjustments'!$J$615:$Y$655,AC$17 + 1 + $H45*$H$50, AC$15)</f>
        <v>5500.5249681367704</v>
      </c>
      <c r="AD45" s="339">
        <f>INDEX('Volume adjustments'!$J$615:$Y$655,AD$17 + 1 + $H45*$H$50, AD$15)</f>
        <v>9812.1493658404652</v>
      </c>
      <c r="AE45" s="339">
        <f>INDEX('Volume adjustments'!$J$615:$Y$655,AE$17 + 1 + $H45*$H$50, AE$15)</f>
        <v>5368.4009686906647</v>
      </c>
      <c r="AF45" s="339">
        <f>INDEX('Volume adjustments'!$J$615:$Y$655,AF$17 + 1 + $H45*$H$50, AF$15)</f>
        <v>17063.821203163487</v>
      </c>
      <c r="AG45" s="339">
        <f>INDEX('Volume adjustments'!$J$615:$Y$655,AG$17 + 1 + $H45*$H$50, AG$15)</f>
        <v>310.64116500904521</v>
      </c>
      <c r="AH45" s="339">
        <f>INDEX('Volume adjustments'!$J$615:$Y$655,AH$17 + 1 + $H45*$H$50, AH$15)</f>
        <v>0</v>
      </c>
      <c r="AI45" s="339">
        <f>INDEX('Volume adjustments'!$J$615:$Y$655,AI$17 + 1 + $H45*$H$50, AI$15)</f>
        <v>0</v>
      </c>
      <c r="AJ45" s="339">
        <f>INDEX('Volume adjustments'!$J$615:$Y$655,AJ$17 + 1 + $H45*$H$50, AJ$15)</f>
        <v>13.065209505688999</v>
      </c>
      <c r="AK45" s="339">
        <f>INDEX('Volume adjustments'!$J$615:$Y$655,AK$17 + 1 + $H45*$H$50, AK$15)</f>
        <v>0</v>
      </c>
      <c r="AL45" s="339">
        <f>INDEX('Volume adjustments'!$J$615:$Y$655,AL$17 + 1 + $H45*$H$50, AL$15)</f>
        <v>0</v>
      </c>
      <c r="AM45" s="339">
        <f>INDEX('Volume adjustments'!$J$615:$Y$655,AM$17 + 1 + $H45*$H$50, AM$15)</f>
        <v>0</v>
      </c>
      <c r="AN45" s="339">
        <f>INDEX('Volume adjustments'!$J$615:$Y$655,AN$17 + 1 + $H45*$H$50, AN$15)</f>
        <v>3.5193669404444461E-2</v>
      </c>
      <c r="AO45" s="339">
        <f>INDEX('Volume adjustments'!$J$615:$Y$655,AO$17 + 1 + $H45*$H$50, AO$15)</f>
        <v>0</v>
      </c>
    </row>
    <row r="46" spans="1:43" x14ac:dyDescent="0.3">
      <c r="A46" s="320"/>
      <c r="E46" s="28"/>
      <c r="F46" s="72" t="s">
        <v>249</v>
      </c>
      <c r="G46" s="72" t="s">
        <v>207</v>
      </c>
      <c r="H46" s="376">
        <v>2</v>
      </c>
      <c r="J46" s="339">
        <f>INDEX('Volume adjustments'!$J$615:$Y$655,J$17 + 1 + $H46*$H$50, J$15)</f>
        <v>103298.46470504548</v>
      </c>
      <c r="K46" s="339">
        <f>INDEX('Volume adjustments'!$J$615:$Y$655,K$17 + 1 + $H46*$H$50, K$15)</f>
        <v>0</v>
      </c>
      <c r="L46" s="339">
        <f>INDEX('Volume adjustments'!$J$615:$Y$655,L$17 + 1 + $H46*$H$50, L$15)</f>
        <v>0</v>
      </c>
      <c r="M46" s="339">
        <f>INDEX('Volume adjustments'!$J$615:$Y$655,M$17 + 1 + $H46*$H$50, M$15)</f>
        <v>526.97664209102822</v>
      </c>
      <c r="N46" s="339">
        <f>INDEX('Volume adjustments'!$J$615:$Y$655,N$17 + 1 + $H46*$H$50, N$15)</f>
        <v>2211.862877585153</v>
      </c>
      <c r="O46" s="339">
        <f>INDEX('Volume adjustments'!$J$615:$Y$655,O$17 + 1 + $H46*$H$50, O$15)</f>
        <v>2806.1686759171712</v>
      </c>
      <c r="P46" s="339">
        <f>INDEX('Volume adjustments'!$J$615:$Y$655,P$17 + 1 + $H46*$H$50, P$15)</f>
        <v>9046.2218177260784</v>
      </c>
      <c r="Q46" s="339">
        <f>INDEX('Volume adjustments'!$J$615:$Y$655,Q$17 + 1 + $H46*$H$50, Q$15)</f>
        <v>0</v>
      </c>
      <c r="R46" s="339">
        <f>INDEX('Volume adjustments'!$J$615:$Y$655,R$17 + 1 + $H46*$H$50, R$15)</f>
        <v>0</v>
      </c>
      <c r="S46" s="339">
        <f>INDEX('Volume adjustments'!$J$615:$Y$655,S$17 + 1 + $H46*$H$50, S$15)</f>
        <v>21560.861947820267</v>
      </c>
      <c r="T46" s="339">
        <f>INDEX('Volume adjustments'!$J$615:$Y$655,T$17 + 1 + $H46*$H$50, T$15)</f>
        <v>32220.03882131707</v>
      </c>
      <c r="U46" s="339">
        <f>INDEX('Volume adjustments'!$J$615:$Y$655,U$17 + 1 + $H46*$H$50, U$15)</f>
        <v>17396.335972129404</v>
      </c>
      <c r="V46" s="339">
        <f>INDEX('Volume adjustments'!$J$615:$Y$655,V$17 + 1 + $H46*$H$50, V$15)</f>
        <v>17110.983701675126</v>
      </c>
      <c r="W46" s="339">
        <f>INDEX('Volume adjustments'!$J$615:$Y$655,W$17 + 1 + $H46*$H$50, W$15)</f>
        <v>0</v>
      </c>
      <c r="X46" s="339">
        <f>INDEX('Volume adjustments'!$J$615:$Y$655,X$17 + 1 + $H46*$H$50, X$15)</f>
        <v>58.722639272901716</v>
      </c>
      <c r="Y46" s="339">
        <f>INDEX('Volume adjustments'!$J$615:$Y$655,Y$17 + 1 + $H46*$H$50, Y$15)</f>
        <v>301.44843973738506</v>
      </c>
      <c r="Z46" s="339">
        <f>INDEX('Volume adjustments'!$J$615:$Y$655,Z$17 + 1 + $H46*$H$50, Z$15)</f>
        <v>543.46215015762846</v>
      </c>
      <c r="AA46" s="339">
        <f>INDEX('Volume adjustments'!$J$615:$Y$655,AA$17 + 1 + $H46*$H$50, AA$15)</f>
        <v>6251.8878907031922</v>
      </c>
      <c r="AB46" s="339">
        <f>INDEX('Volume adjustments'!$J$615:$Y$655,AB$17 + 1 + $H46*$H$50, AB$15)</f>
        <v>0</v>
      </c>
      <c r="AC46" s="339">
        <f>INDEX('Volume adjustments'!$J$615:$Y$655,AC$17 + 1 + $H46*$H$50, AC$15)</f>
        <v>7565.2122379166958</v>
      </c>
      <c r="AD46" s="339">
        <f>INDEX('Volume adjustments'!$J$615:$Y$655,AD$17 + 1 + $H46*$H$50, AD$15)</f>
        <v>13495.255978788438</v>
      </c>
      <c r="AE46" s="339">
        <f>INDEX('Volume adjustments'!$J$615:$Y$655,AE$17 + 1 + $H46*$H$50, AE$15)</f>
        <v>7383.4939286058006</v>
      </c>
      <c r="AF46" s="339">
        <f>INDEX('Volume adjustments'!$J$615:$Y$655,AF$17 + 1 + $H46*$H$50, AF$15)</f>
        <v>23468.928827628395</v>
      </c>
      <c r="AG46" s="339">
        <f>INDEX('Volume adjustments'!$J$615:$Y$655,AG$17 + 1 + $H46*$H$50, AG$15)</f>
        <v>517.68074529552484</v>
      </c>
      <c r="AH46" s="339">
        <f>INDEX('Volume adjustments'!$J$615:$Y$655,AH$17 + 1 + $H46*$H$50, AH$15)</f>
        <v>0</v>
      </c>
      <c r="AI46" s="339">
        <f>INDEX('Volume adjustments'!$J$615:$Y$655,AI$17 + 1 + $H46*$H$50, AI$15)</f>
        <v>0</v>
      </c>
      <c r="AJ46" s="339">
        <f>INDEX('Volume adjustments'!$J$615:$Y$655,AJ$17 + 1 + $H46*$H$50, AJ$15)</f>
        <v>30.585567519526965</v>
      </c>
      <c r="AK46" s="339">
        <f>INDEX('Volume adjustments'!$J$615:$Y$655,AK$17 + 1 + $H46*$H$50, AK$15)</f>
        <v>0</v>
      </c>
      <c r="AL46" s="339">
        <f>INDEX('Volume adjustments'!$J$615:$Y$655,AL$17 + 1 + $H46*$H$50, AL$15)</f>
        <v>0</v>
      </c>
      <c r="AM46" s="339">
        <f>INDEX('Volume adjustments'!$J$615:$Y$655,AM$17 + 1 + $H46*$H$50, AM$15)</f>
        <v>0</v>
      </c>
      <c r="AN46" s="339">
        <f>INDEX('Volume adjustments'!$J$615:$Y$655,AN$17 + 1 + $H46*$H$50, AN$15)</f>
        <v>0</v>
      </c>
      <c r="AO46" s="339">
        <f>INDEX('Volume adjustments'!$J$615:$Y$655,AO$17 + 1 + $H46*$H$50, AO$15)</f>
        <v>0</v>
      </c>
    </row>
    <row r="47" spans="1:43" x14ac:dyDescent="0.3">
      <c r="A47" s="320"/>
      <c r="E47" s="28"/>
      <c r="F47" s="72" t="s">
        <v>212</v>
      </c>
      <c r="G47" s="72" t="s">
        <v>212</v>
      </c>
      <c r="H47" s="376">
        <v>3</v>
      </c>
      <c r="J47" s="339">
        <f>INDEX('Volume adjustments'!$J$615:$Y$655,J$17 + 1 + $H47*$H$50, J$15)</f>
        <v>65699.326539455738</v>
      </c>
      <c r="K47" s="339">
        <f>INDEX('Volume adjustments'!$J$615:$Y$655,K$17 + 1 + $H47*$H$50, K$15)</f>
        <v>0</v>
      </c>
      <c r="L47" s="339">
        <f>INDEX('Volume adjustments'!$J$615:$Y$655,L$17 + 1 + $H47*$H$50, L$15)</f>
        <v>0</v>
      </c>
      <c r="M47" s="339">
        <f>INDEX('Volume adjustments'!$J$615:$Y$655,M$17 + 1 + $H47*$H$50, M$15)</f>
        <v>674.38476219834467</v>
      </c>
      <c r="N47" s="339">
        <f>INDEX('Volume adjustments'!$J$615:$Y$655,N$17 + 1 + $H47*$H$50, N$15)</f>
        <v>508.95029872072712</v>
      </c>
      <c r="O47" s="339">
        <f>INDEX('Volume adjustments'!$J$615:$Y$655,O$17 + 1 + $H47*$H$50, O$15)</f>
        <v>263.31754885346095</v>
      </c>
      <c r="P47" s="339">
        <f>INDEX('Volume adjustments'!$J$615:$Y$655,P$17 + 1 + $H47*$H$50, P$15)</f>
        <v>263.24164842862751</v>
      </c>
      <c r="Q47" s="339">
        <f>INDEX('Volume adjustments'!$J$615:$Y$655,Q$17 + 1 + $H47*$H$50, Q$15)</f>
        <v>0</v>
      </c>
      <c r="R47" s="339">
        <f>INDEX('Volume adjustments'!$J$615:$Y$655,R$17 + 1 + $H47*$H$50, R$15)</f>
        <v>0</v>
      </c>
      <c r="S47" s="339">
        <f>INDEX('Volume adjustments'!$J$615:$Y$655,S$17 + 1 + $H47*$H$50, S$15)</f>
        <v>278.94771546863126</v>
      </c>
      <c r="T47" s="339">
        <f>INDEX('Volume adjustments'!$J$615:$Y$655,T$17 + 1 + $H47*$H$50, T$15)</f>
        <v>225.62799871931324</v>
      </c>
      <c r="U47" s="339">
        <f>INDEX('Volume adjustments'!$J$615:$Y$655,U$17 + 1 + $H47*$H$50, U$15)</f>
        <v>78.642124034947344</v>
      </c>
      <c r="V47" s="339">
        <f>INDEX('Volume adjustments'!$J$615:$Y$655,V$17 + 1 + $H47*$H$50, V$15)</f>
        <v>49.574853700034836</v>
      </c>
      <c r="W47" s="339">
        <f>INDEX('Volume adjustments'!$J$615:$Y$655,W$17 + 1 + $H47*$H$50, W$15)</f>
        <v>0</v>
      </c>
      <c r="X47" s="339">
        <f>INDEX('Volume adjustments'!$J$615:$Y$655,X$17 + 1 + $H47*$H$50, X$15)</f>
        <v>0.86358747870005459</v>
      </c>
      <c r="Y47" s="339">
        <f>INDEX('Volume adjustments'!$J$615:$Y$655,Y$17 + 1 + $H47*$H$50, Y$15)</f>
        <v>2.0726099488801308</v>
      </c>
      <c r="Z47" s="339">
        <f>INDEX('Volume adjustments'!$J$615:$Y$655,Z$17 + 1 + $H47*$H$50, Z$15)</f>
        <v>2.3316861924901473</v>
      </c>
      <c r="AA47" s="339">
        <f>INDEX('Volume adjustments'!$J$615:$Y$655,AA$17 + 1 + $H47*$H$50, AA$15)</f>
        <v>17.876260809091129</v>
      </c>
      <c r="AB47" s="339">
        <f>INDEX('Volume adjustments'!$J$615:$Y$655,AB$17 + 1 + $H47*$H$50, AB$15)</f>
        <v>0</v>
      </c>
      <c r="AC47" s="339">
        <f>INDEX('Volume adjustments'!$J$615:$Y$655,AC$17 + 1 + $H47*$H$50, AC$15)</f>
        <v>27.560496628623962</v>
      </c>
      <c r="AD47" s="339">
        <f>INDEX('Volume adjustments'!$J$615:$Y$655,AD$17 + 1 + $H47*$H$50, AD$15)</f>
        <v>14.878226917690466</v>
      </c>
      <c r="AE47" s="339">
        <f>INDEX('Volume adjustments'!$J$615:$Y$655,AE$17 + 1 + $H47*$H$50, AE$15)</f>
        <v>3.6517041191014741</v>
      </c>
      <c r="AF47" s="339">
        <f>INDEX('Volume adjustments'!$J$615:$Y$655,AF$17 + 1 + $H47*$H$50, AF$15)</f>
        <v>3.7627356632633431</v>
      </c>
      <c r="AG47" s="339">
        <f>INDEX('Volume adjustments'!$J$615:$Y$655,AG$17 + 1 + $H47*$H$50, AG$15)</f>
        <v>0</v>
      </c>
      <c r="AH47" s="339">
        <f>INDEX('Volume adjustments'!$J$615:$Y$655,AH$17 + 1 + $H47*$H$50, AH$15)</f>
        <v>0</v>
      </c>
      <c r="AI47" s="339">
        <f>INDEX('Volume adjustments'!$J$615:$Y$655,AI$17 + 1 + $H47*$H$50, AI$15)</f>
        <v>0</v>
      </c>
      <c r="AJ47" s="339">
        <f>INDEX('Volume adjustments'!$J$615:$Y$655,AJ$17 + 1 + $H47*$H$50, AJ$15)</f>
        <v>2.7440506140904959</v>
      </c>
      <c r="AK47" s="339">
        <f>INDEX('Volume adjustments'!$J$615:$Y$655,AK$17 + 1 + $H47*$H$50, AK$15)</f>
        <v>0</v>
      </c>
      <c r="AL47" s="339">
        <f>INDEX('Volume adjustments'!$J$615:$Y$655,AL$17 + 1 + $H47*$H$50, AL$15)</f>
        <v>0</v>
      </c>
      <c r="AM47" s="339">
        <f>INDEX('Volume adjustments'!$J$615:$Y$655,AM$17 + 1 + $H47*$H$50, AM$15)</f>
        <v>0</v>
      </c>
      <c r="AN47" s="339">
        <f>INDEX('Volume adjustments'!$J$615:$Y$655,AN$17 + 1 + $H47*$H$50, AN$15)</f>
        <v>0.33569155719989663</v>
      </c>
      <c r="AO47" s="339">
        <f>INDEX('Volume adjustments'!$J$615:$Y$655,AO$17 + 1 + $H47*$H$50, AO$15)</f>
        <v>0</v>
      </c>
    </row>
    <row r="48" spans="1:43" x14ac:dyDescent="0.3">
      <c r="A48" s="320"/>
      <c r="E48" s="28"/>
      <c r="F48" s="72" t="s">
        <v>250</v>
      </c>
      <c r="G48" s="72" t="s">
        <v>251</v>
      </c>
      <c r="H48" s="376">
        <v>4</v>
      </c>
      <c r="J48" s="339">
        <f>INDEX('Volume adjustments'!$J$615:$Y$655,J$17 + 1 + $H48*$H$50, J$15)</f>
        <v>0</v>
      </c>
      <c r="K48" s="339">
        <f>INDEX('Volume adjustments'!$J$615:$Y$655,K$17 + 1 + $H48*$H$50, K$15)</f>
        <v>0</v>
      </c>
      <c r="L48" s="339">
        <f>INDEX('Volume adjustments'!$J$615:$Y$655,L$17 + 1 + $H48*$H$50, L$15)</f>
        <v>0</v>
      </c>
      <c r="M48" s="339">
        <f>INDEX('Volume adjustments'!$J$615:$Y$655,M$17 + 1 + $H48*$H$50, M$15)</f>
        <v>0</v>
      </c>
      <c r="N48" s="339">
        <f>INDEX('Volume adjustments'!$J$615:$Y$655,N$17 + 1 + $H48*$H$50, N$15)</f>
        <v>0</v>
      </c>
      <c r="O48" s="339">
        <f>INDEX('Volume adjustments'!$J$615:$Y$655,O$17 + 1 + $H48*$H$50, O$15)</f>
        <v>0</v>
      </c>
      <c r="P48" s="339">
        <f>INDEX('Volume adjustments'!$J$615:$Y$655,P$17 + 1 + $H48*$H$50, P$15)</f>
        <v>0</v>
      </c>
      <c r="Q48" s="339">
        <f>INDEX('Volume adjustments'!$J$615:$Y$655,Q$17 + 1 + $H48*$H$50, Q$15)</f>
        <v>0</v>
      </c>
      <c r="R48" s="339">
        <f>INDEX('Volume adjustments'!$J$615:$Y$655,R$17 + 1 + $H48*$H$50, R$15)</f>
        <v>0</v>
      </c>
      <c r="S48" s="339">
        <f>INDEX('Volume adjustments'!$J$615:$Y$655,S$17 + 1 + $H48*$H$50, S$15)</f>
        <v>23790.983588386411</v>
      </c>
      <c r="T48" s="339">
        <f>INDEX('Volume adjustments'!$J$615:$Y$655,T$17 + 1 + $H48*$H$50, T$15)</f>
        <v>50176.217353244472</v>
      </c>
      <c r="U48" s="339">
        <f>INDEX('Volume adjustments'!$J$615:$Y$655,U$17 + 1 + $H48*$H$50, U$15)</f>
        <v>27879.379818160778</v>
      </c>
      <c r="V48" s="339">
        <f>INDEX('Volume adjustments'!$J$615:$Y$655,V$17 + 1 + $H48*$H$50, V$15)</f>
        <v>28608.764115326172</v>
      </c>
      <c r="W48" s="339">
        <f>INDEX('Volume adjustments'!$J$615:$Y$655,W$17 + 1 + $H48*$H$50, W$15)</f>
        <v>0</v>
      </c>
      <c r="X48" s="339">
        <f>INDEX('Volume adjustments'!$J$615:$Y$655,X$17 + 1 + $H48*$H$50, X$15)</f>
        <v>39.604595471054651</v>
      </c>
      <c r="Y48" s="339">
        <f>INDEX('Volume adjustments'!$J$615:$Y$655,Y$17 + 1 + $H48*$H$50, Y$15)</f>
        <v>394.4447274610601</v>
      </c>
      <c r="Z48" s="339">
        <f>INDEX('Volume adjustments'!$J$615:$Y$655,Z$17 + 1 + $H48*$H$50, Z$15)</f>
        <v>720.48362100890699</v>
      </c>
      <c r="AA48" s="339">
        <f>INDEX('Volume adjustments'!$J$615:$Y$655,AA$17 + 1 + $H48*$H$50, AA$15)</f>
        <v>13719.291358833447</v>
      </c>
      <c r="AB48" s="339">
        <f>INDEX('Volume adjustments'!$J$615:$Y$655,AB$17 + 1 + $H48*$H$50, AB$15)</f>
        <v>0</v>
      </c>
      <c r="AC48" s="339">
        <f>INDEX('Volume adjustments'!$J$615:$Y$655,AC$17 + 1 + $H48*$H$50, AC$15)</f>
        <v>9724.219148420696</v>
      </c>
      <c r="AD48" s="339">
        <f>INDEX('Volume adjustments'!$J$615:$Y$655,AD$17 + 1 + $H48*$H$50, AD$15)</f>
        <v>16096.243491641466</v>
      </c>
      <c r="AE48" s="339">
        <f>INDEX('Volume adjustments'!$J$615:$Y$655,AE$17 + 1 + $H48*$H$50, AE$15)</f>
        <v>8411.1983133069025</v>
      </c>
      <c r="AF48" s="339">
        <f>INDEX('Volume adjustments'!$J$615:$Y$655,AF$17 + 1 + $H48*$H$50, AF$15)</f>
        <v>25627.557429639197</v>
      </c>
      <c r="AG48" s="339">
        <f>INDEX('Volume adjustments'!$J$615:$Y$655,AG$17 + 1 + $H48*$H$50, AG$15)</f>
        <v>0</v>
      </c>
      <c r="AH48" s="339">
        <f>INDEX('Volume adjustments'!$J$615:$Y$655,AH$17 + 1 + $H48*$H$50, AH$15)</f>
        <v>0</v>
      </c>
      <c r="AI48" s="339">
        <f>INDEX('Volume adjustments'!$J$615:$Y$655,AI$17 + 1 + $H48*$H$50, AI$15)</f>
        <v>0</v>
      </c>
      <c r="AJ48" s="339">
        <f>INDEX('Volume adjustments'!$J$615:$Y$655,AJ$17 + 1 + $H48*$H$50, AJ$15)</f>
        <v>0</v>
      </c>
      <c r="AK48" s="339">
        <f>INDEX('Volume adjustments'!$J$615:$Y$655,AK$17 + 1 + $H48*$H$50, AK$15)</f>
        <v>0</v>
      </c>
      <c r="AL48" s="339">
        <f>INDEX('Volume adjustments'!$J$615:$Y$655,AL$17 + 1 + $H48*$H$50, AL$15)</f>
        <v>0</v>
      </c>
      <c r="AM48" s="339">
        <f>INDEX('Volume adjustments'!$J$615:$Y$655,AM$17 + 1 + $H48*$H$50, AM$15)</f>
        <v>0</v>
      </c>
      <c r="AN48" s="339">
        <f>INDEX('Volume adjustments'!$J$615:$Y$655,AN$17 + 1 + $H48*$H$50, AN$15)</f>
        <v>0</v>
      </c>
      <c r="AO48" s="339">
        <f>INDEX('Volume adjustments'!$J$615:$Y$655,AO$17 + 1 + $H48*$H$50, AO$15)</f>
        <v>0</v>
      </c>
    </row>
    <row r="49" spans="1:43" x14ac:dyDescent="0.3">
      <c r="A49" s="320"/>
      <c r="E49" s="28"/>
      <c r="F49" s="72" t="s">
        <v>252</v>
      </c>
      <c r="G49" s="72" t="s">
        <v>251</v>
      </c>
      <c r="H49" s="376">
        <v>5</v>
      </c>
      <c r="J49" s="339">
        <f>INDEX('Volume adjustments'!$J$615:$Y$655,J$17 + 1 + $H49*$H$50, J$15)</f>
        <v>0</v>
      </c>
      <c r="K49" s="339">
        <f>INDEX('Volume adjustments'!$J$615:$Y$655,K$17 + 1 + $H49*$H$50, K$15)</f>
        <v>0</v>
      </c>
      <c r="L49" s="339">
        <f>INDEX('Volume adjustments'!$J$615:$Y$655,L$17 + 1 + $H49*$H$50, L$15)</f>
        <v>0</v>
      </c>
      <c r="M49" s="339">
        <f>INDEX('Volume adjustments'!$J$615:$Y$655,M$17 + 1 + $H49*$H$50, M$15)</f>
        <v>0</v>
      </c>
      <c r="N49" s="339">
        <f>INDEX('Volume adjustments'!$J$615:$Y$655,N$17 + 1 + $H49*$H$50, N$15)</f>
        <v>0</v>
      </c>
      <c r="O49" s="339">
        <f>INDEX('Volume adjustments'!$J$615:$Y$655,O$17 + 1 + $H49*$H$50, O$15)</f>
        <v>0</v>
      </c>
      <c r="P49" s="339">
        <f>INDEX('Volume adjustments'!$J$615:$Y$655,P$17 + 1 + $H49*$H$50, P$15)</f>
        <v>0</v>
      </c>
      <c r="Q49" s="339">
        <f>INDEX('Volume adjustments'!$J$615:$Y$655,Q$17 + 1 + $H49*$H$50, Q$15)</f>
        <v>0</v>
      </c>
      <c r="R49" s="339">
        <f>INDEX('Volume adjustments'!$J$615:$Y$655,R$17 + 1 + $H49*$H$50, R$15)</f>
        <v>0</v>
      </c>
      <c r="S49" s="339">
        <f>INDEX('Volume adjustments'!$J$615:$Y$655,S$17 + 1 + $H49*$H$50, S$15)</f>
        <v>110.86359894209711</v>
      </c>
      <c r="T49" s="339">
        <f>INDEX('Volume adjustments'!$J$615:$Y$655,T$17 + 1 + $H49*$H$50, T$15)</f>
        <v>233.81614368382117</v>
      </c>
      <c r="U49" s="339">
        <f>INDEX('Volume adjustments'!$J$615:$Y$655,U$17 + 1 + $H49*$H$50, U$15)</f>
        <v>129.91511559125925</v>
      </c>
      <c r="V49" s="339">
        <f>INDEX('Volume adjustments'!$J$615:$Y$655,V$17 + 1 + $H49*$H$50, V$15)</f>
        <v>133.31397330957071</v>
      </c>
      <c r="W49" s="339">
        <f>INDEX('Volume adjustments'!$J$615:$Y$655,W$17 + 1 + $H49*$H$50, W$15)</f>
        <v>0</v>
      </c>
      <c r="X49" s="339">
        <f>INDEX('Volume adjustments'!$J$615:$Y$655,X$17 + 1 + $H49*$H$50, X$15)</f>
        <v>0</v>
      </c>
      <c r="Y49" s="339">
        <f>INDEX('Volume adjustments'!$J$615:$Y$655,Y$17 + 1 + $H49*$H$50, Y$15)</f>
        <v>0</v>
      </c>
      <c r="Z49" s="339">
        <f>INDEX('Volume adjustments'!$J$615:$Y$655,Z$17 + 1 + $H49*$H$50, Z$15)</f>
        <v>0</v>
      </c>
      <c r="AA49" s="339">
        <f>INDEX('Volume adjustments'!$J$615:$Y$655,AA$17 + 1 + $H49*$H$50, AA$15)</f>
        <v>0</v>
      </c>
      <c r="AB49" s="339">
        <f>INDEX('Volume adjustments'!$J$615:$Y$655,AB$17 + 1 + $H49*$H$50, AB$15)</f>
        <v>0</v>
      </c>
      <c r="AC49" s="339">
        <f>INDEX('Volume adjustments'!$J$615:$Y$655,AC$17 + 1 + $H49*$H$50, AC$15)</f>
        <v>105.26931210608977</v>
      </c>
      <c r="AD49" s="339">
        <f>INDEX('Volume adjustments'!$J$615:$Y$655,AD$17 + 1 + $H49*$H$50, AD$15)</f>
        <v>174.24951597603749</v>
      </c>
      <c r="AE49" s="339">
        <f>INDEX('Volume adjustments'!$J$615:$Y$655,AE$17 + 1 + $H49*$H$50, AE$15)</f>
        <v>91.055235069802407</v>
      </c>
      <c r="AF49" s="339">
        <f>INDEX('Volume adjustments'!$J$615:$Y$655,AF$17 + 1 + $H49*$H$50, AF$15)</f>
        <v>277.43053713629803</v>
      </c>
      <c r="AG49" s="339">
        <f>INDEX('Volume adjustments'!$J$615:$Y$655,AG$17 + 1 + $H49*$H$50, AG$15)</f>
        <v>0</v>
      </c>
      <c r="AH49" s="339">
        <f>INDEX('Volume adjustments'!$J$615:$Y$655,AH$17 + 1 + $H49*$H$50, AH$15)</f>
        <v>0</v>
      </c>
      <c r="AI49" s="339">
        <f>INDEX('Volume adjustments'!$J$615:$Y$655,AI$17 + 1 + $H49*$H$50, AI$15)</f>
        <v>0</v>
      </c>
      <c r="AJ49" s="339">
        <f>INDEX('Volume adjustments'!$J$615:$Y$655,AJ$17 + 1 + $H49*$H$50, AJ$15)</f>
        <v>0</v>
      </c>
      <c r="AK49" s="339">
        <f>INDEX('Volume adjustments'!$J$615:$Y$655,AK$17 + 1 + $H49*$H$50, AK$15)</f>
        <v>0</v>
      </c>
      <c r="AL49" s="339">
        <f>INDEX('Volume adjustments'!$J$615:$Y$655,AL$17 + 1 + $H49*$H$50, AL$15)</f>
        <v>0</v>
      </c>
      <c r="AM49" s="339">
        <f>INDEX('Volume adjustments'!$J$615:$Y$655,AM$17 + 1 + $H49*$H$50, AM$15)</f>
        <v>0</v>
      </c>
      <c r="AN49" s="339">
        <f>INDEX('Volume adjustments'!$J$615:$Y$655,AN$17 + 1 + $H49*$H$50, AN$15)</f>
        <v>0</v>
      </c>
      <c r="AO49" s="339">
        <f>INDEX('Volume adjustments'!$J$615:$Y$655,AO$17 + 1 + $H49*$H$50, AO$15)</f>
        <v>0</v>
      </c>
    </row>
    <row r="50" spans="1:43" x14ac:dyDescent="0.3">
      <c r="A50" s="320"/>
      <c r="E50" s="28"/>
      <c r="F50" s="80" t="s">
        <v>253</v>
      </c>
      <c r="G50" s="80" t="s">
        <v>254</v>
      </c>
      <c r="H50" s="326">
        <v>6</v>
      </c>
      <c r="I50" s="37"/>
      <c r="J50" s="195">
        <f>INDEX('Volume adjustments'!$J$615:$Y$655,J$17 + 1 + $H50*$H$50, J$15)</f>
        <v>0</v>
      </c>
      <c r="K50" s="195">
        <f>INDEX('Volume adjustments'!$J$615:$Y$655,K$17 + 1 + $H50*$H$50, K$15)</f>
        <v>0</v>
      </c>
      <c r="L50" s="195">
        <f>INDEX('Volume adjustments'!$J$615:$Y$655,L$17 + 1 + $H50*$H$50, L$15)</f>
        <v>0</v>
      </c>
      <c r="M50" s="195">
        <f>INDEX('Volume adjustments'!$J$615:$Y$655,M$17 + 1 + $H50*$H$50, M$15)</f>
        <v>0</v>
      </c>
      <c r="N50" s="195">
        <f>INDEX('Volume adjustments'!$J$615:$Y$655,N$17 + 1 + $H50*$H$50, N$15)</f>
        <v>0</v>
      </c>
      <c r="O50" s="195">
        <f>INDEX('Volume adjustments'!$J$615:$Y$655,O$17 + 1 + $H50*$H$50, O$15)</f>
        <v>0</v>
      </c>
      <c r="P50" s="195">
        <f>INDEX('Volume adjustments'!$J$615:$Y$655,P$17 + 1 + $H50*$H$50, P$15)</f>
        <v>0</v>
      </c>
      <c r="Q50" s="195">
        <f>INDEX('Volume adjustments'!$J$615:$Y$655,Q$17 + 1 + $H50*$H$50, Q$15)</f>
        <v>0</v>
      </c>
      <c r="R50" s="195">
        <f>INDEX('Volume adjustments'!$J$615:$Y$655,R$17 + 1 + $H50*$H$50, R$15)</f>
        <v>0</v>
      </c>
      <c r="S50" s="195">
        <f>INDEX('Volume adjustments'!$J$615:$Y$655,S$17 + 1 + $H50*$H$50, S$15)</f>
        <v>2042.4897222182178</v>
      </c>
      <c r="T50" s="195">
        <f>INDEX('Volume adjustments'!$J$615:$Y$655,T$17 + 1 + $H50*$H$50, T$15)</f>
        <v>3052.248017786932</v>
      </c>
      <c r="U50" s="195">
        <f>INDEX('Volume adjustments'!$J$615:$Y$655,U$17 + 1 + $H50*$H$50, U$15)</f>
        <v>1647.9785229978493</v>
      </c>
      <c r="V50" s="195">
        <f>INDEX('Volume adjustments'!$J$615:$Y$655,V$17 + 1 + $H50*$H$50, V$15)</f>
        <v>1620.9467150383618</v>
      </c>
      <c r="W50" s="195">
        <f>INDEX('Volume adjustments'!$J$615:$Y$655,W$17 + 1 + $H50*$H$50, W$15)</f>
        <v>0</v>
      </c>
      <c r="X50" s="195">
        <f>INDEX('Volume adjustments'!$J$615:$Y$655,X$17 + 1 + $H50*$H$50, X$15)</f>
        <v>14.235001373728778</v>
      </c>
      <c r="Y50" s="195">
        <f>INDEX('Volume adjustments'!$J$615:$Y$655,Y$17 + 1 + $H50*$H$50, Y$15)</f>
        <v>73.074354404064792</v>
      </c>
      <c r="Z50" s="195">
        <f>INDEX('Volume adjustments'!$J$615:$Y$655,Z$17 + 1 + $H50*$H$50, Z$15)</f>
        <v>131.74108912426547</v>
      </c>
      <c r="AA50" s="195">
        <f>INDEX('Volume adjustments'!$J$615:$Y$655,AA$17 + 1 + $H50*$H$50, AA$15)</f>
        <v>1515.5250822254236</v>
      </c>
      <c r="AB50" s="195">
        <f>INDEX('Volume adjustments'!$J$615:$Y$655,AB$17 + 1 + $H50*$H$50, AB$15)</f>
        <v>0</v>
      </c>
      <c r="AC50" s="195">
        <f>INDEX('Volume adjustments'!$J$615:$Y$655,AC$17 + 1 + $H50*$H$50, AC$15)</f>
        <v>261.04167046155914</v>
      </c>
      <c r="AD50" s="195">
        <f>INDEX('Volume adjustments'!$J$615:$Y$655,AD$17 + 1 + $H50*$H$50, AD$15)</f>
        <v>465.66098256344367</v>
      </c>
      <c r="AE50" s="195">
        <f>INDEX('Volume adjustments'!$J$615:$Y$655,AE$17 + 1 + $H50*$H$50, AE$15)</f>
        <v>254.77138358471282</v>
      </c>
      <c r="AF50" s="195">
        <f>INDEX('Volume adjustments'!$J$615:$Y$655,AF$17 + 1 + $H50*$H$50, AF$15)</f>
        <v>809.80786690984269</v>
      </c>
      <c r="AG50" s="195">
        <f>INDEX('Volume adjustments'!$J$615:$Y$655,AG$17 + 1 + $H50*$H$50, AG$15)</f>
        <v>0</v>
      </c>
      <c r="AH50" s="195">
        <f>INDEX('Volume adjustments'!$J$615:$Y$655,AH$17 + 1 + $H50*$H$50, AH$15)</f>
        <v>0</v>
      </c>
      <c r="AI50" s="195">
        <f>INDEX('Volume adjustments'!$J$615:$Y$655,AI$17 + 1 + $H50*$H$50, AI$15)</f>
        <v>0</v>
      </c>
      <c r="AJ50" s="195">
        <f>INDEX('Volume adjustments'!$J$615:$Y$655,AJ$17 + 1 + $H50*$H$50, AJ$15)</f>
        <v>6.2683321206657237</v>
      </c>
      <c r="AK50" s="195">
        <f>INDEX('Volume adjustments'!$J$615:$Y$655,AK$17 + 1 + $H50*$H$50, AK$15)</f>
        <v>0</v>
      </c>
      <c r="AL50" s="195">
        <f>INDEX('Volume adjustments'!$J$615:$Y$655,AL$17 + 1 + $H50*$H$50, AL$15)</f>
        <v>0</v>
      </c>
      <c r="AM50" s="195">
        <f>INDEX('Volume adjustments'!$J$615:$Y$655,AM$17 + 1 + $H50*$H$50, AM$15)</f>
        <v>0</v>
      </c>
      <c r="AN50" s="195">
        <f>INDEX('Volume adjustments'!$J$615:$Y$655,AN$17 + 1 + $H50*$H$50, AN$15)</f>
        <v>2.5011575186284043</v>
      </c>
      <c r="AO50" s="195">
        <f>INDEX('Volume adjustments'!$J$615:$Y$655,AO$17 + 1 + $H50*$H$50, AO$15)</f>
        <v>0</v>
      </c>
    </row>
    <row r="51" spans="1:43" x14ac:dyDescent="0.3">
      <c r="A51" s="320"/>
      <c r="E51" s="28"/>
      <c r="G51" s="13"/>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row>
    <row r="52" spans="1:43" x14ac:dyDescent="0.3">
      <c r="C52" s="31" t="str">
        <f ca="1">INDEX('Version control'!$H$34:$H$57,MATCH($A$1,'Version control'!$F$34:$F$57,0),1)&amp;"-B: Tariff forecast"</f>
        <v>Section 118-B: Tariff forecast</v>
      </c>
      <c r="D52" s="31"/>
      <c r="E52" s="31"/>
      <c r="F52" s="31"/>
      <c r="G52" s="31"/>
      <c r="H52" s="31"/>
      <c r="I52" s="31"/>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31"/>
      <c r="AQ52" s="31"/>
    </row>
    <row r="53" spans="1:43" x14ac:dyDescent="0.3">
      <c r="D53" s="32"/>
      <c r="E53" s="28"/>
      <c r="G53" s="13"/>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89"/>
      <c r="AJ53" s="89"/>
      <c r="AK53" s="89"/>
      <c r="AL53" s="89"/>
      <c r="AM53" s="89"/>
      <c r="AN53" s="89"/>
      <c r="AO53" s="89"/>
    </row>
    <row r="54" spans="1:43" x14ac:dyDescent="0.3">
      <c r="E54" s="32" t="s">
        <v>759</v>
      </c>
      <c r="G54" s="13"/>
      <c r="I54" t="s">
        <v>154</v>
      </c>
      <c r="J54" s="89"/>
      <c r="K54" s="89"/>
      <c r="L54" s="89"/>
      <c r="M54" s="89"/>
      <c r="N54" s="89"/>
      <c r="O54" s="89"/>
      <c r="P54" s="89"/>
      <c r="Q54" s="89"/>
      <c r="R54" s="89"/>
      <c r="S54" s="89"/>
      <c r="T54" s="89"/>
      <c r="U54" s="89"/>
      <c r="V54" s="89"/>
      <c r="W54" s="89"/>
      <c r="X54" s="89"/>
      <c r="Y54" s="89"/>
      <c r="Z54" s="89"/>
      <c r="AA54" s="89"/>
      <c r="AB54" s="89"/>
      <c r="AC54" s="89"/>
      <c r="AD54" s="89"/>
      <c r="AE54" s="89"/>
      <c r="AF54" s="89"/>
      <c r="AG54" s="89"/>
      <c r="AH54" s="89"/>
      <c r="AI54" s="89"/>
      <c r="AJ54" s="89"/>
      <c r="AK54" s="89"/>
      <c r="AL54" s="89"/>
      <c r="AM54" s="89"/>
      <c r="AN54" s="89"/>
      <c r="AO54" s="89"/>
      <c r="AQ54" t="s">
        <v>155</v>
      </c>
    </row>
    <row r="55" spans="1:43" x14ac:dyDescent="0.3">
      <c r="F55" s="23" t="s">
        <v>156</v>
      </c>
      <c r="G55" s="85" t="s">
        <v>269</v>
      </c>
      <c r="H55" s="278"/>
      <c r="I55" s="266"/>
      <c r="J55" s="278">
        <f>Rounding!J150</f>
        <v>6.0220000000000002</v>
      </c>
      <c r="K55" s="278">
        <f>Rounding!K150</f>
        <v>6.0220000000000002</v>
      </c>
      <c r="L55" s="278">
        <f>Rounding!L150</f>
        <v>6.8559999999999999</v>
      </c>
      <c r="M55" s="278">
        <f>Rounding!M150</f>
        <v>6.8559999999999999</v>
      </c>
      <c r="N55" s="278">
        <f>Rounding!N150</f>
        <v>6.8559999999999999</v>
      </c>
      <c r="O55" s="278">
        <f>Rounding!O150</f>
        <v>6.8559999999999999</v>
      </c>
      <c r="P55" s="278">
        <f>Rounding!P150</f>
        <v>6.8559999999999999</v>
      </c>
      <c r="Q55" s="278">
        <f>Rounding!Q150</f>
        <v>6.8559999999999999</v>
      </c>
      <c r="R55" s="278">
        <f>Rounding!R150</f>
        <v>4.2649999999999997</v>
      </c>
      <c r="S55" s="278">
        <f>Rounding!S150</f>
        <v>4.2649999999999997</v>
      </c>
      <c r="T55" s="278">
        <f>Rounding!T150</f>
        <v>4.2649999999999997</v>
      </c>
      <c r="U55" s="278">
        <f>Rounding!U150</f>
        <v>4.2649999999999997</v>
      </c>
      <c r="V55" s="278">
        <f>Rounding!V150</f>
        <v>4.2649999999999997</v>
      </c>
      <c r="W55" s="278">
        <f>Rounding!W150</f>
        <v>1.887</v>
      </c>
      <c r="X55" s="278">
        <f>Rounding!X150</f>
        <v>1.887</v>
      </c>
      <c r="Y55" s="278">
        <f>Rounding!Y150</f>
        <v>1.887</v>
      </c>
      <c r="Z55" s="278">
        <f>Rounding!Z150</f>
        <v>1.887</v>
      </c>
      <c r="AA55" s="278">
        <f>Rounding!AA150</f>
        <v>1.887</v>
      </c>
      <c r="AB55" s="278">
        <f>Rounding!AB150</f>
        <v>1.284</v>
      </c>
      <c r="AC55" s="278">
        <f>Rounding!AC150</f>
        <v>1.284</v>
      </c>
      <c r="AD55" s="278">
        <f>Rounding!AD150</f>
        <v>1.284</v>
      </c>
      <c r="AE55" s="278">
        <f>Rounding!AE150</f>
        <v>1.284</v>
      </c>
      <c r="AF55" s="278">
        <f>Rounding!AF150</f>
        <v>1.284</v>
      </c>
      <c r="AG55" s="278">
        <f>Rounding!AG150</f>
        <v>17.327000000000002</v>
      </c>
      <c r="AH55" s="278">
        <f>Rounding!AH150</f>
        <v>-4.2030000000000003</v>
      </c>
      <c r="AI55" s="278">
        <f>Rounding!AI150</f>
        <v>-3.496</v>
      </c>
      <c r="AJ55" s="278">
        <f>Rounding!AJ150</f>
        <v>-4.2030000000000003</v>
      </c>
      <c r="AK55" s="278">
        <f>Rounding!AK150</f>
        <v>-4.2030000000000003</v>
      </c>
      <c r="AL55" s="278">
        <f>Rounding!AL150</f>
        <v>-3.496</v>
      </c>
      <c r="AM55" s="278">
        <f>Rounding!AM150</f>
        <v>-3.496</v>
      </c>
      <c r="AN55" s="278">
        <f>Rounding!AN150</f>
        <v>-1.8</v>
      </c>
      <c r="AO55" s="278">
        <f>Rounding!AO150</f>
        <v>-1.8</v>
      </c>
      <c r="AP55" s="267"/>
      <c r="AQ55" s="267"/>
    </row>
    <row r="56" spans="1:43" x14ac:dyDescent="0.3">
      <c r="E56" s="28"/>
      <c r="F56" t="s">
        <v>157</v>
      </c>
      <c r="G56" s="13" t="s">
        <v>269</v>
      </c>
      <c r="H56" s="279"/>
      <c r="I56" s="267"/>
      <c r="J56" s="279">
        <f>Rounding!J151</f>
        <v>0.95099999999999996</v>
      </c>
      <c r="K56" s="279">
        <f>Rounding!K151</f>
        <v>0.95099999999999996</v>
      </c>
      <c r="L56" s="279">
        <f>Rounding!L151</f>
        <v>1.083</v>
      </c>
      <c r="M56" s="279">
        <f>Rounding!M151</f>
        <v>1.083</v>
      </c>
      <c r="N56" s="279">
        <f>Rounding!N151</f>
        <v>1.083</v>
      </c>
      <c r="O56" s="279">
        <f>Rounding!O151</f>
        <v>1.083</v>
      </c>
      <c r="P56" s="279">
        <f>Rounding!P151</f>
        <v>1.083</v>
      </c>
      <c r="Q56" s="279">
        <f>Rounding!Q151</f>
        <v>1.083</v>
      </c>
      <c r="R56" s="279">
        <f>Rounding!R151</f>
        <v>0.69099999999999995</v>
      </c>
      <c r="S56" s="279">
        <f>Rounding!S151</f>
        <v>0.69099999999999995</v>
      </c>
      <c r="T56" s="279">
        <f>Rounding!T151</f>
        <v>0.69099999999999995</v>
      </c>
      <c r="U56" s="279">
        <f>Rounding!U151</f>
        <v>0.69099999999999995</v>
      </c>
      <c r="V56" s="279">
        <f>Rounding!V151</f>
        <v>0.69099999999999995</v>
      </c>
      <c r="W56" s="279">
        <f>Rounding!W151</f>
        <v>0.32800000000000001</v>
      </c>
      <c r="X56" s="279">
        <f>Rounding!X151</f>
        <v>0.32800000000000001</v>
      </c>
      <c r="Y56" s="279">
        <f>Rounding!Y151</f>
        <v>0.32800000000000001</v>
      </c>
      <c r="Z56" s="279">
        <f>Rounding!Z151</f>
        <v>0.32800000000000001</v>
      </c>
      <c r="AA56" s="279">
        <f>Rounding!AA151</f>
        <v>0.32800000000000001</v>
      </c>
      <c r="AB56" s="279">
        <f>Rounding!AB151</f>
        <v>0.224</v>
      </c>
      <c r="AC56" s="279">
        <f>Rounding!AC151</f>
        <v>0.224</v>
      </c>
      <c r="AD56" s="279">
        <f>Rounding!AD151</f>
        <v>0.224</v>
      </c>
      <c r="AE56" s="279">
        <f>Rounding!AE151</f>
        <v>0.224</v>
      </c>
      <c r="AF56" s="279">
        <f>Rounding!AF151</f>
        <v>0.224</v>
      </c>
      <c r="AG56" s="279">
        <f>Rounding!AG151</f>
        <v>2.81</v>
      </c>
      <c r="AH56" s="279">
        <f>Rounding!AH151</f>
        <v>-0.66400000000000003</v>
      </c>
      <c r="AI56" s="279">
        <f>Rounding!AI151</f>
        <v>-0.56100000000000005</v>
      </c>
      <c r="AJ56" s="279">
        <f>Rounding!AJ151</f>
        <v>-0.66400000000000003</v>
      </c>
      <c r="AK56" s="279">
        <f>Rounding!AK151</f>
        <v>-0.66400000000000003</v>
      </c>
      <c r="AL56" s="279">
        <f>Rounding!AL151</f>
        <v>-0.56100000000000005</v>
      </c>
      <c r="AM56" s="279">
        <f>Rounding!AM151</f>
        <v>-0.56100000000000005</v>
      </c>
      <c r="AN56" s="279">
        <f>Rounding!AN151</f>
        <v>-0.313</v>
      </c>
      <c r="AO56" s="279">
        <f>Rounding!AO151</f>
        <v>-0.313</v>
      </c>
      <c r="AP56" s="267"/>
      <c r="AQ56" s="267"/>
    </row>
    <row r="57" spans="1:43" x14ac:dyDescent="0.3">
      <c r="E57" s="28"/>
      <c r="F57" t="s">
        <v>158</v>
      </c>
      <c r="G57" s="13" t="s">
        <v>269</v>
      </c>
      <c r="H57" s="279"/>
      <c r="I57" s="267"/>
      <c r="J57" s="279">
        <f>Rounding!J152</f>
        <v>0.09</v>
      </c>
      <c r="K57" s="279">
        <f>Rounding!K152</f>
        <v>0.09</v>
      </c>
      <c r="L57" s="279">
        <f>Rounding!L152</f>
        <v>0.10199999999999999</v>
      </c>
      <c r="M57" s="279">
        <f>Rounding!M152</f>
        <v>0.10199999999999999</v>
      </c>
      <c r="N57" s="279">
        <f>Rounding!N152</f>
        <v>0.10199999999999999</v>
      </c>
      <c r="O57" s="279">
        <f>Rounding!O152</f>
        <v>0.10199999999999999</v>
      </c>
      <c r="P57" s="279">
        <f>Rounding!P152</f>
        <v>0.10199999999999999</v>
      </c>
      <c r="Q57" s="279">
        <f>Rounding!Q152</f>
        <v>0.10199999999999999</v>
      </c>
      <c r="R57" s="279">
        <f>Rounding!R152</f>
        <v>5.8000000000000003E-2</v>
      </c>
      <c r="S57" s="279">
        <f>Rounding!S152</f>
        <v>5.8000000000000003E-2</v>
      </c>
      <c r="T57" s="279">
        <f>Rounding!T152</f>
        <v>5.8000000000000003E-2</v>
      </c>
      <c r="U57" s="279">
        <f>Rounding!U152</f>
        <v>5.8000000000000003E-2</v>
      </c>
      <c r="V57" s="279">
        <f>Rounding!V152</f>
        <v>5.8000000000000003E-2</v>
      </c>
      <c r="W57" s="279">
        <f>Rounding!W152</f>
        <v>1.7999999999999999E-2</v>
      </c>
      <c r="X57" s="279">
        <f>Rounding!X152</f>
        <v>1.7999999999999999E-2</v>
      </c>
      <c r="Y57" s="279">
        <f>Rounding!Y152</f>
        <v>1.7999999999999999E-2</v>
      </c>
      <c r="Z57" s="279">
        <f>Rounding!Z152</f>
        <v>1.7999999999999999E-2</v>
      </c>
      <c r="AA57" s="279">
        <f>Rounding!AA152</f>
        <v>1.7999999999999999E-2</v>
      </c>
      <c r="AB57" s="279">
        <f>Rounding!AB152</f>
        <v>8.9999999999999993E-3</v>
      </c>
      <c r="AC57" s="279">
        <f>Rounding!AC152</f>
        <v>8.9999999999999993E-3</v>
      </c>
      <c r="AD57" s="279">
        <f>Rounding!AD152</f>
        <v>8.9999999999999993E-3</v>
      </c>
      <c r="AE57" s="279">
        <f>Rounding!AE152</f>
        <v>8.9999999999999993E-3</v>
      </c>
      <c r="AF57" s="279">
        <f>Rounding!AF152</f>
        <v>8.9999999999999993E-3</v>
      </c>
      <c r="AG57" s="279">
        <f>Rounding!AG152</f>
        <v>2.1760000000000002</v>
      </c>
      <c r="AH57" s="279">
        <f>Rounding!AH152</f>
        <v>-6.3E-2</v>
      </c>
      <c r="AI57" s="279">
        <f>Rounding!AI152</f>
        <v>-4.9000000000000002E-2</v>
      </c>
      <c r="AJ57" s="279">
        <f>Rounding!AJ152</f>
        <v>-6.3E-2</v>
      </c>
      <c r="AK57" s="279">
        <f>Rounding!AK152</f>
        <v>-6.3E-2</v>
      </c>
      <c r="AL57" s="279">
        <f>Rounding!AL152</f>
        <v>-4.9000000000000002E-2</v>
      </c>
      <c r="AM57" s="279">
        <f>Rounding!AM152</f>
        <v>-4.9000000000000002E-2</v>
      </c>
      <c r="AN57" s="279">
        <f>Rounding!AN152</f>
        <v>-1.7000000000000001E-2</v>
      </c>
      <c r="AO57" s="279">
        <f>Rounding!AO152</f>
        <v>-1.7000000000000001E-2</v>
      </c>
      <c r="AP57" s="267"/>
      <c r="AQ57" s="267"/>
    </row>
    <row r="58" spans="1:43" x14ac:dyDescent="0.3">
      <c r="E58" s="28"/>
      <c r="F58" t="s">
        <v>159</v>
      </c>
      <c r="G58" s="13" t="s">
        <v>270</v>
      </c>
      <c r="H58" s="51"/>
      <c r="J58" s="120">
        <f>Rounding!J153</f>
        <v>25.72</v>
      </c>
      <c r="K58" s="120">
        <f>Rounding!K153</f>
        <v>0</v>
      </c>
      <c r="L58" s="120">
        <f>Rounding!L153</f>
        <v>8.91</v>
      </c>
      <c r="M58" s="120">
        <f>Rounding!M153</f>
        <v>13.38</v>
      </c>
      <c r="N58" s="120">
        <f>Rounding!N153</f>
        <v>33.75</v>
      </c>
      <c r="O58" s="120">
        <f>Rounding!O153</f>
        <v>69.819999999999993</v>
      </c>
      <c r="P58" s="120">
        <f>Rounding!P153</f>
        <v>205.33</v>
      </c>
      <c r="Q58" s="120">
        <f>Rounding!Q153</f>
        <v>0</v>
      </c>
      <c r="R58" s="120">
        <f>Rounding!R153</f>
        <v>12.56</v>
      </c>
      <c r="S58" s="120">
        <f>Rounding!S153</f>
        <v>303.5</v>
      </c>
      <c r="T58" s="120">
        <f>Rounding!T153</f>
        <v>550.27</v>
      </c>
      <c r="U58" s="120">
        <f>Rounding!U153</f>
        <v>846.28</v>
      </c>
      <c r="V58" s="120">
        <f>Rounding!V153</f>
        <v>1314.22</v>
      </c>
      <c r="W58" s="120">
        <f>Rounding!W153</f>
        <v>9.82</v>
      </c>
      <c r="X58" s="120">
        <f>Rounding!X153</f>
        <v>300.76</v>
      </c>
      <c r="Y58" s="120">
        <f>Rounding!Y153</f>
        <v>547.53</v>
      </c>
      <c r="Z58" s="120">
        <f>Rounding!Z153</f>
        <v>843.54</v>
      </c>
      <c r="AA58" s="120">
        <f>Rounding!AA153</f>
        <v>1311.48</v>
      </c>
      <c r="AB58" s="120">
        <f>Rounding!AB153</f>
        <v>90.06</v>
      </c>
      <c r="AC58" s="120">
        <f>Rounding!AC153</f>
        <v>1499.07</v>
      </c>
      <c r="AD58" s="120">
        <f>Rounding!AD153</f>
        <v>4746.01</v>
      </c>
      <c r="AE58" s="120">
        <f>Rounding!AE153</f>
        <v>10468.799999999999</v>
      </c>
      <c r="AF58" s="120">
        <f>Rounding!AF153</f>
        <v>32106.1</v>
      </c>
      <c r="AG58" s="120">
        <f>Rounding!AG153</f>
        <v>0</v>
      </c>
      <c r="AH58" s="120">
        <f>Rounding!AH153</f>
        <v>0</v>
      </c>
      <c r="AI58" s="120">
        <f>Rounding!AI153</f>
        <v>0</v>
      </c>
      <c r="AJ58" s="120">
        <f>Rounding!AJ153</f>
        <v>0</v>
      </c>
      <c r="AK58" s="120">
        <f>Rounding!AK153</f>
        <v>0</v>
      </c>
      <c r="AL58" s="120">
        <f>Rounding!AL153</f>
        <v>0</v>
      </c>
      <c r="AM58" s="120">
        <f>Rounding!AM153</f>
        <v>0</v>
      </c>
      <c r="AN58" s="120">
        <f>Rounding!AN153</f>
        <v>56.32</v>
      </c>
      <c r="AO58" s="120">
        <f>Rounding!AO153</f>
        <v>56.32</v>
      </c>
    </row>
    <row r="59" spans="1:43" x14ac:dyDescent="0.3">
      <c r="E59" s="28"/>
      <c r="F59" t="s">
        <v>160</v>
      </c>
      <c r="G59" s="13" t="s">
        <v>271</v>
      </c>
      <c r="H59" s="51"/>
      <c r="J59" s="120">
        <f>Rounding!J154</f>
        <v>0</v>
      </c>
      <c r="K59" s="120">
        <f>Rounding!K154</f>
        <v>0</v>
      </c>
      <c r="L59" s="120">
        <f>Rounding!L154</f>
        <v>0</v>
      </c>
      <c r="M59" s="120">
        <f>Rounding!M154</f>
        <v>0</v>
      </c>
      <c r="N59" s="120">
        <f>Rounding!N154</f>
        <v>0</v>
      </c>
      <c r="O59" s="120">
        <f>Rounding!O154</f>
        <v>0</v>
      </c>
      <c r="P59" s="120">
        <f>Rounding!P154</f>
        <v>0</v>
      </c>
      <c r="Q59" s="120">
        <f>Rounding!Q154</f>
        <v>0</v>
      </c>
      <c r="R59" s="120">
        <f>Rounding!R154</f>
        <v>4.34</v>
      </c>
      <c r="S59" s="120">
        <f>Rounding!S154</f>
        <v>4.34</v>
      </c>
      <c r="T59" s="120">
        <f>Rounding!T154</f>
        <v>4.34</v>
      </c>
      <c r="U59" s="120">
        <f>Rounding!U154</f>
        <v>4.34</v>
      </c>
      <c r="V59" s="120">
        <f>Rounding!V154</f>
        <v>4.34</v>
      </c>
      <c r="W59" s="120">
        <f>Rounding!W154</f>
        <v>4.9000000000000004</v>
      </c>
      <c r="X59" s="120">
        <f>Rounding!X154</f>
        <v>4.9000000000000004</v>
      </c>
      <c r="Y59" s="120">
        <f>Rounding!Y154</f>
        <v>4.9000000000000004</v>
      </c>
      <c r="Z59" s="120">
        <f>Rounding!Z154</f>
        <v>4.9000000000000004</v>
      </c>
      <c r="AA59" s="120">
        <f>Rounding!AA154</f>
        <v>4.9000000000000004</v>
      </c>
      <c r="AB59" s="120">
        <f>Rounding!AB154</f>
        <v>5.18</v>
      </c>
      <c r="AC59" s="120">
        <f>Rounding!AC154</f>
        <v>5.18</v>
      </c>
      <c r="AD59" s="120">
        <f>Rounding!AD154</f>
        <v>5.18</v>
      </c>
      <c r="AE59" s="120">
        <f>Rounding!AE154</f>
        <v>5.18</v>
      </c>
      <c r="AF59" s="120">
        <f>Rounding!AF154</f>
        <v>5.18</v>
      </c>
      <c r="AG59" s="120">
        <f>Rounding!AG154</f>
        <v>0</v>
      </c>
      <c r="AH59" s="120">
        <f>Rounding!AH154</f>
        <v>0</v>
      </c>
      <c r="AI59" s="120">
        <f>Rounding!AI154</f>
        <v>0</v>
      </c>
      <c r="AJ59" s="120">
        <f>Rounding!AJ154</f>
        <v>0</v>
      </c>
      <c r="AK59" s="120">
        <f>Rounding!AK154</f>
        <v>0</v>
      </c>
      <c r="AL59" s="120">
        <f>Rounding!AL154</f>
        <v>0</v>
      </c>
      <c r="AM59" s="120">
        <f>Rounding!AM154</f>
        <v>0</v>
      </c>
      <c r="AN59" s="120">
        <f>Rounding!AN154</f>
        <v>0</v>
      </c>
      <c r="AO59" s="120">
        <f>Rounding!AO154</f>
        <v>0</v>
      </c>
    </row>
    <row r="60" spans="1:43" x14ac:dyDescent="0.3">
      <c r="E60" s="28"/>
      <c r="F60" t="s">
        <v>161</v>
      </c>
      <c r="G60" s="13" t="s">
        <v>271</v>
      </c>
      <c r="H60" s="51"/>
      <c r="J60" s="120">
        <f>Rounding!J155</f>
        <v>0</v>
      </c>
      <c r="K60" s="120">
        <f>Rounding!K155</f>
        <v>0</v>
      </c>
      <c r="L60" s="120">
        <f>Rounding!L155</f>
        <v>0</v>
      </c>
      <c r="M60" s="120">
        <f>Rounding!M155</f>
        <v>0</v>
      </c>
      <c r="N60" s="120">
        <f>Rounding!N155</f>
        <v>0</v>
      </c>
      <c r="O60" s="120">
        <f>Rounding!O155</f>
        <v>0</v>
      </c>
      <c r="P60" s="120">
        <f>Rounding!P155</f>
        <v>0</v>
      </c>
      <c r="Q60" s="120">
        <f>Rounding!Q155</f>
        <v>0</v>
      </c>
      <c r="R60" s="120">
        <f>Rounding!R155</f>
        <v>7.85</v>
      </c>
      <c r="S60" s="120">
        <f>Rounding!S155</f>
        <v>7.85</v>
      </c>
      <c r="T60" s="120">
        <f>Rounding!T155</f>
        <v>7.85</v>
      </c>
      <c r="U60" s="120">
        <f>Rounding!U155</f>
        <v>7.85</v>
      </c>
      <c r="V60" s="120">
        <f>Rounding!V155</f>
        <v>7.85</v>
      </c>
      <c r="W60" s="120">
        <f>Rounding!W155</f>
        <v>6.77</v>
      </c>
      <c r="X60" s="120">
        <f>Rounding!X155</f>
        <v>6.77</v>
      </c>
      <c r="Y60" s="120">
        <f>Rounding!Y155</f>
        <v>6.77</v>
      </c>
      <c r="Z60" s="120">
        <f>Rounding!Z155</f>
        <v>6.77</v>
      </c>
      <c r="AA60" s="120">
        <f>Rounding!AA155</f>
        <v>6.77</v>
      </c>
      <c r="AB60" s="120">
        <f>Rounding!AB155</f>
        <v>6.84</v>
      </c>
      <c r="AC60" s="120">
        <f>Rounding!AC155</f>
        <v>6.84</v>
      </c>
      <c r="AD60" s="120">
        <f>Rounding!AD155</f>
        <v>6.84</v>
      </c>
      <c r="AE60" s="120">
        <f>Rounding!AE155</f>
        <v>6.84</v>
      </c>
      <c r="AF60" s="120">
        <f>Rounding!AF155</f>
        <v>6.84</v>
      </c>
      <c r="AG60" s="120">
        <f>Rounding!AG155</f>
        <v>0</v>
      </c>
      <c r="AH60" s="120">
        <f>Rounding!AH155</f>
        <v>0</v>
      </c>
      <c r="AI60" s="120">
        <f>Rounding!AI155</f>
        <v>0</v>
      </c>
      <c r="AJ60" s="120">
        <f>Rounding!AJ155</f>
        <v>0</v>
      </c>
      <c r="AK60" s="120">
        <f>Rounding!AK155</f>
        <v>0</v>
      </c>
      <c r="AL60" s="120">
        <f>Rounding!AL155</f>
        <v>0</v>
      </c>
      <c r="AM60" s="120">
        <f>Rounding!AM155</f>
        <v>0</v>
      </c>
      <c r="AN60" s="120">
        <f>Rounding!AN155</f>
        <v>0</v>
      </c>
      <c r="AO60" s="120">
        <f>Rounding!AO155</f>
        <v>0</v>
      </c>
    </row>
    <row r="61" spans="1:43" x14ac:dyDescent="0.3">
      <c r="E61" s="28"/>
      <c r="F61" s="37" t="s">
        <v>162</v>
      </c>
      <c r="G61" s="86" t="s">
        <v>272</v>
      </c>
      <c r="H61" s="283"/>
      <c r="I61" s="269"/>
      <c r="J61" s="283">
        <f>Rounding!J156</f>
        <v>0</v>
      </c>
      <c r="K61" s="283">
        <f>Rounding!K156</f>
        <v>0</v>
      </c>
      <c r="L61" s="283">
        <f>Rounding!L156</f>
        <v>0</v>
      </c>
      <c r="M61" s="283">
        <f>Rounding!M156</f>
        <v>0</v>
      </c>
      <c r="N61" s="283">
        <f>Rounding!N156</f>
        <v>0</v>
      </c>
      <c r="O61" s="283">
        <f>Rounding!O156</f>
        <v>0</v>
      </c>
      <c r="P61" s="283">
        <f>Rounding!P156</f>
        <v>0</v>
      </c>
      <c r="Q61" s="283">
        <f>Rounding!Q156</f>
        <v>0</v>
      </c>
      <c r="R61" s="283">
        <f>Rounding!R156</f>
        <v>0.218</v>
      </c>
      <c r="S61" s="283">
        <f>Rounding!S156</f>
        <v>0.218</v>
      </c>
      <c r="T61" s="283">
        <f>Rounding!T156</f>
        <v>0.218</v>
      </c>
      <c r="U61" s="283">
        <f>Rounding!U156</f>
        <v>0.218</v>
      </c>
      <c r="V61" s="283">
        <f>Rounding!V156</f>
        <v>0.218</v>
      </c>
      <c r="W61" s="283">
        <f>Rounding!W156</f>
        <v>0.13300000000000001</v>
      </c>
      <c r="X61" s="283">
        <f>Rounding!X156</f>
        <v>0.13300000000000001</v>
      </c>
      <c r="Y61" s="283">
        <f>Rounding!Y156</f>
        <v>0.13300000000000001</v>
      </c>
      <c r="Z61" s="283">
        <f>Rounding!Z156</f>
        <v>0.13300000000000001</v>
      </c>
      <c r="AA61" s="283">
        <f>Rounding!AA156</f>
        <v>0.13300000000000001</v>
      </c>
      <c r="AB61" s="283">
        <f>Rounding!AB156</f>
        <v>5.8999999999999997E-2</v>
      </c>
      <c r="AC61" s="283">
        <f>Rounding!AC156</f>
        <v>5.8999999999999997E-2</v>
      </c>
      <c r="AD61" s="283">
        <f>Rounding!AD156</f>
        <v>5.8999999999999997E-2</v>
      </c>
      <c r="AE61" s="283">
        <f>Rounding!AE156</f>
        <v>5.8999999999999997E-2</v>
      </c>
      <c r="AF61" s="283">
        <f>Rounding!AF156</f>
        <v>5.8999999999999997E-2</v>
      </c>
      <c r="AG61" s="283">
        <f>Rounding!AG156</f>
        <v>0</v>
      </c>
      <c r="AH61" s="283">
        <f>Rounding!AH156</f>
        <v>0</v>
      </c>
      <c r="AI61" s="283">
        <f>Rounding!AI156</f>
        <v>0</v>
      </c>
      <c r="AJ61" s="283">
        <f>Rounding!AJ156</f>
        <v>0.215</v>
      </c>
      <c r="AK61" s="283">
        <f>Rounding!AK156</f>
        <v>0</v>
      </c>
      <c r="AL61" s="283">
        <f>Rounding!AL156</f>
        <v>0.16700000000000001</v>
      </c>
      <c r="AM61" s="283">
        <f>Rounding!AM156</f>
        <v>0</v>
      </c>
      <c r="AN61" s="283">
        <f>Rounding!AN156</f>
        <v>0.13</v>
      </c>
      <c r="AO61" s="283">
        <f>Rounding!AO156</f>
        <v>0</v>
      </c>
      <c r="AP61" s="267"/>
      <c r="AQ61" s="267"/>
    </row>
    <row r="62" spans="1:43" x14ac:dyDescent="0.3">
      <c r="E62" s="28"/>
      <c r="G62" s="13"/>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row>
    <row r="63" spans="1:43" x14ac:dyDescent="0.3">
      <c r="E63" s="32" t="s">
        <v>760</v>
      </c>
      <c r="G63" s="13"/>
      <c r="I63" t="s">
        <v>154</v>
      </c>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Q63" t="s">
        <v>155</v>
      </c>
    </row>
    <row r="64" spans="1:43" x14ac:dyDescent="0.3">
      <c r="F64" s="23" t="s">
        <v>156</v>
      </c>
      <c r="G64" s="85" t="s">
        <v>269</v>
      </c>
      <c r="H64" s="278"/>
      <c r="I64" s="266"/>
      <c r="J64" s="278">
        <f>Rounding!J159</f>
        <v>3.99</v>
      </c>
      <c r="K64" s="278">
        <f>Rounding!K159</f>
        <v>3.99</v>
      </c>
      <c r="L64" s="278">
        <f>Rounding!L159</f>
        <v>4.5430000000000001</v>
      </c>
      <c r="M64" s="278">
        <f>Rounding!M159</f>
        <v>4.5430000000000001</v>
      </c>
      <c r="N64" s="278">
        <f>Rounding!N159</f>
        <v>4.5430000000000001</v>
      </c>
      <c r="O64" s="278">
        <f>Rounding!O159</f>
        <v>4.5430000000000001</v>
      </c>
      <c r="P64" s="278">
        <f>Rounding!P159</f>
        <v>4.5430000000000001</v>
      </c>
      <c r="Q64" s="278">
        <f>Rounding!Q159</f>
        <v>4.5430000000000001</v>
      </c>
      <c r="R64" s="278">
        <f>Rounding!R159</f>
        <v>2.8260000000000001</v>
      </c>
      <c r="S64" s="278">
        <f>Rounding!S159</f>
        <v>2.8260000000000001</v>
      </c>
      <c r="T64" s="278">
        <f>Rounding!T159</f>
        <v>2.8260000000000001</v>
      </c>
      <c r="U64" s="278">
        <f>Rounding!U159</f>
        <v>2.8260000000000001</v>
      </c>
      <c r="V64" s="278">
        <f>Rounding!V159</f>
        <v>2.8260000000000001</v>
      </c>
      <c r="W64" s="278">
        <f>Rounding!W159</f>
        <v>0</v>
      </c>
      <c r="X64" s="278">
        <f>Rounding!X159</f>
        <v>0</v>
      </c>
      <c r="Y64" s="278">
        <f>Rounding!Y159</f>
        <v>0</v>
      </c>
      <c r="Z64" s="278">
        <f>Rounding!Z159</f>
        <v>0</v>
      </c>
      <c r="AA64" s="278">
        <f>Rounding!AA159</f>
        <v>0</v>
      </c>
      <c r="AB64" s="278">
        <f>Rounding!AB159</f>
        <v>0</v>
      </c>
      <c r="AC64" s="278">
        <f>Rounding!AC159</f>
        <v>0</v>
      </c>
      <c r="AD64" s="278">
        <f>Rounding!AD159</f>
        <v>0</v>
      </c>
      <c r="AE64" s="278">
        <f>Rounding!AE159</f>
        <v>0</v>
      </c>
      <c r="AF64" s="278">
        <f>Rounding!AF159</f>
        <v>0</v>
      </c>
      <c r="AG64" s="278">
        <f>Rounding!AG159</f>
        <v>11.481</v>
      </c>
      <c r="AH64" s="278">
        <f>Rounding!AH159</f>
        <v>-4.2030000000000003</v>
      </c>
      <c r="AI64" s="278">
        <f>Rounding!AI159</f>
        <v>0</v>
      </c>
      <c r="AJ64" s="278">
        <f>Rounding!AJ159</f>
        <v>-4.2030000000000003</v>
      </c>
      <c r="AK64" s="278">
        <f>Rounding!AK159</f>
        <v>0</v>
      </c>
      <c r="AL64" s="278">
        <f>Rounding!AL159</f>
        <v>0</v>
      </c>
      <c r="AM64" s="278">
        <f>Rounding!AM159</f>
        <v>0</v>
      </c>
      <c r="AN64" s="278">
        <f>Rounding!AN159</f>
        <v>0</v>
      </c>
      <c r="AO64" s="278">
        <f>Rounding!AO159</f>
        <v>0</v>
      </c>
      <c r="AP64" s="267"/>
      <c r="AQ64" s="267"/>
    </row>
    <row r="65" spans="3:43" x14ac:dyDescent="0.3">
      <c r="E65" s="28"/>
      <c r="F65" t="s">
        <v>157</v>
      </c>
      <c r="G65" s="13" t="s">
        <v>269</v>
      </c>
      <c r="H65" s="279"/>
      <c r="I65" s="267"/>
      <c r="J65" s="279">
        <f>Rounding!J160</f>
        <v>0.63</v>
      </c>
      <c r="K65" s="279">
        <f>Rounding!K160</f>
        <v>0.63</v>
      </c>
      <c r="L65" s="279">
        <f>Rounding!L160</f>
        <v>0.71799999999999997</v>
      </c>
      <c r="M65" s="279">
        <f>Rounding!M160</f>
        <v>0.71799999999999997</v>
      </c>
      <c r="N65" s="279">
        <f>Rounding!N160</f>
        <v>0.71799999999999997</v>
      </c>
      <c r="O65" s="279">
        <f>Rounding!O160</f>
        <v>0.71799999999999997</v>
      </c>
      <c r="P65" s="279">
        <f>Rounding!P160</f>
        <v>0.71799999999999997</v>
      </c>
      <c r="Q65" s="279">
        <f>Rounding!Q160</f>
        <v>0.71799999999999997</v>
      </c>
      <c r="R65" s="279">
        <f>Rounding!R160</f>
        <v>0.45800000000000002</v>
      </c>
      <c r="S65" s="279">
        <f>Rounding!S160</f>
        <v>0.45800000000000002</v>
      </c>
      <c r="T65" s="279">
        <f>Rounding!T160</f>
        <v>0.45800000000000002</v>
      </c>
      <c r="U65" s="279">
        <f>Rounding!U160</f>
        <v>0.45800000000000002</v>
      </c>
      <c r="V65" s="279">
        <f>Rounding!V160</f>
        <v>0.45800000000000002</v>
      </c>
      <c r="W65" s="279">
        <f>Rounding!W160</f>
        <v>0</v>
      </c>
      <c r="X65" s="279">
        <f>Rounding!X160</f>
        <v>0</v>
      </c>
      <c r="Y65" s="279">
        <f>Rounding!Y160</f>
        <v>0</v>
      </c>
      <c r="Z65" s="279">
        <f>Rounding!Z160</f>
        <v>0</v>
      </c>
      <c r="AA65" s="279">
        <f>Rounding!AA160</f>
        <v>0</v>
      </c>
      <c r="AB65" s="279">
        <f>Rounding!AB160</f>
        <v>0</v>
      </c>
      <c r="AC65" s="279">
        <f>Rounding!AC160</f>
        <v>0</v>
      </c>
      <c r="AD65" s="279">
        <f>Rounding!AD160</f>
        <v>0</v>
      </c>
      <c r="AE65" s="279">
        <f>Rounding!AE160</f>
        <v>0</v>
      </c>
      <c r="AF65" s="279">
        <f>Rounding!AF160</f>
        <v>0</v>
      </c>
      <c r="AG65" s="279">
        <f>Rounding!AG160</f>
        <v>1.8620000000000001</v>
      </c>
      <c r="AH65" s="279">
        <f>Rounding!AH160</f>
        <v>-0.66400000000000003</v>
      </c>
      <c r="AI65" s="279">
        <f>Rounding!AI160</f>
        <v>0</v>
      </c>
      <c r="AJ65" s="279">
        <f>Rounding!AJ160</f>
        <v>-0.66400000000000003</v>
      </c>
      <c r="AK65" s="279">
        <f>Rounding!AK160</f>
        <v>0</v>
      </c>
      <c r="AL65" s="279">
        <f>Rounding!AL160</f>
        <v>0</v>
      </c>
      <c r="AM65" s="279">
        <f>Rounding!AM160</f>
        <v>0</v>
      </c>
      <c r="AN65" s="279">
        <f>Rounding!AN160</f>
        <v>0</v>
      </c>
      <c r="AO65" s="279">
        <f>Rounding!AO160</f>
        <v>0</v>
      </c>
      <c r="AP65" s="267"/>
      <c r="AQ65" s="267"/>
    </row>
    <row r="66" spans="3:43" x14ac:dyDescent="0.3">
      <c r="E66" s="28"/>
      <c r="F66" t="s">
        <v>158</v>
      </c>
      <c r="G66" s="13" t="s">
        <v>269</v>
      </c>
      <c r="H66" s="279"/>
      <c r="I66" s="267"/>
      <c r="J66" s="279">
        <f>Rounding!J161</f>
        <v>5.8999999999999997E-2</v>
      </c>
      <c r="K66" s="279">
        <f>Rounding!K161</f>
        <v>5.8999999999999997E-2</v>
      </c>
      <c r="L66" s="279">
        <f>Rounding!L161</f>
        <v>6.8000000000000005E-2</v>
      </c>
      <c r="M66" s="279">
        <f>Rounding!M161</f>
        <v>6.8000000000000005E-2</v>
      </c>
      <c r="N66" s="279">
        <f>Rounding!N161</f>
        <v>6.8000000000000005E-2</v>
      </c>
      <c r="O66" s="279">
        <f>Rounding!O161</f>
        <v>6.8000000000000005E-2</v>
      </c>
      <c r="P66" s="279">
        <f>Rounding!P161</f>
        <v>6.8000000000000005E-2</v>
      </c>
      <c r="Q66" s="279">
        <f>Rounding!Q161</f>
        <v>6.8000000000000005E-2</v>
      </c>
      <c r="R66" s="279">
        <f>Rounding!R161</f>
        <v>3.7999999999999999E-2</v>
      </c>
      <c r="S66" s="279">
        <f>Rounding!S161</f>
        <v>3.7999999999999999E-2</v>
      </c>
      <c r="T66" s="279">
        <f>Rounding!T161</f>
        <v>3.7999999999999999E-2</v>
      </c>
      <c r="U66" s="279">
        <f>Rounding!U161</f>
        <v>3.7999999999999999E-2</v>
      </c>
      <c r="V66" s="279">
        <f>Rounding!V161</f>
        <v>3.7999999999999999E-2</v>
      </c>
      <c r="W66" s="279">
        <f>Rounding!W161</f>
        <v>0</v>
      </c>
      <c r="X66" s="279">
        <f>Rounding!X161</f>
        <v>0</v>
      </c>
      <c r="Y66" s="279">
        <f>Rounding!Y161</f>
        <v>0</v>
      </c>
      <c r="Z66" s="279">
        <f>Rounding!Z161</f>
        <v>0</v>
      </c>
      <c r="AA66" s="279">
        <f>Rounding!AA161</f>
        <v>0</v>
      </c>
      <c r="AB66" s="279">
        <f>Rounding!AB161</f>
        <v>0</v>
      </c>
      <c r="AC66" s="279">
        <f>Rounding!AC161</f>
        <v>0</v>
      </c>
      <c r="AD66" s="279">
        <f>Rounding!AD161</f>
        <v>0</v>
      </c>
      <c r="AE66" s="279">
        <f>Rounding!AE161</f>
        <v>0</v>
      </c>
      <c r="AF66" s="279">
        <f>Rounding!AF161</f>
        <v>0</v>
      </c>
      <c r="AG66" s="279">
        <f>Rounding!AG161</f>
        <v>1.4419999999999999</v>
      </c>
      <c r="AH66" s="279">
        <f>Rounding!AH161</f>
        <v>-6.3E-2</v>
      </c>
      <c r="AI66" s="279">
        <f>Rounding!AI161</f>
        <v>0</v>
      </c>
      <c r="AJ66" s="279">
        <f>Rounding!AJ161</f>
        <v>-6.3E-2</v>
      </c>
      <c r="AK66" s="279">
        <f>Rounding!AK161</f>
        <v>0</v>
      </c>
      <c r="AL66" s="279">
        <f>Rounding!AL161</f>
        <v>0</v>
      </c>
      <c r="AM66" s="279">
        <f>Rounding!AM161</f>
        <v>0</v>
      </c>
      <c r="AN66" s="279">
        <f>Rounding!AN161</f>
        <v>0</v>
      </c>
      <c r="AO66" s="279">
        <f>Rounding!AO161</f>
        <v>0</v>
      </c>
      <c r="AP66" s="267"/>
      <c r="AQ66" s="267"/>
    </row>
    <row r="67" spans="3:43" x14ac:dyDescent="0.3">
      <c r="E67" s="28"/>
      <c r="F67" t="s">
        <v>159</v>
      </c>
      <c r="G67" s="13" t="s">
        <v>270</v>
      </c>
      <c r="H67" s="51"/>
      <c r="J67" s="120">
        <f>Rounding!J162</f>
        <v>20.22</v>
      </c>
      <c r="K67" s="120">
        <f>Rounding!K162</f>
        <v>0</v>
      </c>
      <c r="L67" s="120">
        <f>Rounding!L162</f>
        <v>5.93</v>
      </c>
      <c r="M67" s="120">
        <f>Rounding!M162</f>
        <v>8.89</v>
      </c>
      <c r="N67" s="120">
        <f>Rounding!N162</f>
        <v>22.39</v>
      </c>
      <c r="O67" s="120">
        <f>Rounding!O162</f>
        <v>46.29</v>
      </c>
      <c r="P67" s="120">
        <f>Rounding!P162</f>
        <v>136.08000000000001</v>
      </c>
      <c r="Q67" s="120">
        <f>Rounding!Q162</f>
        <v>0</v>
      </c>
      <c r="R67" s="120">
        <f>Rounding!R162</f>
        <v>8.34</v>
      </c>
      <c r="S67" s="120">
        <f>Rounding!S162</f>
        <v>201.13</v>
      </c>
      <c r="T67" s="120">
        <f>Rounding!T162</f>
        <v>364.65</v>
      </c>
      <c r="U67" s="120">
        <f>Rounding!U162</f>
        <v>560.79999999999995</v>
      </c>
      <c r="V67" s="120">
        <f>Rounding!V162</f>
        <v>870.87</v>
      </c>
      <c r="W67" s="120">
        <f>Rounding!W162</f>
        <v>0</v>
      </c>
      <c r="X67" s="120">
        <f>Rounding!X162</f>
        <v>0</v>
      </c>
      <c r="Y67" s="120">
        <f>Rounding!Y162</f>
        <v>0</v>
      </c>
      <c r="Z67" s="120">
        <f>Rounding!Z162</f>
        <v>0</v>
      </c>
      <c r="AA67" s="120">
        <f>Rounding!AA162</f>
        <v>0</v>
      </c>
      <c r="AB67" s="120">
        <f>Rounding!AB162</f>
        <v>0</v>
      </c>
      <c r="AC67" s="120">
        <f>Rounding!AC162</f>
        <v>0</v>
      </c>
      <c r="AD67" s="120">
        <f>Rounding!AD162</f>
        <v>0</v>
      </c>
      <c r="AE67" s="120">
        <f>Rounding!AE162</f>
        <v>0</v>
      </c>
      <c r="AF67" s="120">
        <f>Rounding!AF162</f>
        <v>0</v>
      </c>
      <c r="AG67" s="120">
        <f>Rounding!AG162</f>
        <v>0</v>
      </c>
      <c r="AH67" s="120">
        <f>Rounding!AH162</f>
        <v>0</v>
      </c>
      <c r="AI67" s="120">
        <f>Rounding!AI162</f>
        <v>0</v>
      </c>
      <c r="AJ67" s="120">
        <f>Rounding!AJ162</f>
        <v>0</v>
      </c>
      <c r="AK67" s="120">
        <f>Rounding!AK162</f>
        <v>0</v>
      </c>
      <c r="AL67" s="120">
        <f>Rounding!AL162</f>
        <v>0</v>
      </c>
      <c r="AM67" s="120">
        <f>Rounding!AM162</f>
        <v>0</v>
      </c>
      <c r="AN67" s="120">
        <f>Rounding!AN162</f>
        <v>0</v>
      </c>
      <c r="AO67" s="120">
        <f>Rounding!AO162</f>
        <v>0</v>
      </c>
    </row>
    <row r="68" spans="3:43" x14ac:dyDescent="0.3">
      <c r="E68" s="28"/>
      <c r="F68" t="s">
        <v>160</v>
      </c>
      <c r="G68" s="13" t="s">
        <v>271</v>
      </c>
      <c r="H68" s="51"/>
      <c r="J68" s="120">
        <f>Rounding!J163</f>
        <v>0</v>
      </c>
      <c r="K68" s="120">
        <f>Rounding!K163</f>
        <v>0</v>
      </c>
      <c r="L68" s="120">
        <f>Rounding!L163</f>
        <v>0</v>
      </c>
      <c r="M68" s="120">
        <f>Rounding!M163</f>
        <v>0</v>
      </c>
      <c r="N68" s="120">
        <f>Rounding!N163</f>
        <v>0</v>
      </c>
      <c r="O68" s="120">
        <f>Rounding!O163</f>
        <v>0</v>
      </c>
      <c r="P68" s="120">
        <f>Rounding!P163</f>
        <v>0</v>
      </c>
      <c r="Q68" s="120">
        <f>Rounding!Q163</f>
        <v>0</v>
      </c>
      <c r="R68" s="120">
        <f>Rounding!R163</f>
        <v>2.87</v>
      </c>
      <c r="S68" s="120">
        <f>Rounding!S163</f>
        <v>2.87</v>
      </c>
      <c r="T68" s="120">
        <f>Rounding!T163</f>
        <v>2.87</v>
      </c>
      <c r="U68" s="120">
        <f>Rounding!U163</f>
        <v>2.87</v>
      </c>
      <c r="V68" s="120">
        <f>Rounding!V163</f>
        <v>2.87</v>
      </c>
      <c r="W68" s="120">
        <f>Rounding!W163</f>
        <v>0</v>
      </c>
      <c r="X68" s="120">
        <f>Rounding!X163</f>
        <v>0</v>
      </c>
      <c r="Y68" s="120">
        <f>Rounding!Y163</f>
        <v>0</v>
      </c>
      <c r="Z68" s="120">
        <f>Rounding!Z163</f>
        <v>0</v>
      </c>
      <c r="AA68" s="120">
        <f>Rounding!AA163</f>
        <v>0</v>
      </c>
      <c r="AB68" s="120">
        <f>Rounding!AB163</f>
        <v>0</v>
      </c>
      <c r="AC68" s="120">
        <f>Rounding!AC163</f>
        <v>0</v>
      </c>
      <c r="AD68" s="120">
        <f>Rounding!AD163</f>
        <v>0</v>
      </c>
      <c r="AE68" s="120">
        <f>Rounding!AE163</f>
        <v>0</v>
      </c>
      <c r="AF68" s="120">
        <f>Rounding!AF163</f>
        <v>0</v>
      </c>
      <c r="AG68" s="120">
        <f>Rounding!AG163</f>
        <v>0</v>
      </c>
      <c r="AH68" s="120">
        <f>Rounding!AH163</f>
        <v>0</v>
      </c>
      <c r="AI68" s="120">
        <f>Rounding!AI163</f>
        <v>0</v>
      </c>
      <c r="AJ68" s="120">
        <f>Rounding!AJ163</f>
        <v>0</v>
      </c>
      <c r="AK68" s="120">
        <f>Rounding!AK163</f>
        <v>0</v>
      </c>
      <c r="AL68" s="120">
        <f>Rounding!AL163</f>
        <v>0</v>
      </c>
      <c r="AM68" s="120">
        <f>Rounding!AM163</f>
        <v>0</v>
      </c>
      <c r="AN68" s="120">
        <f>Rounding!AN163</f>
        <v>0</v>
      </c>
      <c r="AO68" s="120">
        <f>Rounding!AO163</f>
        <v>0</v>
      </c>
    </row>
    <row r="69" spans="3:43" x14ac:dyDescent="0.3">
      <c r="E69" s="28"/>
      <c r="F69" t="s">
        <v>161</v>
      </c>
      <c r="G69" s="13" t="s">
        <v>271</v>
      </c>
      <c r="H69" s="51"/>
      <c r="J69" s="120">
        <f>Rounding!J164</f>
        <v>0</v>
      </c>
      <c r="K69" s="120">
        <f>Rounding!K164</f>
        <v>0</v>
      </c>
      <c r="L69" s="120">
        <f>Rounding!L164</f>
        <v>0</v>
      </c>
      <c r="M69" s="120">
        <f>Rounding!M164</f>
        <v>0</v>
      </c>
      <c r="N69" s="120">
        <f>Rounding!N164</f>
        <v>0</v>
      </c>
      <c r="O69" s="120">
        <f>Rounding!O164</f>
        <v>0</v>
      </c>
      <c r="P69" s="120">
        <f>Rounding!P164</f>
        <v>0</v>
      </c>
      <c r="Q69" s="120">
        <f>Rounding!Q164</f>
        <v>0</v>
      </c>
      <c r="R69" s="120">
        <f>Rounding!R164</f>
        <v>5.2</v>
      </c>
      <c r="S69" s="120">
        <f>Rounding!S164</f>
        <v>5.2</v>
      </c>
      <c r="T69" s="120">
        <f>Rounding!T164</f>
        <v>5.2</v>
      </c>
      <c r="U69" s="120">
        <f>Rounding!U164</f>
        <v>5.2</v>
      </c>
      <c r="V69" s="120">
        <f>Rounding!V164</f>
        <v>5.2</v>
      </c>
      <c r="W69" s="120">
        <f>Rounding!W164</f>
        <v>0</v>
      </c>
      <c r="X69" s="120">
        <f>Rounding!X164</f>
        <v>0</v>
      </c>
      <c r="Y69" s="120">
        <f>Rounding!Y164</f>
        <v>0</v>
      </c>
      <c r="Z69" s="120">
        <f>Rounding!Z164</f>
        <v>0</v>
      </c>
      <c r="AA69" s="120">
        <f>Rounding!AA164</f>
        <v>0</v>
      </c>
      <c r="AB69" s="120">
        <f>Rounding!AB164</f>
        <v>0</v>
      </c>
      <c r="AC69" s="120">
        <f>Rounding!AC164</f>
        <v>0</v>
      </c>
      <c r="AD69" s="120">
        <f>Rounding!AD164</f>
        <v>0</v>
      </c>
      <c r="AE69" s="120">
        <f>Rounding!AE164</f>
        <v>0</v>
      </c>
      <c r="AF69" s="120">
        <f>Rounding!AF164</f>
        <v>0</v>
      </c>
      <c r="AG69" s="120">
        <f>Rounding!AG164</f>
        <v>0</v>
      </c>
      <c r="AH69" s="120">
        <f>Rounding!AH164</f>
        <v>0</v>
      </c>
      <c r="AI69" s="120">
        <f>Rounding!AI164</f>
        <v>0</v>
      </c>
      <c r="AJ69" s="120">
        <f>Rounding!AJ164</f>
        <v>0</v>
      </c>
      <c r="AK69" s="120">
        <f>Rounding!AK164</f>
        <v>0</v>
      </c>
      <c r="AL69" s="120">
        <f>Rounding!AL164</f>
        <v>0</v>
      </c>
      <c r="AM69" s="120">
        <f>Rounding!AM164</f>
        <v>0</v>
      </c>
      <c r="AN69" s="120">
        <f>Rounding!AN164</f>
        <v>0</v>
      </c>
      <c r="AO69" s="120">
        <f>Rounding!AO164</f>
        <v>0</v>
      </c>
    </row>
    <row r="70" spans="3:43" x14ac:dyDescent="0.3">
      <c r="E70" s="28"/>
      <c r="F70" s="37" t="s">
        <v>162</v>
      </c>
      <c r="G70" s="86" t="s">
        <v>272</v>
      </c>
      <c r="H70" s="283"/>
      <c r="I70" s="269"/>
      <c r="J70" s="283">
        <f>Rounding!J165</f>
        <v>0</v>
      </c>
      <c r="K70" s="283">
        <f>Rounding!K165</f>
        <v>0</v>
      </c>
      <c r="L70" s="283">
        <f>Rounding!L165</f>
        <v>0</v>
      </c>
      <c r="M70" s="283">
        <f>Rounding!M165</f>
        <v>0</v>
      </c>
      <c r="N70" s="283">
        <f>Rounding!N165</f>
        <v>0</v>
      </c>
      <c r="O70" s="283">
        <f>Rounding!O165</f>
        <v>0</v>
      </c>
      <c r="P70" s="283">
        <f>Rounding!P165</f>
        <v>0</v>
      </c>
      <c r="Q70" s="283">
        <f>Rounding!Q165</f>
        <v>0</v>
      </c>
      <c r="R70" s="283">
        <f>Rounding!R165</f>
        <v>0.14499999999999999</v>
      </c>
      <c r="S70" s="283">
        <f>Rounding!S165</f>
        <v>0.14499999999999999</v>
      </c>
      <c r="T70" s="283">
        <f>Rounding!T165</f>
        <v>0.14499999999999999</v>
      </c>
      <c r="U70" s="283">
        <f>Rounding!U165</f>
        <v>0.14499999999999999</v>
      </c>
      <c r="V70" s="283">
        <f>Rounding!V165</f>
        <v>0.14499999999999999</v>
      </c>
      <c r="W70" s="283">
        <f>Rounding!W165</f>
        <v>0</v>
      </c>
      <c r="X70" s="283">
        <f>Rounding!X165</f>
        <v>0</v>
      </c>
      <c r="Y70" s="283">
        <f>Rounding!Y165</f>
        <v>0</v>
      </c>
      <c r="Z70" s="283">
        <f>Rounding!Z165</f>
        <v>0</v>
      </c>
      <c r="AA70" s="283">
        <f>Rounding!AA165</f>
        <v>0</v>
      </c>
      <c r="AB70" s="283">
        <f>Rounding!AB165</f>
        <v>0</v>
      </c>
      <c r="AC70" s="283">
        <f>Rounding!AC165</f>
        <v>0</v>
      </c>
      <c r="AD70" s="283">
        <f>Rounding!AD165</f>
        <v>0</v>
      </c>
      <c r="AE70" s="283">
        <f>Rounding!AE165</f>
        <v>0</v>
      </c>
      <c r="AF70" s="283">
        <f>Rounding!AF165</f>
        <v>0</v>
      </c>
      <c r="AG70" s="283">
        <f>Rounding!AG165</f>
        <v>0</v>
      </c>
      <c r="AH70" s="283">
        <f>Rounding!AH165</f>
        <v>0</v>
      </c>
      <c r="AI70" s="283">
        <f>Rounding!AI165</f>
        <v>0</v>
      </c>
      <c r="AJ70" s="283">
        <f>Rounding!AJ165</f>
        <v>0.215</v>
      </c>
      <c r="AK70" s="283">
        <f>Rounding!AK165</f>
        <v>0</v>
      </c>
      <c r="AL70" s="283">
        <f>Rounding!AL165</f>
        <v>0</v>
      </c>
      <c r="AM70" s="283">
        <f>Rounding!AM165</f>
        <v>0</v>
      </c>
      <c r="AN70" s="283">
        <f>Rounding!AN165</f>
        <v>0</v>
      </c>
      <c r="AO70" s="283">
        <f>Rounding!AO165</f>
        <v>0</v>
      </c>
      <c r="AP70" s="267"/>
      <c r="AQ70" s="267"/>
    </row>
    <row r="71" spans="3:43" x14ac:dyDescent="0.3">
      <c r="E71" s="28"/>
      <c r="G71" s="13"/>
      <c r="J71" s="89"/>
      <c r="K71" s="89"/>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row>
    <row r="72" spans="3:43" x14ac:dyDescent="0.3">
      <c r="E72" s="32" t="s">
        <v>761</v>
      </c>
      <c r="G72" s="13"/>
      <c r="I72" t="s">
        <v>154</v>
      </c>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Q72" t="s">
        <v>155</v>
      </c>
    </row>
    <row r="73" spans="3:43" x14ac:dyDescent="0.3">
      <c r="C73" s="88"/>
      <c r="F73" s="23" t="s">
        <v>156</v>
      </c>
      <c r="G73" s="85" t="s">
        <v>269</v>
      </c>
      <c r="H73" s="278"/>
      <c r="I73" s="266"/>
      <c r="J73" s="278">
        <f>Rounding!J168</f>
        <v>3.1179999999999999</v>
      </c>
      <c r="K73" s="278">
        <f>Rounding!K168</f>
        <v>3.1179999999999999</v>
      </c>
      <c r="L73" s="278">
        <f>Rounding!L168</f>
        <v>3.55</v>
      </c>
      <c r="M73" s="278">
        <f>Rounding!M168</f>
        <v>3.55</v>
      </c>
      <c r="N73" s="278">
        <f>Rounding!N168</f>
        <v>3.55</v>
      </c>
      <c r="O73" s="278">
        <f>Rounding!O168</f>
        <v>3.55</v>
      </c>
      <c r="P73" s="278">
        <f>Rounding!P168</f>
        <v>3.55</v>
      </c>
      <c r="Q73" s="278">
        <f>Rounding!Q168</f>
        <v>3.55</v>
      </c>
      <c r="R73" s="278">
        <f>Rounding!R168</f>
        <v>2.2080000000000002</v>
      </c>
      <c r="S73" s="278">
        <f>Rounding!S168</f>
        <v>2.2080000000000002</v>
      </c>
      <c r="T73" s="278">
        <f>Rounding!T168</f>
        <v>2.2080000000000002</v>
      </c>
      <c r="U73" s="278">
        <f>Rounding!U168</f>
        <v>2.2080000000000002</v>
      </c>
      <c r="V73" s="278">
        <f>Rounding!V168</f>
        <v>2.2080000000000002</v>
      </c>
      <c r="W73" s="278">
        <f>Rounding!W168</f>
        <v>1.514</v>
      </c>
      <c r="X73" s="278">
        <f>Rounding!X168</f>
        <v>1.514</v>
      </c>
      <c r="Y73" s="278">
        <f>Rounding!Y168</f>
        <v>1.514</v>
      </c>
      <c r="Z73" s="278">
        <f>Rounding!Z168</f>
        <v>1.514</v>
      </c>
      <c r="AA73" s="278">
        <f>Rounding!AA168</f>
        <v>1.514</v>
      </c>
      <c r="AB73" s="278">
        <f>Rounding!AB168</f>
        <v>1.1830000000000001</v>
      </c>
      <c r="AC73" s="278">
        <f>Rounding!AC168</f>
        <v>1.1830000000000001</v>
      </c>
      <c r="AD73" s="278">
        <f>Rounding!AD168</f>
        <v>1.1830000000000001</v>
      </c>
      <c r="AE73" s="278">
        <f>Rounding!AE168</f>
        <v>1.1830000000000001</v>
      </c>
      <c r="AF73" s="278">
        <f>Rounding!AF168</f>
        <v>1.1830000000000001</v>
      </c>
      <c r="AG73" s="278">
        <f>Rounding!AG168</f>
        <v>8.9710000000000001</v>
      </c>
      <c r="AH73" s="278">
        <f>Rounding!AH168</f>
        <v>-4.2030000000000003</v>
      </c>
      <c r="AI73" s="278">
        <f>Rounding!AI168</f>
        <v>-3.496</v>
      </c>
      <c r="AJ73" s="278">
        <f>Rounding!AJ168</f>
        <v>-4.2030000000000003</v>
      </c>
      <c r="AK73" s="278">
        <f>Rounding!AK168</f>
        <v>0</v>
      </c>
      <c r="AL73" s="278">
        <f>Rounding!AL168</f>
        <v>-3.496</v>
      </c>
      <c r="AM73" s="278">
        <f>Rounding!AM168</f>
        <v>0</v>
      </c>
      <c r="AN73" s="278">
        <f>Rounding!AN168</f>
        <v>-1.8</v>
      </c>
      <c r="AO73" s="278">
        <f>Rounding!AO168</f>
        <v>0</v>
      </c>
      <c r="AP73" s="267"/>
      <c r="AQ73" s="267"/>
    </row>
    <row r="74" spans="3:43" x14ac:dyDescent="0.3">
      <c r="C74" s="88"/>
      <c r="F74" t="s">
        <v>157</v>
      </c>
      <c r="G74" s="13" t="s">
        <v>269</v>
      </c>
      <c r="H74" s="279"/>
      <c r="I74" s="267"/>
      <c r="J74" s="279">
        <f>Rounding!J169</f>
        <v>0.49299999999999999</v>
      </c>
      <c r="K74" s="279">
        <f>Rounding!K169</f>
        <v>0.49299999999999999</v>
      </c>
      <c r="L74" s="279">
        <f>Rounding!L169</f>
        <v>0.56100000000000005</v>
      </c>
      <c r="M74" s="279">
        <f>Rounding!M169</f>
        <v>0.56100000000000005</v>
      </c>
      <c r="N74" s="279">
        <f>Rounding!N169</f>
        <v>0.56100000000000005</v>
      </c>
      <c r="O74" s="279">
        <f>Rounding!O169</f>
        <v>0.56100000000000005</v>
      </c>
      <c r="P74" s="279">
        <f>Rounding!P169</f>
        <v>0.56100000000000005</v>
      </c>
      <c r="Q74" s="279">
        <f>Rounding!Q169</f>
        <v>0.56100000000000005</v>
      </c>
      <c r="R74" s="279">
        <f>Rounding!R169</f>
        <v>0.35799999999999998</v>
      </c>
      <c r="S74" s="279">
        <f>Rounding!S169</f>
        <v>0.35799999999999998</v>
      </c>
      <c r="T74" s="279">
        <f>Rounding!T169</f>
        <v>0.35799999999999998</v>
      </c>
      <c r="U74" s="279">
        <f>Rounding!U169</f>
        <v>0.35799999999999998</v>
      </c>
      <c r="V74" s="279">
        <f>Rounding!V169</f>
        <v>0.35799999999999998</v>
      </c>
      <c r="W74" s="279">
        <f>Rounding!W169</f>
        <v>0.26300000000000001</v>
      </c>
      <c r="X74" s="279">
        <f>Rounding!X169</f>
        <v>0.26300000000000001</v>
      </c>
      <c r="Y74" s="279">
        <f>Rounding!Y169</f>
        <v>0.26300000000000001</v>
      </c>
      <c r="Z74" s="279">
        <f>Rounding!Z169</f>
        <v>0.26300000000000001</v>
      </c>
      <c r="AA74" s="279">
        <f>Rounding!AA169</f>
        <v>0.26300000000000001</v>
      </c>
      <c r="AB74" s="279">
        <f>Rounding!AB169</f>
        <v>0.20599999999999999</v>
      </c>
      <c r="AC74" s="279">
        <f>Rounding!AC169</f>
        <v>0.20599999999999999</v>
      </c>
      <c r="AD74" s="279">
        <f>Rounding!AD169</f>
        <v>0.20599999999999999</v>
      </c>
      <c r="AE74" s="279">
        <f>Rounding!AE169</f>
        <v>0.20599999999999999</v>
      </c>
      <c r="AF74" s="279">
        <f>Rounding!AF169</f>
        <v>0.20599999999999999</v>
      </c>
      <c r="AG74" s="279">
        <f>Rounding!AG169</f>
        <v>1.4550000000000001</v>
      </c>
      <c r="AH74" s="279">
        <f>Rounding!AH169</f>
        <v>-0.66400000000000003</v>
      </c>
      <c r="AI74" s="279">
        <f>Rounding!AI169</f>
        <v>-0.56100000000000005</v>
      </c>
      <c r="AJ74" s="279">
        <f>Rounding!AJ169</f>
        <v>-0.66400000000000003</v>
      </c>
      <c r="AK74" s="279">
        <f>Rounding!AK169</f>
        <v>0</v>
      </c>
      <c r="AL74" s="279">
        <f>Rounding!AL169</f>
        <v>-0.56100000000000005</v>
      </c>
      <c r="AM74" s="279">
        <f>Rounding!AM169</f>
        <v>0</v>
      </c>
      <c r="AN74" s="279">
        <f>Rounding!AN169</f>
        <v>-0.313</v>
      </c>
      <c r="AO74" s="279">
        <f>Rounding!AO169</f>
        <v>0</v>
      </c>
      <c r="AP74" s="267"/>
      <c r="AQ74" s="267"/>
    </row>
    <row r="75" spans="3:43" x14ac:dyDescent="0.3">
      <c r="C75" s="88"/>
      <c r="F75" t="s">
        <v>158</v>
      </c>
      <c r="G75" s="13" t="s">
        <v>269</v>
      </c>
      <c r="H75" s="279"/>
      <c r="I75" s="267"/>
      <c r="J75" s="279">
        <f>Rounding!J170</f>
        <v>4.5999999999999999E-2</v>
      </c>
      <c r="K75" s="279">
        <f>Rounding!K170</f>
        <v>4.5999999999999999E-2</v>
      </c>
      <c r="L75" s="279">
        <f>Rounding!L170</f>
        <v>5.2999999999999999E-2</v>
      </c>
      <c r="M75" s="279">
        <f>Rounding!M170</f>
        <v>5.2999999999999999E-2</v>
      </c>
      <c r="N75" s="279">
        <f>Rounding!N170</f>
        <v>5.2999999999999999E-2</v>
      </c>
      <c r="O75" s="279">
        <f>Rounding!O170</f>
        <v>5.2999999999999999E-2</v>
      </c>
      <c r="P75" s="279">
        <f>Rounding!P170</f>
        <v>5.2999999999999999E-2</v>
      </c>
      <c r="Q75" s="279">
        <f>Rounding!Q170</f>
        <v>5.2999999999999999E-2</v>
      </c>
      <c r="R75" s="279">
        <f>Rounding!R170</f>
        <v>0.03</v>
      </c>
      <c r="S75" s="279">
        <f>Rounding!S170</f>
        <v>0.03</v>
      </c>
      <c r="T75" s="279">
        <f>Rounding!T170</f>
        <v>0.03</v>
      </c>
      <c r="U75" s="279">
        <f>Rounding!U170</f>
        <v>0.03</v>
      </c>
      <c r="V75" s="279">
        <f>Rounding!V170</f>
        <v>0.03</v>
      </c>
      <c r="W75" s="279">
        <f>Rounding!W170</f>
        <v>1.4E-2</v>
      </c>
      <c r="X75" s="279">
        <f>Rounding!X170</f>
        <v>1.4E-2</v>
      </c>
      <c r="Y75" s="279">
        <f>Rounding!Y170</f>
        <v>1.4E-2</v>
      </c>
      <c r="Z75" s="279">
        <f>Rounding!Z170</f>
        <v>1.4E-2</v>
      </c>
      <c r="AA75" s="279">
        <f>Rounding!AA170</f>
        <v>1.4E-2</v>
      </c>
      <c r="AB75" s="279">
        <f>Rounding!AB170</f>
        <v>8.0000000000000002E-3</v>
      </c>
      <c r="AC75" s="279">
        <f>Rounding!AC170</f>
        <v>8.0000000000000002E-3</v>
      </c>
      <c r="AD75" s="279">
        <f>Rounding!AD170</f>
        <v>8.0000000000000002E-3</v>
      </c>
      <c r="AE75" s="279">
        <f>Rounding!AE170</f>
        <v>8.0000000000000002E-3</v>
      </c>
      <c r="AF75" s="279">
        <f>Rounding!AF170</f>
        <v>8.0000000000000002E-3</v>
      </c>
      <c r="AG75" s="279">
        <f>Rounding!AG170</f>
        <v>1.127</v>
      </c>
      <c r="AH75" s="279">
        <f>Rounding!AH170</f>
        <v>-6.3E-2</v>
      </c>
      <c r="AI75" s="279">
        <f>Rounding!AI170</f>
        <v>-4.9000000000000002E-2</v>
      </c>
      <c r="AJ75" s="279">
        <f>Rounding!AJ170</f>
        <v>-6.3E-2</v>
      </c>
      <c r="AK75" s="279">
        <f>Rounding!AK170</f>
        <v>0</v>
      </c>
      <c r="AL75" s="279">
        <f>Rounding!AL170</f>
        <v>-4.9000000000000002E-2</v>
      </c>
      <c r="AM75" s="279">
        <f>Rounding!AM170</f>
        <v>0</v>
      </c>
      <c r="AN75" s="279">
        <f>Rounding!AN170</f>
        <v>-1.7000000000000001E-2</v>
      </c>
      <c r="AO75" s="279">
        <f>Rounding!AO170</f>
        <v>0</v>
      </c>
      <c r="AP75" s="267"/>
      <c r="AQ75" s="267"/>
    </row>
    <row r="76" spans="3:43" x14ac:dyDescent="0.3">
      <c r="C76" s="88"/>
      <c r="F76" t="s">
        <v>159</v>
      </c>
      <c r="G76" s="13" t="s">
        <v>270</v>
      </c>
      <c r="H76" s="51"/>
      <c r="J76" s="120">
        <f>Rounding!J171</f>
        <v>17.86</v>
      </c>
      <c r="K76" s="120">
        <f>Rounding!K171</f>
        <v>0</v>
      </c>
      <c r="L76" s="120">
        <f>Rounding!L171</f>
        <v>4.6500000000000004</v>
      </c>
      <c r="M76" s="120">
        <f>Rounding!M171</f>
        <v>6.96</v>
      </c>
      <c r="N76" s="120">
        <f>Rounding!N171</f>
        <v>17.510000000000002</v>
      </c>
      <c r="O76" s="120">
        <f>Rounding!O171</f>
        <v>36.19</v>
      </c>
      <c r="P76" s="120">
        <f>Rounding!P171</f>
        <v>106.35</v>
      </c>
      <c r="Q76" s="120">
        <f>Rounding!Q171</f>
        <v>0</v>
      </c>
      <c r="R76" s="120">
        <f>Rounding!R171</f>
        <v>6.53</v>
      </c>
      <c r="S76" s="120">
        <f>Rounding!S171</f>
        <v>157.18</v>
      </c>
      <c r="T76" s="120">
        <f>Rounding!T171</f>
        <v>284.95</v>
      </c>
      <c r="U76" s="120">
        <f>Rounding!U171</f>
        <v>438.22</v>
      </c>
      <c r="V76" s="120">
        <f>Rounding!V171</f>
        <v>680.51</v>
      </c>
      <c r="W76" s="120">
        <f>Rounding!W171</f>
        <v>7.89</v>
      </c>
      <c r="X76" s="120">
        <f>Rounding!X171</f>
        <v>241.37</v>
      </c>
      <c r="Y76" s="120">
        <f>Rounding!Y171</f>
        <v>439.4</v>
      </c>
      <c r="Z76" s="120">
        <f>Rounding!Z171</f>
        <v>676.94</v>
      </c>
      <c r="AA76" s="120">
        <f>Rounding!AA171</f>
        <v>1052.46</v>
      </c>
      <c r="AB76" s="120">
        <f>Rounding!AB171</f>
        <v>82.98</v>
      </c>
      <c r="AC76" s="120">
        <f>Rounding!AC171</f>
        <v>1381.13</v>
      </c>
      <c r="AD76" s="120">
        <f>Rounding!AD171</f>
        <v>4372.6000000000004</v>
      </c>
      <c r="AE76" s="120">
        <f>Rounding!AE171</f>
        <v>9645.1200000000008</v>
      </c>
      <c r="AF76" s="120">
        <f>Rounding!AF171</f>
        <v>29580.01</v>
      </c>
      <c r="AG76" s="120">
        <f>Rounding!AG171</f>
        <v>0</v>
      </c>
      <c r="AH76" s="120">
        <f>Rounding!AH171</f>
        <v>0</v>
      </c>
      <c r="AI76" s="120">
        <f>Rounding!AI171</f>
        <v>0</v>
      </c>
      <c r="AJ76" s="120">
        <f>Rounding!AJ171</f>
        <v>0</v>
      </c>
      <c r="AK76" s="120">
        <f>Rounding!AK171</f>
        <v>0</v>
      </c>
      <c r="AL76" s="120">
        <f>Rounding!AL171</f>
        <v>0</v>
      </c>
      <c r="AM76" s="120">
        <f>Rounding!AM171</f>
        <v>0</v>
      </c>
      <c r="AN76" s="120">
        <f>Rounding!AN171</f>
        <v>0</v>
      </c>
      <c r="AO76" s="120">
        <f>Rounding!AO171</f>
        <v>0</v>
      </c>
    </row>
    <row r="77" spans="3:43" x14ac:dyDescent="0.3">
      <c r="C77" s="88"/>
      <c r="F77" t="s">
        <v>160</v>
      </c>
      <c r="G77" s="13" t="s">
        <v>271</v>
      </c>
      <c r="H77" s="51"/>
      <c r="J77" s="120">
        <f>Rounding!J172</f>
        <v>0</v>
      </c>
      <c r="K77" s="120">
        <f>Rounding!K172</f>
        <v>0</v>
      </c>
      <c r="L77" s="120">
        <f>Rounding!L172</f>
        <v>0</v>
      </c>
      <c r="M77" s="120">
        <f>Rounding!M172</f>
        <v>0</v>
      </c>
      <c r="N77" s="120">
        <f>Rounding!N172</f>
        <v>0</v>
      </c>
      <c r="O77" s="120">
        <f>Rounding!O172</f>
        <v>0</v>
      </c>
      <c r="P77" s="120">
        <f>Rounding!P172</f>
        <v>0</v>
      </c>
      <c r="Q77" s="120">
        <f>Rounding!Q172</f>
        <v>0</v>
      </c>
      <c r="R77" s="120">
        <f>Rounding!R172</f>
        <v>2.25</v>
      </c>
      <c r="S77" s="120">
        <f>Rounding!S172</f>
        <v>2.25</v>
      </c>
      <c r="T77" s="120">
        <f>Rounding!T172</f>
        <v>2.25</v>
      </c>
      <c r="U77" s="120">
        <f>Rounding!U172</f>
        <v>2.25</v>
      </c>
      <c r="V77" s="120">
        <f>Rounding!V172</f>
        <v>2.25</v>
      </c>
      <c r="W77" s="120">
        <f>Rounding!W172</f>
        <v>3.93</v>
      </c>
      <c r="X77" s="120">
        <f>Rounding!X172</f>
        <v>3.93</v>
      </c>
      <c r="Y77" s="120">
        <f>Rounding!Y172</f>
        <v>3.93</v>
      </c>
      <c r="Z77" s="120">
        <f>Rounding!Z172</f>
        <v>3.93</v>
      </c>
      <c r="AA77" s="120">
        <f>Rounding!AA172</f>
        <v>3.93</v>
      </c>
      <c r="AB77" s="120">
        <f>Rounding!AB172</f>
        <v>4.78</v>
      </c>
      <c r="AC77" s="120">
        <f>Rounding!AC172</f>
        <v>4.78</v>
      </c>
      <c r="AD77" s="120">
        <f>Rounding!AD172</f>
        <v>4.78</v>
      </c>
      <c r="AE77" s="120">
        <f>Rounding!AE172</f>
        <v>4.78</v>
      </c>
      <c r="AF77" s="120">
        <f>Rounding!AF172</f>
        <v>4.78</v>
      </c>
      <c r="AG77" s="120">
        <f>Rounding!AG172</f>
        <v>0</v>
      </c>
      <c r="AH77" s="120">
        <f>Rounding!AH172</f>
        <v>0</v>
      </c>
      <c r="AI77" s="120">
        <f>Rounding!AI172</f>
        <v>0</v>
      </c>
      <c r="AJ77" s="120">
        <f>Rounding!AJ172</f>
        <v>0</v>
      </c>
      <c r="AK77" s="120">
        <f>Rounding!AK172</f>
        <v>0</v>
      </c>
      <c r="AL77" s="120">
        <f>Rounding!AL172</f>
        <v>0</v>
      </c>
      <c r="AM77" s="120">
        <f>Rounding!AM172</f>
        <v>0</v>
      </c>
      <c r="AN77" s="120">
        <f>Rounding!AN172</f>
        <v>0</v>
      </c>
      <c r="AO77" s="120">
        <f>Rounding!AO172</f>
        <v>0</v>
      </c>
    </row>
    <row r="78" spans="3:43" x14ac:dyDescent="0.3">
      <c r="C78" s="88"/>
      <c r="F78" t="s">
        <v>161</v>
      </c>
      <c r="G78" s="13" t="s">
        <v>271</v>
      </c>
      <c r="H78" s="51"/>
      <c r="J78" s="120">
        <f>Rounding!J173</f>
        <v>0</v>
      </c>
      <c r="K78" s="120">
        <f>Rounding!K173</f>
        <v>0</v>
      </c>
      <c r="L78" s="120">
        <f>Rounding!L173</f>
        <v>0</v>
      </c>
      <c r="M78" s="120">
        <f>Rounding!M173</f>
        <v>0</v>
      </c>
      <c r="N78" s="120">
        <f>Rounding!N173</f>
        <v>0</v>
      </c>
      <c r="O78" s="120">
        <f>Rounding!O173</f>
        <v>0</v>
      </c>
      <c r="P78" s="120">
        <f>Rounding!P173</f>
        <v>0</v>
      </c>
      <c r="Q78" s="120">
        <f>Rounding!Q173</f>
        <v>0</v>
      </c>
      <c r="R78" s="120">
        <f>Rounding!R173</f>
        <v>4.07</v>
      </c>
      <c r="S78" s="120">
        <f>Rounding!S173</f>
        <v>4.07</v>
      </c>
      <c r="T78" s="120">
        <f>Rounding!T173</f>
        <v>4.07</v>
      </c>
      <c r="U78" s="120">
        <f>Rounding!U173</f>
        <v>4.07</v>
      </c>
      <c r="V78" s="120">
        <f>Rounding!V173</f>
        <v>4.07</v>
      </c>
      <c r="W78" s="120">
        <f>Rounding!W173</f>
        <v>5.43</v>
      </c>
      <c r="X78" s="120">
        <f>Rounding!X173</f>
        <v>5.43</v>
      </c>
      <c r="Y78" s="120">
        <f>Rounding!Y173</f>
        <v>5.43</v>
      </c>
      <c r="Z78" s="120">
        <f>Rounding!Z173</f>
        <v>5.43</v>
      </c>
      <c r="AA78" s="120">
        <f>Rounding!AA173</f>
        <v>5.43</v>
      </c>
      <c r="AB78" s="120">
        <f>Rounding!AB173</f>
        <v>6.3</v>
      </c>
      <c r="AC78" s="120">
        <f>Rounding!AC173</f>
        <v>6.3</v>
      </c>
      <c r="AD78" s="120">
        <f>Rounding!AD173</f>
        <v>6.3</v>
      </c>
      <c r="AE78" s="120">
        <f>Rounding!AE173</f>
        <v>6.3</v>
      </c>
      <c r="AF78" s="120">
        <f>Rounding!AF173</f>
        <v>6.3</v>
      </c>
      <c r="AG78" s="120">
        <f>Rounding!AG173</f>
        <v>0</v>
      </c>
      <c r="AH78" s="120">
        <f>Rounding!AH173</f>
        <v>0</v>
      </c>
      <c r="AI78" s="120">
        <f>Rounding!AI173</f>
        <v>0</v>
      </c>
      <c r="AJ78" s="120">
        <f>Rounding!AJ173</f>
        <v>0</v>
      </c>
      <c r="AK78" s="120">
        <f>Rounding!AK173</f>
        <v>0</v>
      </c>
      <c r="AL78" s="120">
        <f>Rounding!AL173</f>
        <v>0</v>
      </c>
      <c r="AM78" s="120">
        <f>Rounding!AM173</f>
        <v>0</v>
      </c>
      <c r="AN78" s="120">
        <f>Rounding!AN173</f>
        <v>0</v>
      </c>
      <c r="AO78" s="120">
        <f>Rounding!AO173</f>
        <v>0</v>
      </c>
    </row>
    <row r="79" spans="3:43" x14ac:dyDescent="0.3">
      <c r="C79" s="88"/>
      <c r="F79" s="37" t="s">
        <v>162</v>
      </c>
      <c r="G79" s="86" t="s">
        <v>272</v>
      </c>
      <c r="H79" s="283"/>
      <c r="I79" s="269"/>
      <c r="J79" s="283">
        <f>Rounding!J174</f>
        <v>0</v>
      </c>
      <c r="K79" s="283">
        <f>Rounding!K174</f>
        <v>0</v>
      </c>
      <c r="L79" s="283">
        <f>Rounding!L174</f>
        <v>0</v>
      </c>
      <c r="M79" s="283">
        <f>Rounding!M174</f>
        <v>0</v>
      </c>
      <c r="N79" s="283">
        <f>Rounding!N174</f>
        <v>0</v>
      </c>
      <c r="O79" s="283">
        <f>Rounding!O174</f>
        <v>0</v>
      </c>
      <c r="P79" s="283">
        <f>Rounding!P174</f>
        <v>0</v>
      </c>
      <c r="Q79" s="283">
        <f>Rounding!Q174</f>
        <v>0</v>
      </c>
      <c r="R79" s="283">
        <f>Rounding!R174</f>
        <v>0.113</v>
      </c>
      <c r="S79" s="283">
        <f>Rounding!S174</f>
        <v>0.113</v>
      </c>
      <c r="T79" s="283">
        <f>Rounding!T174</f>
        <v>0.113</v>
      </c>
      <c r="U79" s="283">
        <f>Rounding!U174</f>
        <v>0.113</v>
      </c>
      <c r="V79" s="283">
        <f>Rounding!V174</f>
        <v>0.113</v>
      </c>
      <c r="W79" s="283">
        <f>Rounding!W174</f>
        <v>0.106</v>
      </c>
      <c r="X79" s="283">
        <f>Rounding!X174</f>
        <v>0.106</v>
      </c>
      <c r="Y79" s="283">
        <f>Rounding!Y174</f>
        <v>0.106</v>
      </c>
      <c r="Z79" s="283">
        <f>Rounding!Z174</f>
        <v>0.106</v>
      </c>
      <c r="AA79" s="283">
        <f>Rounding!AA174</f>
        <v>0.106</v>
      </c>
      <c r="AB79" s="283">
        <f>Rounding!AB174</f>
        <v>5.3999999999999999E-2</v>
      </c>
      <c r="AC79" s="283">
        <f>Rounding!AC174</f>
        <v>5.3999999999999999E-2</v>
      </c>
      <c r="AD79" s="283">
        <f>Rounding!AD174</f>
        <v>5.3999999999999999E-2</v>
      </c>
      <c r="AE79" s="283">
        <f>Rounding!AE174</f>
        <v>5.3999999999999999E-2</v>
      </c>
      <c r="AF79" s="283">
        <f>Rounding!AF174</f>
        <v>5.3999999999999999E-2</v>
      </c>
      <c r="AG79" s="283">
        <f>Rounding!AG174</f>
        <v>0</v>
      </c>
      <c r="AH79" s="283">
        <f>Rounding!AH174</f>
        <v>0</v>
      </c>
      <c r="AI79" s="283">
        <f>Rounding!AI174</f>
        <v>0</v>
      </c>
      <c r="AJ79" s="283">
        <f>Rounding!AJ174</f>
        <v>0.215</v>
      </c>
      <c r="AK79" s="283">
        <f>Rounding!AK174</f>
        <v>0</v>
      </c>
      <c r="AL79" s="283">
        <f>Rounding!AL174</f>
        <v>0.16700000000000001</v>
      </c>
      <c r="AM79" s="283">
        <f>Rounding!AM174</f>
        <v>0</v>
      </c>
      <c r="AN79" s="283">
        <f>Rounding!AN174</f>
        <v>0.13</v>
      </c>
      <c r="AO79" s="283">
        <f>Rounding!AO174</f>
        <v>0</v>
      </c>
      <c r="AP79" s="267"/>
      <c r="AQ79" s="267"/>
    </row>
    <row r="80" spans="3:43" x14ac:dyDescent="0.3">
      <c r="C80" s="88"/>
      <c r="D80" s="2"/>
      <c r="E80" s="2"/>
      <c r="G80" s="13"/>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row>
    <row r="81" spans="2:43" x14ac:dyDescent="0.3">
      <c r="C81" s="31" t="str">
        <f ca="1">INDEX('Version control'!$H$34:$H$57,MATCH($A$1,'Version control'!$F$34:$F$57,0),1)&amp;"-C: Net revenue components"</f>
        <v>Section 118-C: Net revenue components</v>
      </c>
      <c r="D81" s="31"/>
      <c r="E81" s="31"/>
      <c r="F81" s="31"/>
      <c r="G81" s="31"/>
      <c r="H81" s="31"/>
      <c r="I81" s="31"/>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90"/>
      <c r="AO81" s="90"/>
      <c r="AP81" s="31"/>
      <c r="AQ81" s="31"/>
    </row>
    <row r="82" spans="2:43" x14ac:dyDescent="0.3">
      <c r="D82" s="32"/>
      <c r="J82" s="89"/>
      <c r="K82" s="89"/>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N82" s="89"/>
      <c r="AO82" s="89"/>
    </row>
    <row r="83" spans="2:43" x14ac:dyDescent="0.3">
      <c r="E83" t="s">
        <v>737</v>
      </c>
      <c r="G83" s="13" t="s">
        <v>277</v>
      </c>
      <c r="H83" s="120">
        <f>'General inputs'!$H$87</f>
        <v>624163225.95598495</v>
      </c>
      <c r="J83" s="199"/>
      <c r="K83" s="199"/>
      <c r="L83" s="199"/>
      <c r="M83" s="199"/>
      <c r="N83" s="199"/>
      <c r="O83" s="199"/>
      <c r="P83" s="199"/>
      <c r="Q83" s="199"/>
      <c r="R83" s="199"/>
      <c r="S83" s="199"/>
      <c r="T83" s="199"/>
      <c r="U83" s="199"/>
      <c r="V83" s="199"/>
      <c r="W83" s="199"/>
      <c r="X83" s="199"/>
      <c r="Y83" s="199"/>
      <c r="Z83" s="199"/>
      <c r="AA83" s="199"/>
      <c r="AB83" s="199"/>
      <c r="AC83" s="199"/>
      <c r="AD83" s="199"/>
      <c r="AE83" s="199"/>
      <c r="AF83" s="199"/>
      <c r="AG83" s="199"/>
      <c r="AH83" s="199"/>
      <c r="AI83" s="199"/>
      <c r="AJ83" s="199"/>
      <c r="AK83" s="199"/>
      <c r="AL83" s="199"/>
      <c r="AM83" s="199"/>
      <c r="AN83" s="199"/>
      <c r="AO83" s="199"/>
    </row>
    <row r="84" spans="2:43" x14ac:dyDescent="0.3">
      <c r="G84" s="13"/>
      <c r="H84" s="120"/>
      <c r="J84" s="199"/>
      <c r="K84" s="199"/>
      <c r="L84" s="199"/>
      <c r="M84" s="199"/>
      <c r="N84" s="199"/>
      <c r="O84" s="199"/>
      <c r="P84" s="199"/>
      <c r="Q84" s="199"/>
      <c r="R84" s="199"/>
      <c r="S84" s="199"/>
      <c r="T84" s="199"/>
      <c r="U84" s="199"/>
      <c r="V84" s="199"/>
      <c r="W84" s="199"/>
      <c r="X84" s="199"/>
      <c r="Y84" s="199"/>
      <c r="Z84" s="199"/>
      <c r="AA84" s="199"/>
      <c r="AB84" s="199"/>
      <c r="AC84" s="199"/>
      <c r="AD84" s="199"/>
      <c r="AE84" s="199"/>
      <c r="AF84" s="199"/>
      <c r="AG84" s="199"/>
      <c r="AH84" s="199"/>
      <c r="AI84" s="199"/>
      <c r="AJ84" s="199"/>
      <c r="AK84" s="199"/>
      <c r="AL84" s="199"/>
      <c r="AM84" s="199"/>
      <c r="AN84" s="199"/>
      <c r="AO84" s="199"/>
    </row>
    <row r="85" spans="2:43" x14ac:dyDescent="0.3">
      <c r="E85" t="s">
        <v>762</v>
      </c>
      <c r="G85" s="13" t="s">
        <v>277</v>
      </c>
      <c r="H85" s="120">
        <f>'Revenue matching'!H82</f>
        <v>293286107.90004373</v>
      </c>
      <c r="J85" s="199"/>
      <c r="K85" s="199"/>
      <c r="L85" s="199"/>
      <c r="M85" s="199"/>
      <c r="N85" s="199"/>
      <c r="O85" s="199"/>
      <c r="P85" s="199"/>
      <c r="Q85" s="199"/>
      <c r="R85" s="199"/>
      <c r="S85" s="199"/>
      <c r="T85" s="199"/>
      <c r="U85" s="199"/>
      <c r="V85" s="199"/>
      <c r="W85" s="199"/>
      <c r="X85" s="199"/>
      <c r="Y85" s="199"/>
      <c r="Z85" s="199"/>
      <c r="AA85" s="199"/>
      <c r="AB85" s="199"/>
      <c r="AC85" s="199"/>
      <c r="AD85" s="199"/>
      <c r="AE85" s="199"/>
      <c r="AF85" s="199"/>
      <c r="AG85" s="199"/>
      <c r="AH85" s="199"/>
      <c r="AI85" s="199"/>
      <c r="AJ85" s="199"/>
      <c r="AK85" s="199"/>
      <c r="AL85" s="199"/>
      <c r="AM85" s="199"/>
      <c r="AN85" s="199"/>
      <c r="AO85" s="199"/>
    </row>
    <row r="86" spans="2:43" x14ac:dyDescent="0.3">
      <c r="E86" t="s">
        <v>893</v>
      </c>
      <c r="G86" s="13" t="s">
        <v>277</v>
      </c>
      <c r="H86" s="124">
        <f>'SoLR &amp; bad debt adders'!H52</f>
        <v>83024227.799214065</v>
      </c>
      <c r="J86" s="199"/>
      <c r="K86" s="199"/>
      <c r="L86" s="199"/>
      <c r="M86" s="199"/>
      <c r="N86" s="199"/>
      <c r="O86" s="199"/>
      <c r="P86" s="199"/>
      <c r="Q86" s="199"/>
      <c r="R86" s="199"/>
      <c r="S86" s="199"/>
      <c r="T86" s="199"/>
      <c r="U86" s="199"/>
      <c r="V86" s="199"/>
      <c r="W86" s="199"/>
      <c r="X86" s="199"/>
      <c r="Y86" s="199"/>
      <c r="Z86" s="199"/>
      <c r="AA86" s="199"/>
      <c r="AB86" s="199"/>
      <c r="AC86" s="199"/>
      <c r="AD86" s="199"/>
      <c r="AE86" s="199"/>
      <c r="AF86" s="199"/>
      <c r="AG86" s="199"/>
      <c r="AH86" s="199"/>
      <c r="AI86" s="199"/>
      <c r="AJ86" s="199"/>
      <c r="AK86" s="199"/>
      <c r="AL86" s="199"/>
      <c r="AM86" s="199"/>
      <c r="AN86" s="199"/>
      <c r="AO86" s="199"/>
    </row>
    <row r="87" spans="2:43" x14ac:dyDescent="0.3">
      <c r="E87" t="s">
        <v>894</v>
      </c>
      <c r="G87" s="13" t="s">
        <v>277</v>
      </c>
      <c r="H87" s="124">
        <f>'SoLR &amp; bad debt adders'!H56</f>
        <v>147796.07056114281</v>
      </c>
      <c r="J87" s="199"/>
      <c r="K87" s="199"/>
      <c r="L87" s="199"/>
      <c r="M87" s="199"/>
      <c r="N87" s="199"/>
      <c r="O87" s="199"/>
      <c r="P87" s="199"/>
      <c r="Q87" s="199"/>
      <c r="R87" s="199"/>
      <c r="S87" s="199"/>
      <c r="T87" s="199"/>
      <c r="U87" s="199"/>
      <c r="V87" s="199"/>
      <c r="W87" s="199"/>
      <c r="X87" s="199"/>
      <c r="Y87" s="199"/>
      <c r="Z87" s="199"/>
      <c r="AA87" s="199"/>
      <c r="AB87" s="199"/>
      <c r="AC87" s="199"/>
      <c r="AD87" s="199"/>
      <c r="AE87" s="199"/>
      <c r="AF87" s="199"/>
      <c r="AG87" s="199"/>
      <c r="AH87" s="199"/>
      <c r="AI87" s="199"/>
      <c r="AJ87" s="199"/>
      <c r="AK87" s="199"/>
      <c r="AL87" s="199"/>
      <c r="AM87" s="199"/>
      <c r="AN87" s="199"/>
      <c r="AO87" s="199"/>
    </row>
    <row r="88" spans="2:43" x14ac:dyDescent="0.3">
      <c r="E88" t="s">
        <v>1017</v>
      </c>
      <c r="G88" s="13" t="s">
        <v>277</v>
      </c>
      <c r="H88" s="124">
        <f>'Revenue matching'!H84</f>
        <v>247705094.18616605</v>
      </c>
      <c r="J88" s="199"/>
      <c r="K88" s="199"/>
      <c r="L88" s="199"/>
      <c r="M88" s="199"/>
      <c r="N88" s="199"/>
      <c r="O88" s="199"/>
      <c r="P88" s="199"/>
      <c r="Q88" s="199"/>
      <c r="R88" s="199"/>
      <c r="S88" s="199"/>
      <c r="T88" s="199"/>
      <c r="U88" s="199"/>
      <c r="V88" s="199"/>
      <c r="W88" s="199"/>
      <c r="X88" s="199"/>
      <c r="Y88" s="199"/>
      <c r="Z88" s="199"/>
      <c r="AA88" s="199"/>
      <c r="AB88" s="199"/>
      <c r="AC88" s="199"/>
      <c r="AD88" s="199"/>
      <c r="AE88" s="199"/>
      <c r="AF88" s="199"/>
      <c r="AG88" s="199"/>
      <c r="AH88" s="199"/>
      <c r="AI88" s="199"/>
      <c r="AJ88" s="199"/>
      <c r="AK88" s="199"/>
      <c r="AL88" s="199"/>
      <c r="AM88" s="199"/>
      <c r="AN88" s="199"/>
      <c r="AO88" s="199"/>
    </row>
    <row r="89" spans="2:43" x14ac:dyDescent="0.3">
      <c r="D89" s="32"/>
      <c r="H89" s="89"/>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row>
    <row r="90" spans="2:43" x14ac:dyDescent="0.3">
      <c r="B90" s="30" t="s">
        <v>763</v>
      </c>
      <c r="C90" s="30"/>
      <c r="D90" s="30"/>
      <c r="E90" s="30"/>
      <c r="F90" s="30"/>
      <c r="G90" s="30"/>
      <c r="H90" s="184"/>
      <c r="I90" s="30"/>
      <c r="J90" s="184"/>
      <c r="K90" s="184"/>
      <c r="L90" s="184"/>
      <c r="M90" s="184"/>
      <c r="N90" s="184"/>
      <c r="O90" s="184"/>
      <c r="P90" s="184"/>
      <c r="Q90" s="184"/>
      <c r="R90" s="184"/>
      <c r="S90" s="184"/>
      <c r="T90" s="184"/>
      <c r="U90" s="184"/>
      <c r="V90" s="184"/>
      <c r="W90" s="184"/>
      <c r="X90" s="184"/>
      <c r="Y90" s="184"/>
      <c r="Z90" s="184"/>
      <c r="AA90" s="184"/>
      <c r="AB90" s="184"/>
      <c r="AC90" s="184"/>
      <c r="AD90" s="184"/>
      <c r="AE90" s="184"/>
      <c r="AF90" s="184"/>
      <c r="AG90" s="184"/>
      <c r="AH90" s="184"/>
      <c r="AI90" s="184"/>
      <c r="AJ90" s="184"/>
      <c r="AK90" s="184"/>
      <c r="AL90" s="184"/>
      <c r="AM90" s="184"/>
      <c r="AN90" s="184"/>
      <c r="AO90" s="184"/>
      <c r="AP90" s="30"/>
      <c r="AQ90" s="30"/>
    </row>
    <row r="91" spans="2:43" x14ac:dyDescent="0.3">
      <c r="D91" s="2"/>
      <c r="E91" s="2"/>
      <c r="H91" s="89"/>
      <c r="J91" s="89"/>
      <c r="K91" s="89"/>
      <c r="L91" s="89"/>
      <c r="M91" s="89"/>
      <c r="N91" s="89"/>
      <c r="O91" s="89"/>
      <c r="P91" s="89"/>
      <c r="Q91" s="89"/>
      <c r="R91" s="89"/>
      <c r="S91" s="89"/>
      <c r="T91" s="89"/>
      <c r="U91" s="89"/>
      <c r="V91" s="89"/>
      <c r="W91" s="89"/>
      <c r="X91" s="89"/>
      <c r="Y91" s="89"/>
      <c r="Z91" s="89"/>
      <c r="AA91" s="89"/>
      <c r="AB91" s="89"/>
      <c r="AC91" s="89"/>
      <c r="AD91" s="89"/>
      <c r="AE91" s="89"/>
      <c r="AF91" s="89"/>
      <c r="AG91" s="89"/>
      <c r="AH91" s="89"/>
      <c r="AI91" s="89"/>
      <c r="AJ91" s="89"/>
      <c r="AK91" s="89"/>
      <c r="AL91" s="89"/>
      <c r="AM91" s="89"/>
      <c r="AN91" s="89"/>
      <c r="AO91" s="89"/>
    </row>
    <row r="92" spans="2:43" x14ac:dyDescent="0.3">
      <c r="C92" s="31" t="str">
        <f ca="1">INDEX('Version control'!$H$34:$H$57,MATCH($A$1,'Version control'!$F$34:$F$57,0),1)&amp;"-D: Net revenue by tariff"</f>
        <v>Section 118-D: Net revenue by tariff</v>
      </c>
      <c r="D92" s="31"/>
      <c r="E92" s="31"/>
      <c r="F92" s="31"/>
      <c r="G92" s="31"/>
      <c r="H92" s="90"/>
      <c r="I92" s="31"/>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31"/>
      <c r="AQ92" s="31"/>
    </row>
    <row r="93" spans="2:43" x14ac:dyDescent="0.3">
      <c r="F93" s="3"/>
      <c r="G93" s="212"/>
      <c r="H93" s="127"/>
      <c r="I93" s="3"/>
      <c r="J93" s="89"/>
      <c r="K93" s="89"/>
      <c r="L93" s="89"/>
      <c r="M93" s="89"/>
      <c r="N93" s="89"/>
      <c r="O93" s="89"/>
      <c r="P93" s="89"/>
      <c r="Q93" s="89"/>
      <c r="R93" s="89"/>
      <c r="S93" s="89"/>
      <c r="T93" s="89"/>
      <c r="U93" s="89"/>
      <c r="V93" s="89"/>
      <c r="W93" s="89"/>
      <c r="X93" s="89"/>
      <c r="Y93" s="89"/>
      <c r="Z93" s="89"/>
      <c r="AA93" s="89"/>
      <c r="AB93" s="89"/>
      <c r="AC93" s="89"/>
      <c r="AD93" s="89"/>
      <c r="AE93" s="89"/>
      <c r="AF93" s="89"/>
      <c r="AG93" s="89"/>
      <c r="AH93" s="89"/>
      <c r="AI93" s="89"/>
      <c r="AJ93" s="89"/>
      <c r="AK93" s="89"/>
      <c r="AL93" s="89"/>
      <c r="AM93" s="89"/>
      <c r="AN93" s="89"/>
      <c r="AO93" s="89"/>
    </row>
    <row r="94" spans="2:43" x14ac:dyDescent="0.3">
      <c r="E94" s="32" t="s">
        <v>764</v>
      </c>
      <c r="G94" s="13"/>
      <c r="H94" s="213" t="s">
        <v>545</v>
      </c>
      <c r="J94" s="89"/>
      <c r="K94" s="89"/>
      <c r="L94" s="89"/>
      <c r="M94" s="89"/>
      <c r="N94" s="89"/>
      <c r="O94" s="89"/>
      <c r="P94" s="89"/>
      <c r="Q94" s="89"/>
      <c r="R94" s="89"/>
      <c r="S94" s="89"/>
      <c r="T94" s="89"/>
      <c r="U94" s="89"/>
      <c r="V94" s="89"/>
      <c r="W94" s="89"/>
      <c r="X94" s="89"/>
      <c r="Y94" s="89"/>
      <c r="Z94" s="89"/>
      <c r="AA94" s="89"/>
      <c r="AB94" s="89"/>
      <c r="AC94" s="89"/>
      <c r="AD94" s="89"/>
      <c r="AE94" s="89"/>
      <c r="AF94" s="89"/>
      <c r="AG94" s="89"/>
      <c r="AH94" s="89"/>
      <c r="AI94" s="89"/>
      <c r="AJ94" s="89"/>
      <c r="AK94" s="89"/>
      <c r="AL94" s="89"/>
      <c r="AM94" s="89"/>
      <c r="AN94" s="89"/>
      <c r="AO94" s="89"/>
    </row>
    <row r="95" spans="2:43" x14ac:dyDescent="0.3">
      <c r="E95" s="28"/>
      <c r="F95" s="23" t="s">
        <v>156</v>
      </c>
      <c r="G95" s="85" t="s">
        <v>277</v>
      </c>
      <c r="H95" s="126">
        <f t="shared" ref="H95:H101" si="0">SUM(J95:AO95)</f>
        <v>94355265.657192454</v>
      </c>
      <c r="I95" s="23"/>
      <c r="J95" s="126">
        <f t="shared" ref="J95:AO95" si="1">J22 * thousand * J55 / hundred</f>
        <v>54690211.920941025</v>
      </c>
      <c r="K95" s="126">
        <f t="shared" si="1"/>
        <v>4762.9574862044219</v>
      </c>
      <c r="L95" s="126">
        <f t="shared" si="1"/>
        <v>0</v>
      </c>
      <c r="M95" s="126">
        <f t="shared" si="1"/>
        <v>722773.00786546944</v>
      </c>
      <c r="N95" s="126">
        <f t="shared" si="1"/>
        <v>3033672.9511856502</v>
      </c>
      <c r="O95" s="126">
        <f t="shared" si="1"/>
        <v>3848791.0326017202</v>
      </c>
      <c r="P95" s="126">
        <f t="shared" si="1"/>
        <v>12407314.538784999</v>
      </c>
      <c r="Q95" s="126">
        <f t="shared" si="1"/>
        <v>8750.4486071228239</v>
      </c>
      <c r="R95" s="126">
        <f t="shared" si="1"/>
        <v>0</v>
      </c>
      <c r="S95" s="126">
        <f t="shared" si="1"/>
        <v>2644832.6681732475</v>
      </c>
      <c r="T95" s="126">
        <f t="shared" si="1"/>
        <v>3952374.976968152</v>
      </c>
      <c r="U95" s="126">
        <f t="shared" si="1"/>
        <v>2133977.6580804433</v>
      </c>
      <c r="V95" s="126">
        <f t="shared" si="1"/>
        <v>2098974.0015169275</v>
      </c>
      <c r="W95" s="126">
        <f t="shared" si="1"/>
        <v>0</v>
      </c>
      <c r="X95" s="126">
        <f t="shared" si="1"/>
        <v>3118.7742456104538</v>
      </c>
      <c r="Y95" s="126">
        <f t="shared" si="1"/>
        <v>16010.002988170441</v>
      </c>
      <c r="Z95" s="126">
        <f t="shared" si="1"/>
        <v>28863.412448115927</v>
      </c>
      <c r="AA95" s="126">
        <f t="shared" si="1"/>
        <v>332039.3494126664</v>
      </c>
      <c r="AB95" s="126">
        <f t="shared" si="1"/>
        <v>0</v>
      </c>
      <c r="AC95" s="126">
        <f t="shared" si="1"/>
        <v>1228996.0719597756</v>
      </c>
      <c r="AD95" s="126">
        <f t="shared" si="1"/>
        <v>2192353.1113768201</v>
      </c>
      <c r="AE95" s="126">
        <f t="shared" si="1"/>
        <v>1199475.275804589</v>
      </c>
      <c r="AF95" s="126">
        <f t="shared" si="1"/>
        <v>3812612.3147870428</v>
      </c>
      <c r="AG95" s="126">
        <f t="shared" si="1"/>
        <v>1673455.5667650092</v>
      </c>
      <c r="AH95" s="126">
        <f t="shared" si="1"/>
        <v>-5213.5243918528731</v>
      </c>
      <c r="AI95" s="126">
        <f t="shared" si="1"/>
        <v>0</v>
      </c>
      <c r="AJ95" s="126">
        <f t="shared" si="1"/>
        <v>-179801.6986325086</v>
      </c>
      <c r="AK95" s="126">
        <f t="shared" si="1"/>
        <v>0</v>
      </c>
      <c r="AL95" s="126">
        <f t="shared" si="1"/>
        <v>-31716.034008341263</v>
      </c>
      <c r="AM95" s="126">
        <f t="shared" si="1"/>
        <v>0</v>
      </c>
      <c r="AN95" s="126">
        <f t="shared" si="1"/>
        <v>-1461363.127773613</v>
      </c>
      <c r="AO95" s="126">
        <f t="shared" si="1"/>
        <v>0</v>
      </c>
    </row>
    <row r="96" spans="2:43" x14ac:dyDescent="0.3">
      <c r="E96" s="28"/>
      <c r="F96" t="s">
        <v>157</v>
      </c>
      <c r="G96" s="13" t="s">
        <v>277</v>
      </c>
      <c r="H96" s="98">
        <f t="shared" si="0"/>
        <v>51635925.956510343</v>
      </c>
      <c r="J96" s="98">
        <f t="shared" ref="J96:AO96" si="2">J23 * thousand * J56 / hundred</f>
        <v>25683283.659411855</v>
      </c>
      <c r="K96" s="98">
        <f t="shared" si="2"/>
        <v>32263.672286670608</v>
      </c>
      <c r="L96" s="98">
        <f t="shared" si="2"/>
        <v>0</v>
      </c>
      <c r="M96" s="98">
        <f t="shared" si="2"/>
        <v>468680.71952015773</v>
      </c>
      <c r="N96" s="98">
        <f t="shared" si="2"/>
        <v>1967179.1919146716</v>
      </c>
      <c r="O96" s="98">
        <f t="shared" si="2"/>
        <v>2495740.8907254855</v>
      </c>
      <c r="P96" s="98">
        <f t="shared" si="2"/>
        <v>8045498.4373642132</v>
      </c>
      <c r="Q96" s="98">
        <f t="shared" si="2"/>
        <v>10394.227476217877</v>
      </c>
      <c r="R96" s="98">
        <f t="shared" si="2"/>
        <v>0</v>
      </c>
      <c r="S96" s="98">
        <f t="shared" si="2"/>
        <v>1644167.2979499488</v>
      </c>
      <c r="T96" s="98">
        <f t="shared" si="2"/>
        <v>2457004.4693432557</v>
      </c>
      <c r="U96" s="98">
        <f t="shared" si="2"/>
        <v>1326592.9153828246</v>
      </c>
      <c r="V96" s="98">
        <f t="shared" si="2"/>
        <v>1304832.7987134573</v>
      </c>
      <c r="W96" s="98">
        <f t="shared" si="2"/>
        <v>0</v>
      </c>
      <c r="X96" s="98">
        <f t="shared" si="2"/>
        <v>1432.3488231134913</v>
      </c>
      <c r="Y96" s="98">
        <f t="shared" si="2"/>
        <v>7352.8595314088943</v>
      </c>
      <c r="Z96" s="98">
        <f t="shared" si="2"/>
        <v>13256.001106616157</v>
      </c>
      <c r="AA96" s="98">
        <f t="shared" si="2"/>
        <v>152494.58085271288</v>
      </c>
      <c r="AB96" s="98">
        <f t="shared" si="2"/>
        <v>0</v>
      </c>
      <c r="AC96" s="98">
        <f t="shared" si="2"/>
        <v>830787.85429052194</v>
      </c>
      <c r="AD96" s="98">
        <f t="shared" si="2"/>
        <v>1482006.6384292818</v>
      </c>
      <c r="AE96" s="98">
        <f t="shared" si="2"/>
        <v>810832.12013133406</v>
      </c>
      <c r="AF96" s="98">
        <f t="shared" si="2"/>
        <v>2577284.0747917513</v>
      </c>
      <c r="AG96" s="98">
        <f t="shared" si="2"/>
        <v>1373045.5180491223</v>
      </c>
      <c r="AH96" s="98">
        <f t="shared" si="2"/>
        <v>-4431.6137181440918</v>
      </c>
      <c r="AI96" s="98">
        <f t="shared" si="2"/>
        <v>0</v>
      </c>
      <c r="AJ96" s="98">
        <f t="shared" si="2"/>
        <v>-142247.49035888998</v>
      </c>
      <c r="AK96" s="98">
        <f t="shared" si="2"/>
        <v>0</v>
      </c>
      <c r="AL96" s="98">
        <f t="shared" si="2"/>
        <v>-20220.841955364889</v>
      </c>
      <c r="AM96" s="98">
        <f t="shared" si="2"/>
        <v>0</v>
      </c>
      <c r="AN96" s="98">
        <f t="shared" si="2"/>
        <v>-881304.37355188106</v>
      </c>
      <c r="AO96" s="98">
        <f t="shared" si="2"/>
        <v>0</v>
      </c>
    </row>
    <row r="97" spans="5:41" x14ac:dyDescent="0.3">
      <c r="E97" s="28"/>
      <c r="F97" t="s">
        <v>158</v>
      </c>
      <c r="G97" s="13" t="s">
        <v>277</v>
      </c>
      <c r="H97" s="98">
        <f t="shared" si="0"/>
        <v>10210002.913184661</v>
      </c>
      <c r="J97" s="98">
        <f t="shared" ref="J97:AO97" si="3">J24 * thousand * J57 / hundred</f>
        <v>4025466.8997343914</v>
      </c>
      <c r="K97" s="98">
        <f t="shared" si="3"/>
        <v>11786.175959524615</v>
      </c>
      <c r="L97" s="98">
        <f t="shared" si="3"/>
        <v>0</v>
      </c>
      <c r="M97" s="98">
        <f t="shared" si="3"/>
        <v>45223.898509537925</v>
      </c>
      <c r="N97" s="98">
        <f t="shared" si="3"/>
        <v>189816.8804902111</v>
      </c>
      <c r="O97" s="98">
        <f t="shared" si="3"/>
        <v>240818.80915397621</v>
      </c>
      <c r="P97" s="98">
        <f t="shared" si="3"/>
        <v>776325.52318883303</v>
      </c>
      <c r="Q97" s="98">
        <f t="shared" si="3"/>
        <v>2989.1802988859231</v>
      </c>
      <c r="R97" s="98">
        <f t="shared" si="3"/>
        <v>0</v>
      </c>
      <c r="S97" s="98">
        <f t="shared" si="3"/>
        <v>147263.47182789521</v>
      </c>
      <c r="T97" s="98">
        <f t="shared" si="3"/>
        <v>220067.02657527119</v>
      </c>
      <c r="U97" s="98">
        <f t="shared" si="3"/>
        <v>118819.221538556</v>
      </c>
      <c r="V97" s="98">
        <f t="shared" si="3"/>
        <v>116870.22867626841</v>
      </c>
      <c r="W97" s="98">
        <f t="shared" si="3"/>
        <v>0</v>
      </c>
      <c r="X97" s="98">
        <f t="shared" si="3"/>
        <v>81.027827344393316</v>
      </c>
      <c r="Y97" s="98">
        <f t="shared" si="3"/>
        <v>415.95051637178602</v>
      </c>
      <c r="Z97" s="98">
        <f t="shared" si="3"/>
        <v>749.89063530572298</v>
      </c>
      <c r="AA97" s="98">
        <f t="shared" si="3"/>
        <v>8626.6029397995353</v>
      </c>
      <c r="AB97" s="98">
        <f t="shared" si="3"/>
        <v>0</v>
      </c>
      <c r="AC97" s="98">
        <f t="shared" si="3"/>
        <v>44043.328363451088</v>
      </c>
      <c r="AD97" s="98">
        <f t="shared" si="3"/>
        <v>78566.994782195907</v>
      </c>
      <c r="AE97" s="98">
        <f t="shared" si="3"/>
        <v>42985.396488583436</v>
      </c>
      <c r="AF97" s="98">
        <f t="shared" si="3"/>
        <v>136631.95508422991</v>
      </c>
      <c r="AG97" s="98">
        <f t="shared" si="3"/>
        <v>4076937.9370409413</v>
      </c>
      <c r="AH97" s="98">
        <f t="shared" si="3"/>
        <v>-207.30426967831821</v>
      </c>
      <c r="AI97" s="98">
        <f t="shared" si="3"/>
        <v>0</v>
      </c>
      <c r="AJ97" s="98">
        <f t="shared" si="3"/>
        <v>-13515.79021801598</v>
      </c>
      <c r="AK97" s="98">
        <f t="shared" si="3"/>
        <v>0</v>
      </c>
      <c r="AL97" s="98">
        <f t="shared" si="3"/>
        <v>-2658.9033652681555</v>
      </c>
      <c r="AM97" s="98">
        <f t="shared" si="3"/>
        <v>0</v>
      </c>
      <c r="AN97" s="98">
        <f t="shared" si="3"/>
        <v>-58101.488593952025</v>
      </c>
      <c r="AO97" s="98">
        <f t="shared" si="3"/>
        <v>0</v>
      </c>
    </row>
    <row r="98" spans="5:41" x14ac:dyDescent="0.3">
      <c r="E98" s="28"/>
      <c r="F98" s="23" t="s">
        <v>159</v>
      </c>
      <c r="G98" s="85" t="s">
        <v>277</v>
      </c>
      <c r="H98" s="126">
        <f t="shared" si="0"/>
        <v>368231942.770154</v>
      </c>
      <c r="I98" s="23"/>
      <c r="J98" s="126">
        <f t="shared" ref="J98:AO98" si="4" xml:space="preserve"> J25 * J58 * days_in_year / hundred</f>
        <v>217513766.77214539</v>
      </c>
      <c r="K98" s="126">
        <f t="shared" si="4"/>
        <v>0</v>
      </c>
      <c r="L98" s="126">
        <f t="shared" si="4"/>
        <v>0</v>
      </c>
      <c r="M98" s="126">
        <f t="shared" si="4"/>
        <v>3577519.0132858306</v>
      </c>
      <c r="N98" s="126">
        <f t="shared" si="4"/>
        <v>6810315.6139210723</v>
      </c>
      <c r="O98" s="126">
        <f t="shared" si="4"/>
        <v>7289164.2507365737</v>
      </c>
      <c r="P98" s="126">
        <f t="shared" si="4"/>
        <v>21430144.38976736</v>
      </c>
      <c r="Q98" s="126">
        <f t="shared" si="4"/>
        <v>0</v>
      </c>
      <c r="R98" s="126">
        <f t="shared" si="4"/>
        <v>0</v>
      </c>
      <c r="S98" s="126">
        <f t="shared" si="4"/>
        <v>7157754.2665445618</v>
      </c>
      <c r="T98" s="126">
        <f t="shared" si="4"/>
        <v>10496973.666982388</v>
      </c>
      <c r="U98" s="126">
        <f t="shared" si="4"/>
        <v>5626840.3394205784</v>
      </c>
      <c r="V98" s="126">
        <f t="shared" si="4"/>
        <v>5508391.4235586431</v>
      </c>
      <c r="W98" s="126">
        <f t="shared" si="4"/>
        <v>0</v>
      </c>
      <c r="X98" s="126">
        <f t="shared" si="4"/>
        <v>15618.253960642811</v>
      </c>
      <c r="Y98" s="126">
        <f t="shared" si="4"/>
        <v>68238.829028360866</v>
      </c>
      <c r="Z98" s="126">
        <f t="shared" si="4"/>
        <v>118271.97517653184</v>
      </c>
      <c r="AA98" s="126">
        <f t="shared" si="4"/>
        <v>1409757.5258647734</v>
      </c>
      <c r="AB98" s="126">
        <f t="shared" si="4"/>
        <v>0</v>
      </c>
      <c r="AC98" s="126">
        <f t="shared" si="4"/>
        <v>12372462.665070847</v>
      </c>
      <c r="AD98" s="126">
        <f t="shared" si="4"/>
        <v>21145941.527871963</v>
      </c>
      <c r="AE98" s="126">
        <f t="shared" si="4"/>
        <v>11448265.276257532</v>
      </c>
      <c r="AF98" s="126">
        <f t="shared" si="4"/>
        <v>36177492.620526031</v>
      </c>
      <c r="AG98" s="126">
        <f t="shared" si="4"/>
        <v>0</v>
      </c>
      <c r="AH98" s="126">
        <f t="shared" si="4"/>
        <v>0</v>
      </c>
      <c r="AI98" s="126">
        <f t="shared" si="4"/>
        <v>0</v>
      </c>
      <c r="AJ98" s="126">
        <f t="shared" si="4"/>
        <v>0</v>
      </c>
      <c r="AK98" s="126">
        <f t="shared" si="4"/>
        <v>0</v>
      </c>
      <c r="AL98" s="126">
        <f t="shared" si="4"/>
        <v>0</v>
      </c>
      <c r="AM98" s="126">
        <f t="shared" si="4"/>
        <v>0</v>
      </c>
      <c r="AN98" s="126">
        <f t="shared" si="4"/>
        <v>65024.360035029706</v>
      </c>
      <c r="AO98" s="126">
        <f t="shared" si="4"/>
        <v>0</v>
      </c>
    </row>
    <row r="99" spans="5:41" x14ac:dyDescent="0.3">
      <c r="E99" s="28"/>
      <c r="F99" t="s">
        <v>160</v>
      </c>
      <c r="G99" s="13" t="s">
        <v>277</v>
      </c>
      <c r="H99" s="98">
        <f t="shared" si="0"/>
        <v>82304306.484962642</v>
      </c>
      <c r="J99" s="98">
        <f t="shared" ref="J99:AO99" si="5" xml:space="preserve"> J26 * J59 * days_in_year / hundred</f>
        <v>0</v>
      </c>
      <c r="K99" s="98">
        <f t="shared" si="5"/>
        <v>0</v>
      </c>
      <c r="L99" s="98">
        <f t="shared" si="5"/>
        <v>0</v>
      </c>
      <c r="M99" s="98">
        <f t="shared" si="5"/>
        <v>0</v>
      </c>
      <c r="N99" s="98">
        <f t="shared" si="5"/>
        <v>0</v>
      </c>
      <c r="O99" s="98">
        <f t="shared" si="5"/>
        <v>0</v>
      </c>
      <c r="P99" s="98">
        <f t="shared" si="5"/>
        <v>0</v>
      </c>
      <c r="Q99" s="98">
        <f t="shared" si="5"/>
        <v>0</v>
      </c>
      <c r="R99" s="98">
        <f t="shared" si="5"/>
        <v>0</v>
      </c>
      <c r="S99" s="98">
        <f t="shared" si="5"/>
        <v>4437023.6555633545</v>
      </c>
      <c r="T99" s="98">
        <f t="shared" si="5"/>
        <v>9357875.5378450472</v>
      </c>
      <c r="U99" s="98">
        <f t="shared" si="5"/>
        <v>5199510.4488239791</v>
      </c>
      <c r="V99" s="98">
        <f t="shared" si="5"/>
        <v>5335540.7801676188</v>
      </c>
      <c r="W99" s="98">
        <f t="shared" si="5"/>
        <v>0</v>
      </c>
      <c r="X99" s="98">
        <f t="shared" si="5"/>
        <v>7825.6804628386526</v>
      </c>
      <c r="Y99" s="98">
        <f t="shared" si="5"/>
        <v>77940.409708710402</v>
      </c>
      <c r="Z99" s="98">
        <f t="shared" si="5"/>
        <v>142364.15066644055</v>
      </c>
      <c r="AA99" s="98">
        <f t="shared" si="5"/>
        <v>2710866.9858597862</v>
      </c>
      <c r="AB99" s="98">
        <f t="shared" si="5"/>
        <v>0</v>
      </c>
      <c r="AC99" s="98">
        <f t="shared" si="5"/>
        <v>8940575.9829272553</v>
      </c>
      <c r="AD99" s="98">
        <f t="shared" si="5"/>
        <v>14799099.627458632</v>
      </c>
      <c r="AE99" s="98">
        <f t="shared" si="5"/>
        <v>7733367.2225808753</v>
      </c>
      <c r="AF99" s="98">
        <f t="shared" si="5"/>
        <v>23562316.002898101</v>
      </c>
      <c r="AG99" s="98">
        <f t="shared" si="5"/>
        <v>0</v>
      </c>
      <c r="AH99" s="98">
        <f t="shared" si="5"/>
        <v>0</v>
      </c>
      <c r="AI99" s="98">
        <f t="shared" si="5"/>
        <v>0</v>
      </c>
      <c r="AJ99" s="98">
        <f t="shared" si="5"/>
        <v>0</v>
      </c>
      <c r="AK99" s="98">
        <f t="shared" si="5"/>
        <v>0</v>
      </c>
      <c r="AL99" s="98">
        <f t="shared" si="5"/>
        <v>0</v>
      </c>
      <c r="AM99" s="98">
        <f t="shared" si="5"/>
        <v>0</v>
      </c>
      <c r="AN99" s="98">
        <f t="shared" si="5"/>
        <v>0</v>
      </c>
      <c r="AO99" s="98">
        <f t="shared" si="5"/>
        <v>0</v>
      </c>
    </row>
    <row r="100" spans="5:41" x14ac:dyDescent="0.3">
      <c r="E100" s="28"/>
      <c r="F100" t="s">
        <v>161</v>
      </c>
      <c r="G100" s="13" t="s">
        <v>277</v>
      </c>
      <c r="H100" s="98">
        <f t="shared" si="0"/>
        <v>1862375.2730653563</v>
      </c>
      <c r="J100" s="98">
        <f t="shared" ref="J100:AO100" si="6" xml:space="preserve"> J27 * J60 * days_in_year / hundred</f>
        <v>0</v>
      </c>
      <c r="K100" s="98">
        <f t="shared" si="6"/>
        <v>0</v>
      </c>
      <c r="L100" s="98">
        <f t="shared" si="6"/>
        <v>0</v>
      </c>
      <c r="M100" s="98">
        <f t="shared" si="6"/>
        <v>0</v>
      </c>
      <c r="N100" s="98">
        <f t="shared" si="6"/>
        <v>0</v>
      </c>
      <c r="O100" s="98">
        <f t="shared" si="6"/>
        <v>0</v>
      </c>
      <c r="P100" s="98">
        <f t="shared" si="6"/>
        <v>0</v>
      </c>
      <c r="Q100" s="98">
        <f t="shared" si="6"/>
        <v>0</v>
      </c>
      <c r="R100" s="98">
        <f t="shared" si="6"/>
        <v>0</v>
      </c>
      <c r="S100" s="98">
        <f t="shared" si="6"/>
        <v>166337.3583886885</v>
      </c>
      <c r="T100" s="98">
        <f t="shared" si="6"/>
        <v>350812.71093598468</v>
      </c>
      <c r="U100" s="98">
        <f t="shared" si="6"/>
        <v>194921.84403554967</v>
      </c>
      <c r="V100" s="98">
        <f t="shared" si="6"/>
        <v>200021.4170225155</v>
      </c>
      <c r="W100" s="98">
        <f t="shared" si="6"/>
        <v>0</v>
      </c>
      <c r="X100" s="98">
        <f t="shared" si="6"/>
        <v>20.790026393981762</v>
      </c>
      <c r="Y100" s="98">
        <f t="shared" si="6"/>
        <v>207.05971610985895</v>
      </c>
      <c r="Z100" s="98">
        <f t="shared" si="6"/>
        <v>378.21049095563075</v>
      </c>
      <c r="AA100" s="98">
        <f t="shared" si="6"/>
        <v>7201.8013582623753</v>
      </c>
      <c r="AB100" s="98">
        <f t="shared" si="6"/>
        <v>0</v>
      </c>
      <c r="AC100" s="98">
        <f t="shared" si="6"/>
        <v>153106.31768683155</v>
      </c>
      <c r="AD100" s="98">
        <f t="shared" si="6"/>
        <v>253432.8496695903</v>
      </c>
      <c r="AE100" s="98">
        <f t="shared" si="6"/>
        <v>132433.00890573414</v>
      </c>
      <c r="AF100" s="98">
        <f t="shared" si="6"/>
        <v>403501.90482874005</v>
      </c>
      <c r="AG100" s="98">
        <f t="shared" si="6"/>
        <v>0</v>
      </c>
      <c r="AH100" s="98">
        <f t="shared" si="6"/>
        <v>0</v>
      </c>
      <c r="AI100" s="98">
        <f t="shared" si="6"/>
        <v>0</v>
      </c>
      <c r="AJ100" s="98">
        <f t="shared" si="6"/>
        <v>0</v>
      </c>
      <c r="AK100" s="98">
        <f t="shared" si="6"/>
        <v>0</v>
      </c>
      <c r="AL100" s="98">
        <f t="shared" si="6"/>
        <v>0</v>
      </c>
      <c r="AM100" s="98">
        <f t="shared" si="6"/>
        <v>0</v>
      </c>
      <c r="AN100" s="98">
        <f t="shared" si="6"/>
        <v>0</v>
      </c>
      <c r="AO100" s="98">
        <f t="shared" si="6"/>
        <v>0</v>
      </c>
    </row>
    <row r="101" spans="5:41" x14ac:dyDescent="0.3">
      <c r="E101" s="28"/>
      <c r="F101" s="23" t="s">
        <v>162</v>
      </c>
      <c r="G101" s="85" t="s">
        <v>277</v>
      </c>
      <c r="H101" s="126">
        <f t="shared" si="0"/>
        <v>1119658.6999426042</v>
      </c>
      <c r="I101" s="23"/>
      <c r="J101" s="126">
        <f t="shared" ref="J101:AO101" si="7">J28 * thousand * J61 / hundred</f>
        <v>0</v>
      </c>
      <c r="K101" s="126">
        <f t="shared" si="7"/>
        <v>0</v>
      </c>
      <c r="L101" s="126">
        <f t="shared" si="7"/>
        <v>0</v>
      </c>
      <c r="M101" s="126">
        <f t="shared" si="7"/>
        <v>0</v>
      </c>
      <c r="N101" s="126">
        <f t="shared" si="7"/>
        <v>0</v>
      </c>
      <c r="O101" s="126">
        <f t="shared" si="7"/>
        <v>0</v>
      </c>
      <c r="P101" s="126">
        <f t="shared" si="7"/>
        <v>0</v>
      </c>
      <c r="Q101" s="126">
        <f t="shared" si="7"/>
        <v>0</v>
      </c>
      <c r="R101" s="126">
        <f t="shared" si="7"/>
        <v>0</v>
      </c>
      <c r="S101" s="126">
        <f t="shared" si="7"/>
        <v>153446.38936426802</v>
      </c>
      <c r="T101" s="126">
        <f t="shared" si="7"/>
        <v>229306.63135234613</v>
      </c>
      <c r="U101" s="126">
        <f t="shared" si="7"/>
        <v>123807.89550766816</v>
      </c>
      <c r="V101" s="126">
        <f t="shared" si="7"/>
        <v>121777.07337708391</v>
      </c>
      <c r="W101" s="126">
        <f t="shared" si="7"/>
        <v>0</v>
      </c>
      <c r="X101" s="126">
        <f t="shared" si="7"/>
        <v>160.0711032418964</v>
      </c>
      <c r="Y101" s="126">
        <f t="shared" si="7"/>
        <v>821.71348081043368</v>
      </c>
      <c r="Z101" s="126">
        <f t="shared" si="7"/>
        <v>1481.4147835158449</v>
      </c>
      <c r="AA101" s="126">
        <f t="shared" si="7"/>
        <v>17041.921214725095</v>
      </c>
      <c r="AB101" s="126">
        <f t="shared" si="7"/>
        <v>0</v>
      </c>
      <c r="AC101" s="126">
        <f t="shared" si="7"/>
        <v>62633.561237122776</v>
      </c>
      <c r="AD101" s="126">
        <f t="shared" si="7"/>
        <v>111729.30979010563</v>
      </c>
      <c r="AE101" s="126">
        <f t="shared" si="7"/>
        <v>61129.087271794255</v>
      </c>
      <c r="AF101" s="126">
        <f t="shared" si="7"/>
        <v>194302.88862586243</v>
      </c>
      <c r="AG101" s="126">
        <f t="shared" si="7"/>
        <v>0</v>
      </c>
      <c r="AH101" s="126">
        <f t="shared" si="7"/>
        <v>0</v>
      </c>
      <c r="AI101" s="126">
        <f t="shared" si="7"/>
        <v>0</v>
      </c>
      <c r="AJ101" s="126">
        <f t="shared" si="7"/>
        <v>7750.596864285304</v>
      </c>
      <c r="AK101" s="126">
        <f t="shared" si="7"/>
        <v>0</v>
      </c>
      <c r="AL101" s="126">
        <f t="shared" si="7"/>
        <v>332.87971496337644</v>
      </c>
      <c r="AM101" s="126">
        <f t="shared" si="7"/>
        <v>0</v>
      </c>
      <c r="AN101" s="126">
        <f t="shared" si="7"/>
        <v>33937.266254810631</v>
      </c>
      <c r="AO101" s="126">
        <f t="shared" si="7"/>
        <v>0</v>
      </c>
    </row>
    <row r="102" spans="5:41" x14ac:dyDescent="0.3">
      <c r="E102" s="28"/>
      <c r="F102" s="108" t="s">
        <v>100</v>
      </c>
      <c r="G102" s="214" t="s">
        <v>277</v>
      </c>
      <c r="H102" s="153">
        <f>SUM(H95:H101)</f>
        <v>609719477.75501204</v>
      </c>
      <c r="I102" s="54"/>
      <c r="J102" s="153">
        <f t="shared" ref="J102" si="8">SUM(J95:J101)</f>
        <v>301912729.25223267</v>
      </c>
      <c r="K102" s="153">
        <f t="shared" ref="K102:AO102" si="9">SUM(K95:K101)</f>
        <v>48812.805732399647</v>
      </c>
      <c r="L102" s="153">
        <f t="shared" si="9"/>
        <v>0</v>
      </c>
      <c r="M102" s="153">
        <f t="shared" si="9"/>
        <v>4814196.6391809955</v>
      </c>
      <c r="N102" s="153">
        <f t="shared" si="9"/>
        <v>12000984.637511604</v>
      </c>
      <c r="O102" s="153">
        <f t="shared" si="9"/>
        <v>13874514.983217755</v>
      </c>
      <c r="P102" s="153">
        <f t="shared" si="9"/>
        <v>42659282.889105409</v>
      </c>
      <c r="Q102" s="153">
        <f t="shared" si="9"/>
        <v>22133.856382226626</v>
      </c>
      <c r="R102" s="153">
        <f t="shared" si="9"/>
        <v>0</v>
      </c>
      <c r="S102" s="153">
        <f t="shared" si="9"/>
        <v>16350825.107811965</v>
      </c>
      <c r="T102" s="153">
        <f t="shared" si="9"/>
        <v>27064415.020002447</v>
      </c>
      <c r="U102" s="153">
        <f t="shared" si="9"/>
        <v>14724470.3227896</v>
      </c>
      <c r="V102" s="153">
        <f t="shared" si="9"/>
        <v>14686407.723032514</v>
      </c>
      <c r="W102" s="153">
        <f t="shared" si="9"/>
        <v>0</v>
      </c>
      <c r="X102" s="153">
        <f t="shared" si="9"/>
        <v>28256.946449185678</v>
      </c>
      <c r="Y102" s="153">
        <f t="shared" si="9"/>
        <v>170986.82496994268</v>
      </c>
      <c r="Z102" s="153">
        <f t="shared" si="9"/>
        <v>305365.05530748167</v>
      </c>
      <c r="AA102" s="153">
        <f t="shared" si="9"/>
        <v>4638028.7675027251</v>
      </c>
      <c r="AB102" s="153">
        <f t="shared" si="9"/>
        <v>0</v>
      </c>
      <c r="AC102" s="153">
        <f t="shared" si="9"/>
        <v>23632605.781535804</v>
      </c>
      <c r="AD102" s="153">
        <f t="shared" si="9"/>
        <v>40063130.059378587</v>
      </c>
      <c r="AE102" s="153">
        <f t="shared" si="9"/>
        <v>21428487.387440443</v>
      </c>
      <c r="AF102" s="153">
        <f t="shared" si="9"/>
        <v>66864141.761541754</v>
      </c>
      <c r="AG102" s="153">
        <f t="shared" si="9"/>
        <v>7123439.021855073</v>
      </c>
      <c r="AH102" s="153">
        <f t="shared" si="9"/>
        <v>-9852.4423796752835</v>
      </c>
      <c r="AI102" s="153">
        <f t="shared" si="9"/>
        <v>0</v>
      </c>
      <c r="AJ102" s="153">
        <f t="shared" si="9"/>
        <v>-327814.38234512921</v>
      </c>
      <c r="AK102" s="153">
        <f t="shared" si="9"/>
        <v>0</v>
      </c>
      <c r="AL102" s="153">
        <f t="shared" si="9"/>
        <v>-54262.89961401093</v>
      </c>
      <c r="AM102" s="153">
        <f t="shared" si="9"/>
        <v>0</v>
      </c>
      <c r="AN102" s="153">
        <f t="shared" si="9"/>
        <v>-2301807.3636296056</v>
      </c>
      <c r="AO102" s="153">
        <f t="shared" si="9"/>
        <v>0</v>
      </c>
    </row>
    <row r="103" spans="5:41" x14ac:dyDescent="0.3">
      <c r="E103" s="28"/>
      <c r="G103" s="13"/>
      <c r="H103" s="89"/>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row>
    <row r="104" spans="5:41" x14ac:dyDescent="0.3">
      <c r="E104" s="32" t="s">
        <v>765</v>
      </c>
      <c r="G104" s="13"/>
      <c r="H104" s="213" t="s">
        <v>545</v>
      </c>
      <c r="J104" s="89"/>
      <c r="K104" s="89"/>
      <c r="L104" s="89"/>
      <c r="M104" s="89"/>
      <c r="N104" s="89"/>
      <c r="O104" s="89"/>
      <c r="P104" s="89"/>
      <c r="Q104" s="89"/>
      <c r="R104" s="89"/>
      <c r="S104" s="89"/>
      <c r="T104" s="89"/>
      <c r="U104" s="89"/>
      <c r="V104" s="89"/>
      <c r="W104" s="89"/>
      <c r="X104" s="89"/>
      <c r="Y104" s="89"/>
      <c r="Z104" s="89"/>
      <c r="AA104" s="89"/>
      <c r="AB104" s="89"/>
      <c r="AC104" s="89"/>
      <c r="AD104" s="89"/>
      <c r="AE104" s="89"/>
      <c r="AF104" s="89"/>
      <c r="AG104" s="89"/>
      <c r="AH104" s="89"/>
      <c r="AI104" s="89"/>
      <c r="AJ104" s="89"/>
      <c r="AK104" s="89"/>
      <c r="AL104" s="89"/>
      <c r="AM104" s="89"/>
      <c r="AN104" s="89"/>
      <c r="AO104" s="89"/>
    </row>
    <row r="105" spans="5:41" x14ac:dyDescent="0.3">
      <c r="E105" s="28"/>
      <c r="F105" s="23" t="s">
        <v>156</v>
      </c>
      <c r="G105" s="85" t="s">
        <v>277</v>
      </c>
      <c r="H105" s="126">
        <f t="shared" ref="H105:H111" si="10">SUM(J105:AO105)</f>
        <v>545184.26186545508</v>
      </c>
      <c r="I105" s="23"/>
      <c r="J105" s="126">
        <f t="shared" ref="J105:AO105" si="11">J33 * thousand * J64 / hundred</f>
        <v>448672.17600394017</v>
      </c>
      <c r="K105" s="126">
        <f t="shared" si="11"/>
        <v>0</v>
      </c>
      <c r="L105" s="126">
        <f t="shared" si="11"/>
        <v>0</v>
      </c>
      <c r="M105" s="126">
        <f t="shared" si="11"/>
        <v>1151.4572550676939</v>
      </c>
      <c r="N105" s="126">
        <f t="shared" si="11"/>
        <v>4832.9761780416711</v>
      </c>
      <c r="O105" s="126">
        <f t="shared" si="11"/>
        <v>6131.5493377605662</v>
      </c>
      <c r="P105" s="126">
        <f t="shared" si="11"/>
        <v>19766.222847450364</v>
      </c>
      <c r="Q105" s="126">
        <f t="shared" si="11"/>
        <v>0</v>
      </c>
      <c r="R105" s="126">
        <f t="shared" si="11"/>
        <v>0</v>
      </c>
      <c r="S105" s="126">
        <f t="shared" si="11"/>
        <v>15672.218259186118</v>
      </c>
      <c r="T105" s="126">
        <f t="shared" si="11"/>
        <v>23420.189876879238</v>
      </c>
      <c r="U105" s="126">
        <f t="shared" si="11"/>
        <v>12645.096236187614</v>
      </c>
      <c r="V105" s="126">
        <f t="shared" si="11"/>
        <v>12437.67859796254</v>
      </c>
      <c r="W105" s="126">
        <f t="shared" si="11"/>
        <v>0</v>
      </c>
      <c r="X105" s="126">
        <f t="shared" si="11"/>
        <v>0</v>
      </c>
      <c r="Y105" s="126">
        <f t="shared" si="11"/>
        <v>0</v>
      </c>
      <c r="Z105" s="126">
        <f t="shared" si="11"/>
        <v>0</v>
      </c>
      <c r="AA105" s="126">
        <f t="shared" si="11"/>
        <v>0</v>
      </c>
      <c r="AB105" s="126">
        <f t="shared" si="11"/>
        <v>0</v>
      </c>
      <c r="AC105" s="126">
        <f t="shared" si="11"/>
        <v>0</v>
      </c>
      <c r="AD105" s="126">
        <f t="shared" si="11"/>
        <v>0</v>
      </c>
      <c r="AE105" s="126">
        <f t="shared" si="11"/>
        <v>0</v>
      </c>
      <c r="AF105" s="126">
        <f t="shared" si="11"/>
        <v>0</v>
      </c>
      <c r="AG105" s="126">
        <f t="shared" si="11"/>
        <v>514.22184178330838</v>
      </c>
      <c r="AH105" s="126">
        <f t="shared" si="11"/>
        <v>-59.524568804083039</v>
      </c>
      <c r="AI105" s="126">
        <f t="shared" si="11"/>
        <v>0</v>
      </c>
      <c r="AJ105" s="126">
        <f t="shared" si="11"/>
        <v>0</v>
      </c>
      <c r="AK105" s="126">
        <f t="shared" si="11"/>
        <v>0</v>
      </c>
      <c r="AL105" s="126">
        <f t="shared" si="11"/>
        <v>0</v>
      </c>
      <c r="AM105" s="126">
        <f t="shared" si="11"/>
        <v>0</v>
      </c>
      <c r="AN105" s="126">
        <f t="shared" si="11"/>
        <v>0</v>
      </c>
      <c r="AO105" s="126">
        <f t="shared" si="11"/>
        <v>0</v>
      </c>
    </row>
    <row r="106" spans="5:41" x14ac:dyDescent="0.3">
      <c r="E106" s="28"/>
      <c r="F106" t="s">
        <v>157</v>
      </c>
      <c r="G106" s="13" t="s">
        <v>277</v>
      </c>
      <c r="H106" s="98">
        <f t="shared" si="10"/>
        <v>265200.76267059089</v>
      </c>
      <c r="J106" s="98">
        <f t="shared" ref="J106:AO106" si="12">J34 * thousand * J65 / hundred</f>
        <v>201003.96453844011</v>
      </c>
      <c r="K106" s="98">
        <f t="shared" si="12"/>
        <v>0</v>
      </c>
      <c r="L106" s="98">
        <f t="shared" si="12"/>
        <v>0</v>
      </c>
      <c r="M106" s="98">
        <f t="shared" si="12"/>
        <v>782.0488834679079</v>
      </c>
      <c r="N106" s="98">
        <f t="shared" si="12"/>
        <v>3282.469763623385</v>
      </c>
      <c r="O106" s="98">
        <f t="shared" si="12"/>
        <v>4164.4371012644615</v>
      </c>
      <c r="P106" s="98">
        <f t="shared" si="12"/>
        <v>13424.860054677085</v>
      </c>
      <c r="Q106" s="98">
        <f t="shared" si="12"/>
        <v>0</v>
      </c>
      <c r="R106" s="98">
        <f t="shared" si="12"/>
        <v>0</v>
      </c>
      <c r="S106" s="98">
        <f t="shared" si="12"/>
        <v>9457.6570716389397</v>
      </c>
      <c r="T106" s="98">
        <f t="shared" si="12"/>
        <v>14133.297580791635</v>
      </c>
      <c r="U106" s="98">
        <f t="shared" si="12"/>
        <v>7630.8906538891788</v>
      </c>
      <c r="V106" s="98">
        <f t="shared" si="12"/>
        <v>7505.7210792635706</v>
      </c>
      <c r="W106" s="98">
        <f t="shared" si="12"/>
        <v>0</v>
      </c>
      <c r="X106" s="98">
        <f t="shared" si="12"/>
        <v>0</v>
      </c>
      <c r="Y106" s="98">
        <f t="shared" si="12"/>
        <v>0</v>
      </c>
      <c r="Z106" s="98">
        <f t="shared" si="12"/>
        <v>0</v>
      </c>
      <c r="AA106" s="98">
        <f t="shared" si="12"/>
        <v>0</v>
      </c>
      <c r="AB106" s="98">
        <f t="shared" si="12"/>
        <v>0</v>
      </c>
      <c r="AC106" s="98">
        <f t="shared" si="12"/>
        <v>0</v>
      </c>
      <c r="AD106" s="98">
        <f t="shared" si="12"/>
        <v>0</v>
      </c>
      <c r="AE106" s="98">
        <f t="shared" si="12"/>
        <v>0</v>
      </c>
      <c r="AF106" s="98">
        <f t="shared" si="12"/>
        <v>0</v>
      </c>
      <c r="AG106" s="98">
        <f t="shared" si="12"/>
        <v>3866.5114757148199</v>
      </c>
      <c r="AH106" s="98">
        <f t="shared" si="12"/>
        <v>-51.095532180200962</v>
      </c>
      <c r="AI106" s="98">
        <f t="shared" si="12"/>
        <v>0</v>
      </c>
      <c r="AJ106" s="98">
        <f t="shared" si="12"/>
        <v>0</v>
      </c>
      <c r="AK106" s="98">
        <f t="shared" si="12"/>
        <v>0</v>
      </c>
      <c r="AL106" s="98">
        <f t="shared" si="12"/>
        <v>0</v>
      </c>
      <c r="AM106" s="98">
        <f t="shared" si="12"/>
        <v>0</v>
      </c>
      <c r="AN106" s="98">
        <f t="shared" si="12"/>
        <v>0</v>
      </c>
      <c r="AO106" s="98">
        <f t="shared" si="12"/>
        <v>0</v>
      </c>
    </row>
    <row r="107" spans="5:41" x14ac:dyDescent="0.3">
      <c r="E107" s="28"/>
      <c r="F107" t="s">
        <v>158</v>
      </c>
      <c r="G107" s="13" t="s">
        <v>277</v>
      </c>
      <c r="H107" s="98">
        <f t="shared" si="10"/>
        <v>40366.040829434452</v>
      </c>
      <c r="J107" s="98">
        <f t="shared" ref="J107:AO107" si="13">J35 * thousand * J66 / hundred</f>
        <v>29214.161303846584</v>
      </c>
      <c r="K107" s="98">
        <f t="shared" si="13"/>
        <v>0</v>
      </c>
      <c r="L107" s="98">
        <f t="shared" si="13"/>
        <v>0</v>
      </c>
      <c r="M107" s="98">
        <f t="shared" si="13"/>
        <v>72.8691916699171</v>
      </c>
      <c r="N107" s="98">
        <f t="shared" si="13"/>
        <v>305.8516205477012</v>
      </c>
      <c r="O107" s="98">
        <f t="shared" si="13"/>
        <v>388.03094249517818</v>
      </c>
      <c r="P107" s="98">
        <f t="shared" si="13"/>
        <v>1250.8920109035896</v>
      </c>
      <c r="Q107" s="98">
        <f t="shared" si="13"/>
        <v>0</v>
      </c>
      <c r="R107" s="98">
        <f t="shared" si="13"/>
        <v>0</v>
      </c>
      <c r="S107" s="98">
        <f t="shared" si="13"/>
        <v>1087.8387546269494</v>
      </c>
      <c r="T107" s="98">
        <f t="shared" si="13"/>
        <v>1625.6403380458069</v>
      </c>
      <c r="U107" s="98">
        <f t="shared" si="13"/>
        <v>877.72040397978844</v>
      </c>
      <c r="V107" s="98">
        <f t="shared" si="13"/>
        <v>863.32314754021729</v>
      </c>
      <c r="W107" s="98">
        <f t="shared" si="13"/>
        <v>0</v>
      </c>
      <c r="X107" s="98">
        <f t="shared" si="13"/>
        <v>0</v>
      </c>
      <c r="Y107" s="98">
        <f t="shared" si="13"/>
        <v>0</v>
      </c>
      <c r="Z107" s="98">
        <f t="shared" si="13"/>
        <v>0</v>
      </c>
      <c r="AA107" s="98">
        <f t="shared" si="13"/>
        <v>0</v>
      </c>
      <c r="AB107" s="98">
        <f t="shared" si="13"/>
        <v>0</v>
      </c>
      <c r="AC107" s="98">
        <f t="shared" si="13"/>
        <v>0</v>
      </c>
      <c r="AD107" s="98">
        <f t="shared" si="13"/>
        <v>0</v>
      </c>
      <c r="AE107" s="98">
        <f t="shared" si="13"/>
        <v>0</v>
      </c>
      <c r="AF107" s="98">
        <f t="shared" si="13"/>
        <v>0</v>
      </c>
      <c r="AG107" s="98">
        <f t="shared" si="13"/>
        <v>4682.1961080412711</v>
      </c>
      <c r="AH107" s="98">
        <f t="shared" si="13"/>
        <v>-2.4829922625499652</v>
      </c>
      <c r="AI107" s="98">
        <f t="shared" si="13"/>
        <v>0</v>
      </c>
      <c r="AJ107" s="98">
        <f t="shared" si="13"/>
        <v>0</v>
      </c>
      <c r="AK107" s="98">
        <f t="shared" si="13"/>
        <v>0</v>
      </c>
      <c r="AL107" s="98">
        <f t="shared" si="13"/>
        <v>0</v>
      </c>
      <c r="AM107" s="98">
        <f t="shared" si="13"/>
        <v>0</v>
      </c>
      <c r="AN107" s="98">
        <f t="shared" si="13"/>
        <v>0</v>
      </c>
      <c r="AO107" s="98">
        <f t="shared" si="13"/>
        <v>0</v>
      </c>
    </row>
    <row r="108" spans="5:41" x14ac:dyDescent="0.3">
      <c r="E108" s="28"/>
      <c r="F108" s="23" t="s">
        <v>159</v>
      </c>
      <c r="G108" s="85" t="s">
        <v>277</v>
      </c>
      <c r="H108" s="126">
        <f t="shared" si="10"/>
        <v>2468481.6010804311</v>
      </c>
      <c r="I108" s="23"/>
      <c r="J108" s="126">
        <f t="shared" ref="J108:AO108" si="14" xml:space="preserve"> J36 * J67 * days_in_year / hundred</f>
        <v>2280837.8714978807</v>
      </c>
      <c r="K108" s="126">
        <f t="shared" si="14"/>
        <v>0</v>
      </c>
      <c r="L108" s="126">
        <f t="shared" si="14"/>
        <v>0</v>
      </c>
      <c r="M108" s="126">
        <f t="shared" si="14"/>
        <v>6623.9907993384022</v>
      </c>
      <c r="N108" s="126">
        <f t="shared" si="14"/>
        <v>12590.404348544411</v>
      </c>
      <c r="O108" s="126">
        <f t="shared" si="14"/>
        <v>13467.196447914848</v>
      </c>
      <c r="P108" s="126">
        <f t="shared" si="14"/>
        <v>39578.480168920498</v>
      </c>
      <c r="Q108" s="126">
        <f t="shared" si="14"/>
        <v>0</v>
      </c>
      <c r="R108" s="126">
        <f t="shared" si="14"/>
        <v>0</v>
      </c>
      <c r="S108" s="126">
        <f t="shared" si="14"/>
        <v>28687.819651454265</v>
      </c>
      <c r="T108" s="126">
        <f t="shared" si="14"/>
        <v>42069.474640332672</v>
      </c>
      <c r="U108" s="126">
        <f t="shared" si="14"/>
        <v>22550.75668849831</v>
      </c>
      <c r="V108" s="126">
        <f t="shared" si="14"/>
        <v>22075.606837546955</v>
      </c>
      <c r="W108" s="126">
        <f t="shared" si="14"/>
        <v>0</v>
      </c>
      <c r="X108" s="126">
        <f t="shared" si="14"/>
        <v>0</v>
      </c>
      <c r="Y108" s="126">
        <f t="shared" si="14"/>
        <v>0</v>
      </c>
      <c r="Z108" s="126">
        <f t="shared" si="14"/>
        <v>0</v>
      </c>
      <c r="AA108" s="126">
        <f t="shared" si="14"/>
        <v>0</v>
      </c>
      <c r="AB108" s="126">
        <f t="shared" si="14"/>
        <v>0</v>
      </c>
      <c r="AC108" s="126">
        <f t="shared" si="14"/>
        <v>0</v>
      </c>
      <c r="AD108" s="126">
        <f t="shared" si="14"/>
        <v>0</v>
      </c>
      <c r="AE108" s="126">
        <f t="shared" si="14"/>
        <v>0</v>
      </c>
      <c r="AF108" s="126">
        <f t="shared" si="14"/>
        <v>0</v>
      </c>
      <c r="AG108" s="126">
        <f t="shared" si="14"/>
        <v>0</v>
      </c>
      <c r="AH108" s="126">
        <f t="shared" si="14"/>
        <v>0</v>
      </c>
      <c r="AI108" s="126">
        <f t="shared" si="14"/>
        <v>0</v>
      </c>
      <c r="AJ108" s="126">
        <f t="shared" si="14"/>
        <v>0</v>
      </c>
      <c r="AK108" s="126">
        <f t="shared" si="14"/>
        <v>0</v>
      </c>
      <c r="AL108" s="126">
        <f t="shared" si="14"/>
        <v>0</v>
      </c>
      <c r="AM108" s="126">
        <f t="shared" si="14"/>
        <v>0</v>
      </c>
      <c r="AN108" s="126">
        <f t="shared" si="14"/>
        <v>0</v>
      </c>
      <c r="AO108" s="126">
        <f t="shared" si="14"/>
        <v>0</v>
      </c>
    </row>
    <row r="109" spans="5:41" x14ac:dyDescent="0.3">
      <c r="E109" s="28"/>
      <c r="F109" t="s">
        <v>160</v>
      </c>
      <c r="G109" s="13" t="s">
        <v>277</v>
      </c>
      <c r="H109" s="98">
        <f t="shared" si="10"/>
        <v>183343.46586239422</v>
      </c>
      <c r="J109" s="98">
        <f t="shared" ref="J109:AO109" si="15" xml:space="preserve"> J37 * J68 * days_in_year / hundred</f>
        <v>0</v>
      </c>
      <c r="K109" s="98">
        <f t="shared" si="15"/>
        <v>0</v>
      </c>
      <c r="L109" s="98">
        <f t="shared" si="15"/>
        <v>0</v>
      </c>
      <c r="M109" s="98">
        <f t="shared" si="15"/>
        <v>0</v>
      </c>
      <c r="N109" s="98">
        <f t="shared" si="15"/>
        <v>0</v>
      </c>
      <c r="O109" s="98">
        <f t="shared" si="15"/>
        <v>0</v>
      </c>
      <c r="P109" s="98">
        <f t="shared" si="15"/>
        <v>0</v>
      </c>
      <c r="Q109" s="98">
        <f t="shared" si="15"/>
        <v>0</v>
      </c>
      <c r="R109" s="98">
        <f t="shared" si="15"/>
        <v>0</v>
      </c>
      <c r="S109" s="98">
        <f t="shared" si="15"/>
        <v>33436.126297053459</v>
      </c>
      <c r="T109" s="98">
        <f t="shared" si="15"/>
        <v>70518.24210203976</v>
      </c>
      <c r="U109" s="98">
        <f t="shared" si="15"/>
        <v>39182.006125152002</v>
      </c>
      <c r="V109" s="98">
        <f t="shared" si="15"/>
        <v>40207.091338149017</v>
      </c>
      <c r="W109" s="98">
        <f t="shared" si="15"/>
        <v>0</v>
      </c>
      <c r="X109" s="98">
        <f t="shared" si="15"/>
        <v>0</v>
      </c>
      <c r="Y109" s="98">
        <f t="shared" si="15"/>
        <v>0</v>
      </c>
      <c r="Z109" s="98">
        <f t="shared" si="15"/>
        <v>0</v>
      </c>
      <c r="AA109" s="98">
        <f t="shared" si="15"/>
        <v>0</v>
      </c>
      <c r="AB109" s="98">
        <f t="shared" si="15"/>
        <v>0</v>
      </c>
      <c r="AC109" s="98">
        <f t="shared" si="15"/>
        <v>0</v>
      </c>
      <c r="AD109" s="98">
        <f t="shared" si="15"/>
        <v>0</v>
      </c>
      <c r="AE109" s="98">
        <f t="shared" si="15"/>
        <v>0</v>
      </c>
      <c r="AF109" s="98">
        <f t="shared" si="15"/>
        <v>0</v>
      </c>
      <c r="AG109" s="98">
        <f t="shared" si="15"/>
        <v>0</v>
      </c>
      <c r="AH109" s="98">
        <f t="shared" si="15"/>
        <v>0</v>
      </c>
      <c r="AI109" s="98">
        <f t="shared" si="15"/>
        <v>0</v>
      </c>
      <c r="AJ109" s="98">
        <f t="shared" si="15"/>
        <v>0</v>
      </c>
      <c r="AK109" s="98">
        <f t="shared" si="15"/>
        <v>0</v>
      </c>
      <c r="AL109" s="98">
        <f t="shared" si="15"/>
        <v>0</v>
      </c>
      <c r="AM109" s="98">
        <f t="shared" si="15"/>
        <v>0</v>
      </c>
      <c r="AN109" s="98">
        <f t="shared" si="15"/>
        <v>0</v>
      </c>
      <c r="AO109" s="98">
        <f t="shared" si="15"/>
        <v>0</v>
      </c>
    </row>
    <row r="110" spans="5:41" x14ac:dyDescent="0.3">
      <c r="E110" s="28"/>
      <c r="F110" t="s">
        <v>161</v>
      </c>
      <c r="G110" s="13" t="s">
        <v>277</v>
      </c>
      <c r="H110" s="98">
        <f t="shared" si="10"/>
        <v>895.26685963055081</v>
      </c>
      <c r="J110" s="98">
        <f t="shared" ref="J110:AO110" si="16" xml:space="preserve"> J38 * J69 * days_in_year / hundred</f>
        <v>0</v>
      </c>
      <c r="K110" s="98">
        <f t="shared" si="16"/>
        <v>0</v>
      </c>
      <c r="L110" s="98">
        <f t="shared" si="16"/>
        <v>0</v>
      </c>
      <c r="M110" s="98">
        <f t="shared" si="16"/>
        <v>0</v>
      </c>
      <c r="N110" s="98">
        <f t="shared" si="16"/>
        <v>0</v>
      </c>
      <c r="O110" s="98">
        <f t="shared" si="16"/>
        <v>0</v>
      </c>
      <c r="P110" s="98">
        <f t="shared" si="16"/>
        <v>0</v>
      </c>
      <c r="Q110" s="98">
        <f t="shared" si="16"/>
        <v>0</v>
      </c>
      <c r="R110" s="98">
        <f t="shared" si="16"/>
        <v>0</v>
      </c>
      <c r="S110" s="98">
        <f t="shared" si="16"/>
        <v>163.26873525255735</v>
      </c>
      <c r="T110" s="98">
        <f t="shared" si="16"/>
        <v>344.34085150731966</v>
      </c>
      <c r="U110" s="98">
        <f t="shared" si="16"/>
        <v>191.32588888669412</v>
      </c>
      <c r="V110" s="98">
        <f t="shared" si="16"/>
        <v>196.33138398397969</v>
      </c>
      <c r="W110" s="98">
        <f t="shared" si="16"/>
        <v>0</v>
      </c>
      <c r="X110" s="98">
        <f t="shared" si="16"/>
        <v>0</v>
      </c>
      <c r="Y110" s="98">
        <f t="shared" si="16"/>
        <v>0</v>
      </c>
      <c r="Z110" s="98">
        <f t="shared" si="16"/>
        <v>0</v>
      </c>
      <c r="AA110" s="98">
        <f t="shared" si="16"/>
        <v>0</v>
      </c>
      <c r="AB110" s="98">
        <f t="shared" si="16"/>
        <v>0</v>
      </c>
      <c r="AC110" s="98">
        <f t="shared" si="16"/>
        <v>0</v>
      </c>
      <c r="AD110" s="98">
        <f t="shared" si="16"/>
        <v>0</v>
      </c>
      <c r="AE110" s="98">
        <f t="shared" si="16"/>
        <v>0</v>
      </c>
      <c r="AF110" s="98">
        <f t="shared" si="16"/>
        <v>0</v>
      </c>
      <c r="AG110" s="98">
        <f t="shared" si="16"/>
        <v>0</v>
      </c>
      <c r="AH110" s="98">
        <f t="shared" si="16"/>
        <v>0</v>
      </c>
      <c r="AI110" s="98">
        <f t="shared" si="16"/>
        <v>0</v>
      </c>
      <c r="AJ110" s="98">
        <f t="shared" si="16"/>
        <v>0</v>
      </c>
      <c r="AK110" s="98">
        <f t="shared" si="16"/>
        <v>0</v>
      </c>
      <c r="AL110" s="98">
        <f t="shared" si="16"/>
        <v>0</v>
      </c>
      <c r="AM110" s="98">
        <f t="shared" si="16"/>
        <v>0</v>
      </c>
      <c r="AN110" s="98">
        <f t="shared" si="16"/>
        <v>0</v>
      </c>
      <c r="AO110" s="98">
        <f t="shared" si="16"/>
        <v>0</v>
      </c>
    </row>
    <row r="111" spans="5:41" x14ac:dyDescent="0.3">
      <c r="E111" s="28"/>
      <c r="F111" s="23" t="s">
        <v>162</v>
      </c>
      <c r="G111" s="85" t="s">
        <v>277</v>
      </c>
      <c r="H111" s="126">
        <f t="shared" si="10"/>
        <v>4405.2344713104103</v>
      </c>
      <c r="I111" s="23"/>
      <c r="J111" s="126">
        <f t="shared" ref="J111:AO111" si="17">J39 * thousand * J70 / hundred</f>
        <v>0</v>
      </c>
      <c r="K111" s="126">
        <f t="shared" si="17"/>
        <v>0</v>
      </c>
      <c r="L111" s="126">
        <f t="shared" si="17"/>
        <v>0</v>
      </c>
      <c r="M111" s="126">
        <f t="shared" si="17"/>
        <v>0</v>
      </c>
      <c r="N111" s="126">
        <f t="shared" si="17"/>
        <v>0</v>
      </c>
      <c r="O111" s="126">
        <f t="shared" si="17"/>
        <v>0</v>
      </c>
      <c r="P111" s="126">
        <f t="shared" si="17"/>
        <v>0</v>
      </c>
      <c r="Q111" s="126">
        <f t="shared" si="17"/>
        <v>0</v>
      </c>
      <c r="R111" s="126">
        <f t="shared" si="17"/>
        <v>0</v>
      </c>
      <c r="S111" s="126">
        <f t="shared" si="17"/>
        <v>1075.8020923650402</v>
      </c>
      <c r="T111" s="126">
        <f t="shared" si="17"/>
        <v>1607.65303650395</v>
      </c>
      <c r="U111" s="126">
        <f t="shared" si="17"/>
        <v>868.0086484294776</v>
      </c>
      <c r="V111" s="126">
        <f t="shared" si="17"/>
        <v>853.77069401194274</v>
      </c>
      <c r="W111" s="126">
        <f t="shared" si="17"/>
        <v>0</v>
      </c>
      <c r="X111" s="126">
        <f t="shared" si="17"/>
        <v>0</v>
      </c>
      <c r="Y111" s="126">
        <f t="shared" si="17"/>
        <v>0</v>
      </c>
      <c r="Z111" s="126">
        <f t="shared" si="17"/>
        <v>0</v>
      </c>
      <c r="AA111" s="126">
        <f t="shared" si="17"/>
        <v>0</v>
      </c>
      <c r="AB111" s="126">
        <f t="shared" si="17"/>
        <v>0</v>
      </c>
      <c r="AC111" s="126">
        <f t="shared" si="17"/>
        <v>0</v>
      </c>
      <c r="AD111" s="126">
        <f t="shared" si="17"/>
        <v>0</v>
      </c>
      <c r="AE111" s="126">
        <f t="shared" si="17"/>
        <v>0</v>
      </c>
      <c r="AF111" s="126">
        <f t="shared" si="17"/>
        <v>0</v>
      </c>
      <c r="AG111" s="126">
        <f t="shared" si="17"/>
        <v>0</v>
      </c>
      <c r="AH111" s="126">
        <f t="shared" si="17"/>
        <v>0</v>
      </c>
      <c r="AI111" s="126">
        <f t="shared" si="17"/>
        <v>0</v>
      </c>
      <c r="AJ111" s="126">
        <f t="shared" si="17"/>
        <v>0</v>
      </c>
      <c r="AK111" s="126">
        <f t="shared" si="17"/>
        <v>0</v>
      </c>
      <c r="AL111" s="126">
        <f t="shared" si="17"/>
        <v>0</v>
      </c>
      <c r="AM111" s="126">
        <f t="shared" si="17"/>
        <v>0</v>
      </c>
      <c r="AN111" s="126">
        <f t="shared" si="17"/>
        <v>0</v>
      </c>
      <c r="AO111" s="126">
        <f t="shared" si="17"/>
        <v>0</v>
      </c>
    </row>
    <row r="112" spans="5:41" x14ac:dyDescent="0.3">
      <c r="E112" s="28"/>
      <c r="F112" s="108" t="s">
        <v>100</v>
      </c>
      <c r="G112" s="214" t="s">
        <v>277</v>
      </c>
      <c r="H112" s="153">
        <f>SUM(H105:H111)</f>
        <v>3507876.6336392467</v>
      </c>
      <c r="I112" s="108"/>
      <c r="J112" s="153">
        <f t="shared" ref="J112" si="18">SUM(J105:J111)</f>
        <v>2959728.1733441073</v>
      </c>
      <c r="K112" s="153">
        <f t="shared" ref="K112:AO112" si="19">SUM(K105:K111)</f>
        <v>0</v>
      </c>
      <c r="L112" s="153">
        <f t="shared" si="19"/>
        <v>0</v>
      </c>
      <c r="M112" s="153">
        <f t="shared" si="19"/>
        <v>8630.3661295439215</v>
      </c>
      <c r="N112" s="153">
        <f t="shared" si="19"/>
        <v>21011.701910757169</v>
      </c>
      <c r="O112" s="153">
        <f t="shared" si="19"/>
        <v>24151.213829435052</v>
      </c>
      <c r="P112" s="153">
        <f t="shared" si="19"/>
        <v>74020.455081951543</v>
      </c>
      <c r="Q112" s="153">
        <f t="shared" si="19"/>
        <v>0</v>
      </c>
      <c r="R112" s="153">
        <f t="shared" si="19"/>
        <v>0</v>
      </c>
      <c r="S112" s="153">
        <f t="shared" si="19"/>
        <v>89580.730861577322</v>
      </c>
      <c r="T112" s="153">
        <f t="shared" si="19"/>
        <v>153718.83842610038</v>
      </c>
      <c r="U112" s="153">
        <f t="shared" si="19"/>
        <v>83945.804645023061</v>
      </c>
      <c r="V112" s="153">
        <f t="shared" si="19"/>
        <v>84139.523078458209</v>
      </c>
      <c r="W112" s="153">
        <f t="shared" si="19"/>
        <v>0</v>
      </c>
      <c r="X112" s="153">
        <f t="shared" si="19"/>
        <v>0</v>
      </c>
      <c r="Y112" s="153">
        <f t="shared" si="19"/>
        <v>0</v>
      </c>
      <c r="Z112" s="153">
        <f t="shared" si="19"/>
        <v>0</v>
      </c>
      <c r="AA112" s="153">
        <f t="shared" si="19"/>
        <v>0</v>
      </c>
      <c r="AB112" s="153">
        <f t="shared" si="19"/>
        <v>0</v>
      </c>
      <c r="AC112" s="153">
        <f t="shared" si="19"/>
        <v>0</v>
      </c>
      <c r="AD112" s="153">
        <f t="shared" si="19"/>
        <v>0</v>
      </c>
      <c r="AE112" s="153">
        <f t="shared" si="19"/>
        <v>0</v>
      </c>
      <c r="AF112" s="153">
        <f t="shared" si="19"/>
        <v>0</v>
      </c>
      <c r="AG112" s="153">
        <f t="shared" si="19"/>
        <v>9062.9294255393997</v>
      </c>
      <c r="AH112" s="153">
        <f t="shared" si="19"/>
        <v>-113.10309324683396</v>
      </c>
      <c r="AI112" s="153">
        <f t="shared" si="19"/>
        <v>0</v>
      </c>
      <c r="AJ112" s="153">
        <f t="shared" si="19"/>
        <v>0</v>
      </c>
      <c r="AK112" s="153">
        <f t="shared" si="19"/>
        <v>0</v>
      </c>
      <c r="AL112" s="153">
        <f t="shared" si="19"/>
        <v>0</v>
      </c>
      <c r="AM112" s="153">
        <f t="shared" si="19"/>
        <v>0</v>
      </c>
      <c r="AN112" s="153">
        <f t="shared" si="19"/>
        <v>0</v>
      </c>
      <c r="AO112" s="153">
        <f t="shared" si="19"/>
        <v>0</v>
      </c>
    </row>
    <row r="113" spans="3:43" x14ac:dyDescent="0.3">
      <c r="E113" s="28"/>
      <c r="G113" s="13"/>
      <c r="H113" s="89"/>
      <c r="J113" s="89"/>
      <c r="K113" s="89"/>
      <c r="L113" s="89"/>
      <c r="M113" s="89"/>
      <c r="N113" s="89"/>
      <c r="O113" s="89"/>
      <c r="P113" s="89"/>
      <c r="Q113" s="89"/>
      <c r="R113" s="89"/>
      <c r="S113" s="89"/>
      <c r="T113" s="89"/>
      <c r="U113" s="89"/>
      <c r="V113" s="89"/>
      <c r="W113" s="89"/>
      <c r="X113" s="89"/>
      <c r="Y113" s="89"/>
      <c r="Z113" s="89"/>
      <c r="AA113" s="89"/>
      <c r="AB113" s="89"/>
      <c r="AC113" s="89"/>
      <c r="AD113" s="89"/>
      <c r="AE113" s="89"/>
      <c r="AF113" s="89"/>
      <c r="AG113" s="89"/>
      <c r="AH113" s="89"/>
      <c r="AI113" s="89"/>
      <c r="AJ113" s="89"/>
      <c r="AK113" s="89"/>
      <c r="AL113" s="89"/>
      <c r="AM113" s="89"/>
      <c r="AN113" s="89"/>
      <c r="AO113" s="89"/>
    </row>
    <row r="114" spans="3:43" x14ac:dyDescent="0.3">
      <c r="E114" s="32" t="s">
        <v>766</v>
      </c>
      <c r="G114" s="13"/>
      <c r="H114" s="213" t="s">
        <v>545</v>
      </c>
      <c r="J114" s="89"/>
      <c r="K114" s="89"/>
      <c r="L114" s="89"/>
      <c r="M114" s="89"/>
      <c r="N114" s="89"/>
      <c r="O114" s="89"/>
      <c r="P114" s="89"/>
      <c r="Q114" s="89"/>
      <c r="R114" s="89"/>
      <c r="S114" s="89"/>
      <c r="T114" s="89"/>
      <c r="U114" s="89"/>
      <c r="V114" s="89"/>
      <c r="W114" s="89"/>
      <c r="X114" s="89"/>
      <c r="Y114" s="89"/>
      <c r="Z114" s="89"/>
      <c r="AA114" s="89"/>
      <c r="AB114" s="89"/>
      <c r="AC114" s="89"/>
      <c r="AD114" s="89"/>
      <c r="AE114" s="89"/>
      <c r="AF114" s="89"/>
      <c r="AG114" s="89"/>
      <c r="AH114" s="89"/>
      <c r="AI114" s="89"/>
      <c r="AJ114" s="89"/>
      <c r="AK114" s="89"/>
      <c r="AL114" s="89"/>
      <c r="AM114" s="89"/>
      <c r="AN114" s="89"/>
      <c r="AO114" s="89"/>
    </row>
    <row r="115" spans="3:43" x14ac:dyDescent="0.3">
      <c r="C115" s="88"/>
      <c r="F115" s="23" t="s">
        <v>156</v>
      </c>
      <c r="G115" s="85" t="s">
        <v>277</v>
      </c>
      <c r="H115" s="126">
        <f t="shared" ref="H115:H121" si="20">SUM(J115:AO115)</f>
        <v>1468505.7959914694</v>
      </c>
      <c r="I115" s="23"/>
      <c r="J115" s="126">
        <f t="shared" ref="J115:AO115" si="21">J44 * thousand * J73 / hundred</f>
        <v>732552.56627457356</v>
      </c>
      <c r="K115" s="126">
        <f t="shared" si="21"/>
        <v>0</v>
      </c>
      <c r="L115" s="126">
        <f t="shared" si="21"/>
        <v>0</v>
      </c>
      <c r="M115" s="126">
        <f t="shared" si="21"/>
        <v>4765.0545861748396</v>
      </c>
      <c r="N115" s="126">
        <f t="shared" si="21"/>
        <v>20000.217290477987</v>
      </c>
      <c r="O115" s="126">
        <f t="shared" si="21"/>
        <v>25374.078945323607</v>
      </c>
      <c r="P115" s="126">
        <f t="shared" si="21"/>
        <v>81798.199990550245</v>
      </c>
      <c r="Q115" s="126">
        <f t="shared" si="21"/>
        <v>0</v>
      </c>
      <c r="R115" s="126">
        <f t="shared" si="21"/>
        <v>0</v>
      </c>
      <c r="S115" s="126">
        <f t="shared" si="21"/>
        <v>112439.4814809705</v>
      </c>
      <c r="T115" s="126">
        <f t="shared" si="21"/>
        <v>168026.88441367645</v>
      </c>
      <c r="U115" s="126">
        <f t="shared" si="21"/>
        <v>90721.558400995811</v>
      </c>
      <c r="V115" s="126">
        <f t="shared" si="21"/>
        <v>89233.451784157136</v>
      </c>
      <c r="W115" s="126">
        <f t="shared" si="21"/>
        <v>0</v>
      </c>
      <c r="X115" s="126">
        <f t="shared" si="21"/>
        <v>173.66633785902545</v>
      </c>
      <c r="Y115" s="126">
        <f t="shared" si="21"/>
        <v>891.50363864294161</v>
      </c>
      <c r="Z115" s="126">
        <f t="shared" si="21"/>
        <v>1607.2350042757773</v>
      </c>
      <c r="AA115" s="126">
        <f t="shared" si="21"/>
        <v>18489.333724219028</v>
      </c>
      <c r="AB115" s="126">
        <f t="shared" si="21"/>
        <v>0</v>
      </c>
      <c r="AC115" s="126">
        <f t="shared" si="21"/>
        <v>17809.11716474461</v>
      </c>
      <c r="AD115" s="126">
        <f t="shared" si="21"/>
        <v>31768.916368253515</v>
      </c>
      <c r="AE115" s="126">
        <f t="shared" si="21"/>
        <v>17381.337670961602</v>
      </c>
      <c r="AF115" s="126">
        <f t="shared" si="21"/>
        <v>55247.743232830224</v>
      </c>
      <c r="AG115" s="126">
        <f t="shared" si="21"/>
        <v>426.11754875044841</v>
      </c>
      <c r="AH115" s="126">
        <f t="shared" si="21"/>
        <v>0</v>
      </c>
      <c r="AI115" s="126">
        <f t="shared" si="21"/>
        <v>0</v>
      </c>
      <c r="AJ115" s="126">
        <f t="shared" si="21"/>
        <v>-101.09967931335881</v>
      </c>
      <c r="AK115" s="126">
        <f t="shared" si="21"/>
        <v>0</v>
      </c>
      <c r="AL115" s="126">
        <f t="shared" si="21"/>
        <v>0</v>
      </c>
      <c r="AM115" s="126">
        <f t="shared" si="21"/>
        <v>0</v>
      </c>
      <c r="AN115" s="126">
        <f t="shared" si="21"/>
        <v>-99.568186654720009</v>
      </c>
      <c r="AO115" s="126">
        <f t="shared" si="21"/>
        <v>0</v>
      </c>
    </row>
    <row r="116" spans="3:43" x14ac:dyDescent="0.3">
      <c r="C116" s="88"/>
      <c r="F116" t="s">
        <v>157</v>
      </c>
      <c r="G116" s="13" t="s">
        <v>277</v>
      </c>
      <c r="H116" s="98">
        <f t="shared" si="20"/>
        <v>777854.92599568272</v>
      </c>
      <c r="J116" s="98">
        <f t="shared" ref="J116:AO116" si="22">J45 * thousand * J74 / hundred</f>
        <v>328248.53777299542</v>
      </c>
      <c r="K116" s="98">
        <f t="shared" si="22"/>
        <v>0</v>
      </c>
      <c r="L116" s="98">
        <f t="shared" si="22"/>
        <v>0</v>
      </c>
      <c r="M116" s="98">
        <f t="shared" si="22"/>
        <v>3146.4302711722266</v>
      </c>
      <c r="N116" s="98">
        <f t="shared" si="22"/>
        <v>13206.415157417698</v>
      </c>
      <c r="O116" s="98">
        <f t="shared" si="22"/>
        <v>16754.849005994292</v>
      </c>
      <c r="P116" s="98">
        <f t="shared" si="22"/>
        <v>54012.462590543677</v>
      </c>
      <c r="Q116" s="98">
        <f t="shared" si="22"/>
        <v>0</v>
      </c>
      <c r="R116" s="98">
        <f t="shared" si="22"/>
        <v>0</v>
      </c>
      <c r="S116" s="98">
        <f t="shared" si="22"/>
        <v>65064.642470227962</v>
      </c>
      <c r="T116" s="98">
        <f t="shared" si="22"/>
        <v>97231.052791829497</v>
      </c>
      <c r="U116" s="98">
        <f t="shared" si="22"/>
        <v>52497.269499608075</v>
      </c>
      <c r="V116" s="98">
        <f t="shared" si="22"/>
        <v>51636.15627045666</v>
      </c>
      <c r="W116" s="98">
        <f t="shared" si="22"/>
        <v>0</v>
      </c>
      <c r="X116" s="98">
        <f t="shared" si="22"/>
        <v>113.82300241749367</v>
      </c>
      <c r="Y116" s="98">
        <f t="shared" si="22"/>
        <v>584.30218583195835</v>
      </c>
      <c r="Z116" s="98">
        <f t="shared" si="22"/>
        <v>1053.4011140700452</v>
      </c>
      <c r="AA116" s="98">
        <f t="shared" si="22"/>
        <v>12118.131257526591</v>
      </c>
      <c r="AB116" s="98">
        <f t="shared" si="22"/>
        <v>0</v>
      </c>
      <c r="AC116" s="98">
        <f t="shared" si="22"/>
        <v>11331.081434361746</v>
      </c>
      <c r="AD116" s="98">
        <f t="shared" si="22"/>
        <v>20213.027693631357</v>
      </c>
      <c r="AE116" s="98">
        <f t="shared" si="22"/>
        <v>11058.905995502768</v>
      </c>
      <c r="AF116" s="98">
        <f t="shared" si="22"/>
        <v>35151.471678516784</v>
      </c>
      <c r="AG116" s="98">
        <f t="shared" si="22"/>
        <v>4519.8289508816079</v>
      </c>
      <c r="AH116" s="98">
        <f t="shared" si="22"/>
        <v>0</v>
      </c>
      <c r="AI116" s="98">
        <f t="shared" si="22"/>
        <v>0</v>
      </c>
      <c r="AJ116" s="98">
        <f t="shared" si="22"/>
        <v>-86.752991117774968</v>
      </c>
      <c r="AK116" s="98">
        <f t="shared" si="22"/>
        <v>0</v>
      </c>
      <c r="AL116" s="98">
        <f t="shared" si="22"/>
        <v>0</v>
      </c>
      <c r="AM116" s="98">
        <f t="shared" si="22"/>
        <v>0</v>
      </c>
      <c r="AN116" s="98">
        <f t="shared" si="22"/>
        <v>-0.11015618523591117</v>
      </c>
      <c r="AO116" s="98">
        <f t="shared" si="22"/>
        <v>0</v>
      </c>
    </row>
    <row r="117" spans="3:43" x14ac:dyDescent="0.3">
      <c r="C117" s="88"/>
      <c r="F117" t="s">
        <v>158</v>
      </c>
      <c r="G117" s="13" t="s">
        <v>277</v>
      </c>
      <c r="H117" s="98">
        <f t="shared" si="20"/>
        <v>92706.909130823158</v>
      </c>
      <c r="J117" s="98">
        <f t="shared" ref="J117:AO117" si="23">J46 * thousand * J75 / hundred</f>
        <v>47517.293764320922</v>
      </c>
      <c r="K117" s="98">
        <f t="shared" si="23"/>
        <v>0</v>
      </c>
      <c r="L117" s="98">
        <f t="shared" si="23"/>
        <v>0</v>
      </c>
      <c r="M117" s="98">
        <f t="shared" si="23"/>
        <v>279.29762030824497</v>
      </c>
      <c r="N117" s="98">
        <f t="shared" si="23"/>
        <v>1172.2873251201311</v>
      </c>
      <c r="O117" s="98">
        <f t="shared" si="23"/>
        <v>1487.2693982361006</v>
      </c>
      <c r="P117" s="98">
        <f t="shared" si="23"/>
        <v>4794.4975633948206</v>
      </c>
      <c r="Q117" s="98">
        <f t="shared" si="23"/>
        <v>0</v>
      </c>
      <c r="R117" s="98">
        <f t="shared" si="23"/>
        <v>0</v>
      </c>
      <c r="S117" s="98">
        <f t="shared" si="23"/>
        <v>6468.2585843460811</v>
      </c>
      <c r="T117" s="98">
        <f t="shared" si="23"/>
        <v>9666.0116463951199</v>
      </c>
      <c r="U117" s="98">
        <f t="shared" si="23"/>
        <v>5218.9007916388209</v>
      </c>
      <c r="V117" s="98">
        <f t="shared" si="23"/>
        <v>5133.2951105025368</v>
      </c>
      <c r="W117" s="98">
        <f t="shared" si="23"/>
        <v>0</v>
      </c>
      <c r="X117" s="98">
        <f t="shared" si="23"/>
        <v>8.2211694982062404</v>
      </c>
      <c r="Y117" s="98">
        <f t="shared" si="23"/>
        <v>42.202781563233913</v>
      </c>
      <c r="Z117" s="98">
        <f t="shared" si="23"/>
        <v>76.084701022067989</v>
      </c>
      <c r="AA117" s="98">
        <f t="shared" si="23"/>
        <v>875.26430469844695</v>
      </c>
      <c r="AB117" s="98">
        <f t="shared" si="23"/>
        <v>0</v>
      </c>
      <c r="AC117" s="98">
        <f t="shared" si="23"/>
        <v>605.21697903333563</v>
      </c>
      <c r="AD117" s="98">
        <f t="shared" si="23"/>
        <v>1079.6204783030753</v>
      </c>
      <c r="AE117" s="98">
        <f t="shared" si="23"/>
        <v>590.67951428846402</v>
      </c>
      <c r="AF117" s="98">
        <f t="shared" si="23"/>
        <v>1877.5143062102718</v>
      </c>
      <c r="AG117" s="98">
        <f t="shared" si="23"/>
        <v>5834.2619994805646</v>
      </c>
      <c r="AH117" s="98">
        <f t="shared" si="23"/>
        <v>0</v>
      </c>
      <c r="AI117" s="98">
        <f t="shared" si="23"/>
        <v>0</v>
      </c>
      <c r="AJ117" s="98">
        <f t="shared" si="23"/>
        <v>-19.268907537301988</v>
      </c>
      <c r="AK117" s="98">
        <f t="shared" si="23"/>
        <v>0</v>
      </c>
      <c r="AL117" s="98">
        <f t="shared" si="23"/>
        <v>0</v>
      </c>
      <c r="AM117" s="98">
        <f t="shared" si="23"/>
        <v>0</v>
      </c>
      <c r="AN117" s="98">
        <f t="shared" si="23"/>
        <v>0</v>
      </c>
      <c r="AO117" s="98">
        <f t="shared" si="23"/>
        <v>0</v>
      </c>
    </row>
    <row r="118" spans="3:43" x14ac:dyDescent="0.3">
      <c r="C118" s="88"/>
      <c r="F118" s="23" t="s">
        <v>159</v>
      </c>
      <c r="G118" s="85" t="s">
        <v>277</v>
      </c>
      <c r="H118" s="126">
        <f t="shared" si="20"/>
        <v>6102846.403342261</v>
      </c>
      <c r="I118" s="23"/>
      <c r="J118" s="126">
        <f t="shared" ref="J118:AO118" si="24" xml:space="preserve"> J47 * J76 * days_in_year / hundred</f>
        <v>4282873.3977805795</v>
      </c>
      <c r="K118" s="126">
        <f t="shared" si="24"/>
        <v>0</v>
      </c>
      <c r="L118" s="126">
        <f t="shared" si="24"/>
        <v>0</v>
      </c>
      <c r="M118" s="126">
        <f t="shared" si="24"/>
        <v>17132.070498886747</v>
      </c>
      <c r="N118" s="126">
        <f t="shared" si="24"/>
        <v>32527.777016689754</v>
      </c>
      <c r="O118" s="126">
        <f t="shared" si="24"/>
        <v>34782.536639474638</v>
      </c>
      <c r="P118" s="126">
        <f t="shared" si="24"/>
        <v>102184.48498290354</v>
      </c>
      <c r="Q118" s="126">
        <f t="shared" si="24"/>
        <v>0</v>
      </c>
      <c r="R118" s="126">
        <f t="shared" si="24"/>
        <v>0</v>
      </c>
      <c r="S118" s="126">
        <f t="shared" si="24"/>
        <v>160034.25699836205</v>
      </c>
      <c r="T118" s="126">
        <f t="shared" si="24"/>
        <v>234668.34855799933</v>
      </c>
      <c r="U118" s="126">
        <f t="shared" si="24"/>
        <v>125788.31332027039</v>
      </c>
      <c r="V118" s="126">
        <f t="shared" si="24"/>
        <v>123137.07047364907</v>
      </c>
      <c r="W118" s="126">
        <f t="shared" si="24"/>
        <v>0</v>
      </c>
      <c r="X118" s="126">
        <f t="shared" si="24"/>
        <v>760.8210005284875</v>
      </c>
      <c r="Y118" s="126">
        <f t="shared" si="24"/>
        <v>3324.0725621134425</v>
      </c>
      <c r="Z118" s="126">
        <f t="shared" si="24"/>
        <v>5761.202526676625</v>
      </c>
      <c r="AA118" s="126">
        <f t="shared" si="24"/>
        <v>68671.280496646577</v>
      </c>
      <c r="AB118" s="126">
        <f t="shared" si="24"/>
        <v>0</v>
      </c>
      <c r="AC118" s="126">
        <f t="shared" si="24"/>
        <v>138935.89478672366</v>
      </c>
      <c r="AD118" s="126">
        <f t="shared" si="24"/>
        <v>237456.35282407067</v>
      </c>
      <c r="AE118" s="126">
        <f t="shared" si="24"/>
        <v>128557.10418128224</v>
      </c>
      <c r="AF118" s="126">
        <f t="shared" si="24"/>
        <v>406251.41869540507</v>
      </c>
      <c r="AG118" s="126">
        <f t="shared" si="24"/>
        <v>0</v>
      </c>
      <c r="AH118" s="126">
        <f t="shared" si="24"/>
        <v>0</v>
      </c>
      <c r="AI118" s="126">
        <f t="shared" si="24"/>
        <v>0</v>
      </c>
      <c r="AJ118" s="126">
        <f t="shared" si="24"/>
        <v>0</v>
      </c>
      <c r="AK118" s="126">
        <f t="shared" si="24"/>
        <v>0</v>
      </c>
      <c r="AL118" s="126">
        <f t="shared" si="24"/>
        <v>0</v>
      </c>
      <c r="AM118" s="126">
        <f t="shared" si="24"/>
        <v>0</v>
      </c>
      <c r="AN118" s="126">
        <f t="shared" si="24"/>
        <v>0</v>
      </c>
      <c r="AO118" s="126">
        <f t="shared" si="24"/>
        <v>0</v>
      </c>
    </row>
    <row r="119" spans="3:43" x14ac:dyDescent="0.3">
      <c r="C119" s="88"/>
      <c r="F119" t="s">
        <v>160</v>
      </c>
      <c r="G119" s="13" t="s">
        <v>277</v>
      </c>
      <c r="H119" s="98">
        <f t="shared" si="20"/>
        <v>2329085.8756263987</v>
      </c>
      <c r="J119" s="98">
        <f t="shared" ref="J119:AO119" si="25" xml:space="preserve"> J48 * J77 * days_in_year / hundred</f>
        <v>0</v>
      </c>
      <c r="K119" s="98">
        <f t="shared" si="25"/>
        <v>0</v>
      </c>
      <c r="L119" s="98">
        <f t="shared" si="25"/>
        <v>0</v>
      </c>
      <c r="M119" s="98">
        <f t="shared" si="25"/>
        <v>0</v>
      </c>
      <c r="N119" s="98">
        <f t="shared" si="25"/>
        <v>0</v>
      </c>
      <c r="O119" s="98">
        <f t="shared" si="25"/>
        <v>0</v>
      </c>
      <c r="P119" s="98">
        <f t="shared" si="25"/>
        <v>0</v>
      </c>
      <c r="Q119" s="98">
        <f t="shared" si="25"/>
        <v>0</v>
      </c>
      <c r="R119" s="98">
        <f t="shared" si="25"/>
        <v>0</v>
      </c>
      <c r="S119" s="98">
        <f t="shared" si="25"/>
        <v>195383.4527196234</v>
      </c>
      <c r="T119" s="98">
        <f t="shared" si="25"/>
        <v>412072.1850135203</v>
      </c>
      <c r="U119" s="98">
        <f t="shared" si="25"/>
        <v>228959.40675664542</v>
      </c>
      <c r="V119" s="98">
        <f t="shared" si="25"/>
        <v>234949.47529711618</v>
      </c>
      <c r="W119" s="98">
        <f t="shared" si="25"/>
        <v>0</v>
      </c>
      <c r="X119" s="98">
        <f t="shared" si="25"/>
        <v>568.10811973454338</v>
      </c>
      <c r="Y119" s="98">
        <f t="shared" si="25"/>
        <v>5658.1123930651765</v>
      </c>
      <c r="Z119" s="98">
        <f t="shared" si="25"/>
        <v>10334.977301562267</v>
      </c>
      <c r="AA119" s="98">
        <f t="shared" si="25"/>
        <v>196796.37489678641</v>
      </c>
      <c r="AB119" s="98">
        <f t="shared" si="25"/>
        <v>0</v>
      </c>
      <c r="AC119" s="98">
        <f t="shared" si="25"/>
        <v>169658.45148249588</v>
      </c>
      <c r="AD119" s="98">
        <f t="shared" si="25"/>
        <v>280831.16019866872</v>
      </c>
      <c r="AE119" s="98">
        <f t="shared" si="25"/>
        <v>146750.17697226553</v>
      </c>
      <c r="AF119" s="98">
        <f t="shared" si="25"/>
        <v>447123.99447491503</v>
      </c>
      <c r="AG119" s="98">
        <f t="shared" si="25"/>
        <v>0</v>
      </c>
      <c r="AH119" s="98">
        <f t="shared" si="25"/>
        <v>0</v>
      </c>
      <c r="AI119" s="98">
        <f t="shared" si="25"/>
        <v>0</v>
      </c>
      <c r="AJ119" s="98">
        <f t="shared" si="25"/>
        <v>0</v>
      </c>
      <c r="AK119" s="98">
        <f t="shared" si="25"/>
        <v>0</v>
      </c>
      <c r="AL119" s="98">
        <f t="shared" si="25"/>
        <v>0</v>
      </c>
      <c r="AM119" s="98">
        <f t="shared" si="25"/>
        <v>0</v>
      </c>
      <c r="AN119" s="98">
        <f t="shared" si="25"/>
        <v>0</v>
      </c>
      <c r="AO119" s="98">
        <f t="shared" si="25"/>
        <v>0</v>
      </c>
    </row>
    <row r="120" spans="3:43" x14ac:dyDescent="0.3">
      <c r="C120" s="88"/>
      <c r="F120" t="s">
        <v>161</v>
      </c>
      <c r="G120" s="13" t="s">
        <v>277</v>
      </c>
      <c r="H120" s="98">
        <f t="shared" si="20"/>
        <v>23931.655430373405</v>
      </c>
      <c r="J120" s="98">
        <f t="shared" ref="J120:AO120" si="26" xml:space="preserve"> J49 * J78 * days_in_year / hundred</f>
        <v>0</v>
      </c>
      <c r="K120" s="98">
        <f t="shared" si="26"/>
        <v>0</v>
      </c>
      <c r="L120" s="98">
        <f t="shared" si="26"/>
        <v>0</v>
      </c>
      <c r="M120" s="98">
        <f t="shared" si="26"/>
        <v>0</v>
      </c>
      <c r="N120" s="98">
        <f t="shared" si="26"/>
        <v>0</v>
      </c>
      <c r="O120" s="98">
        <f t="shared" si="26"/>
        <v>0</v>
      </c>
      <c r="P120" s="98">
        <f t="shared" si="26"/>
        <v>0</v>
      </c>
      <c r="Q120" s="98">
        <f t="shared" si="26"/>
        <v>0</v>
      </c>
      <c r="R120" s="98">
        <f t="shared" si="26"/>
        <v>0</v>
      </c>
      <c r="S120" s="98">
        <f t="shared" si="26"/>
        <v>1646.9341940843237</v>
      </c>
      <c r="T120" s="98">
        <f t="shared" si="26"/>
        <v>3473.4557224950058</v>
      </c>
      <c r="U120" s="98">
        <f t="shared" si="26"/>
        <v>1929.9539996659521</v>
      </c>
      <c r="V120" s="98">
        <f t="shared" si="26"/>
        <v>1980.4457305003277</v>
      </c>
      <c r="W120" s="98">
        <f t="shared" si="26"/>
        <v>0</v>
      </c>
      <c r="X120" s="98">
        <f t="shared" si="26"/>
        <v>0</v>
      </c>
      <c r="Y120" s="98">
        <f t="shared" si="26"/>
        <v>0</v>
      </c>
      <c r="Z120" s="98">
        <f t="shared" si="26"/>
        <v>0</v>
      </c>
      <c r="AA120" s="98">
        <f t="shared" si="26"/>
        <v>0</v>
      </c>
      <c r="AB120" s="98">
        <f t="shared" si="26"/>
        <v>0</v>
      </c>
      <c r="AC120" s="98">
        <f t="shared" si="26"/>
        <v>2420.6678318795343</v>
      </c>
      <c r="AD120" s="98">
        <f t="shared" si="26"/>
        <v>4006.8676198689818</v>
      </c>
      <c r="AE120" s="98">
        <f t="shared" si="26"/>
        <v>2093.8151304301064</v>
      </c>
      <c r="AF120" s="98">
        <f t="shared" si="26"/>
        <v>6379.5152014491732</v>
      </c>
      <c r="AG120" s="98">
        <f t="shared" si="26"/>
        <v>0</v>
      </c>
      <c r="AH120" s="98">
        <f t="shared" si="26"/>
        <v>0</v>
      </c>
      <c r="AI120" s="98">
        <f t="shared" si="26"/>
        <v>0</v>
      </c>
      <c r="AJ120" s="98">
        <f t="shared" si="26"/>
        <v>0</v>
      </c>
      <c r="AK120" s="98">
        <f t="shared" si="26"/>
        <v>0</v>
      </c>
      <c r="AL120" s="98">
        <f t="shared" si="26"/>
        <v>0</v>
      </c>
      <c r="AM120" s="98">
        <f t="shared" si="26"/>
        <v>0</v>
      </c>
      <c r="AN120" s="98">
        <f t="shared" si="26"/>
        <v>0</v>
      </c>
      <c r="AO120" s="98">
        <f t="shared" si="26"/>
        <v>0</v>
      </c>
    </row>
    <row r="121" spans="3:43" x14ac:dyDescent="0.3">
      <c r="C121" s="88"/>
      <c r="F121" s="23" t="s">
        <v>162</v>
      </c>
      <c r="G121" s="85" t="s">
        <v>277</v>
      </c>
      <c r="H121" s="126">
        <f t="shared" si="20"/>
        <v>12273.609870676079</v>
      </c>
      <c r="I121" s="23"/>
      <c r="J121" s="126">
        <f t="shared" ref="J121:AO121" si="27">J50 * thousand * J79 / hundred</f>
        <v>0</v>
      </c>
      <c r="K121" s="126">
        <f t="shared" si="27"/>
        <v>0</v>
      </c>
      <c r="L121" s="126">
        <f t="shared" si="27"/>
        <v>0</v>
      </c>
      <c r="M121" s="126">
        <f t="shared" si="27"/>
        <v>0</v>
      </c>
      <c r="N121" s="126">
        <f t="shared" si="27"/>
        <v>0</v>
      </c>
      <c r="O121" s="126">
        <f t="shared" si="27"/>
        <v>0</v>
      </c>
      <c r="P121" s="126">
        <f t="shared" si="27"/>
        <v>0</v>
      </c>
      <c r="Q121" s="126">
        <f t="shared" si="27"/>
        <v>0</v>
      </c>
      <c r="R121" s="126">
        <f t="shared" si="27"/>
        <v>0</v>
      </c>
      <c r="S121" s="126">
        <f t="shared" si="27"/>
        <v>2308.013386106586</v>
      </c>
      <c r="T121" s="126">
        <f t="shared" si="27"/>
        <v>3449.0402600992338</v>
      </c>
      <c r="U121" s="126">
        <f t="shared" si="27"/>
        <v>1862.2157309875695</v>
      </c>
      <c r="V121" s="126">
        <f t="shared" si="27"/>
        <v>1831.669787993349</v>
      </c>
      <c r="W121" s="126">
        <f t="shared" si="27"/>
        <v>0</v>
      </c>
      <c r="X121" s="126">
        <f t="shared" si="27"/>
        <v>15.089101456152502</v>
      </c>
      <c r="Y121" s="126">
        <f t="shared" si="27"/>
        <v>77.458815668308674</v>
      </c>
      <c r="Z121" s="126">
        <f t="shared" si="27"/>
        <v>139.6455544717214</v>
      </c>
      <c r="AA121" s="126">
        <f t="shared" si="27"/>
        <v>1606.4565871589489</v>
      </c>
      <c r="AB121" s="126">
        <f t="shared" si="27"/>
        <v>0</v>
      </c>
      <c r="AC121" s="126">
        <f t="shared" si="27"/>
        <v>140.96250204924195</v>
      </c>
      <c r="AD121" s="126">
        <f t="shared" si="27"/>
        <v>251.45693058425957</v>
      </c>
      <c r="AE121" s="126">
        <f t="shared" si="27"/>
        <v>137.57654713574493</v>
      </c>
      <c r="AF121" s="126">
        <f t="shared" si="27"/>
        <v>437.29624813131505</v>
      </c>
      <c r="AG121" s="126">
        <f t="shared" si="27"/>
        <v>0</v>
      </c>
      <c r="AH121" s="126">
        <f t="shared" si="27"/>
        <v>0</v>
      </c>
      <c r="AI121" s="126">
        <f t="shared" si="27"/>
        <v>0</v>
      </c>
      <c r="AJ121" s="126">
        <f t="shared" si="27"/>
        <v>13.476914059431305</v>
      </c>
      <c r="AK121" s="126">
        <f t="shared" si="27"/>
        <v>0</v>
      </c>
      <c r="AL121" s="126">
        <f t="shared" si="27"/>
        <v>0</v>
      </c>
      <c r="AM121" s="126">
        <f t="shared" si="27"/>
        <v>0</v>
      </c>
      <c r="AN121" s="126">
        <f t="shared" si="27"/>
        <v>3.2515047742169259</v>
      </c>
      <c r="AO121" s="126">
        <f t="shared" si="27"/>
        <v>0</v>
      </c>
    </row>
    <row r="122" spans="3:43" x14ac:dyDescent="0.3">
      <c r="C122" s="88"/>
      <c r="F122" s="108" t="s">
        <v>100</v>
      </c>
      <c r="G122" s="214" t="s">
        <v>277</v>
      </c>
      <c r="H122" s="153">
        <f>SUM(H115:H121)</f>
        <v>10807205.175387682</v>
      </c>
      <c r="I122" s="108"/>
      <c r="J122" s="153">
        <f t="shared" ref="J122" si="28">SUM(J115:J121)</f>
        <v>5391191.7955924692</v>
      </c>
      <c r="K122" s="153">
        <f t="shared" ref="K122:AO122" si="29">SUM(K115:K121)</f>
        <v>0</v>
      </c>
      <c r="L122" s="153">
        <f t="shared" si="29"/>
        <v>0</v>
      </c>
      <c r="M122" s="153">
        <f t="shared" si="29"/>
        <v>25322.852976542061</v>
      </c>
      <c r="N122" s="153">
        <f t="shared" si="29"/>
        <v>66906.696789705573</v>
      </c>
      <c r="O122" s="153">
        <f t="shared" si="29"/>
        <v>78398.733989028638</v>
      </c>
      <c r="P122" s="153">
        <f t="shared" si="29"/>
        <v>242789.64512739232</v>
      </c>
      <c r="Q122" s="153">
        <f t="shared" si="29"/>
        <v>0</v>
      </c>
      <c r="R122" s="153">
        <f t="shared" si="29"/>
        <v>0</v>
      </c>
      <c r="S122" s="153">
        <f t="shared" si="29"/>
        <v>543345.03983372089</v>
      </c>
      <c r="T122" s="153">
        <f t="shared" si="29"/>
        <v>928586.97840601497</v>
      </c>
      <c r="U122" s="153">
        <f t="shared" si="29"/>
        <v>506977.61849981203</v>
      </c>
      <c r="V122" s="153">
        <f t="shared" si="29"/>
        <v>507901.5644543753</v>
      </c>
      <c r="W122" s="153">
        <f t="shared" si="29"/>
        <v>0</v>
      </c>
      <c r="X122" s="153">
        <f t="shared" si="29"/>
        <v>1639.7287314939088</v>
      </c>
      <c r="Y122" s="153">
        <f t="shared" si="29"/>
        <v>10577.652376885062</v>
      </c>
      <c r="Z122" s="153">
        <f t="shared" si="29"/>
        <v>18972.546202078502</v>
      </c>
      <c r="AA122" s="153">
        <f t="shared" si="29"/>
        <v>298556.84126703604</v>
      </c>
      <c r="AB122" s="153">
        <f t="shared" si="29"/>
        <v>0</v>
      </c>
      <c r="AC122" s="153">
        <f t="shared" si="29"/>
        <v>340901.39218128799</v>
      </c>
      <c r="AD122" s="153">
        <f t="shared" si="29"/>
        <v>575607.40211338049</v>
      </c>
      <c r="AE122" s="153">
        <f t="shared" si="29"/>
        <v>306569.59601186647</v>
      </c>
      <c r="AF122" s="153">
        <f t="shared" si="29"/>
        <v>952468.95383745793</v>
      </c>
      <c r="AG122" s="153">
        <f t="shared" si="29"/>
        <v>10780.208499112621</v>
      </c>
      <c r="AH122" s="153">
        <f t="shared" si="29"/>
        <v>0</v>
      </c>
      <c r="AI122" s="153">
        <f t="shared" si="29"/>
        <v>0</v>
      </c>
      <c r="AJ122" s="153">
        <f t="shared" si="29"/>
        <v>-193.64466390900449</v>
      </c>
      <c r="AK122" s="153">
        <f t="shared" si="29"/>
        <v>0</v>
      </c>
      <c r="AL122" s="153">
        <f t="shared" si="29"/>
        <v>0</v>
      </c>
      <c r="AM122" s="153">
        <f t="shared" si="29"/>
        <v>0</v>
      </c>
      <c r="AN122" s="153">
        <f t="shared" si="29"/>
        <v>-96.426838065738991</v>
      </c>
      <c r="AO122" s="153">
        <f t="shared" si="29"/>
        <v>0</v>
      </c>
    </row>
    <row r="123" spans="3:43" x14ac:dyDescent="0.3">
      <c r="C123" s="88"/>
      <c r="D123" s="2"/>
      <c r="E123" s="2"/>
      <c r="G123" s="13"/>
      <c r="H123" s="89"/>
      <c r="J123" s="89"/>
      <c r="K123" s="89"/>
      <c r="L123" s="89"/>
      <c r="M123" s="89"/>
      <c r="N123" s="89"/>
      <c r="O123" s="89"/>
      <c r="P123" s="89"/>
      <c r="Q123" s="89"/>
      <c r="R123" s="89"/>
      <c r="S123" s="89"/>
      <c r="T123" s="89"/>
      <c r="U123" s="89"/>
      <c r="V123" s="89"/>
      <c r="W123" s="89"/>
      <c r="X123" s="89"/>
      <c r="Y123" s="89"/>
      <c r="Z123" s="89"/>
      <c r="AA123" s="89"/>
      <c r="AB123" s="89"/>
      <c r="AC123" s="89"/>
      <c r="AD123" s="89"/>
      <c r="AE123" s="89"/>
      <c r="AF123" s="89"/>
      <c r="AG123" s="89"/>
      <c r="AH123" s="89"/>
      <c r="AI123" s="89"/>
      <c r="AJ123" s="89"/>
      <c r="AK123" s="89"/>
      <c r="AL123" s="89"/>
      <c r="AM123" s="89"/>
      <c r="AN123" s="89"/>
      <c r="AO123" s="89"/>
    </row>
    <row r="124" spans="3:43" x14ac:dyDescent="0.3">
      <c r="C124" s="31" t="str">
        <f ca="1">INDEX('Version control'!$H$34:$H$57,MATCH($A$1,'Version control'!$F$34:$F$57,0),1)&amp;"-E: Net revenue summary (for information only)"</f>
        <v>Section 118-E: Net revenue summary (for information only)</v>
      </c>
      <c r="D124" s="31"/>
      <c r="E124" s="31"/>
      <c r="F124" s="31"/>
      <c r="G124" s="31"/>
      <c r="H124" s="90"/>
      <c r="I124" s="31"/>
      <c r="J124" s="90"/>
      <c r="K124" s="90"/>
      <c r="L124" s="90"/>
      <c r="M124" s="90"/>
      <c r="N124" s="90"/>
      <c r="O124" s="90"/>
      <c r="P124" s="90"/>
      <c r="Q124" s="90"/>
      <c r="R124" s="90"/>
      <c r="S124" s="90"/>
      <c r="T124" s="90"/>
      <c r="U124" s="90"/>
      <c r="V124" s="90"/>
      <c r="W124" s="90"/>
      <c r="X124" s="90"/>
      <c r="Y124" s="90"/>
      <c r="Z124" s="90"/>
      <c r="AA124" s="90"/>
      <c r="AB124" s="90"/>
      <c r="AC124" s="90"/>
      <c r="AD124" s="90"/>
      <c r="AE124" s="90"/>
      <c r="AF124" s="90"/>
      <c r="AG124" s="90"/>
      <c r="AH124" s="90"/>
      <c r="AI124" s="90"/>
      <c r="AJ124" s="90"/>
      <c r="AK124" s="90"/>
      <c r="AL124" s="90"/>
      <c r="AM124" s="90"/>
      <c r="AN124" s="90"/>
      <c r="AO124" s="90"/>
      <c r="AP124" s="31"/>
      <c r="AQ124" s="31"/>
    </row>
    <row r="125" spans="3:43" x14ac:dyDescent="0.3">
      <c r="F125" s="3"/>
      <c r="G125" s="212"/>
      <c r="H125" s="127"/>
      <c r="I125" s="3"/>
      <c r="J125" s="89"/>
      <c r="K125" s="89"/>
      <c r="L125" s="89"/>
      <c r="M125" s="89"/>
      <c r="N125" s="89"/>
      <c r="O125" s="89"/>
      <c r="P125" s="89"/>
      <c r="Q125" s="89"/>
      <c r="R125" s="89"/>
      <c r="S125" s="89"/>
      <c r="T125" s="89"/>
      <c r="U125" s="89"/>
      <c r="V125" s="89"/>
      <c r="W125" s="89"/>
      <c r="X125" s="89"/>
      <c r="Y125" s="89"/>
      <c r="Z125" s="89"/>
      <c r="AA125" s="89"/>
      <c r="AB125" s="89"/>
      <c r="AC125" s="89"/>
      <c r="AD125" s="89"/>
      <c r="AE125" s="89"/>
      <c r="AF125" s="89"/>
      <c r="AG125" s="89"/>
      <c r="AH125" s="89"/>
      <c r="AI125" s="89"/>
      <c r="AJ125" s="89"/>
      <c r="AK125" s="89"/>
      <c r="AL125" s="89"/>
      <c r="AM125" s="89"/>
      <c r="AN125" s="89"/>
      <c r="AO125" s="89"/>
    </row>
    <row r="126" spans="3:43" x14ac:dyDescent="0.3">
      <c r="E126" t="s">
        <v>737</v>
      </c>
      <c r="G126" s="13" t="s">
        <v>277</v>
      </c>
      <c r="H126" s="215">
        <f>H83</f>
        <v>624163225.95598495</v>
      </c>
      <c r="J126" s="199"/>
      <c r="K126" s="199"/>
      <c r="L126" s="199"/>
      <c r="M126" s="199"/>
      <c r="N126" s="199"/>
      <c r="O126" s="199"/>
      <c r="P126" s="199"/>
      <c r="Q126" s="199"/>
      <c r="R126" s="199"/>
      <c r="S126" s="199"/>
      <c r="T126" s="199"/>
      <c r="U126" s="199"/>
      <c r="V126" s="199"/>
      <c r="W126" s="199"/>
      <c r="X126" s="199"/>
      <c r="Y126" s="199"/>
      <c r="Z126" s="199"/>
      <c r="AA126" s="199"/>
      <c r="AB126" s="199"/>
      <c r="AC126" s="199"/>
      <c r="AD126" s="199"/>
      <c r="AE126" s="199"/>
      <c r="AF126" s="199"/>
      <c r="AG126" s="199"/>
      <c r="AH126" s="199"/>
      <c r="AI126" s="199"/>
      <c r="AJ126" s="199"/>
      <c r="AK126" s="199"/>
      <c r="AL126" s="199"/>
      <c r="AM126" s="199"/>
      <c r="AN126" s="199"/>
      <c r="AO126" s="199"/>
    </row>
    <row r="127" spans="3:43" x14ac:dyDescent="0.3">
      <c r="G127" s="13"/>
      <c r="H127" s="215"/>
      <c r="J127" s="199"/>
      <c r="K127" s="199"/>
      <c r="L127" s="199"/>
      <c r="M127" s="199"/>
      <c r="N127" s="199"/>
      <c r="O127" s="199"/>
      <c r="P127" s="199"/>
      <c r="Q127" s="199"/>
      <c r="R127" s="199"/>
      <c r="S127" s="199"/>
      <c r="T127" s="199"/>
      <c r="U127" s="199"/>
      <c r="V127" s="199"/>
      <c r="W127" s="199"/>
      <c r="X127" s="199"/>
      <c r="Y127" s="199"/>
      <c r="Z127" s="199"/>
      <c r="AA127" s="199"/>
      <c r="AB127" s="199"/>
      <c r="AC127" s="199"/>
      <c r="AD127" s="199"/>
      <c r="AE127" s="199"/>
      <c r="AF127" s="199"/>
      <c r="AG127" s="199"/>
      <c r="AH127" s="199"/>
      <c r="AI127" s="199"/>
      <c r="AJ127" s="199"/>
      <c r="AK127" s="199"/>
      <c r="AL127" s="199"/>
      <c r="AM127" s="199"/>
      <c r="AN127" s="199"/>
      <c r="AO127" s="199"/>
    </row>
    <row r="128" spans="3:43" x14ac:dyDescent="0.3">
      <c r="E128" s="311" t="s">
        <v>767</v>
      </c>
      <c r="F128" s="311"/>
      <c r="G128" s="400" t="s">
        <v>277</v>
      </c>
      <c r="H128" s="401">
        <f>H85</f>
        <v>293286107.90004373</v>
      </c>
      <c r="J128" s="199"/>
      <c r="K128" s="199"/>
      <c r="L128" s="199"/>
      <c r="M128" s="199"/>
      <c r="N128" s="199"/>
      <c r="O128" s="199"/>
      <c r="P128" s="199"/>
      <c r="Q128" s="199"/>
      <c r="R128" s="199"/>
      <c r="S128" s="199"/>
      <c r="T128" s="199"/>
      <c r="U128" s="199"/>
      <c r="V128" s="199"/>
      <c r="W128" s="199"/>
      <c r="X128" s="199"/>
      <c r="Y128" s="199"/>
      <c r="Z128" s="199"/>
      <c r="AA128" s="199"/>
      <c r="AB128" s="199"/>
      <c r="AC128" s="199"/>
      <c r="AD128" s="199"/>
      <c r="AE128" s="199"/>
      <c r="AF128" s="199"/>
      <c r="AG128" s="199"/>
      <c r="AH128" s="199"/>
      <c r="AI128" s="199"/>
      <c r="AJ128" s="199"/>
      <c r="AK128" s="199"/>
      <c r="AL128" s="199"/>
      <c r="AM128" s="199"/>
      <c r="AN128" s="199"/>
      <c r="AO128" s="199"/>
    </row>
    <row r="129" spans="3:43" x14ac:dyDescent="0.3">
      <c r="E129" s="311" t="s">
        <v>893</v>
      </c>
      <c r="F129" s="311"/>
      <c r="G129" s="400" t="s">
        <v>277</v>
      </c>
      <c r="H129" s="401">
        <f>H86</f>
        <v>83024227.799214065</v>
      </c>
      <c r="J129" s="199"/>
      <c r="K129" s="199"/>
      <c r="L129" s="199"/>
      <c r="M129" s="199"/>
      <c r="N129" s="199"/>
      <c r="O129" s="199"/>
      <c r="P129" s="199"/>
      <c r="Q129" s="199"/>
      <c r="R129" s="199"/>
      <c r="S129" s="199"/>
      <c r="T129" s="199"/>
      <c r="U129" s="199"/>
      <c r="V129" s="199"/>
      <c r="W129" s="199"/>
      <c r="X129" s="199"/>
      <c r="Y129" s="199"/>
      <c r="Z129" s="199"/>
      <c r="AA129" s="199"/>
      <c r="AB129" s="199"/>
      <c r="AC129" s="199"/>
      <c r="AD129" s="199"/>
      <c r="AE129" s="199"/>
      <c r="AF129" s="199"/>
      <c r="AG129" s="199"/>
      <c r="AH129" s="199"/>
      <c r="AI129" s="199"/>
      <c r="AJ129" s="199"/>
      <c r="AK129" s="199"/>
      <c r="AL129" s="199"/>
      <c r="AM129" s="199"/>
      <c r="AN129" s="199"/>
      <c r="AO129" s="199"/>
    </row>
    <row r="130" spans="3:43" x14ac:dyDescent="0.3">
      <c r="E130" s="311" t="s">
        <v>894</v>
      </c>
      <c r="F130" s="311"/>
      <c r="G130" s="400" t="s">
        <v>277</v>
      </c>
      <c r="H130" s="401">
        <f>H87</f>
        <v>147796.07056114281</v>
      </c>
      <c r="J130" s="199"/>
      <c r="K130" s="199"/>
      <c r="L130" s="199"/>
      <c r="M130" s="199"/>
      <c r="N130" s="199"/>
      <c r="O130" s="199"/>
      <c r="P130" s="199"/>
      <c r="Q130" s="199"/>
      <c r="R130" s="199"/>
      <c r="S130" s="199"/>
      <c r="T130" s="199"/>
      <c r="U130" s="199"/>
      <c r="V130" s="199"/>
      <c r="W130" s="199"/>
      <c r="X130" s="199"/>
      <c r="Y130" s="199"/>
      <c r="Z130" s="199"/>
      <c r="AA130" s="199"/>
      <c r="AB130" s="199"/>
      <c r="AC130" s="199"/>
      <c r="AD130" s="199"/>
      <c r="AE130" s="199"/>
      <c r="AF130" s="199"/>
      <c r="AG130" s="199"/>
      <c r="AH130" s="199"/>
      <c r="AI130" s="199"/>
      <c r="AJ130" s="199"/>
      <c r="AK130" s="199"/>
      <c r="AL130" s="199"/>
      <c r="AM130" s="199"/>
      <c r="AN130" s="199"/>
      <c r="AO130" s="199"/>
    </row>
    <row r="131" spans="3:43" x14ac:dyDescent="0.3">
      <c r="E131" s="311" t="s">
        <v>1018</v>
      </c>
      <c r="F131" s="311"/>
      <c r="G131" s="400" t="s">
        <v>277</v>
      </c>
      <c r="H131" s="401">
        <f>H88</f>
        <v>247705094.18616605</v>
      </c>
      <c r="J131" s="199"/>
      <c r="K131" s="199"/>
      <c r="L131" s="199"/>
      <c r="M131" s="199"/>
      <c r="N131" s="199"/>
      <c r="O131" s="199"/>
      <c r="P131" s="199"/>
      <c r="Q131" s="199"/>
      <c r="R131" s="199"/>
      <c r="S131" s="199"/>
      <c r="T131" s="199"/>
      <c r="U131" s="199"/>
      <c r="V131" s="199"/>
      <c r="W131" s="199"/>
      <c r="X131" s="199"/>
      <c r="Y131" s="199"/>
      <c r="Z131" s="199"/>
      <c r="AA131" s="199"/>
      <c r="AB131" s="199"/>
      <c r="AC131" s="199"/>
      <c r="AD131" s="199"/>
      <c r="AE131" s="199"/>
      <c r="AF131" s="199"/>
      <c r="AG131" s="199"/>
      <c r="AH131" s="199"/>
      <c r="AI131" s="199"/>
      <c r="AJ131" s="199"/>
      <c r="AK131" s="199"/>
      <c r="AL131" s="199"/>
      <c r="AM131" s="199"/>
      <c r="AN131" s="199"/>
      <c r="AO131" s="199"/>
    </row>
    <row r="132" spans="3:43" x14ac:dyDescent="0.3">
      <c r="E132" s="37" t="s">
        <v>768</v>
      </c>
      <c r="F132" s="37"/>
      <c r="G132" s="86" t="s">
        <v>277</v>
      </c>
      <c r="H132" s="216">
        <f>SUM(H102,H112,H122) - SUM(H128:H129, H131)</f>
        <v>19129.678615093231</v>
      </c>
      <c r="J132" s="199"/>
      <c r="K132" s="199"/>
      <c r="L132" s="199"/>
      <c r="M132" s="199"/>
      <c r="N132" s="199"/>
      <c r="O132" s="199"/>
      <c r="P132" s="199"/>
      <c r="Q132" s="199"/>
      <c r="R132" s="199"/>
      <c r="S132" s="199"/>
      <c r="T132" s="199"/>
      <c r="U132" s="199"/>
      <c r="V132" s="199"/>
      <c r="W132" s="199"/>
      <c r="X132" s="199"/>
      <c r="Y132" s="199"/>
      <c r="Z132" s="199"/>
      <c r="AA132" s="199"/>
      <c r="AB132" s="199"/>
      <c r="AC132" s="199"/>
      <c r="AD132" s="199"/>
      <c r="AE132" s="199"/>
      <c r="AF132" s="199"/>
      <c r="AG132" s="199"/>
      <c r="AH132" s="199"/>
      <c r="AI132" s="199"/>
      <c r="AJ132" s="199"/>
      <c r="AK132" s="199"/>
      <c r="AL132" s="199"/>
      <c r="AM132" s="199"/>
      <c r="AN132" s="199"/>
      <c r="AO132" s="199"/>
    </row>
    <row r="133" spans="3:43" x14ac:dyDescent="0.3">
      <c r="E133" s="108" t="s">
        <v>769</v>
      </c>
      <c r="F133" s="108"/>
      <c r="G133" s="214" t="s">
        <v>277</v>
      </c>
      <c r="H133" s="216">
        <f>SUM(H128:H132)</f>
        <v>624182355.63460016</v>
      </c>
      <c r="J133" s="199"/>
      <c r="K133" s="199"/>
      <c r="L133" s="199"/>
      <c r="M133" s="199"/>
      <c r="N133" s="199"/>
      <c r="O133" s="199"/>
      <c r="P133" s="199"/>
      <c r="Q133" s="199"/>
      <c r="R133" s="199"/>
      <c r="S133" s="199"/>
      <c r="T133" s="199"/>
      <c r="U133" s="199"/>
      <c r="V133" s="199"/>
      <c r="W133" s="199"/>
      <c r="X133" s="199"/>
      <c r="Y133" s="199"/>
      <c r="Z133" s="199"/>
      <c r="AA133" s="199"/>
      <c r="AB133" s="199"/>
      <c r="AC133" s="199"/>
      <c r="AD133" s="199"/>
      <c r="AE133" s="199"/>
      <c r="AF133" s="199"/>
      <c r="AG133" s="199"/>
      <c r="AH133" s="199"/>
      <c r="AI133" s="199"/>
      <c r="AJ133" s="199"/>
      <c r="AK133" s="199"/>
      <c r="AL133" s="199"/>
      <c r="AM133" s="199"/>
      <c r="AN133" s="199"/>
      <c r="AO133" s="199"/>
    </row>
    <row r="134" spans="3:43" x14ac:dyDescent="0.3">
      <c r="G134" s="13"/>
      <c r="H134" s="199"/>
      <c r="J134" s="199"/>
      <c r="K134" s="199"/>
      <c r="L134" s="199"/>
      <c r="M134" s="199"/>
      <c r="N134" s="199"/>
      <c r="O134" s="199"/>
      <c r="P134" s="199"/>
      <c r="Q134" s="199"/>
      <c r="R134" s="199"/>
      <c r="S134" s="199"/>
      <c r="T134" s="199"/>
      <c r="U134" s="199"/>
      <c r="V134" s="199"/>
      <c r="W134" s="199"/>
      <c r="X134" s="199"/>
      <c r="Y134" s="199"/>
      <c r="Z134" s="199"/>
      <c r="AA134" s="199"/>
      <c r="AB134" s="199"/>
      <c r="AC134" s="199"/>
      <c r="AD134" s="199"/>
      <c r="AE134" s="199"/>
      <c r="AF134" s="199"/>
      <c r="AG134" s="199"/>
      <c r="AH134" s="199"/>
      <c r="AI134" s="199"/>
      <c r="AJ134" s="199"/>
      <c r="AK134" s="199"/>
      <c r="AL134" s="199"/>
      <c r="AM134" s="199"/>
      <c r="AN134" s="199"/>
      <c r="AO134" s="199"/>
    </row>
    <row r="135" spans="3:43" x14ac:dyDescent="0.3">
      <c r="E135" t="s">
        <v>770</v>
      </c>
      <c r="G135" s="13" t="s">
        <v>277</v>
      </c>
      <c r="H135" s="318">
        <f>H133 - H126</f>
        <v>19129.67861521244</v>
      </c>
      <c r="J135" s="199"/>
      <c r="K135" s="199"/>
      <c r="L135" s="199"/>
      <c r="M135" s="199"/>
      <c r="N135" s="199"/>
      <c r="O135" s="199"/>
      <c r="P135" s="199"/>
      <c r="Q135" s="199"/>
      <c r="R135" s="199"/>
      <c r="S135" s="199"/>
      <c r="T135" s="199"/>
      <c r="U135" s="199"/>
      <c r="V135" s="199"/>
      <c r="W135" s="199"/>
      <c r="X135" s="199"/>
      <c r="Y135" s="199"/>
      <c r="Z135" s="199"/>
      <c r="AA135" s="199"/>
      <c r="AB135" s="199"/>
      <c r="AC135" s="199"/>
      <c r="AD135" s="199"/>
      <c r="AE135" s="199"/>
      <c r="AF135" s="199"/>
      <c r="AG135" s="199"/>
      <c r="AH135" s="199"/>
      <c r="AI135" s="199"/>
      <c r="AJ135" s="199"/>
      <c r="AK135" s="199"/>
      <c r="AL135" s="199"/>
      <c r="AM135" s="199"/>
      <c r="AN135" s="199"/>
      <c r="AO135" s="199"/>
    </row>
    <row r="136" spans="3:43" x14ac:dyDescent="0.3">
      <c r="E136" t="s">
        <v>770</v>
      </c>
      <c r="G136" s="13" t="s">
        <v>167</v>
      </c>
      <c r="H136" s="319">
        <f>(H133 - H126) / H126</f>
        <v>3.0648519200907611E-5</v>
      </c>
      <c r="J136" s="199"/>
      <c r="K136" s="199"/>
      <c r="L136" s="199"/>
      <c r="M136" s="199"/>
      <c r="N136" s="199"/>
      <c r="O136" s="199"/>
      <c r="P136" s="199"/>
      <c r="Q136" s="199"/>
      <c r="R136" s="199"/>
      <c r="S136" s="199"/>
      <c r="T136" s="199"/>
      <c r="U136" s="199"/>
      <c r="V136" s="199"/>
      <c r="W136" s="199"/>
      <c r="X136" s="199"/>
      <c r="Y136" s="199"/>
      <c r="Z136" s="199"/>
      <c r="AA136" s="199"/>
      <c r="AB136" s="199"/>
      <c r="AC136" s="199"/>
      <c r="AD136" s="199"/>
      <c r="AE136" s="199"/>
      <c r="AF136" s="199"/>
      <c r="AG136" s="199"/>
      <c r="AH136" s="199"/>
      <c r="AI136" s="199"/>
      <c r="AJ136" s="199"/>
      <c r="AK136" s="199"/>
      <c r="AL136" s="199"/>
      <c r="AM136" s="199"/>
      <c r="AN136" s="199"/>
      <c r="AO136" s="199"/>
    </row>
    <row r="137" spans="3:43" x14ac:dyDescent="0.3">
      <c r="C137" s="88"/>
      <c r="D137" s="2"/>
      <c r="E137" s="2"/>
      <c r="G137" s="13"/>
      <c r="J137" s="89"/>
      <c r="K137" s="89"/>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89"/>
      <c r="AO137" s="89"/>
    </row>
    <row r="138" spans="3:43" x14ac:dyDescent="0.3">
      <c r="C138" s="31" t="str">
        <f ca="1">INDEX('Version control'!$H$34:$H$57,MATCH($A$1,'Version control'!$F$34:$F$57,0),1)&amp;"-F: Typical bills"</f>
        <v>Section 118-F: Typical bills</v>
      </c>
      <c r="D138" s="31"/>
      <c r="E138" s="31"/>
      <c r="F138" s="31"/>
      <c r="G138" s="31"/>
      <c r="H138" s="31"/>
      <c r="I138" s="31"/>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31"/>
      <c r="AQ138" s="31"/>
    </row>
    <row r="139" spans="3:43" x14ac:dyDescent="0.3">
      <c r="F139" s="3"/>
      <c r="G139" s="212"/>
      <c r="H139" s="3"/>
      <c r="I139" s="3"/>
      <c r="J139" s="89"/>
      <c r="K139" s="89"/>
      <c r="L139" s="89"/>
      <c r="M139" s="89"/>
      <c r="N139" s="89"/>
      <c r="O139" s="89"/>
      <c r="P139" s="89"/>
      <c r="Q139" s="89"/>
      <c r="R139" s="89"/>
      <c r="S139" s="89"/>
      <c r="T139" s="89"/>
      <c r="U139" s="89"/>
      <c r="V139" s="89"/>
      <c r="W139" s="89"/>
      <c r="X139" s="89"/>
      <c r="Y139" s="89"/>
      <c r="Z139" s="89"/>
      <c r="AA139" s="89"/>
      <c r="AB139" s="89"/>
      <c r="AC139" s="89"/>
      <c r="AD139" s="89"/>
      <c r="AE139" s="89"/>
      <c r="AF139" s="89"/>
      <c r="AG139" s="89"/>
      <c r="AH139" s="89"/>
      <c r="AI139" s="89"/>
      <c r="AJ139" s="89"/>
      <c r="AK139" s="89"/>
      <c r="AL139" s="89"/>
      <c r="AM139" s="89"/>
      <c r="AN139" s="89"/>
      <c r="AO139" s="89"/>
    </row>
    <row r="140" spans="3:43" x14ac:dyDescent="0.3">
      <c r="E140" t="s">
        <v>771</v>
      </c>
      <c r="G140" s="13" t="s">
        <v>772</v>
      </c>
      <c r="H140" t="s">
        <v>773</v>
      </c>
      <c r="J140" s="199">
        <f t="shared" ref="J140:AO140" si="30" xml:space="preserve"> IF( J25 &lt;&gt; 0, J102 / J25, 0)</f>
        <v>130.30422679605158</v>
      </c>
      <c r="K140" s="199">
        <f t="shared" si="30"/>
        <v>0</v>
      </c>
      <c r="L140" s="199">
        <f t="shared" si="30"/>
        <v>0</v>
      </c>
      <c r="M140" s="199">
        <f t="shared" si="30"/>
        <v>65.718985809593462</v>
      </c>
      <c r="N140" s="199">
        <f t="shared" si="30"/>
        <v>217.07823525997807</v>
      </c>
      <c r="O140" s="199">
        <f t="shared" si="30"/>
        <v>485.07934520900193</v>
      </c>
      <c r="P140" s="199">
        <f t="shared" si="30"/>
        <v>1491.8794267797336</v>
      </c>
      <c r="Q140" s="199">
        <f t="shared" si="30"/>
        <v>0</v>
      </c>
      <c r="R140" s="199">
        <f t="shared" si="30"/>
        <v>0</v>
      </c>
      <c r="S140" s="199">
        <f t="shared" si="30"/>
        <v>2530.5472372063632</v>
      </c>
      <c r="T140" s="199">
        <f t="shared" si="30"/>
        <v>5178.4911402263051</v>
      </c>
      <c r="U140" s="199">
        <f t="shared" si="30"/>
        <v>8083.1759166451602</v>
      </c>
      <c r="V140" s="199">
        <f t="shared" si="30"/>
        <v>12789.445747180538</v>
      </c>
      <c r="W140" s="199">
        <f t="shared" si="30"/>
        <v>0</v>
      </c>
      <c r="X140" s="199">
        <f t="shared" si="30"/>
        <v>1986.1209332026806</v>
      </c>
      <c r="Y140" s="199">
        <f t="shared" si="30"/>
        <v>5007.6257795194988</v>
      </c>
      <c r="Z140" s="199">
        <f t="shared" si="30"/>
        <v>7949.4307932968832</v>
      </c>
      <c r="AA140" s="199">
        <f t="shared" si="30"/>
        <v>15748.65803223665</v>
      </c>
      <c r="AB140" s="199">
        <f t="shared" si="30"/>
        <v>0</v>
      </c>
      <c r="AC140" s="199">
        <f t="shared" si="30"/>
        <v>10451.298118574088</v>
      </c>
      <c r="AD140" s="199">
        <f t="shared" si="30"/>
        <v>32820.059447109372</v>
      </c>
      <c r="AE140" s="199">
        <f t="shared" si="30"/>
        <v>71522.320912504496</v>
      </c>
      <c r="AF140" s="199">
        <f t="shared" si="30"/>
        <v>216588.41815813567</v>
      </c>
      <c r="AG140" s="199">
        <f t="shared" si="30"/>
        <v>241672.13429203705</v>
      </c>
      <c r="AH140" s="199">
        <f t="shared" si="30"/>
        <v>0</v>
      </c>
      <c r="AI140" s="199">
        <f t="shared" si="30"/>
        <v>0</v>
      </c>
      <c r="AJ140" s="199">
        <f t="shared" si="30"/>
        <v>-500.53239052354462</v>
      </c>
      <c r="AK140" s="199">
        <f t="shared" si="30"/>
        <v>0</v>
      </c>
      <c r="AL140" s="199">
        <f t="shared" si="30"/>
        <v>-2005.4242883700617</v>
      </c>
      <c r="AM140" s="199">
        <f t="shared" si="30"/>
        <v>0</v>
      </c>
      <c r="AN140" s="199">
        <f t="shared" si="30"/>
        <v>-7276.9333811467259</v>
      </c>
      <c r="AO140" s="199">
        <f t="shared" si="30"/>
        <v>0</v>
      </c>
    </row>
    <row r="141" spans="3:43" x14ac:dyDescent="0.3">
      <c r="E141" t="s">
        <v>774</v>
      </c>
      <c r="G141" s="13" t="s">
        <v>772</v>
      </c>
      <c r="H141" t="s">
        <v>448</v>
      </c>
      <c r="J141" s="98">
        <f t="shared" ref="J141:AO141" si="31" xml:space="preserve"> IF( J36 &lt;&gt; 0, J112 / J36, 0)</f>
        <v>95.77042766036783</v>
      </c>
      <c r="K141" s="98">
        <f t="shared" si="31"/>
        <v>0</v>
      </c>
      <c r="L141" s="98">
        <f t="shared" si="31"/>
        <v>0</v>
      </c>
      <c r="M141" s="98">
        <f t="shared" si="31"/>
        <v>42.276996426757769</v>
      </c>
      <c r="N141" s="98">
        <f t="shared" si="31"/>
        <v>136.38559760015053</v>
      </c>
      <c r="O141" s="98">
        <f t="shared" si="31"/>
        <v>302.99943106810491</v>
      </c>
      <c r="P141" s="98">
        <f t="shared" si="31"/>
        <v>928.92318549500931</v>
      </c>
      <c r="Q141" s="98">
        <f t="shared" si="31"/>
        <v>0</v>
      </c>
      <c r="R141" s="98">
        <f t="shared" si="31"/>
        <v>0</v>
      </c>
      <c r="S141" s="98">
        <f t="shared" si="31"/>
        <v>2292.3808798434179</v>
      </c>
      <c r="T141" s="98">
        <f t="shared" si="31"/>
        <v>4863.2779093688487</v>
      </c>
      <c r="U141" s="98">
        <f t="shared" si="31"/>
        <v>7619.7153300682894</v>
      </c>
      <c r="V141" s="98">
        <f t="shared" si="31"/>
        <v>12115.283740979101</v>
      </c>
      <c r="W141" s="98">
        <f t="shared" si="31"/>
        <v>0</v>
      </c>
      <c r="X141" s="98">
        <f t="shared" si="31"/>
        <v>0</v>
      </c>
      <c r="Y141" s="98">
        <f t="shared" si="31"/>
        <v>0</v>
      </c>
      <c r="Z141" s="98">
        <f t="shared" si="31"/>
        <v>0</v>
      </c>
      <c r="AA141" s="98">
        <f t="shared" si="31"/>
        <v>0</v>
      </c>
      <c r="AB141" s="98">
        <f t="shared" si="31"/>
        <v>0</v>
      </c>
      <c r="AC141" s="98">
        <f t="shared" si="31"/>
        <v>0</v>
      </c>
      <c r="AD141" s="98">
        <f t="shared" si="31"/>
        <v>0</v>
      </c>
      <c r="AE141" s="98">
        <f t="shared" si="31"/>
        <v>0</v>
      </c>
      <c r="AF141" s="98">
        <f t="shared" si="31"/>
        <v>0</v>
      </c>
      <c r="AG141" s="98">
        <f t="shared" si="31"/>
        <v>0</v>
      </c>
      <c r="AH141" s="98">
        <f t="shared" si="31"/>
        <v>0</v>
      </c>
      <c r="AI141" s="98">
        <f t="shared" si="31"/>
        <v>0</v>
      </c>
      <c r="AJ141" s="98">
        <f t="shared" si="31"/>
        <v>0</v>
      </c>
      <c r="AK141" s="98">
        <f t="shared" si="31"/>
        <v>0</v>
      </c>
      <c r="AL141" s="98">
        <f t="shared" si="31"/>
        <v>0</v>
      </c>
      <c r="AM141" s="98">
        <f t="shared" si="31"/>
        <v>0</v>
      </c>
      <c r="AN141" s="98">
        <f t="shared" si="31"/>
        <v>0</v>
      </c>
      <c r="AO141" s="98">
        <f t="shared" si="31"/>
        <v>0</v>
      </c>
    </row>
    <row r="142" spans="3:43" x14ac:dyDescent="0.3">
      <c r="E142" t="s">
        <v>775</v>
      </c>
      <c r="G142" s="13" t="s">
        <v>772</v>
      </c>
      <c r="H142" t="s">
        <v>449</v>
      </c>
      <c r="J142" s="98">
        <f t="shared" ref="J142:AO142" si="32" xml:space="preserve"> IF( J47 &lt;&gt; 0, J122 / J47, 0)</f>
        <v>82.058554928333834</v>
      </c>
      <c r="K142" s="98">
        <f t="shared" si="32"/>
        <v>0</v>
      </c>
      <c r="L142" s="98">
        <f t="shared" si="32"/>
        <v>0</v>
      </c>
      <c r="M142" s="98">
        <f t="shared" si="32"/>
        <v>37.54956279556967</v>
      </c>
      <c r="N142" s="98">
        <f t="shared" si="32"/>
        <v>131.46017785602839</v>
      </c>
      <c r="O142" s="98">
        <f t="shared" si="32"/>
        <v>297.73455787657502</v>
      </c>
      <c r="P142" s="98">
        <f t="shared" si="32"/>
        <v>922.30711430611507</v>
      </c>
      <c r="Q142" s="98">
        <f t="shared" si="32"/>
        <v>0</v>
      </c>
      <c r="R142" s="98">
        <f t="shared" si="32"/>
        <v>0</v>
      </c>
      <c r="S142" s="98">
        <f t="shared" si="32"/>
        <v>1947.8382854683107</v>
      </c>
      <c r="T142" s="98">
        <f t="shared" si="32"/>
        <v>4115.5662580742028</v>
      </c>
      <c r="U142" s="98">
        <f t="shared" si="32"/>
        <v>6446.6419838116153</v>
      </c>
      <c r="V142" s="98">
        <f t="shared" si="32"/>
        <v>10245.144998864987</v>
      </c>
      <c r="W142" s="98">
        <f t="shared" si="32"/>
        <v>0</v>
      </c>
      <c r="X142" s="98">
        <f t="shared" si="32"/>
        <v>1898.7407436270012</v>
      </c>
      <c r="Y142" s="98">
        <f t="shared" si="32"/>
        <v>5103.542218640976</v>
      </c>
      <c r="Z142" s="98">
        <f t="shared" si="32"/>
        <v>8136.8351638333388</v>
      </c>
      <c r="AA142" s="98">
        <f t="shared" si="32"/>
        <v>16701.30260771326</v>
      </c>
      <c r="AB142" s="98">
        <f t="shared" si="32"/>
        <v>0</v>
      </c>
      <c r="AC142" s="98">
        <f t="shared" si="32"/>
        <v>12369.203529780823</v>
      </c>
      <c r="AD142" s="98">
        <f t="shared" si="32"/>
        <v>38687.903155245833</v>
      </c>
      <c r="AE142" s="98">
        <f t="shared" si="32"/>
        <v>83952.474245722828</v>
      </c>
      <c r="AF142" s="98">
        <f t="shared" si="32"/>
        <v>253132.03984448942</v>
      </c>
      <c r="AG142" s="98">
        <f t="shared" si="32"/>
        <v>0</v>
      </c>
      <c r="AH142" s="98">
        <f t="shared" si="32"/>
        <v>0</v>
      </c>
      <c r="AI142" s="98">
        <f t="shared" si="32"/>
        <v>0</v>
      </c>
      <c r="AJ142" s="98">
        <f t="shared" si="32"/>
        <v>-70.568911125273544</v>
      </c>
      <c r="AK142" s="98">
        <f t="shared" si="32"/>
        <v>0</v>
      </c>
      <c r="AL142" s="98">
        <f t="shared" si="32"/>
        <v>0</v>
      </c>
      <c r="AM142" s="98">
        <f t="shared" si="32"/>
        <v>0</v>
      </c>
      <c r="AN142" s="98">
        <f t="shared" si="32"/>
        <v>-287.24832661882829</v>
      </c>
      <c r="AO142" s="98">
        <f t="shared" si="32"/>
        <v>0</v>
      </c>
    </row>
    <row r="143" spans="3:43" x14ac:dyDescent="0.3">
      <c r="D143" s="2"/>
      <c r="E143" s="2"/>
      <c r="G143" s="13"/>
      <c r="J143" s="89"/>
      <c r="K143" s="89"/>
      <c r="L143" s="89"/>
      <c r="M143" s="89"/>
      <c r="N143" s="89"/>
      <c r="O143" s="89"/>
      <c r="P143" s="89"/>
      <c r="Q143" s="89"/>
      <c r="R143" s="89"/>
      <c r="S143" s="89"/>
      <c r="T143" s="89"/>
      <c r="U143" s="89"/>
      <c r="V143" s="89"/>
      <c r="W143" s="89"/>
      <c r="X143" s="89"/>
      <c r="Y143" s="89"/>
      <c r="Z143" s="89"/>
      <c r="AA143" s="89"/>
      <c r="AB143" s="89"/>
      <c r="AC143" s="89"/>
      <c r="AD143" s="89"/>
      <c r="AE143" s="89"/>
      <c r="AF143" s="89"/>
      <c r="AG143" s="89"/>
      <c r="AH143" s="89"/>
      <c r="AI143" s="89"/>
      <c r="AJ143" s="89"/>
      <c r="AK143" s="89"/>
      <c r="AL143" s="89"/>
      <c r="AM143" s="89"/>
      <c r="AN143" s="89"/>
      <c r="AO143" s="89"/>
    </row>
    <row r="144" spans="3:43" x14ac:dyDescent="0.3">
      <c r="C144" s="31" t="str">
        <f ca="1">INDEX('Version control'!$H$34:$H$57,MATCH($A$1,'Version control'!$F$34:$F$57,0),1)&amp;"-G: Average bill per kWh"</f>
        <v>Section 118-G: Average bill per kWh</v>
      </c>
      <c r="D144" s="31"/>
      <c r="E144" s="31"/>
      <c r="F144" s="31"/>
      <c r="G144" s="31"/>
      <c r="H144" s="31"/>
      <c r="I144" s="31"/>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31"/>
      <c r="AQ144" s="31"/>
    </row>
    <row r="145" spans="1:43" x14ac:dyDescent="0.3">
      <c r="F145" s="3"/>
      <c r="G145" s="212"/>
      <c r="H145" s="3"/>
      <c r="I145" s="3"/>
      <c r="J145" s="89"/>
      <c r="K145" s="89"/>
      <c r="L145" s="89"/>
      <c r="M145" s="89"/>
      <c r="N145" s="89"/>
      <c r="O145" s="89"/>
      <c r="P145" s="89"/>
      <c r="Q145" s="89"/>
      <c r="R145" s="89"/>
      <c r="S145" s="89"/>
      <c r="T145" s="89"/>
      <c r="U145" s="89"/>
      <c r="V145" s="89"/>
      <c r="W145" s="89"/>
      <c r="X145" s="89"/>
      <c r="Y145" s="89"/>
      <c r="Z145" s="89"/>
      <c r="AA145" s="89"/>
      <c r="AB145" s="89"/>
      <c r="AC145" s="89"/>
      <c r="AD145" s="89"/>
      <c r="AE145" s="89"/>
      <c r="AF145" s="89"/>
      <c r="AG145" s="89"/>
      <c r="AH145" s="89"/>
      <c r="AI145" s="89"/>
      <c r="AJ145" s="89"/>
      <c r="AK145" s="89"/>
      <c r="AL145" s="89"/>
      <c r="AM145" s="89"/>
      <c r="AN145" s="89"/>
      <c r="AO145" s="89"/>
    </row>
    <row r="146" spans="1:43" x14ac:dyDescent="0.3">
      <c r="E146" t="s">
        <v>776</v>
      </c>
      <c r="G146" s="13" t="s">
        <v>269</v>
      </c>
      <c r="H146" s="267" t="s">
        <v>773</v>
      </c>
      <c r="I146" s="267"/>
      <c r="J146" s="275">
        <f t="shared" ref="J146:AO146" si="33" xml:space="preserve"> IF( SUM(J$22:J$24) &lt;&gt; 0, J$102 / SUM(J$22:J$24) * hundred / thousand, 0)</f>
        <v>3.7358153315893672</v>
      </c>
      <c r="K146" s="275">
        <f t="shared" si="33"/>
        <v>0.29463079713080353</v>
      </c>
      <c r="L146" s="275">
        <f t="shared" si="33"/>
        <v>0</v>
      </c>
      <c r="M146" s="275">
        <f t="shared" si="33"/>
        <v>4.9046629751509316</v>
      </c>
      <c r="N146" s="275">
        <f t="shared" si="33"/>
        <v>2.9129658323011425</v>
      </c>
      <c r="O146" s="275">
        <f t="shared" si="33"/>
        <v>2.6544878897419739</v>
      </c>
      <c r="P146" s="275">
        <f t="shared" si="33"/>
        <v>2.5317628825689527</v>
      </c>
      <c r="Q146" s="275">
        <f t="shared" si="33"/>
        <v>0.5508725285491235</v>
      </c>
      <c r="R146" s="275">
        <f t="shared" si="33"/>
        <v>0</v>
      </c>
      <c r="S146" s="275">
        <f t="shared" si="33"/>
        <v>2.9521835506243144</v>
      </c>
      <c r="T146" s="275">
        <f t="shared" si="33"/>
        <v>3.2699595983307921</v>
      </c>
      <c r="U146" s="275">
        <f t="shared" si="33"/>
        <v>3.2949717554035525</v>
      </c>
      <c r="V146" s="275">
        <f t="shared" si="33"/>
        <v>3.3412610258785103</v>
      </c>
      <c r="W146" s="275">
        <f t="shared" si="33"/>
        <v>0</v>
      </c>
      <c r="X146" s="275">
        <f t="shared" si="33"/>
        <v>2.6857070903416935</v>
      </c>
      <c r="Y146" s="275">
        <f t="shared" si="33"/>
        <v>3.1658372982835035</v>
      </c>
      <c r="Z146" s="275">
        <f t="shared" si="33"/>
        <v>3.1360936114865492</v>
      </c>
      <c r="AA146" s="275">
        <f t="shared" si="33"/>
        <v>4.1405805730833052</v>
      </c>
      <c r="AB146" s="275">
        <f t="shared" si="33"/>
        <v>0</v>
      </c>
      <c r="AC146" s="275">
        <f t="shared" si="33"/>
        <v>2.4720972423889744</v>
      </c>
      <c r="AD146" s="275">
        <f t="shared" si="33"/>
        <v>2.349301772205973</v>
      </c>
      <c r="AE146" s="275">
        <f t="shared" si="33"/>
        <v>2.2967020061008609</v>
      </c>
      <c r="AF146" s="275">
        <f t="shared" si="33"/>
        <v>2.2546288647110053</v>
      </c>
      <c r="AG146" s="275">
        <f t="shared" si="33"/>
        <v>2.8971179067989845</v>
      </c>
      <c r="AH146" s="275">
        <f t="shared" si="33"/>
        <v>-0.87928272768726856</v>
      </c>
      <c r="AI146" s="275">
        <f t="shared" si="33"/>
        <v>0</v>
      </c>
      <c r="AJ146" s="275">
        <f t="shared" si="33"/>
        <v>-0.69519381242654721</v>
      </c>
      <c r="AK146" s="275">
        <f t="shared" si="33"/>
        <v>0</v>
      </c>
      <c r="AL146" s="275">
        <f t="shared" si="33"/>
        <v>-0.54601589092448799</v>
      </c>
      <c r="AM146" s="275">
        <f t="shared" si="33"/>
        <v>0</v>
      </c>
      <c r="AN146" s="275">
        <f t="shared" si="33"/>
        <v>-0.32671660925555379</v>
      </c>
      <c r="AO146" s="275">
        <f t="shared" si="33"/>
        <v>0</v>
      </c>
      <c r="AP146" s="267"/>
      <c r="AQ146" s="267"/>
    </row>
    <row r="147" spans="1:43" x14ac:dyDescent="0.3">
      <c r="E147" t="s">
        <v>777</v>
      </c>
      <c r="G147" s="13" t="s">
        <v>269</v>
      </c>
      <c r="H147" s="267" t="s">
        <v>448</v>
      </c>
      <c r="I147" s="267"/>
      <c r="J147" s="282">
        <f t="shared" ref="J147:AO147" si="34" xml:space="preserve"> IF( SUM(J$33:J$35) &lt;&gt; 0, J$112 / SUM(J$33:J$35) * hundred / thousand, 0)</f>
        <v>3.193979913600435</v>
      </c>
      <c r="K147" s="282">
        <f t="shared" si="34"/>
        <v>0</v>
      </c>
      <c r="L147" s="282">
        <f t="shared" si="34"/>
        <v>0</v>
      </c>
      <c r="M147" s="282">
        <f t="shared" si="34"/>
        <v>3.5747343950767254</v>
      </c>
      <c r="N147" s="282">
        <f t="shared" si="34"/>
        <v>2.073523470574973</v>
      </c>
      <c r="O147" s="282">
        <f t="shared" si="34"/>
        <v>1.8785861452896935</v>
      </c>
      <c r="P147" s="282">
        <f t="shared" si="34"/>
        <v>1.7860369630964696</v>
      </c>
      <c r="Q147" s="282">
        <f t="shared" si="34"/>
        <v>0</v>
      </c>
      <c r="R147" s="282">
        <f t="shared" si="34"/>
        <v>0</v>
      </c>
      <c r="S147" s="282">
        <f t="shared" si="34"/>
        <v>1.6340000594481445</v>
      </c>
      <c r="T147" s="282">
        <f t="shared" si="34"/>
        <v>1.8763101164433527</v>
      </c>
      <c r="U147" s="282">
        <f t="shared" si="34"/>
        <v>1.8977753232962324</v>
      </c>
      <c r="V147" s="282">
        <f t="shared" si="34"/>
        <v>1.9338761341004251</v>
      </c>
      <c r="W147" s="282">
        <f t="shared" si="34"/>
        <v>0</v>
      </c>
      <c r="X147" s="282">
        <f t="shared" si="34"/>
        <v>0</v>
      </c>
      <c r="Y147" s="282">
        <f t="shared" si="34"/>
        <v>0</v>
      </c>
      <c r="Z147" s="282">
        <f t="shared" si="34"/>
        <v>0</v>
      </c>
      <c r="AA147" s="282">
        <f t="shared" si="34"/>
        <v>0</v>
      </c>
      <c r="AB147" s="282">
        <f t="shared" si="34"/>
        <v>0</v>
      </c>
      <c r="AC147" s="282">
        <f t="shared" si="34"/>
        <v>0</v>
      </c>
      <c r="AD147" s="282">
        <f t="shared" si="34"/>
        <v>0</v>
      </c>
      <c r="AE147" s="282">
        <f t="shared" si="34"/>
        <v>0</v>
      </c>
      <c r="AF147" s="282">
        <f t="shared" si="34"/>
        <v>0</v>
      </c>
      <c r="AG147" s="282">
        <f t="shared" si="34"/>
        <v>1.6882178951058766</v>
      </c>
      <c r="AH147" s="282">
        <f t="shared" si="34"/>
        <v>-0.86651720797166354</v>
      </c>
      <c r="AI147" s="282">
        <f t="shared" si="34"/>
        <v>0</v>
      </c>
      <c r="AJ147" s="282">
        <f t="shared" si="34"/>
        <v>0</v>
      </c>
      <c r="AK147" s="282">
        <f t="shared" si="34"/>
        <v>0</v>
      </c>
      <c r="AL147" s="282">
        <f t="shared" si="34"/>
        <v>0</v>
      </c>
      <c r="AM147" s="282">
        <f t="shared" si="34"/>
        <v>0</v>
      </c>
      <c r="AN147" s="282">
        <f t="shared" si="34"/>
        <v>0</v>
      </c>
      <c r="AO147" s="282">
        <f t="shared" si="34"/>
        <v>0</v>
      </c>
      <c r="AP147" s="267"/>
      <c r="AQ147" s="267"/>
    </row>
    <row r="148" spans="1:43" x14ac:dyDescent="0.3">
      <c r="E148" t="s">
        <v>778</v>
      </c>
      <c r="G148" s="13" t="s">
        <v>269</v>
      </c>
      <c r="H148" s="267" t="s">
        <v>449</v>
      </c>
      <c r="I148" s="267"/>
      <c r="J148" s="282">
        <f t="shared" ref="J148:AO148" si="35" xml:space="preserve"> IF( SUM(J$44:J$46) &lt;&gt; 0, J$122 / SUM(J$44:J$46) * hundred / thousand, 0)</f>
        <v>2.787951999179926</v>
      </c>
      <c r="K148" s="282">
        <f t="shared" si="35"/>
        <v>0</v>
      </c>
      <c r="L148" s="282">
        <f t="shared" si="35"/>
        <v>0</v>
      </c>
      <c r="M148" s="282">
        <f t="shared" si="35"/>
        <v>2.0721371163939768</v>
      </c>
      <c r="N148" s="282">
        <f t="shared" si="35"/>
        <v>1.3043934567551778</v>
      </c>
      <c r="O148" s="282">
        <f t="shared" si="35"/>
        <v>1.2047376955223823</v>
      </c>
      <c r="P148" s="282">
        <f t="shared" si="35"/>
        <v>1.1573378319856948</v>
      </c>
      <c r="Q148" s="282">
        <f t="shared" si="35"/>
        <v>0</v>
      </c>
      <c r="R148" s="282">
        <f t="shared" si="35"/>
        <v>0</v>
      </c>
      <c r="S148" s="282">
        <f t="shared" si="35"/>
        <v>1.2120740248809889</v>
      </c>
      <c r="T148" s="282">
        <f t="shared" si="35"/>
        <v>1.3861686938717017</v>
      </c>
      <c r="U148" s="282">
        <f t="shared" si="35"/>
        <v>1.4016854228241198</v>
      </c>
      <c r="V148" s="282">
        <f t="shared" si="35"/>
        <v>1.4276578224601431</v>
      </c>
      <c r="W148" s="282">
        <f t="shared" si="35"/>
        <v>0</v>
      </c>
      <c r="X148" s="282">
        <f t="shared" si="35"/>
        <v>1.4450508528133774</v>
      </c>
      <c r="Y148" s="282">
        <f t="shared" si="35"/>
        <v>1.8159042316580134</v>
      </c>
      <c r="Z148" s="282">
        <f t="shared" si="35"/>
        <v>1.8066457640641271</v>
      </c>
      <c r="AA148" s="282">
        <f t="shared" si="35"/>
        <v>2.4713402153493713</v>
      </c>
      <c r="AB148" s="282">
        <f t="shared" si="35"/>
        <v>0</v>
      </c>
      <c r="AC148" s="282">
        <f t="shared" si="35"/>
        <v>2.3395629475337745</v>
      </c>
      <c r="AD148" s="282">
        <f t="shared" si="35"/>
        <v>2.2144828424412699</v>
      </c>
      <c r="AE148" s="282">
        <f t="shared" si="35"/>
        <v>2.1557293555908026</v>
      </c>
      <c r="AF148" s="282">
        <f t="shared" si="35"/>
        <v>2.1070975247049146</v>
      </c>
      <c r="AG148" s="282">
        <f t="shared" si="35"/>
        <v>1.2940310530179124</v>
      </c>
      <c r="AH148" s="282">
        <f t="shared" si="35"/>
        <v>0</v>
      </c>
      <c r="AI148" s="282">
        <f t="shared" si="35"/>
        <v>0</v>
      </c>
      <c r="AJ148" s="282">
        <f t="shared" si="35"/>
        <v>-0.42045303075313883</v>
      </c>
      <c r="AK148" s="282">
        <f t="shared" si="35"/>
        <v>0</v>
      </c>
      <c r="AL148" s="282">
        <f t="shared" si="35"/>
        <v>0</v>
      </c>
      <c r="AM148" s="282">
        <f t="shared" si="35"/>
        <v>0</v>
      </c>
      <c r="AN148" s="282">
        <f t="shared" si="35"/>
        <v>-1.7321897313137509</v>
      </c>
      <c r="AO148" s="282">
        <f t="shared" si="35"/>
        <v>0</v>
      </c>
      <c r="AP148" s="267"/>
      <c r="AQ148" s="267"/>
    </row>
    <row r="149" spans="1:43" x14ac:dyDescent="0.3">
      <c r="C149" s="88"/>
      <c r="D149" s="2"/>
      <c r="E149" s="2"/>
      <c r="G149" s="13"/>
      <c r="J149" s="89"/>
      <c r="K149" s="89"/>
      <c r="L149" s="89"/>
      <c r="M149" s="89"/>
      <c r="N149" s="89"/>
      <c r="O149" s="89"/>
      <c r="P149" s="89"/>
      <c r="Q149" s="89"/>
      <c r="R149" s="89"/>
      <c r="S149" s="89"/>
      <c r="T149" s="89"/>
      <c r="U149" s="89"/>
      <c r="V149" s="89"/>
      <c r="W149" s="89"/>
      <c r="X149" s="89"/>
      <c r="Y149" s="89"/>
      <c r="Z149" s="89"/>
      <c r="AA149" s="89"/>
      <c r="AB149" s="89"/>
      <c r="AC149" s="89"/>
      <c r="AD149" s="89"/>
      <c r="AE149" s="89"/>
      <c r="AF149" s="89"/>
      <c r="AG149" s="89"/>
      <c r="AH149" s="89"/>
      <c r="AI149" s="89"/>
      <c r="AJ149" s="89"/>
      <c r="AK149" s="89"/>
      <c r="AL149" s="89"/>
      <c r="AM149" s="89"/>
      <c r="AN149" s="89"/>
      <c r="AO149" s="89"/>
    </row>
    <row r="150" spans="1:43" x14ac:dyDescent="0.3">
      <c r="B150" s="30" t="s">
        <v>779</v>
      </c>
      <c r="C150" s="30"/>
      <c r="D150" s="30"/>
      <c r="E150" s="30"/>
      <c r="F150" s="30"/>
      <c r="G150" s="92"/>
      <c r="H150" s="30"/>
      <c r="I150" s="30"/>
      <c r="J150" s="184"/>
      <c r="K150" s="184"/>
      <c r="L150" s="184"/>
      <c r="M150" s="184"/>
      <c r="N150" s="184"/>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30"/>
      <c r="AQ150" s="30"/>
    </row>
    <row r="151" spans="1:43" x14ac:dyDescent="0.3">
      <c r="F151" s="3"/>
      <c r="G151" s="212"/>
      <c r="H151" s="3"/>
      <c r="I151" s="3"/>
      <c r="J151" s="89"/>
      <c r="K151" s="89"/>
      <c r="L151" s="89"/>
      <c r="M151" s="89"/>
      <c r="N151" s="89"/>
      <c r="O151" s="89"/>
      <c r="P151" s="89"/>
      <c r="Q151" s="89"/>
      <c r="R151" s="89"/>
      <c r="S151" s="89"/>
      <c r="T151" s="89"/>
      <c r="U151" s="89"/>
      <c r="V151" s="89"/>
      <c r="W151" s="89"/>
      <c r="X151" s="89"/>
      <c r="Y151" s="89"/>
      <c r="Z151" s="89"/>
      <c r="AA151" s="89"/>
      <c r="AB151" s="89"/>
      <c r="AC151" s="89"/>
      <c r="AD151" s="89"/>
      <c r="AE151" s="89"/>
      <c r="AF151" s="89"/>
      <c r="AG151" s="89"/>
      <c r="AH151" s="89"/>
      <c r="AI151" s="89"/>
      <c r="AJ151" s="89"/>
      <c r="AK151" s="89"/>
      <c r="AL151" s="89"/>
      <c r="AM151" s="89"/>
      <c r="AN151" s="89"/>
      <c r="AO151" s="89"/>
    </row>
    <row r="152" spans="1:43" x14ac:dyDescent="0.3">
      <c r="C152" s="31" t="str">
        <f ca="1">INDEX('Version control'!$H$34:$H$57,MATCH($A$1,'Version control'!$F$34:$F$57,0),1)&amp;"-H: Previous year all the way tariff forecast"</f>
        <v>Section 118-H: Previous year all the way tariff forecast</v>
      </c>
      <c r="D152" s="31"/>
      <c r="E152" s="31"/>
      <c r="F152" s="31"/>
      <c r="G152" s="31"/>
      <c r="H152" s="31"/>
      <c r="I152" s="31"/>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31"/>
      <c r="AQ152" s="31"/>
    </row>
    <row r="153" spans="1:43" x14ac:dyDescent="0.3">
      <c r="D153" s="32"/>
      <c r="J153" s="89"/>
      <c r="K153" s="89"/>
      <c r="L153" s="89"/>
      <c r="M153" s="89"/>
      <c r="N153" s="89"/>
      <c r="O153" s="89"/>
      <c r="P153" s="89"/>
      <c r="Q153" s="89"/>
      <c r="R153" s="89"/>
      <c r="S153" s="89"/>
      <c r="T153" s="89"/>
      <c r="U153" s="89"/>
      <c r="V153" s="89"/>
      <c r="W153" s="89"/>
      <c r="X153" s="89"/>
      <c r="Y153" s="89"/>
      <c r="Z153" s="89"/>
      <c r="AA153" s="89"/>
      <c r="AB153" s="89"/>
      <c r="AC153" s="89"/>
      <c r="AD153" s="89"/>
      <c r="AE153" s="89"/>
      <c r="AF153" s="89"/>
      <c r="AG153" s="89"/>
      <c r="AH153" s="89"/>
      <c r="AI153" s="89"/>
      <c r="AJ153" s="89"/>
      <c r="AK153" s="89"/>
      <c r="AL153" s="89"/>
      <c r="AM153" s="89"/>
      <c r="AN153" s="89"/>
      <c r="AO153" s="89"/>
    </row>
    <row r="154" spans="1:43" x14ac:dyDescent="0.3">
      <c r="A154" s="320"/>
      <c r="B154" s="320"/>
      <c r="E154" s="32" t="s">
        <v>780</v>
      </c>
      <c r="J154" s="89"/>
      <c r="K154" s="89"/>
      <c r="L154" s="89"/>
      <c r="M154" s="89"/>
      <c r="N154" s="89"/>
      <c r="O154" s="89"/>
      <c r="P154" s="89"/>
      <c r="Q154" s="89"/>
      <c r="R154" s="89"/>
      <c r="S154" s="89"/>
      <c r="T154" s="89"/>
      <c r="U154" s="89"/>
      <c r="V154" s="89"/>
      <c r="W154" s="89"/>
      <c r="X154" s="89"/>
      <c r="Y154" s="89"/>
      <c r="Z154" s="89"/>
      <c r="AA154" s="89"/>
      <c r="AB154" s="89"/>
      <c r="AC154" s="89"/>
      <c r="AD154" s="89"/>
      <c r="AE154" s="89"/>
      <c r="AF154" s="89"/>
      <c r="AG154" s="89"/>
      <c r="AH154" s="89"/>
      <c r="AI154" s="89"/>
      <c r="AJ154" s="89"/>
      <c r="AK154" s="89"/>
      <c r="AL154" s="89"/>
      <c r="AM154" s="89"/>
      <c r="AN154" s="89"/>
      <c r="AO154" s="89"/>
    </row>
    <row r="155" spans="1:43" x14ac:dyDescent="0.3">
      <c r="A155" s="320"/>
      <c r="B155" s="320"/>
      <c r="F155" s="23" t="s">
        <v>156</v>
      </c>
      <c r="G155" s="23" t="s">
        <v>269</v>
      </c>
      <c r="H155" s="396"/>
      <c r="I155" s="266"/>
      <c r="J155" s="278">
        <f>'Inputs by customer type'!J198</f>
        <v>0</v>
      </c>
      <c r="K155" s="278">
        <f>'Inputs by customer type'!K198</f>
        <v>0</v>
      </c>
      <c r="L155" s="278">
        <f>'Inputs by customer type'!L198</f>
        <v>0</v>
      </c>
      <c r="M155" s="278">
        <f>'Inputs by customer type'!M198</f>
        <v>0</v>
      </c>
      <c r="N155" s="278">
        <f>'Inputs by customer type'!N198</f>
        <v>0</v>
      </c>
      <c r="O155" s="278">
        <f>'Inputs by customer type'!O198</f>
        <v>0</v>
      </c>
      <c r="P155" s="278">
        <f>'Inputs by customer type'!P198</f>
        <v>0</v>
      </c>
      <c r="Q155" s="278">
        <f>'Inputs by customer type'!Q198</f>
        <v>0</v>
      </c>
      <c r="R155" s="278">
        <f>'Inputs by customer type'!R198</f>
        <v>0</v>
      </c>
      <c r="S155" s="278">
        <f>'Inputs by customer type'!S198</f>
        <v>0</v>
      </c>
      <c r="T155" s="278">
        <f>'Inputs by customer type'!T198</f>
        <v>0</v>
      </c>
      <c r="U155" s="278">
        <f>'Inputs by customer type'!U198</f>
        <v>0</v>
      </c>
      <c r="V155" s="278">
        <f>'Inputs by customer type'!V198</f>
        <v>0</v>
      </c>
      <c r="W155" s="278">
        <f>'Inputs by customer type'!W198</f>
        <v>0</v>
      </c>
      <c r="X155" s="278">
        <f>'Inputs by customer type'!X198</f>
        <v>0</v>
      </c>
      <c r="Y155" s="278">
        <f>'Inputs by customer type'!Y198</f>
        <v>0</v>
      </c>
      <c r="Z155" s="278">
        <f>'Inputs by customer type'!Z198</f>
        <v>0</v>
      </c>
      <c r="AA155" s="278">
        <f>'Inputs by customer type'!AA198</f>
        <v>0</v>
      </c>
      <c r="AB155" s="278">
        <f>'Inputs by customer type'!AB198</f>
        <v>0</v>
      </c>
      <c r="AC155" s="278">
        <f>'Inputs by customer type'!AC198</f>
        <v>0</v>
      </c>
      <c r="AD155" s="278">
        <f>'Inputs by customer type'!AD198</f>
        <v>0</v>
      </c>
      <c r="AE155" s="278">
        <f>'Inputs by customer type'!AE198</f>
        <v>0</v>
      </c>
      <c r="AF155" s="278">
        <f>'Inputs by customer type'!AF198</f>
        <v>0</v>
      </c>
      <c r="AG155" s="278">
        <f>'Inputs by customer type'!AG198</f>
        <v>0</v>
      </c>
      <c r="AH155" s="278">
        <f>'Inputs by customer type'!AH198</f>
        <v>0</v>
      </c>
      <c r="AI155" s="278">
        <f>'Inputs by customer type'!AI198</f>
        <v>0</v>
      </c>
      <c r="AJ155" s="278">
        <f>'Inputs by customer type'!AJ198</f>
        <v>0</v>
      </c>
      <c r="AK155" s="278">
        <f>'Inputs by customer type'!AK198</f>
        <v>0</v>
      </c>
      <c r="AL155" s="278">
        <f>'Inputs by customer type'!AL198</f>
        <v>0</v>
      </c>
      <c r="AM155" s="278">
        <f>'Inputs by customer type'!AM198</f>
        <v>0</v>
      </c>
      <c r="AN155" s="278">
        <f>'Inputs by customer type'!AN198</f>
        <v>0</v>
      </c>
      <c r="AO155" s="278">
        <f>'Inputs by customer type'!AO198</f>
        <v>0</v>
      </c>
      <c r="AP155" s="267"/>
      <c r="AQ155" s="267"/>
    </row>
    <row r="156" spans="1:43" x14ac:dyDescent="0.3">
      <c r="A156" s="320"/>
      <c r="B156" s="320"/>
      <c r="E156" s="28"/>
      <c r="F156" t="s">
        <v>157</v>
      </c>
      <c r="G156" t="s">
        <v>269</v>
      </c>
      <c r="H156" s="397"/>
      <c r="I156" s="267"/>
      <c r="J156" s="279">
        <f>'Inputs by customer type'!J199</f>
        <v>0</v>
      </c>
      <c r="K156" s="279">
        <f>'Inputs by customer type'!K199</f>
        <v>0</v>
      </c>
      <c r="L156" s="279">
        <f>'Inputs by customer type'!L199</f>
        <v>0</v>
      </c>
      <c r="M156" s="279">
        <f>'Inputs by customer type'!M199</f>
        <v>0</v>
      </c>
      <c r="N156" s="279">
        <f>'Inputs by customer type'!N199</f>
        <v>0</v>
      </c>
      <c r="O156" s="279">
        <f>'Inputs by customer type'!O199</f>
        <v>0</v>
      </c>
      <c r="P156" s="279">
        <f>'Inputs by customer type'!P199</f>
        <v>0</v>
      </c>
      <c r="Q156" s="279">
        <f>'Inputs by customer type'!Q199</f>
        <v>0</v>
      </c>
      <c r="R156" s="279">
        <f>'Inputs by customer type'!R199</f>
        <v>0</v>
      </c>
      <c r="S156" s="279">
        <f>'Inputs by customer type'!S199</f>
        <v>0</v>
      </c>
      <c r="T156" s="279">
        <f>'Inputs by customer type'!T199</f>
        <v>0</v>
      </c>
      <c r="U156" s="279">
        <f>'Inputs by customer type'!U199</f>
        <v>0</v>
      </c>
      <c r="V156" s="279">
        <f>'Inputs by customer type'!V199</f>
        <v>0</v>
      </c>
      <c r="W156" s="279">
        <f>'Inputs by customer type'!W199</f>
        <v>0</v>
      </c>
      <c r="X156" s="279">
        <f>'Inputs by customer type'!X199</f>
        <v>0</v>
      </c>
      <c r="Y156" s="279">
        <f>'Inputs by customer type'!Y199</f>
        <v>0</v>
      </c>
      <c r="Z156" s="279">
        <f>'Inputs by customer type'!Z199</f>
        <v>0</v>
      </c>
      <c r="AA156" s="279">
        <f>'Inputs by customer type'!AA199</f>
        <v>0</v>
      </c>
      <c r="AB156" s="279">
        <f>'Inputs by customer type'!AB199</f>
        <v>0</v>
      </c>
      <c r="AC156" s="279">
        <f>'Inputs by customer type'!AC199</f>
        <v>0</v>
      </c>
      <c r="AD156" s="279">
        <f>'Inputs by customer type'!AD199</f>
        <v>0</v>
      </c>
      <c r="AE156" s="279">
        <f>'Inputs by customer type'!AE199</f>
        <v>0</v>
      </c>
      <c r="AF156" s="279">
        <f>'Inputs by customer type'!AF199</f>
        <v>0</v>
      </c>
      <c r="AG156" s="279">
        <f>'Inputs by customer type'!AG199</f>
        <v>0</v>
      </c>
      <c r="AH156" s="279">
        <f>'Inputs by customer type'!AH199</f>
        <v>0</v>
      </c>
      <c r="AI156" s="279">
        <f>'Inputs by customer type'!AI199</f>
        <v>0</v>
      </c>
      <c r="AJ156" s="279">
        <f>'Inputs by customer type'!AJ199</f>
        <v>0</v>
      </c>
      <c r="AK156" s="279">
        <f>'Inputs by customer type'!AK199</f>
        <v>0</v>
      </c>
      <c r="AL156" s="279">
        <f>'Inputs by customer type'!AL199</f>
        <v>0</v>
      </c>
      <c r="AM156" s="279">
        <f>'Inputs by customer type'!AM199</f>
        <v>0</v>
      </c>
      <c r="AN156" s="279">
        <f>'Inputs by customer type'!AN199</f>
        <v>0</v>
      </c>
      <c r="AO156" s="279">
        <f>'Inputs by customer type'!AO199</f>
        <v>0</v>
      </c>
      <c r="AP156" s="267"/>
      <c r="AQ156" s="267"/>
    </row>
    <row r="157" spans="1:43" x14ac:dyDescent="0.3">
      <c r="A157" s="320"/>
      <c r="B157" s="320"/>
      <c r="E157" s="28"/>
      <c r="F157" t="s">
        <v>158</v>
      </c>
      <c r="G157" t="s">
        <v>269</v>
      </c>
      <c r="H157" s="397"/>
      <c r="I157" s="267"/>
      <c r="J157" s="279">
        <f>'Inputs by customer type'!J200</f>
        <v>0</v>
      </c>
      <c r="K157" s="279">
        <f>'Inputs by customer type'!K200</f>
        <v>0</v>
      </c>
      <c r="L157" s="279">
        <f>'Inputs by customer type'!L200</f>
        <v>0</v>
      </c>
      <c r="M157" s="279">
        <f>'Inputs by customer type'!M200</f>
        <v>0</v>
      </c>
      <c r="N157" s="279">
        <f>'Inputs by customer type'!N200</f>
        <v>0</v>
      </c>
      <c r="O157" s="279">
        <f>'Inputs by customer type'!O200</f>
        <v>0</v>
      </c>
      <c r="P157" s="279">
        <f>'Inputs by customer type'!P200</f>
        <v>0</v>
      </c>
      <c r="Q157" s="279">
        <f>'Inputs by customer type'!Q200</f>
        <v>0</v>
      </c>
      <c r="R157" s="279">
        <f>'Inputs by customer type'!R200</f>
        <v>0</v>
      </c>
      <c r="S157" s="279">
        <f>'Inputs by customer type'!S200</f>
        <v>0</v>
      </c>
      <c r="T157" s="279">
        <f>'Inputs by customer type'!T200</f>
        <v>0</v>
      </c>
      <c r="U157" s="279">
        <f>'Inputs by customer type'!U200</f>
        <v>0</v>
      </c>
      <c r="V157" s="279">
        <f>'Inputs by customer type'!V200</f>
        <v>0</v>
      </c>
      <c r="W157" s="279">
        <f>'Inputs by customer type'!W200</f>
        <v>0</v>
      </c>
      <c r="X157" s="279">
        <f>'Inputs by customer type'!X200</f>
        <v>0</v>
      </c>
      <c r="Y157" s="279">
        <f>'Inputs by customer type'!Y200</f>
        <v>0</v>
      </c>
      <c r="Z157" s="279">
        <f>'Inputs by customer type'!Z200</f>
        <v>0</v>
      </c>
      <c r="AA157" s="279">
        <f>'Inputs by customer type'!AA200</f>
        <v>0</v>
      </c>
      <c r="AB157" s="279">
        <f>'Inputs by customer type'!AB200</f>
        <v>0</v>
      </c>
      <c r="AC157" s="279">
        <f>'Inputs by customer type'!AC200</f>
        <v>0</v>
      </c>
      <c r="AD157" s="279">
        <f>'Inputs by customer type'!AD200</f>
        <v>0</v>
      </c>
      <c r="AE157" s="279">
        <f>'Inputs by customer type'!AE200</f>
        <v>0</v>
      </c>
      <c r="AF157" s="279">
        <f>'Inputs by customer type'!AF200</f>
        <v>0</v>
      </c>
      <c r="AG157" s="279">
        <f>'Inputs by customer type'!AG200</f>
        <v>0</v>
      </c>
      <c r="AH157" s="279">
        <f>'Inputs by customer type'!AH200</f>
        <v>0</v>
      </c>
      <c r="AI157" s="279">
        <f>'Inputs by customer type'!AI200</f>
        <v>0</v>
      </c>
      <c r="AJ157" s="279">
        <f>'Inputs by customer type'!AJ200</f>
        <v>0</v>
      </c>
      <c r="AK157" s="279">
        <f>'Inputs by customer type'!AK200</f>
        <v>0</v>
      </c>
      <c r="AL157" s="279">
        <f>'Inputs by customer type'!AL200</f>
        <v>0</v>
      </c>
      <c r="AM157" s="279">
        <f>'Inputs by customer type'!AM200</f>
        <v>0</v>
      </c>
      <c r="AN157" s="279">
        <f>'Inputs by customer type'!AN200</f>
        <v>0</v>
      </c>
      <c r="AO157" s="279">
        <f>'Inputs by customer type'!AO200</f>
        <v>0</v>
      </c>
      <c r="AP157" s="267"/>
      <c r="AQ157" s="267"/>
    </row>
    <row r="158" spans="1:43" x14ac:dyDescent="0.3">
      <c r="A158" s="320"/>
      <c r="B158" s="320"/>
      <c r="E158" s="28"/>
      <c r="F158" t="s">
        <v>159</v>
      </c>
      <c r="G158" t="s">
        <v>270</v>
      </c>
      <c r="H158" s="397"/>
      <c r="J158" s="120">
        <f>'Inputs by customer type'!J201</f>
        <v>0</v>
      </c>
      <c r="K158" s="120">
        <f>'Inputs by customer type'!K201</f>
        <v>0</v>
      </c>
      <c r="L158" s="120">
        <f>'Inputs by customer type'!L201</f>
        <v>0</v>
      </c>
      <c r="M158" s="120">
        <f>'Inputs by customer type'!M201</f>
        <v>0</v>
      </c>
      <c r="N158" s="120">
        <f>'Inputs by customer type'!N201</f>
        <v>0</v>
      </c>
      <c r="O158" s="120">
        <f>'Inputs by customer type'!O201</f>
        <v>0</v>
      </c>
      <c r="P158" s="120">
        <f>'Inputs by customer type'!P201</f>
        <v>0</v>
      </c>
      <c r="Q158" s="120">
        <f>'Inputs by customer type'!Q201</f>
        <v>0</v>
      </c>
      <c r="R158" s="120">
        <f>'Inputs by customer type'!R201</f>
        <v>0</v>
      </c>
      <c r="S158" s="120">
        <f>'Inputs by customer type'!S201</f>
        <v>0</v>
      </c>
      <c r="T158" s="120">
        <f>'Inputs by customer type'!T201</f>
        <v>0</v>
      </c>
      <c r="U158" s="120">
        <f>'Inputs by customer type'!U201</f>
        <v>0</v>
      </c>
      <c r="V158" s="120">
        <f>'Inputs by customer type'!V201</f>
        <v>0</v>
      </c>
      <c r="W158" s="120">
        <f>'Inputs by customer type'!W201</f>
        <v>0</v>
      </c>
      <c r="X158" s="120">
        <f>'Inputs by customer type'!X201</f>
        <v>0</v>
      </c>
      <c r="Y158" s="120">
        <f>'Inputs by customer type'!Y201</f>
        <v>0</v>
      </c>
      <c r="Z158" s="120">
        <f>'Inputs by customer type'!Z201</f>
        <v>0</v>
      </c>
      <c r="AA158" s="120">
        <f>'Inputs by customer type'!AA201</f>
        <v>0</v>
      </c>
      <c r="AB158" s="120">
        <f>'Inputs by customer type'!AB201</f>
        <v>0</v>
      </c>
      <c r="AC158" s="120">
        <f>'Inputs by customer type'!AC201</f>
        <v>0</v>
      </c>
      <c r="AD158" s="120">
        <f>'Inputs by customer type'!AD201</f>
        <v>0</v>
      </c>
      <c r="AE158" s="120">
        <f>'Inputs by customer type'!AE201</f>
        <v>0</v>
      </c>
      <c r="AF158" s="120">
        <f>'Inputs by customer type'!AF201</f>
        <v>0</v>
      </c>
      <c r="AG158" s="120">
        <f>'Inputs by customer type'!AG201</f>
        <v>0</v>
      </c>
      <c r="AH158" s="120">
        <f>'Inputs by customer type'!AH201</f>
        <v>0</v>
      </c>
      <c r="AI158" s="120">
        <f>'Inputs by customer type'!AI201</f>
        <v>0</v>
      </c>
      <c r="AJ158" s="120">
        <f>'Inputs by customer type'!AJ201</f>
        <v>0</v>
      </c>
      <c r="AK158" s="120">
        <f>'Inputs by customer type'!AK201</f>
        <v>0</v>
      </c>
      <c r="AL158" s="120">
        <f>'Inputs by customer type'!AL201</f>
        <v>0</v>
      </c>
      <c r="AM158" s="120">
        <f>'Inputs by customer type'!AM201</f>
        <v>0</v>
      </c>
      <c r="AN158" s="120">
        <f>'Inputs by customer type'!AN201</f>
        <v>0</v>
      </c>
      <c r="AO158" s="120">
        <f>'Inputs by customer type'!AO201</f>
        <v>0</v>
      </c>
    </row>
    <row r="159" spans="1:43" x14ac:dyDescent="0.3">
      <c r="A159" s="320"/>
      <c r="B159" s="320"/>
      <c r="E159" s="28"/>
      <c r="F159" t="s">
        <v>160</v>
      </c>
      <c r="G159" t="s">
        <v>271</v>
      </c>
      <c r="H159" s="397"/>
      <c r="J159" s="120">
        <f>'Inputs by customer type'!J202</f>
        <v>0</v>
      </c>
      <c r="K159" s="120">
        <f>'Inputs by customer type'!K202</f>
        <v>0</v>
      </c>
      <c r="L159" s="120">
        <f>'Inputs by customer type'!L202</f>
        <v>0</v>
      </c>
      <c r="M159" s="120">
        <f>'Inputs by customer type'!M202</f>
        <v>0</v>
      </c>
      <c r="N159" s="120">
        <f>'Inputs by customer type'!N202</f>
        <v>0</v>
      </c>
      <c r="O159" s="120">
        <f>'Inputs by customer type'!O202</f>
        <v>0</v>
      </c>
      <c r="P159" s="120">
        <f>'Inputs by customer type'!P202</f>
        <v>0</v>
      </c>
      <c r="Q159" s="120">
        <f>'Inputs by customer type'!Q202</f>
        <v>0</v>
      </c>
      <c r="R159" s="120">
        <f>'Inputs by customer type'!R202</f>
        <v>0</v>
      </c>
      <c r="S159" s="120">
        <f>'Inputs by customer type'!S202</f>
        <v>0</v>
      </c>
      <c r="T159" s="120">
        <f>'Inputs by customer type'!T202</f>
        <v>0</v>
      </c>
      <c r="U159" s="120">
        <f>'Inputs by customer type'!U202</f>
        <v>0</v>
      </c>
      <c r="V159" s="120">
        <f>'Inputs by customer type'!V202</f>
        <v>0</v>
      </c>
      <c r="W159" s="120">
        <f>'Inputs by customer type'!W202</f>
        <v>0</v>
      </c>
      <c r="X159" s="120">
        <f>'Inputs by customer type'!X202</f>
        <v>0</v>
      </c>
      <c r="Y159" s="120">
        <f>'Inputs by customer type'!Y202</f>
        <v>0</v>
      </c>
      <c r="Z159" s="120">
        <f>'Inputs by customer type'!Z202</f>
        <v>0</v>
      </c>
      <c r="AA159" s="120">
        <f>'Inputs by customer type'!AA202</f>
        <v>0</v>
      </c>
      <c r="AB159" s="120">
        <f>'Inputs by customer type'!AB202</f>
        <v>0</v>
      </c>
      <c r="AC159" s="120">
        <f>'Inputs by customer type'!AC202</f>
        <v>0</v>
      </c>
      <c r="AD159" s="120">
        <f>'Inputs by customer type'!AD202</f>
        <v>0</v>
      </c>
      <c r="AE159" s="120">
        <f>'Inputs by customer type'!AE202</f>
        <v>0</v>
      </c>
      <c r="AF159" s="120">
        <f>'Inputs by customer type'!AF202</f>
        <v>0</v>
      </c>
      <c r="AG159" s="120">
        <f>'Inputs by customer type'!AG202</f>
        <v>0</v>
      </c>
      <c r="AH159" s="120">
        <f>'Inputs by customer type'!AH202</f>
        <v>0</v>
      </c>
      <c r="AI159" s="120">
        <f>'Inputs by customer type'!AI202</f>
        <v>0</v>
      </c>
      <c r="AJ159" s="120">
        <f>'Inputs by customer type'!AJ202</f>
        <v>0</v>
      </c>
      <c r="AK159" s="120">
        <f>'Inputs by customer type'!AK202</f>
        <v>0</v>
      </c>
      <c r="AL159" s="120">
        <f>'Inputs by customer type'!AL202</f>
        <v>0</v>
      </c>
      <c r="AM159" s="120">
        <f>'Inputs by customer type'!AM202</f>
        <v>0</v>
      </c>
      <c r="AN159" s="120">
        <f>'Inputs by customer type'!AN202</f>
        <v>0</v>
      </c>
      <c r="AO159" s="120">
        <f>'Inputs by customer type'!AO202</f>
        <v>0</v>
      </c>
    </row>
    <row r="160" spans="1:43" x14ac:dyDescent="0.3">
      <c r="A160" s="320"/>
      <c r="B160" s="320"/>
      <c r="E160" s="28"/>
      <c r="F160" t="s">
        <v>161</v>
      </c>
      <c r="G160" t="s">
        <v>271</v>
      </c>
      <c r="H160" s="397"/>
      <c r="J160" s="120">
        <f>'Inputs by customer type'!J203</f>
        <v>0</v>
      </c>
      <c r="K160" s="120">
        <f>'Inputs by customer type'!K203</f>
        <v>0</v>
      </c>
      <c r="L160" s="120">
        <f>'Inputs by customer type'!L203</f>
        <v>0</v>
      </c>
      <c r="M160" s="120">
        <f>'Inputs by customer type'!M203</f>
        <v>0</v>
      </c>
      <c r="N160" s="120">
        <f>'Inputs by customer type'!N203</f>
        <v>0</v>
      </c>
      <c r="O160" s="120">
        <f>'Inputs by customer type'!O203</f>
        <v>0</v>
      </c>
      <c r="P160" s="120">
        <f>'Inputs by customer type'!P203</f>
        <v>0</v>
      </c>
      <c r="Q160" s="120">
        <f>'Inputs by customer type'!Q203</f>
        <v>0</v>
      </c>
      <c r="R160" s="120">
        <f>'Inputs by customer type'!R203</f>
        <v>0</v>
      </c>
      <c r="S160" s="120">
        <f>'Inputs by customer type'!S203</f>
        <v>0</v>
      </c>
      <c r="T160" s="120">
        <f>'Inputs by customer type'!T203</f>
        <v>0</v>
      </c>
      <c r="U160" s="120">
        <f>'Inputs by customer type'!U203</f>
        <v>0</v>
      </c>
      <c r="V160" s="120">
        <f>'Inputs by customer type'!V203</f>
        <v>0</v>
      </c>
      <c r="W160" s="120">
        <f>'Inputs by customer type'!W203</f>
        <v>0</v>
      </c>
      <c r="X160" s="120">
        <f>'Inputs by customer type'!X203</f>
        <v>0</v>
      </c>
      <c r="Y160" s="120">
        <f>'Inputs by customer type'!Y203</f>
        <v>0</v>
      </c>
      <c r="Z160" s="120">
        <f>'Inputs by customer type'!Z203</f>
        <v>0</v>
      </c>
      <c r="AA160" s="120">
        <f>'Inputs by customer type'!AA203</f>
        <v>0</v>
      </c>
      <c r="AB160" s="120">
        <f>'Inputs by customer type'!AB203</f>
        <v>0</v>
      </c>
      <c r="AC160" s="120">
        <f>'Inputs by customer type'!AC203</f>
        <v>0</v>
      </c>
      <c r="AD160" s="120">
        <f>'Inputs by customer type'!AD203</f>
        <v>0</v>
      </c>
      <c r="AE160" s="120">
        <f>'Inputs by customer type'!AE203</f>
        <v>0</v>
      </c>
      <c r="AF160" s="120">
        <f>'Inputs by customer type'!AF203</f>
        <v>0</v>
      </c>
      <c r="AG160" s="120">
        <f>'Inputs by customer type'!AG203</f>
        <v>0</v>
      </c>
      <c r="AH160" s="120">
        <f>'Inputs by customer type'!AH203</f>
        <v>0</v>
      </c>
      <c r="AI160" s="120">
        <f>'Inputs by customer type'!AI203</f>
        <v>0</v>
      </c>
      <c r="AJ160" s="120">
        <f>'Inputs by customer type'!AJ203</f>
        <v>0</v>
      </c>
      <c r="AK160" s="120">
        <f>'Inputs by customer type'!AK203</f>
        <v>0</v>
      </c>
      <c r="AL160" s="120">
        <f>'Inputs by customer type'!AL203</f>
        <v>0</v>
      </c>
      <c r="AM160" s="120">
        <f>'Inputs by customer type'!AM203</f>
        <v>0</v>
      </c>
      <c r="AN160" s="120">
        <f>'Inputs by customer type'!AN203</f>
        <v>0</v>
      </c>
      <c r="AO160" s="120">
        <f>'Inputs by customer type'!AO203</f>
        <v>0</v>
      </c>
    </row>
    <row r="161" spans="1:43" x14ac:dyDescent="0.3">
      <c r="A161" s="320"/>
      <c r="B161" s="320"/>
      <c r="E161" s="28"/>
      <c r="F161" s="37" t="s">
        <v>162</v>
      </c>
      <c r="G161" s="37" t="s">
        <v>272</v>
      </c>
      <c r="H161" s="398"/>
      <c r="I161" s="269"/>
      <c r="J161" s="283">
        <f>'Inputs by customer type'!J204</f>
        <v>0</v>
      </c>
      <c r="K161" s="283">
        <f>'Inputs by customer type'!K204</f>
        <v>0</v>
      </c>
      <c r="L161" s="283">
        <f>'Inputs by customer type'!L204</f>
        <v>0</v>
      </c>
      <c r="M161" s="283">
        <f>'Inputs by customer type'!M204</f>
        <v>0</v>
      </c>
      <c r="N161" s="283">
        <f>'Inputs by customer type'!N204</f>
        <v>0</v>
      </c>
      <c r="O161" s="283">
        <f>'Inputs by customer type'!O204</f>
        <v>0</v>
      </c>
      <c r="P161" s="283">
        <f>'Inputs by customer type'!P204</f>
        <v>0</v>
      </c>
      <c r="Q161" s="283">
        <f>'Inputs by customer type'!Q204</f>
        <v>0</v>
      </c>
      <c r="R161" s="283">
        <f>'Inputs by customer type'!R204</f>
        <v>0</v>
      </c>
      <c r="S161" s="283">
        <f>'Inputs by customer type'!S204</f>
        <v>0</v>
      </c>
      <c r="T161" s="283">
        <f>'Inputs by customer type'!T204</f>
        <v>0</v>
      </c>
      <c r="U161" s="283">
        <f>'Inputs by customer type'!U204</f>
        <v>0</v>
      </c>
      <c r="V161" s="283">
        <f>'Inputs by customer type'!V204</f>
        <v>0</v>
      </c>
      <c r="W161" s="283">
        <f>'Inputs by customer type'!W204</f>
        <v>0</v>
      </c>
      <c r="X161" s="283">
        <f>'Inputs by customer type'!X204</f>
        <v>0</v>
      </c>
      <c r="Y161" s="283">
        <f>'Inputs by customer type'!Y204</f>
        <v>0</v>
      </c>
      <c r="Z161" s="283">
        <f>'Inputs by customer type'!Z204</f>
        <v>0</v>
      </c>
      <c r="AA161" s="283">
        <f>'Inputs by customer type'!AA204</f>
        <v>0</v>
      </c>
      <c r="AB161" s="283">
        <f>'Inputs by customer type'!AB204</f>
        <v>0</v>
      </c>
      <c r="AC161" s="283">
        <f>'Inputs by customer type'!AC204</f>
        <v>0</v>
      </c>
      <c r="AD161" s="283">
        <f>'Inputs by customer type'!AD204</f>
        <v>0</v>
      </c>
      <c r="AE161" s="283">
        <f>'Inputs by customer type'!AE204</f>
        <v>0</v>
      </c>
      <c r="AF161" s="283">
        <f>'Inputs by customer type'!AF204</f>
        <v>0</v>
      </c>
      <c r="AG161" s="283">
        <f>'Inputs by customer type'!AG204</f>
        <v>0</v>
      </c>
      <c r="AH161" s="283">
        <f>'Inputs by customer type'!AH204</f>
        <v>0</v>
      </c>
      <c r="AI161" s="283">
        <f>'Inputs by customer type'!AI204</f>
        <v>0</v>
      </c>
      <c r="AJ161" s="283">
        <f>'Inputs by customer type'!AJ204</f>
        <v>0</v>
      </c>
      <c r="AK161" s="283">
        <f>'Inputs by customer type'!AK204</f>
        <v>0</v>
      </c>
      <c r="AL161" s="283">
        <f>'Inputs by customer type'!AL204</f>
        <v>0</v>
      </c>
      <c r="AM161" s="283">
        <f>'Inputs by customer type'!AM204</f>
        <v>0</v>
      </c>
      <c r="AN161" s="283">
        <f>'Inputs by customer type'!AN204</f>
        <v>0</v>
      </c>
      <c r="AO161" s="283">
        <f>'Inputs by customer type'!AO204</f>
        <v>0</v>
      </c>
      <c r="AP161" s="267"/>
      <c r="AQ161" s="267"/>
    </row>
    <row r="162" spans="1:43" x14ac:dyDescent="0.3">
      <c r="A162" s="320"/>
      <c r="B162" s="320"/>
      <c r="D162" s="28"/>
      <c r="E162" s="72"/>
      <c r="F162" s="72"/>
      <c r="G162" s="72"/>
      <c r="J162" s="89"/>
      <c r="K162" s="89"/>
      <c r="L162" s="89"/>
      <c r="M162" s="89"/>
      <c r="N162" s="89"/>
      <c r="O162" s="89"/>
      <c r="P162" s="89"/>
      <c r="Q162" s="89"/>
      <c r="R162" s="89"/>
      <c r="S162" s="89"/>
      <c r="T162" s="89"/>
      <c r="U162" s="89"/>
      <c r="V162" s="89"/>
      <c r="W162" s="89"/>
      <c r="X162" s="89"/>
      <c r="Y162" s="89"/>
      <c r="Z162" s="89"/>
      <c r="AA162" s="89"/>
      <c r="AB162" s="89"/>
      <c r="AC162" s="89"/>
      <c r="AD162" s="89"/>
      <c r="AE162" s="89"/>
      <c r="AF162" s="89"/>
      <c r="AG162" s="89"/>
      <c r="AH162" s="89"/>
      <c r="AI162" s="89"/>
      <c r="AJ162" s="89"/>
      <c r="AK162" s="89"/>
      <c r="AL162" s="89"/>
      <c r="AM162" s="89"/>
      <c r="AN162" s="89"/>
      <c r="AO162" s="89"/>
    </row>
    <row r="163" spans="1:43" x14ac:dyDescent="0.3">
      <c r="A163" s="320"/>
      <c r="B163" s="320"/>
      <c r="C163" s="31" t="str">
        <f ca="1">INDEX('Version control'!$H$34:$H$57,MATCH($A$1,'Version control'!$F$34:$F$57,0),1)&amp;"-I: Previous year net revenue from all the way tariff forecast"</f>
        <v>Section 118-I: Previous year net revenue from all the way tariff forecast</v>
      </c>
      <c r="D163" s="31"/>
      <c r="E163" s="31"/>
      <c r="F163" s="31"/>
      <c r="G163" s="31"/>
      <c r="H163" s="31"/>
      <c r="I163" s="31"/>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31"/>
      <c r="AQ163" s="31"/>
    </row>
    <row r="164" spans="1:43" x14ac:dyDescent="0.3">
      <c r="A164" s="320"/>
      <c r="B164" s="320"/>
      <c r="D164" s="32"/>
      <c r="J164" s="89"/>
      <c r="K164" s="89"/>
      <c r="L164" s="89"/>
      <c r="M164" s="89"/>
      <c r="N164" s="89"/>
      <c r="O164" s="89"/>
      <c r="P164" s="89"/>
      <c r="Q164" s="89"/>
      <c r="R164" s="89"/>
      <c r="S164" s="89"/>
      <c r="T164" s="89"/>
      <c r="U164" s="89"/>
      <c r="V164" s="89"/>
      <c r="W164" s="89"/>
      <c r="X164" s="89"/>
      <c r="Y164" s="89"/>
      <c r="Z164" s="89"/>
      <c r="AA164" s="89"/>
      <c r="AB164" s="89"/>
      <c r="AC164" s="89"/>
      <c r="AD164" s="89"/>
      <c r="AE164" s="89"/>
      <c r="AF164" s="89"/>
      <c r="AG164" s="89"/>
      <c r="AH164" s="89"/>
      <c r="AI164" s="89"/>
      <c r="AJ164" s="89"/>
      <c r="AK164" s="89"/>
      <c r="AL164" s="89"/>
      <c r="AM164" s="89"/>
      <c r="AN164" s="89"/>
      <c r="AO164" s="89"/>
    </row>
    <row r="165" spans="1:43" x14ac:dyDescent="0.3">
      <c r="A165" s="320"/>
      <c r="B165" s="320"/>
      <c r="D165" s="29" t="s">
        <v>781</v>
      </c>
      <c r="J165" s="89"/>
      <c r="K165" s="89"/>
      <c r="L165" s="89"/>
      <c r="M165" s="89"/>
      <c r="N165" s="89"/>
      <c r="O165" s="89"/>
      <c r="P165" s="89"/>
      <c r="Q165" s="89"/>
      <c r="R165" s="89"/>
      <c r="S165" s="89"/>
      <c r="T165" s="89"/>
      <c r="U165" s="89"/>
      <c r="V165" s="89"/>
      <c r="W165" s="89"/>
      <c r="X165" s="89"/>
      <c r="Y165" s="89"/>
      <c r="Z165" s="89"/>
      <c r="AA165" s="89"/>
      <c r="AB165" s="89"/>
      <c r="AC165" s="89"/>
      <c r="AD165" s="89"/>
      <c r="AE165" s="89"/>
      <c r="AF165" s="89"/>
      <c r="AG165" s="89"/>
      <c r="AH165" s="89"/>
      <c r="AI165" s="89"/>
      <c r="AJ165" s="89"/>
      <c r="AK165" s="89"/>
      <c r="AL165" s="89"/>
      <c r="AM165" s="89"/>
      <c r="AN165" s="89"/>
      <c r="AO165" s="89"/>
    </row>
    <row r="166" spans="1:43" x14ac:dyDescent="0.3">
      <c r="A166" s="320"/>
      <c r="B166" s="320"/>
      <c r="D166" s="91" t="s">
        <v>782</v>
      </c>
      <c r="J166" s="89"/>
      <c r="K166" s="89"/>
      <c r="L166" s="89"/>
      <c r="M166" s="89"/>
      <c r="N166" s="89"/>
      <c r="O166" s="89"/>
      <c r="P166" s="89"/>
      <c r="Q166" s="89"/>
      <c r="R166" s="89"/>
      <c r="S166" s="89"/>
      <c r="T166" s="89"/>
      <c r="U166" s="89"/>
      <c r="V166" s="89"/>
      <c r="W166" s="89"/>
      <c r="X166" s="89"/>
      <c r="Y166" s="89"/>
      <c r="Z166" s="89"/>
      <c r="AA166" s="89"/>
      <c r="AB166" s="89"/>
      <c r="AC166" s="89"/>
      <c r="AD166" s="89"/>
      <c r="AE166" s="89"/>
      <c r="AF166" s="89"/>
      <c r="AG166" s="89"/>
      <c r="AH166" s="89"/>
      <c r="AI166" s="89"/>
      <c r="AJ166" s="89"/>
      <c r="AK166" s="89"/>
      <c r="AL166" s="89"/>
      <c r="AM166" s="89"/>
      <c r="AN166" s="89"/>
      <c r="AO166" s="89"/>
    </row>
    <row r="167" spans="1:43" x14ac:dyDescent="0.3">
      <c r="A167" s="320"/>
      <c r="B167" s="320"/>
      <c r="C167" s="88"/>
      <c r="D167" s="2"/>
      <c r="E167" s="2"/>
      <c r="G167" s="13"/>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row>
    <row r="168" spans="1:43" x14ac:dyDescent="0.3">
      <c r="A168" s="320"/>
      <c r="B168" s="320"/>
      <c r="E168" s="108" t="s">
        <v>783</v>
      </c>
      <c r="F168" s="108"/>
      <c r="G168" s="108" t="s">
        <v>277</v>
      </c>
      <c r="H168" s="108"/>
      <c r="I168" s="108"/>
      <c r="J168" s="217">
        <f>'Inputs by customer type'!J213</f>
        <v>0</v>
      </c>
      <c r="K168" s="217">
        <f>'Inputs by customer type'!K213</f>
        <v>0</v>
      </c>
      <c r="L168" s="217">
        <f>'Inputs by customer type'!L213</f>
        <v>0</v>
      </c>
      <c r="M168" s="217">
        <f>'Inputs by customer type'!M213</f>
        <v>0</v>
      </c>
      <c r="N168" s="217">
        <f>'Inputs by customer type'!N213</f>
        <v>0</v>
      </c>
      <c r="O168" s="217">
        <f>'Inputs by customer type'!O213</f>
        <v>0</v>
      </c>
      <c r="P168" s="217">
        <f>'Inputs by customer type'!P213</f>
        <v>0</v>
      </c>
      <c r="Q168" s="217">
        <f>'Inputs by customer type'!Q213</f>
        <v>0</v>
      </c>
      <c r="R168" s="217">
        <f>'Inputs by customer type'!R213</f>
        <v>0</v>
      </c>
      <c r="S168" s="217">
        <f>'Inputs by customer type'!S213</f>
        <v>0</v>
      </c>
      <c r="T168" s="217">
        <f>'Inputs by customer type'!T213</f>
        <v>0</v>
      </c>
      <c r="U168" s="217">
        <f>'Inputs by customer type'!U213</f>
        <v>0</v>
      </c>
      <c r="V168" s="217">
        <f>'Inputs by customer type'!V213</f>
        <v>0</v>
      </c>
      <c r="W168" s="217">
        <f>'Inputs by customer type'!W213</f>
        <v>0</v>
      </c>
      <c r="X168" s="217">
        <f>'Inputs by customer type'!X213</f>
        <v>0</v>
      </c>
      <c r="Y168" s="217">
        <f>'Inputs by customer type'!Y213</f>
        <v>0</v>
      </c>
      <c r="Z168" s="217">
        <f>'Inputs by customer type'!Z213</f>
        <v>0</v>
      </c>
      <c r="AA168" s="217">
        <f>'Inputs by customer type'!AA213</f>
        <v>0</v>
      </c>
      <c r="AB168" s="217">
        <f>'Inputs by customer type'!AB213</f>
        <v>0</v>
      </c>
      <c r="AC168" s="217">
        <f>'Inputs by customer type'!AC213</f>
        <v>0</v>
      </c>
      <c r="AD168" s="217">
        <f>'Inputs by customer type'!AD213</f>
        <v>0</v>
      </c>
      <c r="AE168" s="217">
        <f>'Inputs by customer type'!AE213</f>
        <v>0</v>
      </c>
      <c r="AF168" s="217">
        <f>'Inputs by customer type'!AF213</f>
        <v>0</v>
      </c>
      <c r="AG168" s="217">
        <f>'Inputs by customer type'!AG213</f>
        <v>0</v>
      </c>
      <c r="AH168" s="217">
        <f>'Inputs by customer type'!AH213</f>
        <v>0</v>
      </c>
      <c r="AI168" s="217">
        <f>'Inputs by customer type'!AI213</f>
        <v>0</v>
      </c>
      <c r="AJ168" s="217">
        <f>'Inputs by customer type'!AJ213</f>
        <v>0</v>
      </c>
      <c r="AK168" s="217">
        <f>'Inputs by customer type'!AK213</f>
        <v>0</v>
      </c>
      <c r="AL168" s="217">
        <f>'Inputs by customer type'!AL213</f>
        <v>0</v>
      </c>
      <c r="AM168" s="217">
        <f>'Inputs by customer type'!AM213</f>
        <v>0</v>
      </c>
      <c r="AN168" s="217">
        <f>'Inputs by customer type'!AN213</f>
        <v>0</v>
      </c>
      <c r="AO168" s="217">
        <f>'Inputs by customer type'!AO213</f>
        <v>0</v>
      </c>
    </row>
    <row r="169" spans="1:43" x14ac:dyDescent="0.3">
      <c r="D169" s="28"/>
      <c r="E169" s="72"/>
      <c r="F169" s="72"/>
      <c r="G169" s="72"/>
      <c r="J169" s="89"/>
      <c r="K169" s="89"/>
      <c r="L169" s="89"/>
      <c r="M169" s="89"/>
      <c r="N169" s="89"/>
      <c r="O169" s="89"/>
      <c r="P169" s="89"/>
      <c r="Q169" s="89"/>
      <c r="R169" s="89"/>
      <c r="S169" s="89"/>
      <c r="T169" s="89"/>
      <c r="U169" s="89"/>
      <c r="V169" s="89"/>
      <c r="W169" s="89"/>
      <c r="X169" s="89"/>
      <c r="Y169" s="89"/>
      <c r="Z169" s="89"/>
      <c r="AA169" s="89"/>
      <c r="AB169" s="89"/>
      <c r="AC169" s="89"/>
      <c r="AD169" s="89"/>
      <c r="AE169" s="89"/>
      <c r="AF169" s="89"/>
      <c r="AG169" s="89"/>
      <c r="AH169" s="89"/>
      <c r="AI169" s="89"/>
      <c r="AJ169" s="89"/>
      <c r="AK169" s="89"/>
      <c r="AL169" s="89"/>
      <c r="AM169" s="89"/>
      <c r="AN169" s="89"/>
      <c r="AO169" s="89"/>
    </row>
    <row r="170" spans="1:43" x14ac:dyDescent="0.3">
      <c r="E170" t="s">
        <v>784</v>
      </c>
      <c r="G170" t="s">
        <v>277</v>
      </c>
      <c r="J170" s="98">
        <f t="shared" ref="J170:AO170" si="36">IF(J168 = 0, SUMPRODUCT(J25:J27, J158:J160) / hundred * days_in_year + ( SUMPRODUCT(J22:J24, J155:J157)  + J161*J28) * ten, J168)</f>
        <v>0</v>
      </c>
      <c r="K170" s="98">
        <f t="shared" si="36"/>
        <v>0</v>
      </c>
      <c r="L170" s="98">
        <f t="shared" si="36"/>
        <v>0</v>
      </c>
      <c r="M170" s="98">
        <f t="shared" si="36"/>
        <v>0</v>
      </c>
      <c r="N170" s="98">
        <f t="shared" si="36"/>
        <v>0</v>
      </c>
      <c r="O170" s="98">
        <f t="shared" si="36"/>
        <v>0</v>
      </c>
      <c r="P170" s="98">
        <f t="shared" si="36"/>
        <v>0</v>
      </c>
      <c r="Q170" s="98">
        <f t="shared" si="36"/>
        <v>0</v>
      </c>
      <c r="R170" s="98">
        <f t="shared" si="36"/>
        <v>0</v>
      </c>
      <c r="S170" s="98">
        <f t="shared" si="36"/>
        <v>0</v>
      </c>
      <c r="T170" s="98">
        <f t="shared" si="36"/>
        <v>0</v>
      </c>
      <c r="U170" s="98">
        <f t="shared" si="36"/>
        <v>0</v>
      </c>
      <c r="V170" s="98">
        <f t="shared" si="36"/>
        <v>0</v>
      </c>
      <c r="W170" s="98">
        <f t="shared" si="36"/>
        <v>0</v>
      </c>
      <c r="X170" s="98">
        <f t="shared" si="36"/>
        <v>0</v>
      </c>
      <c r="Y170" s="98">
        <f t="shared" si="36"/>
        <v>0</v>
      </c>
      <c r="Z170" s="98">
        <f t="shared" si="36"/>
        <v>0</v>
      </c>
      <c r="AA170" s="98">
        <f t="shared" si="36"/>
        <v>0</v>
      </c>
      <c r="AB170" s="98">
        <f t="shared" si="36"/>
        <v>0</v>
      </c>
      <c r="AC170" s="98">
        <f t="shared" si="36"/>
        <v>0</v>
      </c>
      <c r="AD170" s="98">
        <f t="shared" si="36"/>
        <v>0</v>
      </c>
      <c r="AE170" s="98">
        <f t="shared" si="36"/>
        <v>0</v>
      </c>
      <c r="AF170" s="98">
        <f t="shared" si="36"/>
        <v>0</v>
      </c>
      <c r="AG170" s="98">
        <f t="shared" si="36"/>
        <v>0</v>
      </c>
      <c r="AH170" s="98">
        <f t="shared" si="36"/>
        <v>0</v>
      </c>
      <c r="AI170" s="98">
        <f t="shared" si="36"/>
        <v>0</v>
      </c>
      <c r="AJ170" s="98">
        <f t="shared" si="36"/>
        <v>0</v>
      </c>
      <c r="AK170" s="98">
        <f t="shared" si="36"/>
        <v>0</v>
      </c>
      <c r="AL170" s="98">
        <f t="shared" si="36"/>
        <v>0</v>
      </c>
      <c r="AM170" s="98">
        <f t="shared" si="36"/>
        <v>0</v>
      </c>
      <c r="AN170" s="98">
        <f t="shared" si="36"/>
        <v>0</v>
      </c>
      <c r="AO170" s="98">
        <f t="shared" si="36"/>
        <v>0</v>
      </c>
    </row>
    <row r="171" spans="1:43" x14ac:dyDescent="0.3">
      <c r="F171" s="3"/>
      <c r="G171" s="212"/>
      <c r="H171" s="3"/>
      <c r="I171" s="3"/>
    </row>
    <row r="172" spans="1:43" x14ac:dyDescent="0.3">
      <c r="E172" t="s">
        <v>785</v>
      </c>
      <c r="G172" s="13" t="s">
        <v>167</v>
      </c>
      <c r="J172" s="427" t="str">
        <f t="shared" ref="J172:AH172" si="37">IF( J170 &lt;&gt; 0, (J102 - J170) / J170, "-")</f>
        <v>-</v>
      </c>
      <c r="K172" s="427" t="str">
        <f t="shared" si="37"/>
        <v>-</v>
      </c>
      <c r="L172" s="427" t="str">
        <f t="shared" si="37"/>
        <v>-</v>
      </c>
      <c r="M172" s="427" t="str">
        <f t="shared" si="37"/>
        <v>-</v>
      </c>
      <c r="N172" s="427" t="str">
        <f t="shared" si="37"/>
        <v>-</v>
      </c>
      <c r="O172" s="427" t="str">
        <f t="shared" si="37"/>
        <v>-</v>
      </c>
      <c r="P172" s="427" t="str">
        <f t="shared" si="37"/>
        <v>-</v>
      </c>
      <c r="Q172" s="427" t="str">
        <f t="shared" si="37"/>
        <v>-</v>
      </c>
      <c r="R172" s="427" t="str">
        <f t="shared" si="37"/>
        <v>-</v>
      </c>
      <c r="S172" s="427" t="str">
        <f t="shared" si="37"/>
        <v>-</v>
      </c>
      <c r="T172" s="427" t="str">
        <f t="shared" si="37"/>
        <v>-</v>
      </c>
      <c r="U172" s="427" t="str">
        <f t="shared" si="37"/>
        <v>-</v>
      </c>
      <c r="V172" s="427" t="str">
        <f t="shared" si="37"/>
        <v>-</v>
      </c>
      <c r="W172" s="427" t="str">
        <f t="shared" si="37"/>
        <v>-</v>
      </c>
      <c r="X172" s="427" t="str">
        <f t="shared" si="37"/>
        <v>-</v>
      </c>
      <c r="Y172" s="427" t="str">
        <f t="shared" si="37"/>
        <v>-</v>
      </c>
      <c r="Z172" s="427" t="str">
        <f t="shared" si="37"/>
        <v>-</v>
      </c>
      <c r="AA172" s="427" t="str">
        <f t="shared" si="37"/>
        <v>-</v>
      </c>
      <c r="AB172" s="427" t="str">
        <f t="shared" si="37"/>
        <v>-</v>
      </c>
      <c r="AC172" s="427" t="str">
        <f t="shared" si="37"/>
        <v>-</v>
      </c>
      <c r="AD172" s="427" t="str">
        <f t="shared" si="37"/>
        <v>-</v>
      </c>
      <c r="AE172" s="427" t="str">
        <f t="shared" si="37"/>
        <v>-</v>
      </c>
      <c r="AF172" s="427" t="str">
        <f t="shared" si="37"/>
        <v>-</v>
      </c>
      <c r="AG172" s="427" t="str">
        <f t="shared" si="37"/>
        <v>-</v>
      </c>
      <c r="AH172" s="427" t="str">
        <f t="shared" si="37"/>
        <v>-</v>
      </c>
      <c r="AI172" s="427" t="str">
        <f>IF( AI170 &lt;&gt; 0, (AI102 - AI170) / AI170, "-")</f>
        <v>-</v>
      </c>
      <c r="AJ172" s="427" t="str">
        <f t="shared" ref="AJ172:AO172" si="38">IF( AJ170 &lt;&gt; 0, (AJ102 - AJ170) / AJ170, "-")</f>
        <v>-</v>
      </c>
      <c r="AK172" s="427" t="str">
        <f t="shared" si="38"/>
        <v>-</v>
      </c>
      <c r="AL172" s="427" t="str">
        <f t="shared" si="38"/>
        <v>-</v>
      </c>
      <c r="AM172" s="427" t="str">
        <f t="shared" si="38"/>
        <v>-</v>
      </c>
      <c r="AN172" s="427" t="str">
        <f t="shared" si="38"/>
        <v>-</v>
      </c>
      <c r="AO172" s="427" t="str">
        <f t="shared" si="38"/>
        <v>-</v>
      </c>
    </row>
    <row r="173" spans="1:43" x14ac:dyDescent="0.3">
      <c r="C173" s="88"/>
      <c r="D173" s="2"/>
      <c r="E173" s="2"/>
      <c r="G173" s="13"/>
    </row>
    <row r="174" spans="1:43" x14ac:dyDescent="0.3">
      <c r="E174" t="s">
        <v>786</v>
      </c>
      <c r="G174" s="13" t="s">
        <v>269</v>
      </c>
      <c r="H174" s="267"/>
      <c r="I174" s="267"/>
      <c r="J174" s="275">
        <f t="shared" ref="J174:AO174" si="39" xml:space="preserve"> IF( SUM(J22:J24) = 0, "-", (J102 - J170) / SUM(J22:J24)/ ten)</f>
        <v>3.7358153315893672</v>
      </c>
      <c r="K174" s="275">
        <f t="shared" si="39"/>
        <v>0.29463079713080353</v>
      </c>
      <c r="L174" s="275" t="str">
        <f t="shared" si="39"/>
        <v>-</v>
      </c>
      <c r="M174" s="275">
        <f t="shared" si="39"/>
        <v>4.9046629751509316</v>
      </c>
      <c r="N174" s="275">
        <f t="shared" si="39"/>
        <v>2.9129658323011425</v>
      </c>
      <c r="O174" s="275">
        <f t="shared" si="39"/>
        <v>2.6544878897419739</v>
      </c>
      <c r="P174" s="275">
        <f t="shared" si="39"/>
        <v>2.5317628825689527</v>
      </c>
      <c r="Q174" s="275">
        <f t="shared" si="39"/>
        <v>0.55087252854912339</v>
      </c>
      <c r="R174" s="275" t="str">
        <f t="shared" si="39"/>
        <v>-</v>
      </c>
      <c r="S174" s="275">
        <f t="shared" si="39"/>
        <v>2.9521835506243144</v>
      </c>
      <c r="T174" s="275">
        <f t="shared" si="39"/>
        <v>3.2699595983307921</v>
      </c>
      <c r="U174" s="275">
        <f t="shared" si="39"/>
        <v>3.2949717554035525</v>
      </c>
      <c r="V174" s="275">
        <f t="shared" si="39"/>
        <v>3.3412610258785103</v>
      </c>
      <c r="W174" s="275" t="str">
        <f t="shared" si="39"/>
        <v>-</v>
      </c>
      <c r="X174" s="275">
        <f t="shared" si="39"/>
        <v>2.6857070903416935</v>
      </c>
      <c r="Y174" s="275">
        <f t="shared" si="39"/>
        <v>3.1658372982835035</v>
      </c>
      <c r="Z174" s="275">
        <f t="shared" si="39"/>
        <v>3.1360936114865487</v>
      </c>
      <c r="AA174" s="275">
        <f t="shared" si="39"/>
        <v>4.1405805730833052</v>
      </c>
      <c r="AB174" s="275" t="str">
        <f t="shared" si="39"/>
        <v>-</v>
      </c>
      <c r="AC174" s="275">
        <f t="shared" si="39"/>
        <v>2.4720972423889744</v>
      </c>
      <c r="AD174" s="275">
        <f t="shared" si="39"/>
        <v>2.3493017722059735</v>
      </c>
      <c r="AE174" s="275">
        <f t="shared" si="39"/>
        <v>2.2967020061008609</v>
      </c>
      <c r="AF174" s="275">
        <f t="shared" si="39"/>
        <v>2.2546288647110053</v>
      </c>
      <c r="AG174" s="275">
        <f t="shared" si="39"/>
        <v>2.897117906798985</v>
      </c>
      <c r="AH174" s="275">
        <f t="shared" si="39"/>
        <v>-0.87928272768726856</v>
      </c>
      <c r="AI174" s="275" t="str">
        <f t="shared" si="39"/>
        <v>-</v>
      </c>
      <c r="AJ174" s="275">
        <f t="shared" si="39"/>
        <v>-0.69519381242654721</v>
      </c>
      <c r="AK174" s="275" t="str">
        <f t="shared" si="39"/>
        <v>-</v>
      </c>
      <c r="AL174" s="275">
        <f t="shared" si="39"/>
        <v>-0.54601589092448799</v>
      </c>
      <c r="AM174" s="275" t="str">
        <f t="shared" si="39"/>
        <v>-</v>
      </c>
      <c r="AN174" s="275">
        <f t="shared" si="39"/>
        <v>-0.32671660925555379</v>
      </c>
      <c r="AO174" s="275" t="str">
        <f t="shared" si="39"/>
        <v>-</v>
      </c>
      <c r="AP174" s="267"/>
      <c r="AQ174" s="267"/>
    </row>
    <row r="175" spans="1:43" x14ac:dyDescent="0.3">
      <c r="C175" s="88"/>
      <c r="D175" s="2"/>
      <c r="E175" s="2"/>
      <c r="G175" s="13"/>
    </row>
    <row r="176" spans="1:43" x14ac:dyDescent="0.3">
      <c r="B176" s="30" t="s">
        <v>787</v>
      </c>
      <c r="C176" s="30"/>
      <c r="D176" s="30"/>
      <c r="E176" s="30"/>
      <c r="F176" s="30"/>
      <c r="G176" s="92"/>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row>
    <row r="177" spans="3:43" x14ac:dyDescent="0.3">
      <c r="F177" s="3"/>
      <c r="G177" s="212"/>
      <c r="H177" s="3"/>
      <c r="I177" s="3"/>
    </row>
    <row r="178" spans="3:43" x14ac:dyDescent="0.3">
      <c r="C178" s="31" t="str">
        <f ca="1">INDEX('Version control'!$H$34:$H$57,MATCH($A$1,'Version control'!$F$34:$F$57,0),1)&amp;"-J: LDNO typical bills using all-the-way volumes"</f>
        <v>Section 118-J: LDNO typical bills using all-the-way volumes</v>
      </c>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c r="AC178" s="31"/>
      <c r="AD178" s="31"/>
      <c r="AE178" s="31"/>
      <c r="AF178" s="31"/>
      <c r="AG178" s="31"/>
      <c r="AH178" s="31"/>
      <c r="AI178" s="31"/>
      <c r="AJ178" s="31"/>
      <c r="AK178" s="31"/>
      <c r="AL178" s="31"/>
      <c r="AM178" s="31"/>
      <c r="AN178" s="31"/>
      <c r="AO178" s="31"/>
      <c r="AP178" s="31"/>
      <c r="AQ178" s="31"/>
    </row>
    <row r="179" spans="3:43" x14ac:dyDescent="0.3">
      <c r="C179" s="88"/>
      <c r="D179" s="2"/>
      <c r="E179" s="2"/>
      <c r="G179" s="13"/>
    </row>
    <row r="180" spans="3:43" x14ac:dyDescent="0.3">
      <c r="E180" s="32" t="s">
        <v>788</v>
      </c>
      <c r="G180" s="13"/>
      <c r="H180" s="128"/>
      <c r="J180" s="63"/>
      <c r="K180" s="63"/>
      <c r="L180" s="63"/>
      <c r="M180" s="63"/>
      <c r="N180" s="63"/>
      <c r="O180" s="63"/>
      <c r="P180" s="63"/>
      <c r="Q180" s="63"/>
      <c r="R180" s="63"/>
      <c r="S180" s="63"/>
      <c r="T180" s="63"/>
      <c r="U180" s="63"/>
      <c r="V180" s="63"/>
      <c r="W180" s="63"/>
      <c r="X180" s="63"/>
      <c r="Y180" s="63"/>
      <c r="Z180" s="63"/>
      <c r="AA180" s="63"/>
      <c r="AB180" s="63"/>
      <c r="AC180" s="63"/>
      <c r="AD180" s="63"/>
      <c r="AE180" s="63"/>
      <c r="AF180" s="63"/>
      <c r="AG180" s="63"/>
      <c r="AH180" s="63"/>
      <c r="AI180" s="63"/>
      <c r="AJ180" s="63"/>
      <c r="AK180" s="63"/>
      <c r="AL180" s="63"/>
      <c r="AM180" s="63"/>
      <c r="AN180" s="63"/>
      <c r="AO180" s="63"/>
    </row>
    <row r="181" spans="3:43" x14ac:dyDescent="0.3">
      <c r="E181" s="29" t="s">
        <v>789</v>
      </c>
    </row>
    <row r="182" spans="3:43" x14ac:dyDescent="0.3">
      <c r="E182" s="28"/>
      <c r="F182" s="23" t="s">
        <v>156</v>
      </c>
      <c r="G182" s="85" t="s">
        <v>790</v>
      </c>
      <c r="H182" s="218"/>
      <c r="I182" s="23"/>
      <c r="J182" s="126">
        <f t="shared" ref="J182:AO182" si="40" xml:space="preserve"> IF( J$25 &lt;&gt; 0, J$22 * thousand * J64 / hundred / J$25, 0)</f>
        <v>15.639354721909319</v>
      </c>
      <c r="K182" s="126">
        <f t="shared" si="40"/>
        <v>0</v>
      </c>
      <c r="L182" s="126">
        <f t="shared" si="40"/>
        <v>0</v>
      </c>
      <c r="M182" s="126">
        <f t="shared" si="40"/>
        <v>6.5379392462037709</v>
      </c>
      <c r="N182" s="126">
        <f t="shared" si="40"/>
        <v>36.361357593507044</v>
      </c>
      <c r="O182" s="126">
        <f t="shared" si="40"/>
        <v>89.164346790829498</v>
      </c>
      <c r="P182" s="126">
        <f t="shared" si="40"/>
        <v>287.52121467812498</v>
      </c>
      <c r="Q182" s="126">
        <f t="shared" si="40"/>
        <v>0</v>
      </c>
      <c r="R182" s="126">
        <f t="shared" si="40"/>
        <v>0</v>
      </c>
      <c r="S182" s="126">
        <f t="shared" si="40"/>
        <v>271.22273927104936</v>
      </c>
      <c r="T182" s="126">
        <f t="shared" si="40"/>
        <v>501.09013875052801</v>
      </c>
      <c r="U182" s="126">
        <f t="shared" si="40"/>
        <v>776.22091373404749</v>
      </c>
      <c r="V182" s="126">
        <f t="shared" si="40"/>
        <v>1211.1455126087285</v>
      </c>
      <c r="W182" s="126">
        <f t="shared" si="40"/>
        <v>0</v>
      </c>
      <c r="X182" s="126">
        <f t="shared" si="40"/>
        <v>0</v>
      </c>
      <c r="Y182" s="126">
        <f t="shared" si="40"/>
        <v>0</v>
      </c>
      <c r="Z182" s="126">
        <f t="shared" si="40"/>
        <v>0</v>
      </c>
      <c r="AA182" s="126">
        <f t="shared" si="40"/>
        <v>0</v>
      </c>
      <c r="AB182" s="126">
        <f t="shared" si="40"/>
        <v>0</v>
      </c>
      <c r="AC182" s="126">
        <f t="shared" si="40"/>
        <v>0</v>
      </c>
      <c r="AD182" s="126">
        <f t="shared" si="40"/>
        <v>0</v>
      </c>
      <c r="AE182" s="126">
        <f t="shared" si="40"/>
        <v>0</v>
      </c>
      <c r="AF182" s="126">
        <f t="shared" si="40"/>
        <v>0</v>
      </c>
      <c r="AG182" s="126">
        <f t="shared" si="40"/>
        <v>37619.01271489291</v>
      </c>
      <c r="AH182" s="126">
        <f t="shared" si="40"/>
        <v>0</v>
      </c>
      <c r="AI182" s="126">
        <f t="shared" si="40"/>
        <v>0</v>
      </c>
      <c r="AJ182" s="126">
        <f t="shared" si="40"/>
        <v>-274.53516039443741</v>
      </c>
      <c r="AK182" s="126">
        <f t="shared" si="40"/>
        <v>0</v>
      </c>
      <c r="AL182" s="126">
        <f t="shared" si="40"/>
        <v>0</v>
      </c>
      <c r="AM182" s="126">
        <f t="shared" si="40"/>
        <v>0</v>
      </c>
      <c r="AN182" s="126">
        <f t="shared" si="40"/>
        <v>0</v>
      </c>
      <c r="AO182" s="126">
        <f t="shared" si="40"/>
        <v>0</v>
      </c>
    </row>
    <row r="183" spans="3:43" x14ac:dyDescent="0.3">
      <c r="E183" s="28"/>
      <c r="F183" t="s">
        <v>157</v>
      </c>
      <c r="G183" s="13" t="s">
        <v>790</v>
      </c>
      <c r="H183" s="102"/>
      <c r="J183" s="98">
        <f t="shared" ref="J183:AO183" si="41" xml:space="preserve"> IF( J$25 &lt;&gt; 0, J$23 * thousand * J65 / hundred / J$25, 0)</f>
        <v>7.3432389473782349</v>
      </c>
      <c r="K183" s="98">
        <f t="shared" si="41"/>
        <v>0</v>
      </c>
      <c r="L183" s="98">
        <f t="shared" si="41"/>
        <v>0</v>
      </c>
      <c r="M183" s="98">
        <f t="shared" si="41"/>
        <v>4.2417015013956547</v>
      </c>
      <c r="N183" s="98">
        <f t="shared" si="41"/>
        <v>23.590617668513591</v>
      </c>
      <c r="O183" s="98">
        <f t="shared" si="41"/>
        <v>57.848280537820777</v>
      </c>
      <c r="P183" s="98">
        <f t="shared" si="41"/>
        <v>186.53877346618796</v>
      </c>
      <c r="Q183" s="98">
        <f t="shared" si="41"/>
        <v>0</v>
      </c>
      <c r="R183" s="98">
        <f t="shared" si="41"/>
        <v>0</v>
      </c>
      <c r="S183" s="98">
        <f t="shared" si="41"/>
        <v>168.65849162025066</v>
      </c>
      <c r="T183" s="98">
        <f t="shared" si="41"/>
        <v>311.60037390149307</v>
      </c>
      <c r="U183" s="98">
        <f t="shared" si="41"/>
        <v>482.68905780663408</v>
      </c>
      <c r="V183" s="98">
        <f t="shared" si="41"/>
        <v>753.14472465778033</v>
      </c>
      <c r="W183" s="98">
        <f t="shared" si="41"/>
        <v>0</v>
      </c>
      <c r="X183" s="98">
        <f t="shared" si="41"/>
        <v>0</v>
      </c>
      <c r="Y183" s="98">
        <f t="shared" si="41"/>
        <v>0</v>
      </c>
      <c r="Z183" s="98">
        <f t="shared" si="41"/>
        <v>0</v>
      </c>
      <c r="AA183" s="98">
        <f t="shared" si="41"/>
        <v>0</v>
      </c>
      <c r="AB183" s="98">
        <f t="shared" si="41"/>
        <v>0</v>
      </c>
      <c r="AC183" s="98">
        <f t="shared" si="41"/>
        <v>0</v>
      </c>
      <c r="AD183" s="98">
        <f t="shared" si="41"/>
        <v>0</v>
      </c>
      <c r="AE183" s="98">
        <f t="shared" si="41"/>
        <v>0</v>
      </c>
      <c r="AF183" s="98">
        <f t="shared" si="41"/>
        <v>0</v>
      </c>
      <c r="AG183" s="98">
        <f t="shared" si="41"/>
        <v>30867.052320474493</v>
      </c>
      <c r="AH183" s="98">
        <f t="shared" si="41"/>
        <v>0</v>
      </c>
      <c r="AI183" s="98">
        <f t="shared" si="41"/>
        <v>0</v>
      </c>
      <c r="AJ183" s="98">
        <f t="shared" si="41"/>
        <v>-217.19448636133941</v>
      </c>
      <c r="AK183" s="98">
        <f t="shared" si="41"/>
        <v>0</v>
      </c>
      <c r="AL183" s="98">
        <f t="shared" si="41"/>
        <v>0</v>
      </c>
      <c r="AM183" s="98">
        <f t="shared" si="41"/>
        <v>0</v>
      </c>
      <c r="AN183" s="98">
        <f t="shared" si="41"/>
        <v>0</v>
      </c>
      <c r="AO183" s="98">
        <f t="shared" si="41"/>
        <v>0</v>
      </c>
    </row>
    <row r="184" spans="3:43" x14ac:dyDescent="0.3">
      <c r="E184" s="28"/>
      <c r="F184" t="s">
        <v>158</v>
      </c>
      <c r="G184" s="13" t="s">
        <v>790</v>
      </c>
      <c r="H184" s="102"/>
      <c r="J184" s="98">
        <f t="shared" ref="J184:AO184" si="42" xml:space="preserve"> IF( J$25 &lt;&gt; 0, J$24 * thousand * J66 / hundred / J$25, 0)</f>
        <v>1.1389452337791006</v>
      </c>
      <c r="K184" s="98">
        <f t="shared" si="42"/>
        <v>0</v>
      </c>
      <c r="L184" s="98">
        <f t="shared" si="42"/>
        <v>0</v>
      </c>
      <c r="M184" s="98">
        <f t="shared" si="42"/>
        <v>0.41157005237581862</v>
      </c>
      <c r="N184" s="98">
        <f t="shared" si="42"/>
        <v>2.2889851504669565</v>
      </c>
      <c r="O184" s="98">
        <f t="shared" si="42"/>
        <v>5.6129880527821552</v>
      </c>
      <c r="P184" s="98">
        <f t="shared" si="42"/>
        <v>18.09975849086479</v>
      </c>
      <c r="Q184" s="98">
        <f t="shared" si="42"/>
        <v>0</v>
      </c>
      <c r="R184" s="98">
        <f t="shared" si="42"/>
        <v>0</v>
      </c>
      <c r="S184" s="98">
        <f t="shared" si="42"/>
        <v>14.932255536927824</v>
      </c>
      <c r="T184" s="98">
        <f t="shared" si="42"/>
        <v>27.587679480590609</v>
      </c>
      <c r="U184" s="98">
        <f t="shared" si="42"/>
        <v>42.7350931862726</v>
      </c>
      <c r="V184" s="98">
        <f t="shared" si="42"/>
        <v>66.680007492304696</v>
      </c>
      <c r="W184" s="98">
        <f t="shared" si="42"/>
        <v>0</v>
      </c>
      <c r="X184" s="98">
        <f t="shared" si="42"/>
        <v>0</v>
      </c>
      <c r="Y184" s="98">
        <f t="shared" si="42"/>
        <v>0</v>
      </c>
      <c r="Z184" s="98">
        <f t="shared" si="42"/>
        <v>0</v>
      </c>
      <c r="AA184" s="98">
        <f t="shared" si="42"/>
        <v>0</v>
      </c>
      <c r="AB184" s="98">
        <f t="shared" si="42"/>
        <v>0</v>
      </c>
      <c r="AC184" s="98">
        <f t="shared" si="42"/>
        <v>0</v>
      </c>
      <c r="AD184" s="98">
        <f t="shared" si="42"/>
        <v>0</v>
      </c>
      <c r="AE184" s="98">
        <f t="shared" si="42"/>
        <v>0</v>
      </c>
      <c r="AF184" s="98">
        <f t="shared" si="42"/>
        <v>0</v>
      </c>
      <c r="AG184" s="98">
        <f t="shared" si="42"/>
        <v>91659.468822094364</v>
      </c>
      <c r="AH184" s="98">
        <f t="shared" si="42"/>
        <v>0</v>
      </c>
      <c r="AI184" s="98">
        <f t="shared" si="42"/>
        <v>0</v>
      </c>
      <c r="AJ184" s="98">
        <f t="shared" si="42"/>
        <v>-20.636955399094916</v>
      </c>
      <c r="AK184" s="98">
        <f t="shared" si="42"/>
        <v>0</v>
      </c>
      <c r="AL184" s="98">
        <f t="shared" si="42"/>
        <v>0</v>
      </c>
      <c r="AM184" s="98">
        <f t="shared" si="42"/>
        <v>0</v>
      </c>
      <c r="AN184" s="98">
        <f t="shared" si="42"/>
        <v>0</v>
      </c>
      <c r="AO184" s="98">
        <f t="shared" si="42"/>
        <v>0</v>
      </c>
    </row>
    <row r="185" spans="3:43" x14ac:dyDescent="0.3">
      <c r="E185" s="28"/>
      <c r="F185" s="23" t="s">
        <v>159</v>
      </c>
      <c r="G185" s="85" t="s">
        <v>790</v>
      </c>
      <c r="H185" s="218"/>
      <c r="I185" s="23"/>
      <c r="J185" s="126">
        <f t="shared" ref="J185:AO185" si="43" xml:space="preserve"> IF( J$25 &lt;&gt; 0, J$25 * J67 * days_in_year / hundred / J$25, 0)</f>
        <v>73.802999999999997</v>
      </c>
      <c r="K185" s="126">
        <f t="shared" si="43"/>
        <v>0</v>
      </c>
      <c r="L185" s="126">
        <f t="shared" si="43"/>
        <v>0</v>
      </c>
      <c r="M185" s="126">
        <f t="shared" si="43"/>
        <v>32.448500000000003</v>
      </c>
      <c r="N185" s="126">
        <f t="shared" si="43"/>
        <v>81.723500000000001</v>
      </c>
      <c r="O185" s="126">
        <f t="shared" si="43"/>
        <v>168.95849999999999</v>
      </c>
      <c r="P185" s="126">
        <f t="shared" si="43"/>
        <v>496.69200000000012</v>
      </c>
      <c r="Q185" s="126">
        <f t="shared" si="43"/>
        <v>0</v>
      </c>
      <c r="R185" s="126">
        <f t="shared" si="43"/>
        <v>0</v>
      </c>
      <c r="S185" s="126">
        <f t="shared" si="43"/>
        <v>734.1244999999999</v>
      </c>
      <c r="T185" s="126">
        <f t="shared" si="43"/>
        <v>1330.9725000000001</v>
      </c>
      <c r="U185" s="126">
        <f t="shared" si="43"/>
        <v>2046.9199999999996</v>
      </c>
      <c r="V185" s="126">
        <f t="shared" si="43"/>
        <v>3178.6754999999998</v>
      </c>
      <c r="W185" s="126">
        <f t="shared" si="43"/>
        <v>0</v>
      </c>
      <c r="X185" s="126">
        <f t="shared" si="43"/>
        <v>0</v>
      </c>
      <c r="Y185" s="126">
        <f t="shared" si="43"/>
        <v>0</v>
      </c>
      <c r="Z185" s="126">
        <f t="shared" si="43"/>
        <v>0</v>
      </c>
      <c r="AA185" s="126">
        <f t="shared" si="43"/>
        <v>0</v>
      </c>
      <c r="AB185" s="126">
        <f t="shared" si="43"/>
        <v>0</v>
      </c>
      <c r="AC185" s="126">
        <f t="shared" si="43"/>
        <v>0</v>
      </c>
      <c r="AD185" s="126">
        <f t="shared" si="43"/>
        <v>0</v>
      </c>
      <c r="AE185" s="126">
        <f t="shared" si="43"/>
        <v>0</v>
      </c>
      <c r="AF185" s="126">
        <f t="shared" si="43"/>
        <v>0</v>
      </c>
      <c r="AG185" s="126">
        <f t="shared" si="43"/>
        <v>0</v>
      </c>
      <c r="AH185" s="126">
        <f t="shared" si="43"/>
        <v>0</v>
      </c>
      <c r="AI185" s="126">
        <f t="shared" si="43"/>
        <v>0</v>
      </c>
      <c r="AJ185" s="126">
        <f t="shared" si="43"/>
        <v>0</v>
      </c>
      <c r="AK185" s="126">
        <f t="shared" si="43"/>
        <v>0</v>
      </c>
      <c r="AL185" s="126">
        <f t="shared" si="43"/>
        <v>0</v>
      </c>
      <c r="AM185" s="126">
        <f t="shared" si="43"/>
        <v>0</v>
      </c>
      <c r="AN185" s="126">
        <f t="shared" si="43"/>
        <v>0</v>
      </c>
      <c r="AO185" s="126">
        <f t="shared" si="43"/>
        <v>0</v>
      </c>
    </row>
    <row r="186" spans="3:43" x14ac:dyDescent="0.3">
      <c r="E186" s="28"/>
      <c r="F186" t="s">
        <v>160</v>
      </c>
      <c r="G186" s="13" t="s">
        <v>790</v>
      </c>
      <c r="H186" s="102"/>
      <c r="J186" s="98">
        <f t="shared" ref="J186:AO186" si="44" xml:space="preserve"> IF( J$25 &lt;&gt; 0, J$26 * J68 * days_in_year / hundred / J$25, 0)</f>
        <v>0</v>
      </c>
      <c r="K186" s="98">
        <f t="shared" si="44"/>
        <v>0</v>
      </c>
      <c r="L186" s="98">
        <f t="shared" si="44"/>
        <v>0</v>
      </c>
      <c r="M186" s="98">
        <f t="shared" si="44"/>
        <v>0</v>
      </c>
      <c r="N186" s="98">
        <f t="shared" si="44"/>
        <v>0</v>
      </c>
      <c r="O186" s="98">
        <f t="shared" si="44"/>
        <v>0</v>
      </c>
      <c r="P186" s="98">
        <f t="shared" si="44"/>
        <v>0</v>
      </c>
      <c r="Q186" s="98">
        <f t="shared" si="44"/>
        <v>0</v>
      </c>
      <c r="R186" s="98">
        <f t="shared" si="44"/>
        <v>0</v>
      </c>
      <c r="S186" s="98">
        <f t="shared" si="44"/>
        <v>454.10751251705142</v>
      </c>
      <c r="T186" s="98">
        <f t="shared" si="44"/>
        <v>1184.0608585936122</v>
      </c>
      <c r="U186" s="98">
        <f t="shared" si="44"/>
        <v>1887.5435128692068</v>
      </c>
      <c r="V186" s="98">
        <f t="shared" si="44"/>
        <v>3072.6051485017952</v>
      </c>
      <c r="W186" s="98">
        <f t="shared" si="44"/>
        <v>0</v>
      </c>
      <c r="X186" s="98">
        <f t="shared" si="44"/>
        <v>0</v>
      </c>
      <c r="Y186" s="98">
        <f t="shared" si="44"/>
        <v>0</v>
      </c>
      <c r="Z186" s="98">
        <f t="shared" si="44"/>
        <v>0</v>
      </c>
      <c r="AA186" s="98">
        <f t="shared" si="44"/>
        <v>0</v>
      </c>
      <c r="AB186" s="98">
        <f t="shared" si="44"/>
        <v>0</v>
      </c>
      <c r="AC186" s="98">
        <f t="shared" si="44"/>
        <v>0</v>
      </c>
      <c r="AD186" s="98">
        <f t="shared" si="44"/>
        <v>0</v>
      </c>
      <c r="AE186" s="98">
        <f t="shared" si="44"/>
        <v>0</v>
      </c>
      <c r="AF186" s="98">
        <f t="shared" si="44"/>
        <v>0</v>
      </c>
      <c r="AG186" s="98">
        <f t="shared" si="44"/>
        <v>0</v>
      </c>
      <c r="AH186" s="98">
        <f t="shared" si="44"/>
        <v>0</v>
      </c>
      <c r="AI186" s="98">
        <f t="shared" si="44"/>
        <v>0</v>
      </c>
      <c r="AJ186" s="98">
        <f t="shared" si="44"/>
        <v>0</v>
      </c>
      <c r="AK186" s="98">
        <f t="shared" si="44"/>
        <v>0</v>
      </c>
      <c r="AL186" s="98">
        <f t="shared" si="44"/>
        <v>0</v>
      </c>
      <c r="AM186" s="98">
        <f t="shared" si="44"/>
        <v>0</v>
      </c>
      <c r="AN186" s="98">
        <f t="shared" si="44"/>
        <v>0</v>
      </c>
      <c r="AO186" s="98">
        <f t="shared" si="44"/>
        <v>0</v>
      </c>
    </row>
    <row r="187" spans="3:43" x14ac:dyDescent="0.3">
      <c r="E187" s="28"/>
      <c r="F187" t="s">
        <v>161</v>
      </c>
      <c r="G187" s="13" t="s">
        <v>790</v>
      </c>
      <c r="H187" s="102"/>
      <c r="J187" s="98">
        <f t="shared" ref="J187:AO187" si="45" xml:space="preserve"> IF( J$25 &lt;&gt; 0, J$27 * J69 * days_in_year / hundred / J$25, 0)</f>
        <v>0</v>
      </c>
      <c r="K187" s="98">
        <f t="shared" si="45"/>
        <v>0</v>
      </c>
      <c r="L187" s="98">
        <f t="shared" si="45"/>
        <v>0</v>
      </c>
      <c r="M187" s="98">
        <f t="shared" si="45"/>
        <v>0</v>
      </c>
      <c r="N187" s="98">
        <f t="shared" si="45"/>
        <v>0</v>
      </c>
      <c r="O187" s="98">
        <f t="shared" si="45"/>
        <v>0</v>
      </c>
      <c r="P187" s="98">
        <f t="shared" si="45"/>
        <v>0</v>
      </c>
      <c r="Q187" s="98">
        <f t="shared" si="45"/>
        <v>0</v>
      </c>
      <c r="R187" s="98">
        <f t="shared" si="45"/>
        <v>0</v>
      </c>
      <c r="S187" s="98">
        <f t="shared" si="45"/>
        <v>17.052900670727482</v>
      </c>
      <c r="T187" s="98">
        <f t="shared" si="45"/>
        <v>44.464519201132987</v>
      </c>
      <c r="U187" s="98">
        <f t="shared" si="45"/>
        <v>70.882095427624009</v>
      </c>
      <c r="V187" s="98">
        <f t="shared" si="45"/>
        <v>115.3841963708969</v>
      </c>
      <c r="W187" s="98">
        <f t="shared" si="45"/>
        <v>0</v>
      </c>
      <c r="X187" s="98">
        <f t="shared" si="45"/>
        <v>0</v>
      </c>
      <c r="Y187" s="98">
        <f t="shared" si="45"/>
        <v>0</v>
      </c>
      <c r="Z187" s="98">
        <f t="shared" si="45"/>
        <v>0</v>
      </c>
      <c r="AA187" s="98">
        <f t="shared" si="45"/>
        <v>0</v>
      </c>
      <c r="AB187" s="98">
        <f t="shared" si="45"/>
        <v>0</v>
      </c>
      <c r="AC187" s="98">
        <f t="shared" si="45"/>
        <v>0</v>
      </c>
      <c r="AD187" s="98">
        <f t="shared" si="45"/>
        <v>0</v>
      </c>
      <c r="AE187" s="98">
        <f t="shared" si="45"/>
        <v>0</v>
      </c>
      <c r="AF187" s="98">
        <f t="shared" si="45"/>
        <v>0</v>
      </c>
      <c r="AG187" s="98">
        <f t="shared" si="45"/>
        <v>0</v>
      </c>
      <c r="AH187" s="98">
        <f t="shared" si="45"/>
        <v>0</v>
      </c>
      <c r="AI187" s="98">
        <f t="shared" si="45"/>
        <v>0</v>
      </c>
      <c r="AJ187" s="98">
        <f t="shared" si="45"/>
        <v>0</v>
      </c>
      <c r="AK187" s="98">
        <f t="shared" si="45"/>
        <v>0</v>
      </c>
      <c r="AL187" s="98">
        <f t="shared" si="45"/>
        <v>0</v>
      </c>
      <c r="AM187" s="98">
        <f t="shared" si="45"/>
        <v>0</v>
      </c>
      <c r="AN187" s="98">
        <f t="shared" si="45"/>
        <v>0</v>
      </c>
      <c r="AO187" s="98">
        <f t="shared" si="45"/>
        <v>0</v>
      </c>
    </row>
    <row r="188" spans="3:43" x14ac:dyDescent="0.3">
      <c r="E188" s="28"/>
      <c r="F188" s="23" t="s">
        <v>162</v>
      </c>
      <c r="G188" s="85" t="s">
        <v>790</v>
      </c>
      <c r="H188" s="218"/>
      <c r="I188" s="23"/>
      <c r="J188" s="126">
        <f t="shared" ref="J188:AO188" si="46" xml:space="preserve"> IF( J$25 &lt;&gt; 0, J$28 * thousand * J70 / hundred / J$25, 0)</f>
        <v>0</v>
      </c>
      <c r="K188" s="126">
        <f t="shared" si="46"/>
        <v>0</v>
      </c>
      <c r="L188" s="126">
        <f t="shared" si="46"/>
        <v>0</v>
      </c>
      <c r="M188" s="126">
        <f t="shared" si="46"/>
        <v>0</v>
      </c>
      <c r="N188" s="126">
        <f t="shared" si="46"/>
        <v>0</v>
      </c>
      <c r="O188" s="126">
        <f t="shared" si="46"/>
        <v>0</v>
      </c>
      <c r="P188" s="126">
        <f t="shared" si="46"/>
        <v>0</v>
      </c>
      <c r="Q188" s="126">
        <f t="shared" si="46"/>
        <v>0</v>
      </c>
      <c r="R188" s="126">
        <f t="shared" si="46"/>
        <v>0</v>
      </c>
      <c r="S188" s="126">
        <f t="shared" si="46"/>
        <v>15.795848430783215</v>
      </c>
      <c r="T188" s="126">
        <f t="shared" si="46"/>
        <v>29.18318686381744</v>
      </c>
      <c r="U188" s="126">
        <f t="shared" si="46"/>
        <v>45.20663693280467</v>
      </c>
      <c r="V188" s="126">
        <f t="shared" si="46"/>
        <v>70.536382739176858</v>
      </c>
      <c r="W188" s="126">
        <f t="shared" si="46"/>
        <v>0</v>
      </c>
      <c r="X188" s="126">
        <f t="shared" si="46"/>
        <v>0</v>
      </c>
      <c r="Y188" s="126">
        <f t="shared" si="46"/>
        <v>0</v>
      </c>
      <c r="Z188" s="126">
        <f t="shared" si="46"/>
        <v>0</v>
      </c>
      <c r="AA188" s="126">
        <f t="shared" si="46"/>
        <v>0</v>
      </c>
      <c r="AB188" s="126">
        <f t="shared" si="46"/>
        <v>0</v>
      </c>
      <c r="AC188" s="126">
        <f t="shared" si="46"/>
        <v>0</v>
      </c>
      <c r="AD188" s="126">
        <f t="shared" si="46"/>
        <v>0</v>
      </c>
      <c r="AE188" s="126">
        <f t="shared" si="46"/>
        <v>0</v>
      </c>
      <c r="AF188" s="126">
        <f t="shared" si="46"/>
        <v>0</v>
      </c>
      <c r="AG188" s="126">
        <f t="shared" si="46"/>
        <v>0</v>
      </c>
      <c r="AH188" s="126">
        <f t="shared" si="46"/>
        <v>0</v>
      </c>
      <c r="AI188" s="126">
        <f t="shared" si="46"/>
        <v>0</v>
      </c>
      <c r="AJ188" s="126">
        <f t="shared" si="46"/>
        <v>11.834211631327024</v>
      </c>
      <c r="AK188" s="126">
        <f t="shared" si="46"/>
        <v>0</v>
      </c>
      <c r="AL188" s="126">
        <f t="shared" si="46"/>
        <v>0</v>
      </c>
      <c r="AM188" s="126">
        <f t="shared" si="46"/>
        <v>0</v>
      </c>
      <c r="AN188" s="126">
        <f t="shared" si="46"/>
        <v>0</v>
      </c>
      <c r="AO188" s="126">
        <f t="shared" si="46"/>
        <v>0</v>
      </c>
    </row>
    <row r="189" spans="3:43" x14ac:dyDescent="0.3">
      <c r="E189" s="28"/>
      <c r="F189" s="108" t="s">
        <v>100</v>
      </c>
      <c r="G189" s="214" t="s">
        <v>790</v>
      </c>
      <c r="H189" s="219"/>
      <c r="I189" s="108"/>
      <c r="J189" s="153">
        <f t="shared" ref="J189" si="47">SUM(J182:J188)</f>
        <v>97.924538903066647</v>
      </c>
      <c r="K189" s="153">
        <f t="shared" ref="K189:AO189" si="48">SUM(K182:K188)</f>
        <v>0</v>
      </c>
      <c r="L189" s="153">
        <f t="shared" si="48"/>
        <v>0</v>
      </c>
      <c r="M189" s="153">
        <f t="shared" si="48"/>
        <v>43.639710799975248</v>
      </c>
      <c r="N189" s="153">
        <f t="shared" si="48"/>
        <v>143.9644604124876</v>
      </c>
      <c r="O189" s="153">
        <f t="shared" si="48"/>
        <v>321.58411538143241</v>
      </c>
      <c r="P189" s="153">
        <f t="shared" si="48"/>
        <v>988.85174663517785</v>
      </c>
      <c r="Q189" s="153">
        <f t="shared" si="48"/>
        <v>0</v>
      </c>
      <c r="R189" s="153">
        <f t="shared" si="48"/>
        <v>0</v>
      </c>
      <c r="S189" s="153">
        <f t="shared" si="48"/>
        <v>1675.8942480467899</v>
      </c>
      <c r="T189" s="153">
        <f t="shared" si="48"/>
        <v>3428.9592567911741</v>
      </c>
      <c r="U189" s="153">
        <f t="shared" si="48"/>
        <v>5352.1973099565903</v>
      </c>
      <c r="V189" s="153">
        <f t="shared" si="48"/>
        <v>8468.1714723706827</v>
      </c>
      <c r="W189" s="153">
        <f t="shared" si="48"/>
        <v>0</v>
      </c>
      <c r="X189" s="153">
        <f t="shared" si="48"/>
        <v>0</v>
      </c>
      <c r="Y189" s="153">
        <f t="shared" si="48"/>
        <v>0</v>
      </c>
      <c r="Z189" s="153">
        <f t="shared" si="48"/>
        <v>0</v>
      </c>
      <c r="AA189" s="153">
        <f t="shared" si="48"/>
        <v>0</v>
      </c>
      <c r="AB189" s="153">
        <f t="shared" si="48"/>
        <v>0</v>
      </c>
      <c r="AC189" s="153">
        <f t="shared" si="48"/>
        <v>0</v>
      </c>
      <c r="AD189" s="153">
        <f t="shared" si="48"/>
        <v>0</v>
      </c>
      <c r="AE189" s="153">
        <f t="shared" si="48"/>
        <v>0</v>
      </c>
      <c r="AF189" s="153">
        <f t="shared" si="48"/>
        <v>0</v>
      </c>
      <c r="AG189" s="153">
        <f t="shared" si="48"/>
        <v>160145.53385746176</v>
      </c>
      <c r="AH189" s="153">
        <f t="shared" si="48"/>
        <v>0</v>
      </c>
      <c r="AI189" s="153">
        <f t="shared" si="48"/>
        <v>0</v>
      </c>
      <c r="AJ189" s="153">
        <f t="shared" si="48"/>
        <v>-500.53239052354473</v>
      </c>
      <c r="AK189" s="153">
        <f t="shared" si="48"/>
        <v>0</v>
      </c>
      <c r="AL189" s="153">
        <f t="shared" si="48"/>
        <v>0</v>
      </c>
      <c r="AM189" s="153">
        <f t="shared" si="48"/>
        <v>0</v>
      </c>
      <c r="AN189" s="153">
        <f t="shared" si="48"/>
        <v>0</v>
      </c>
      <c r="AO189" s="153">
        <f t="shared" si="48"/>
        <v>0</v>
      </c>
    </row>
    <row r="190" spans="3:43" x14ac:dyDescent="0.3">
      <c r="D190" s="28"/>
      <c r="G190" s="13"/>
      <c r="J190" s="89"/>
      <c r="K190" s="89"/>
      <c r="L190" s="89"/>
      <c r="M190" s="89"/>
      <c r="N190" s="89"/>
      <c r="O190" s="89"/>
      <c r="P190" s="89"/>
      <c r="Q190" s="89"/>
      <c r="R190" s="89"/>
      <c r="S190" s="89"/>
      <c r="T190" s="89"/>
      <c r="U190" s="89"/>
      <c r="V190" s="89"/>
      <c r="W190" s="89"/>
      <c r="X190" s="89"/>
      <c r="Y190" s="89"/>
      <c r="Z190" s="89"/>
      <c r="AA190" s="89"/>
      <c r="AB190" s="89"/>
      <c r="AC190" s="89"/>
      <c r="AD190" s="89"/>
      <c r="AE190" s="89"/>
      <c r="AF190" s="89"/>
      <c r="AG190" s="89"/>
      <c r="AH190" s="89"/>
      <c r="AI190" s="89"/>
      <c r="AJ190" s="89"/>
      <c r="AK190" s="89"/>
      <c r="AL190" s="89"/>
      <c r="AM190" s="89"/>
      <c r="AN190" s="89"/>
      <c r="AO190" s="89"/>
    </row>
    <row r="191" spans="3:43" x14ac:dyDescent="0.3">
      <c r="E191" s="32" t="s">
        <v>791</v>
      </c>
      <c r="G191" s="13"/>
      <c r="H191" s="128"/>
      <c r="J191" s="89"/>
      <c r="K191" s="89"/>
      <c r="L191" s="89"/>
      <c r="M191" s="89"/>
      <c r="N191" s="89"/>
      <c r="O191" s="89"/>
      <c r="P191" s="89"/>
      <c r="Q191" s="89"/>
      <c r="R191" s="89"/>
      <c r="S191" s="89"/>
      <c r="T191" s="89"/>
      <c r="U191" s="89"/>
      <c r="V191" s="89"/>
      <c r="W191" s="89"/>
      <c r="X191" s="89"/>
      <c r="Y191" s="89"/>
      <c r="Z191" s="89"/>
      <c r="AA191" s="89"/>
      <c r="AB191" s="89"/>
      <c r="AC191" s="89"/>
      <c r="AD191" s="89"/>
      <c r="AE191" s="89"/>
      <c r="AF191" s="89"/>
      <c r="AG191" s="89"/>
      <c r="AH191" s="89"/>
      <c r="AI191" s="89"/>
      <c r="AJ191" s="89"/>
      <c r="AK191" s="89"/>
      <c r="AL191" s="89"/>
      <c r="AM191" s="89"/>
      <c r="AN191" s="89"/>
      <c r="AO191" s="89"/>
    </row>
    <row r="192" spans="3:43" x14ac:dyDescent="0.3">
      <c r="E192" s="29" t="s">
        <v>792</v>
      </c>
      <c r="J192" s="89"/>
      <c r="K192" s="89"/>
      <c r="L192" s="89"/>
      <c r="M192" s="89"/>
      <c r="N192" s="89"/>
      <c r="O192" s="89"/>
      <c r="P192" s="89"/>
      <c r="Q192" s="89"/>
      <c r="R192" s="89"/>
      <c r="S192" s="89"/>
      <c r="T192" s="89"/>
      <c r="U192" s="89"/>
      <c r="V192" s="89"/>
      <c r="W192" s="89"/>
      <c r="X192" s="89"/>
      <c r="Y192" s="89"/>
      <c r="Z192" s="89"/>
      <c r="AA192" s="89"/>
      <c r="AB192" s="89"/>
      <c r="AC192" s="89"/>
      <c r="AD192" s="89"/>
      <c r="AE192" s="89"/>
      <c r="AF192" s="89"/>
      <c r="AG192" s="89"/>
      <c r="AH192" s="89"/>
      <c r="AI192" s="89"/>
      <c r="AJ192" s="89"/>
      <c r="AK192" s="89"/>
      <c r="AL192" s="89"/>
      <c r="AM192" s="89"/>
      <c r="AN192" s="89"/>
      <c r="AO192" s="89"/>
    </row>
    <row r="193" spans="3:43" x14ac:dyDescent="0.3">
      <c r="C193" s="88"/>
      <c r="F193" s="23" t="s">
        <v>156</v>
      </c>
      <c r="G193" s="85" t="s">
        <v>790</v>
      </c>
      <c r="H193" s="218"/>
      <c r="I193" s="23"/>
      <c r="J193" s="126">
        <f t="shared" ref="J193:AO193" si="49" xml:space="preserve"> IF( J$25 &lt;&gt; 0, J$22 * thousand * J73 / hundred / J$25,0)</f>
        <v>12.221430582183773</v>
      </c>
      <c r="K193" s="126">
        <f t="shared" si="49"/>
        <v>0</v>
      </c>
      <c r="L193" s="126">
        <f t="shared" si="49"/>
        <v>0</v>
      </c>
      <c r="M193" s="126">
        <f t="shared" si="49"/>
        <v>5.108889351534974</v>
      </c>
      <c r="N193" s="126">
        <f t="shared" si="49"/>
        <v>28.41356360487563</v>
      </c>
      <c r="O193" s="126">
        <f t="shared" si="49"/>
        <v>69.674979332477363</v>
      </c>
      <c r="P193" s="126">
        <f t="shared" si="49"/>
        <v>224.67539337603864</v>
      </c>
      <c r="Q193" s="126">
        <f t="shared" si="49"/>
        <v>0</v>
      </c>
      <c r="R193" s="126">
        <f t="shared" si="49"/>
        <v>0</v>
      </c>
      <c r="S193" s="126">
        <f t="shared" si="49"/>
        <v>211.91076019479019</v>
      </c>
      <c r="T193" s="126">
        <f t="shared" si="49"/>
        <v>391.5099173252533</v>
      </c>
      <c r="U193" s="126">
        <f t="shared" si="49"/>
        <v>606.47408971152777</v>
      </c>
      <c r="V193" s="126">
        <f t="shared" si="49"/>
        <v>946.2877890446116</v>
      </c>
      <c r="W193" s="126">
        <f t="shared" si="49"/>
        <v>0</v>
      </c>
      <c r="X193" s="126">
        <f t="shared" si="49"/>
        <v>175.88077654310223</v>
      </c>
      <c r="Y193" s="126">
        <f t="shared" si="49"/>
        <v>376.19637506358993</v>
      </c>
      <c r="Z193" s="126">
        <f t="shared" si="49"/>
        <v>602.8626057774037</v>
      </c>
      <c r="AA193" s="126">
        <f t="shared" si="49"/>
        <v>904.59387747474454</v>
      </c>
      <c r="AB193" s="126">
        <f t="shared" si="49"/>
        <v>0</v>
      </c>
      <c r="AC193" s="126">
        <f t="shared" si="49"/>
        <v>500.75908958316677</v>
      </c>
      <c r="AD193" s="126">
        <f t="shared" si="49"/>
        <v>1654.7207480505731</v>
      </c>
      <c r="AE193" s="126">
        <f t="shared" si="49"/>
        <v>3688.5961156294143</v>
      </c>
      <c r="AF193" s="126">
        <f t="shared" si="49"/>
        <v>11378.481876411004</v>
      </c>
      <c r="AG193" s="126">
        <f t="shared" si="49"/>
        <v>29394.666236852561</v>
      </c>
      <c r="AH193" s="126">
        <f t="shared" si="49"/>
        <v>0</v>
      </c>
      <c r="AI193" s="126">
        <f t="shared" si="49"/>
        <v>0</v>
      </c>
      <c r="AJ193" s="126">
        <f t="shared" si="49"/>
        <v>-274.53516039443741</v>
      </c>
      <c r="AK193" s="126">
        <f t="shared" si="49"/>
        <v>0</v>
      </c>
      <c r="AL193" s="126">
        <f t="shared" si="49"/>
        <v>-1172.1471831312822</v>
      </c>
      <c r="AM193" s="126">
        <f t="shared" si="49"/>
        <v>0</v>
      </c>
      <c r="AN193" s="126">
        <f t="shared" si="49"/>
        <v>-4619.9531266179392</v>
      </c>
      <c r="AO193" s="126">
        <f t="shared" si="49"/>
        <v>0</v>
      </c>
    </row>
    <row r="194" spans="3:43" x14ac:dyDescent="0.3">
      <c r="C194" s="88"/>
      <c r="F194" t="s">
        <v>157</v>
      </c>
      <c r="G194" s="13" t="s">
        <v>790</v>
      </c>
      <c r="H194" s="102"/>
      <c r="J194" s="98">
        <f t="shared" ref="J194:AO194" si="50" xml:space="preserve"> IF( J$25 &lt;&gt; 0, J$23 * thousand * J74 / hundred / J$25, 0)</f>
        <v>5.7463758746943965</v>
      </c>
      <c r="K194" s="98">
        <f t="shared" si="50"/>
        <v>0</v>
      </c>
      <c r="L194" s="98">
        <f t="shared" si="50"/>
        <v>0</v>
      </c>
      <c r="M194" s="98">
        <f t="shared" si="50"/>
        <v>3.3141985268564942</v>
      </c>
      <c r="N194" s="98">
        <f t="shared" si="50"/>
        <v>18.432223554367862</v>
      </c>
      <c r="O194" s="98">
        <f t="shared" si="50"/>
        <v>45.199004709912906</v>
      </c>
      <c r="P194" s="98">
        <f t="shared" si="50"/>
        <v>145.74965447706333</v>
      </c>
      <c r="Q194" s="98">
        <f t="shared" si="50"/>
        <v>0</v>
      </c>
      <c r="R194" s="98">
        <f t="shared" si="50"/>
        <v>0</v>
      </c>
      <c r="S194" s="98">
        <f t="shared" si="50"/>
        <v>131.83349344989026</v>
      </c>
      <c r="T194" s="98">
        <f t="shared" si="50"/>
        <v>243.56535776579591</v>
      </c>
      <c r="U194" s="98">
        <f t="shared" si="50"/>
        <v>377.29843383138643</v>
      </c>
      <c r="V194" s="98">
        <f t="shared" si="50"/>
        <v>588.70264503817759</v>
      </c>
      <c r="W194" s="98">
        <f t="shared" si="50"/>
        <v>0</v>
      </c>
      <c r="X194" s="98">
        <f t="shared" si="50"/>
        <v>80.725577493685805</v>
      </c>
      <c r="Y194" s="98">
        <f t="shared" si="50"/>
        <v>172.66622438750275</v>
      </c>
      <c r="Z194" s="98">
        <f t="shared" si="50"/>
        <v>276.70125727926114</v>
      </c>
      <c r="AA194" s="98">
        <f t="shared" si="50"/>
        <v>415.18956529342836</v>
      </c>
      <c r="AB194" s="98">
        <f t="shared" si="50"/>
        <v>0</v>
      </c>
      <c r="AC194" s="98">
        <f t="shared" si="50"/>
        <v>337.88426401629192</v>
      </c>
      <c r="AD194" s="98">
        <f t="shared" si="50"/>
        <v>1116.5131372312303</v>
      </c>
      <c r="AE194" s="98">
        <f t="shared" si="50"/>
        <v>2488.8586342391454</v>
      </c>
      <c r="AF194" s="98">
        <f t="shared" si="50"/>
        <v>7677.5640311074794</v>
      </c>
      <c r="AG194" s="98">
        <f t="shared" si="50"/>
        <v>24120.065051713416</v>
      </c>
      <c r="AH194" s="98">
        <f t="shared" si="50"/>
        <v>0</v>
      </c>
      <c r="AI194" s="98">
        <f t="shared" si="50"/>
        <v>0</v>
      </c>
      <c r="AJ194" s="98">
        <f t="shared" si="50"/>
        <v>-217.19448636133941</v>
      </c>
      <c r="AK194" s="98">
        <f t="shared" si="50"/>
        <v>0</v>
      </c>
      <c r="AL194" s="98">
        <f t="shared" si="50"/>
        <v>-747.31295004571723</v>
      </c>
      <c r="AM194" s="98">
        <f t="shared" si="50"/>
        <v>0</v>
      </c>
      <c r="AN194" s="98">
        <f t="shared" si="50"/>
        <v>-2786.1554864163963</v>
      </c>
      <c r="AO194" s="98">
        <f t="shared" si="50"/>
        <v>0</v>
      </c>
    </row>
    <row r="195" spans="3:43" x14ac:dyDescent="0.3">
      <c r="C195" s="88"/>
      <c r="F195" t="s">
        <v>158</v>
      </c>
      <c r="G195" s="13" t="s">
        <v>790</v>
      </c>
      <c r="H195" s="102"/>
      <c r="J195" s="98">
        <f t="shared" ref="J195:AO195" si="51" xml:space="preserve"> IF( J$25 &lt;&gt; 0, J$24 * thousand * J75 / hundred / J$25, 0)</f>
        <v>0.88799119921760383</v>
      </c>
      <c r="K195" s="98">
        <f t="shared" si="51"/>
        <v>0</v>
      </c>
      <c r="L195" s="98">
        <f t="shared" si="51"/>
        <v>0</v>
      </c>
      <c r="M195" s="98">
        <f t="shared" si="51"/>
        <v>0.32078254082232915</v>
      </c>
      <c r="N195" s="98">
        <f t="shared" si="51"/>
        <v>1.78406195551101</v>
      </c>
      <c r="O195" s="98">
        <f t="shared" si="51"/>
        <v>4.3748289234919735</v>
      </c>
      <c r="P195" s="98">
        <f t="shared" si="51"/>
        <v>14.107164706115205</v>
      </c>
      <c r="Q195" s="98">
        <f t="shared" si="51"/>
        <v>0</v>
      </c>
      <c r="R195" s="98">
        <f t="shared" si="51"/>
        <v>0</v>
      </c>
      <c r="S195" s="98">
        <f t="shared" si="51"/>
        <v>11.788622792311442</v>
      </c>
      <c r="T195" s="98">
        <f t="shared" si="51"/>
        <v>21.779746958361006</v>
      </c>
      <c r="U195" s="98">
        <f t="shared" si="51"/>
        <v>33.738231462846791</v>
      </c>
      <c r="V195" s="98">
        <f t="shared" si="51"/>
        <v>52.642111178135288</v>
      </c>
      <c r="W195" s="98">
        <f t="shared" si="51"/>
        <v>0</v>
      </c>
      <c r="X195" s="98">
        <f t="shared" si="51"/>
        <v>4.4296578756512757</v>
      </c>
      <c r="Y195" s="98">
        <f t="shared" si="51"/>
        <v>9.4747207076579549</v>
      </c>
      <c r="Z195" s="98">
        <f t="shared" si="51"/>
        <v>15.183439271221816</v>
      </c>
      <c r="AA195" s="98">
        <f t="shared" si="51"/>
        <v>22.782713792714812</v>
      </c>
      <c r="AB195" s="98">
        <f t="shared" si="51"/>
        <v>0</v>
      </c>
      <c r="AC195" s="98">
        <f t="shared" si="51"/>
        <v>17.313554336876503</v>
      </c>
      <c r="AD195" s="98">
        <f t="shared" si="51"/>
        <v>57.211338105870674</v>
      </c>
      <c r="AE195" s="98">
        <f t="shared" si="51"/>
        <v>127.5318024239979</v>
      </c>
      <c r="AF195" s="98">
        <f t="shared" si="51"/>
        <v>393.40666667157541</v>
      </c>
      <c r="AG195" s="98">
        <f t="shared" si="51"/>
        <v>71636.769322122287</v>
      </c>
      <c r="AH195" s="98">
        <f t="shared" si="51"/>
        <v>0</v>
      </c>
      <c r="AI195" s="98">
        <f t="shared" si="51"/>
        <v>0</v>
      </c>
      <c r="AJ195" s="98">
        <f t="shared" si="51"/>
        <v>-20.636955399094916</v>
      </c>
      <c r="AK195" s="98">
        <f t="shared" si="51"/>
        <v>0</v>
      </c>
      <c r="AL195" s="98">
        <f t="shared" si="51"/>
        <v>-98.266576741520964</v>
      </c>
      <c r="AM195" s="98">
        <f t="shared" si="51"/>
        <v>0</v>
      </c>
      <c r="AN195" s="98">
        <f t="shared" si="51"/>
        <v>-183.68203548404324</v>
      </c>
      <c r="AO195" s="98">
        <f t="shared" si="51"/>
        <v>0</v>
      </c>
    </row>
    <row r="196" spans="3:43" x14ac:dyDescent="0.3">
      <c r="C196" s="88"/>
      <c r="F196" s="23" t="s">
        <v>159</v>
      </c>
      <c r="G196" s="85" t="s">
        <v>790</v>
      </c>
      <c r="H196" s="218"/>
      <c r="I196" s="23"/>
      <c r="J196" s="126">
        <f t="shared" ref="J196:AO196" si="52" xml:space="preserve"> IF( J$25 &lt;&gt; 0, J$25 * J76 * days_in_year / hundred / J$25, 0)</f>
        <v>65.188999999999993</v>
      </c>
      <c r="K196" s="126">
        <f t="shared" si="52"/>
        <v>0</v>
      </c>
      <c r="L196" s="126">
        <f t="shared" si="52"/>
        <v>0</v>
      </c>
      <c r="M196" s="126">
        <f t="shared" si="52"/>
        <v>25.403999999999996</v>
      </c>
      <c r="N196" s="126">
        <f t="shared" si="52"/>
        <v>63.911500000000004</v>
      </c>
      <c r="O196" s="126">
        <f t="shared" si="52"/>
        <v>132.09349999999998</v>
      </c>
      <c r="P196" s="126">
        <f t="shared" si="52"/>
        <v>388.17750000000001</v>
      </c>
      <c r="Q196" s="126">
        <f t="shared" si="52"/>
        <v>0</v>
      </c>
      <c r="R196" s="126">
        <f t="shared" si="52"/>
        <v>0</v>
      </c>
      <c r="S196" s="126">
        <f t="shared" si="52"/>
        <v>573.70699999999999</v>
      </c>
      <c r="T196" s="126">
        <f t="shared" si="52"/>
        <v>1040.0675000000001</v>
      </c>
      <c r="U196" s="126">
        <f t="shared" si="52"/>
        <v>1599.5030000000002</v>
      </c>
      <c r="V196" s="126">
        <f t="shared" si="52"/>
        <v>2483.8615000000004</v>
      </c>
      <c r="W196" s="126">
        <f t="shared" si="52"/>
        <v>0</v>
      </c>
      <c r="X196" s="126">
        <f t="shared" si="52"/>
        <v>881.00049999999999</v>
      </c>
      <c r="Y196" s="126">
        <f t="shared" si="52"/>
        <v>1603.81</v>
      </c>
      <c r="Z196" s="126">
        <f t="shared" si="52"/>
        <v>2470.8309999999997</v>
      </c>
      <c r="AA196" s="126">
        <f t="shared" si="52"/>
        <v>3841.4790000000003</v>
      </c>
      <c r="AB196" s="126">
        <f t="shared" si="52"/>
        <v>0</v>
      </c>
      <c r="AC196" s="126">
        <f t="shared" si="52"/>
        <v>5041.1245000000008</v>
      </c>
      <c r="AD196" s="126">
        <f t="shared" si="52"/>
        <v>15959.990000000003</v>
      </c>
      <c r="AE196" s="126">
        <f t="shared" si="52"/>
        <v>35204.688000000002</v>
      </c>
      <c r="AF196" s="126">
        <f t="shared" si="52"/>
        <v>107967.0365</v>
      </c>
      <c r="AG196" s="126">
        <f t="shared" si="52"/>
        <v>0</v>
      </c>
      <c r="AH196" s="126">
        <f t="shared" si="52"/>
        <v>0</v>
      </c>
      <c r="AI196" s="126">
        <f t="shared" si="52"/>
        <v>0</v>
      </c>
      <c r="AJ196" s="126">
        <f t="shared" si="52"/>
        <v>0</v>
      </c>
      <c r="AK196" s="126">
        <f t="shared" si="52"/>
        <v>0</v>
      </c>
      <c r="AL196" s="126">
        <f t="shared" si="52"/>
        <v>0</v>
      </c>
      <c r="AM196" s="126">
        <f t="shared" si="52"/>
        <v>0</v>
      </c>
      <c r="AN196" s="126">
        <f t="shared" si="52"/>
        <v>0</v>
      </c>
      <c r="AO196" s="126">
        <f t="shared" si="52"/>
        <v>0</v>
      </c>
    </row>
    <row r="197" spans="3:43" x14ac:dyDescent="0.3">
      <c r="C197" s="88"/>
      <c r="F197" t="s">
        <v>160</v>
      </c>
      <c r="G197" s="13" t="s">
        <v>790</v>
      </c>
      <c r="H197" s="102"/>
      <c r="J197" s="98">
        <f t="shared" ref="J197:AO197" si="53" xml:space="preserve"> IF( J$25 &lt;&gt; 0, J$26 * J77 * days_in_year / hundred / J$25, 0)</f>
        <v>0</v>
      </c>
      <c r="K197" s="98">
        <f t="shared" si="53"/>
        <v>0</v>
      </c>
      <c r="L197" s="98">
        <f t="shared" si="53"/>
        <v>0</v>
      </c>
      <c r="M197" s="98">
        <f t="shared" si="53"/>
        <v>0</v>
      </c>
      <c r="N197" s="98">
        <f t="shared" si="53"/>
        <v>0</v>
      </c>
      <c r="O197" s="98">
        <f t="shared" si="53"/>
        <v>0</v>
      </c>
      <c r="P197" s="98">
        <f t="shared" si="53"/>
        <v>0</v>
      </c>
      <c r="Q197" s="98">
        <f t="shared" si="53"/>
        <v>0</v>
      </c>
      <c r="R197" s="98">
        <f t="shared" si="53"/>
        <v>0</v>
      </c>
      <c r="S197" s="98">
        <f t="shared" si="53"/>
        <v>356.00763176423885</v>
      </c>
      <c r="T197" s="98">
        <f t="shared" si="53"/>
        <v>928.27070795666464</v>
      </c>
      <c r="U197" s="98">
        <f t="shared" si="53"/>
        <v>1479.7814996361374</v>
      </c>
      <c r="V197" s="98">
        <f t="shared" si="53"/>
        <v>2408.8367888951357</v>
      </c>
      <c r="W197" s="98">
        <f t="shared" si="53"/>
        <v>0</v>
      </c>
      <c r="X197" s="98">
        <f t="shared" si="53"/>
        <v>441.16295944761737</v>
      </c>
      <c r="Y197" s="98">
        <f t="shared" si="53"/>
        <v>1830.7471775635443</v>
      </c>
      <c r="Z197" s="98">
        <f t="shared" si="53"/>
        <v>2972.4448658819647</v>
      </c>
      <c r="AA197" s="98">
        <f t="shared" si="53"/>
        <v>7382.6927359416386</v>
      </c>
      <c r="AB197" s="98">
        <f t="shared" si="53"/>
        <v>0</v>
      </c>
      <c r="AC197" s="98">
        <f t="shared" si="53"/>
        <v>3648.5664540058524</v>
      </c>
      <c r="AD197" s="98">
        <f t="shared" si="53"/>
        <v>11187.367821221171</v>
      </c>
      <c r="AE197" s="98">
        <f t="shared" si="53"/>
        <v>23818.634128712813</v>
      </c>
      <c r="AF197" s="98">
        <f t="shared" si="53"/>
        <v>70430.061551330466</v>
      </c>
      <c r="AG197" s="98">
        <f t="shared" si="53"/>
        <v>0</v>
      </c>
      <c r="AH197" s="98">
        <f t="shared" si="53"/>
        <v>0</v>
      </c>
      <c r="AI197" s="98">
        <f t="shared" si="53"/>
        <v>0</v>
      </c>
      <c r="AJ197" s="98">
        <f t="shared" si="53"/>
        <v>0</v>
      </c>
      <c r="AK197" s="98">
        <f t="shared" si="53"/>
        <v>0</v>
      </c>
      <c r="AL197" s="98">
        <f t="shared" si="53"/>
        <v>0</v>
      </c>
      <c r="AM197" s="98">
        <f t="shared" si="53"/>
        <v>0</v>
      </c>
      <c r="AN197" s="98">
        <f t="shared" si="53"/>
        <v>0</v>
      </c>
      <c r="AO197" s="98">
        <f t="shared" si="53"/>
        <v>0</v>
      </c>
    </row>
    <row r="198" spans="3:43" x14ac:dyDescent="0.3">
      <c r="C198" s="88"/>
      <c r="F198" t="s">
        <v>161</v>
      </c>
      <c r="G198" s="13" t="s">
        <v>790</v>
      </c>
      <c r="H198" s="102"/>
      <c r="J198" s="98">
        <f t="shared" ref="J198:AO198" si="54" xml:space="preserve"> IF( J$25 &lt;&gt; 0, J$27 * J78 * days_in_year / hundred / J$25, 0)</f>
        <v>0</v>
      </c>
      <c r="K198" s="98">
        <f t="shared" si="54"/>
        <v>0</v>
      </c>
      <c r="L198" s="98">
        <f t="shared" si="54"/>
        <v>0</v>
      </c>
      <c r="M198" s="98">
        <f t="shared" si="54"/>
        <v>0</v>
      </c>
      <c r="N198" s="98">
        <f t="shared" si="54"/>
        <v>0</v>
      </c>
      <c r="O198" s="98">
        <f t="shared" si="54"/>
        <v>0</v>
      </c>
      <c r="P198" s="98">
        <f t="shared" si="54"/>
        <v>0</v>
      </c>
      <c r="Q198" s="98">
        <f t="shared" si="54"/>
        <v>0</v>
      </c>
      <c r="R198" s="98">
        <f t="shared" si="54"/>
        <v>0</v>
      </c>
      <c r="S198" s="98">
        <f t="shared" si="54"/>
        <v>13.347174178819396</v>
      </c>
      <c r="T198" s="98">
        <f t="shared" si="54"/>
        <v>34.802037143963709</v>
      </c>
      <c r="U198" s="98">
        <f t="shared" si="54"/>
        <v>55.478870844313398</v>
      </c>
      <c r="V198" s="98">
        <f t="shared" si="54"/>
        <v>90.310322928759689</v>
      </c>
      <c r="W198" s="98">
        <f t="shared" si="54"/>
        <v>0</v>
      </c>
      <c r="X198" s="98">
        <f t="shared" si="54"/>
        <v>1.1720514103632553</v>
      </c>
      <c r="Y198" s="98">
        <f t="shared" si="54"/>
        <v>4.8638031945578142</v>
      </c>
      <c r="Z198" s="98">
        <f t="shared" si="54"/>
        <v>7.8969870943973461</v>
      </c>
      <c r="AA198" s="98">
        <f t="shared" si="54"/>
        <v>19.61383032762609</v>
      </c>
      <c r="AB198" s="98">
        <f t="shared" si="54"/>
        <v>0</v>
      </c>
      <c r="AC198" s="98">
        <f t="shared" si="54"/>
        <v>62.364319056189977</v>
      </c>
      <c r="AD198" s="98">
        <f t="shared" si="54"/>
        <v>191.223754588758</v>
      </c>
      <c r="AE198" s="98">
        <f t="shared" si="54"/>
        <v>407.12781773641746</v>
      </c>
      <c r="AF198" s="98">
        <f t="shared" si="54"/>
        <v>1203.8489322050943</v>
      </c>
      <c r="AG198" s="98">
        <f t="shared" si="54"/>
        <v>0</v>
      </c>
      <c r="AH198" s="98">
        <f t="shared" si="54"/>
        <v>0</v>
      </c>
      <c r="AI198" s="98">
        <f t="shared" si="54"/>
        <v>0</v>
      </c>
      <c r="AJ198" s="98">
        <f t="shared" si="54"/>
        <v>0</v>
      </c>
      <c r="AK198" s="98">
        <f t="shared" si="54"/>
        <v>0</v>
      </c>
      <c r="AL198" s="98">
        <f t="shared" si="54"/>
        <v>0</v>
      </c>
      <c r="AM198" s="98">
        <f t="shared" si="54"/>
        <v>0</v>
      </c>
      <c r="AN198" s="98">
        <f t="shared" si="54"/>
        <v>0</v>
      </c>
      <c r="AO198" s="98">
        <f t="shared" si="54"/>
        <v>0</v>
      </c>
    </row>
    <row r="199" spans="3:43" x14ac:dyDescent="0.3">
      <c r="C199" s="88"/>
      <c r="F199" s="23" t="s">
        <v>162</v>
      </c>
      <c r="G199" s="85" t="s">
        <v>790</v>
      </c>
      <c r="H199" s="218"/>
      <c r="I199" s="23"/>
      <c r="J199" s="126">
        <f t="shared" ref="J199:AO199" si="55" xml:space="preserve"> IF( J$25 &lt;&gt; 0, J$28 * thousand * J79 / hundred / J$25, 0)</f>
        <v>0</v>
      </c>
      <c r="K199" s="126">
        <f t="shared" si="55"/>
        <v>0</v>
      </c>
      <c r="L199" s="126">
        <f t="shared" si="55"/>
        <v>0</v>
      </c>
      <c r="M199" s="126">
        <f t="shared" si="55"/>
        <v>0</v>
      </c>
      <c r="N199" s="126">
        <f t="shared" si="55"/>
        <v>0</v>
      </c>
      <c r="O199" s="126">
        <f t="shared" si="55"/>
        <v>0</v>
      </c>
      <c r="P199" s="126">
        <f t="shared" si="55"/>
        <v>0</v>
      </c>
      <c r="Q199" s="126">
        <f t="shared" si="55"/>
        <v>0</v>
      </c>
      <c r="R199" s="126">
        <f t="shared" si="55"/>
        <v>0</v>
      </c>
      <c r="S199" s="126">
        <f t="shared" si="55"/>
        <v>12.309868087437952</v>
      </c>
      <c r="T199" s="126">
        <f t="shared" si="55"/>
        <v>22.742759418009456</v>
      </c>
      <c r="U199" s="126">
        <f t="shared" si="55"/>
        <v>35.229999816599509</v>
      </c>
      <c r="V199" s="126">
        <f t="shared" si="55"/>
        <v>54.969732755358521</v>
      </c>
      <c r="W199" s="126">
        <f t="shared" si="55"/>
        <v>0</v>
      </c>
      <c r="X199" s="126">
        <f t="shared" si="55"/>
        <v>8.9670093521339407</v>
      </c>
      <c r="Y199" s="126">
        <f t="shared" si="55"/>
        <v>19.179790308734546</v>
      </c>
      <c r="Z199" s="126">
        <f t="shared" si="55"/>
        <v>30.736017490422139</v>
      </c>
      <c r="AA199" s="126">
        <f t="shared" si="55"/>
        <v>46.119319681371159</v>
      </c>
      <c r="AB199" s="126">
        <f t="shared" si="55"/>
        <v>0</v>
      </c>
      <c r="AC199" s="126">
        <f t="shared" si="55"/>
        <v>25.351722900859038</v>
      </c>
      <c r="AD199" s="126">
        <f t="shared" si="55"/>
        <v>83.772861552647271</v>
      </c>
      <c r="AE199" s="126">
        <f t="shared" si="55"/>
        <v>186.74102689670957</v>
      </c>
      <c r="AF199" s="126">
        <f t="shared" si="55"/>
        <v>576.05368642102292</v>
      </c>
      <c r="AG199" s="126">
        <f t="shared" si="55"/>
        <v>0</v>
      </c>
      <c r="AH199" s="126">
        <f t="shared" si="55"/>
        <v>0</v>
      </c>
      <c r="AI199" s="126">
        <f t="shared" si="55"/>
        <v>0</v>
      </c>
      <c r="AJ199" s="126">
        <f t="shared" si="55"/>
        <v>11.834211631327024</v>
      </c>
      <c r="AK199" s="126">
        <f t="shared" si="55"/>
        <v>0</v>
      </c>
      <c r="AL199" s="126">
        <f t="shared" si="55"/>
        <v>12.302421548458678</v>
      </c>
      <c r="AM199" s="126">
        <f t="shared" si="55"/>
        <v>0</v>
      </c>
      <c r="AN199" s="126">
        <f t="shared" si="55"/>
        <v>107.28926737165273</v>
      </c>
      <c r="AO199" s="126">
        <f t="shared" si="55"/>
        <v>0</v>
      </c>
    </row>
    <row r="200" spans="3:43" x14ac:dyDescent="0.3">
      <c r="C200" s="88"/>
      <c r="F200" s="108" t="s">
        <v>100</v>
      </c>
      <c r="G200" s="214" t="s">
        <v>790</v>
      </c>
      <c r="H200" s="219"/>
      <c r="I200" s="108"/>
      <c r="J200" s="153">
        <f t="shared" ref="J200" si="56">SUM(J193:J199)</f>
        <v>84.044797656095767</v>
      </c>
      <c r="K200" s="153">
        <f t="shared" ref="K200:AO200" si="57">SUM(K193:K199)</f>
        <v>0</v>
      </c>
      <c r="L200" s="153">
        <f t="shared" si="57"/>
        <v>0</v>
      </c>
      <c r="M200" s="153">
        <f t="shared" si="57"/>
        <v>34.147870419213795</v>
      </c>
      <c r="N200" s="153">
        <f t="shared" si="57"/>
        <v>112.5413491147545</v>
      </c>
      <c r="O200" s="153">
        <f t="shared" si="57"/>
        <v>251.34231296588223</v>
      </c>
      <c r="P200" s="153">
        <f t="shared" si="57"/>
        <v>772.70971255921722</v>
      </c>
      <c r="Q200" s="153">
        <f t="shared" si="57"/>
        <v>0</v>
      </c>
      <c r="R200" s="153">
        <f t="shared" si="57"/>
        <v>0</v>
      </c>
      <c r="S200" s="153">
        <f t="shared" si="57"/>
        <v>1310.904550467488</v>
      </c>
      <c r="T200" s="153">
        <f t="shared" si="57"/>
        <v>2682.7380265680486</v>
      </c>
      <c r="U200" s="153">
        <f t="shared" si="57"/>
        <v>4187.5041253028112</v>
      </c>
      <c r="V200" s="153">
        <f t="shared" si="57"/>
        <v>6625.610889840179</v>
      </c>
      <c r="W200" s="153">
        <f t="shared" si="57"/>
        <v>0</v>
      </c>
      <c r="X200" s="153">
        <f t="shared" si="57"/>
        <v>1593.3385321225542</v>
      </c>
      <c r="Y200" s="153">
        <f t="shared" si="57"/>
        <v>4016.938091225587</v>
      </c>
      <c r="Z200" s="153">
        <f t="shared" si="57"/>
        <v>6376.656172794671</v>
      </c>
      <c r="AA200" s="153">
        <f t="shared" si="57"/>
        <v>12632.471042511523</v>
      </c>
      <c r="AB200" s="153">
        <f t="shared" si="57"/>
        <v>0</v>
      </c>
      <c r="AC200" s="153">
        <f t="shared" si="57"/>
        <v>9633.3639038992387</v>
      </c>
      <c r="AD200" s="153">
        <f t="shared" si="57"/>
        <v>30250.799660750254</v>
      </c>
      <c r="AE200" s="153">
        <f t="shared" si="57"/>
        <v>65922.177525638501</v>
      </c>
      <c r="AF200" s="153">
        <f t="shared" si="57"/>
        <v>199626.45324414663</v>
      </c>
      <c r="AG200" s="153">
        <f t="shared" si="57"/>
        <v>125151.50061068826</v>
      </c>
      <c r="AH200" s="153">
        <f t="shared" si="57"/>
        <v>0</v>
      </c>
      <c r="AI200" s="153">
        <f t="shared" si="57"/>
        <v>0</v>
      </c>
      <c r="AJ200" s="153">
        <f t="shared" si="57"/>
        <v>-500.53239052354473</v>
      </c>
      <c r="AK200" s="153">
        <f t="shared" si="57"/>
        <v>0</v>
      </c>
      <c r="AL200" s="153">
        <f t="shared" si="57"/>
        <v>-2005.424288370062</v>
      </c>
      <c r="AM200" s="153">
        <f t="shared" si="57"/>
        <v>0</v>
      </c>
      <c r="AN200" s="153">
        <f t="shared" si="57"/>
        <v>-7482.5013811467261</v>
      </c>
      <c r="AO200" s="153">
        <f t="shared" si="57"/>
        <v>0</v>
      </c>
    </row>
    <row r="201" spans="3:43" x14ac:dyDescent="0.3">
      <c r="C201" s="88"/>
      <c r="D201" s="2"/>
      <c r="E201" s="2"/>
      <c r="G201" s="13"/>
    </row>
    <row r="202" spans="3:43" x14ac:dyDescent="0.3">
      <c r="C202" s="31" t="str">
        <f ca="1">INDEX('Version control'!$H$34:$H$57,MATCH($A$1,'Version control'!$F$34:$F$57,0),1)&amp;"-K: LDNO margins"</f>
        <v>Section 118-K: LDNO margins</v>
      </c>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c r="AK202" s="31"/>
      <c r="AL202" s="31"/>
      <c r="AM202" s="31"/>
      <c r="AN202" s="31"/>
      <c r="AO202" s="31"/>
      <c r="AP202" s="31"/>
      <c r="AQ202" s="31"/>
    </row>
    <row r="203" spans="3:43" x14ac:dyDescent="0.3">
      <c r="C203" s="88"/>
      <c r="D203" s="2"/>
      <c r="E203" s="2"/>
      <c r="G203" s="13"/>
    </row>
    <row r="204" spans="3:43" x14ac:dyDescent="0.3">
      <c r="C204" s="88"/>
      <c r="D204" s="2" t="s">
        <v>793</v>
      </c>
      <c r="E204" s="2"/>
      <c r="G204" s="13"/>
    </row>
    <row r="205" spans="3:43" x14ac:dyDescent="0.3">
      <c r="D205" s="32"/>
      <c r="G205" s="13"/>
      <c r="H205" s="128"/>
      <c r="J205" s="63"/>
      <c r="K205" s="63"/>
      <c r="L205" s="63"/>
      <c r="M205" s="63"/>
      <c r="N205" s="63"/>
      <c r="O205" s="63"/>
      <c r="P205" s="63"/>
      <c r="Q205" s="63"/>
      <c r="R205" s="63"/>
      <c r="S205" s="63"/>
      <c r="T205" s="63"/>
      <c r="U205" s="63"/>
      <c r="V205" s="63"/>
      <c r="W205" s="63"/>
      <c r="X205" s="63"/>
      <c r="Y205" s="63"/>
      <c r="Z205" s="63"/>
      <c r="AA205" s="63"/>
      <c r="AB205" s="63"/>
      <c r="AC205" s="63"/>
      <c r="AD205" s="63"/>
      <c r="AE205" s="63"/>
      <c r="AF205" s="63"/>
      <c r="AG205" s="63"/>
      <c r="AH205" s="63"/>
      <c r="AI205" s="63"/>
      <c r="AJ205" s="63"/>
      <c r="AK205" s="63"/>
      <c r="AL205" s="63"/>
      <c r="AM205" s="63"/>
      <c r="AN205" s="63"/>
      <c r="AO205" s="63"/>
    </row>
    <row r="206" spans="3:43" x14ac:dyDescent="0.3">
      <c r="C206" s="88"/>
      <c r="D206" s="2"/>
      <c r="E206" t="s">
        <v>794</v>
      </c>
      <c r="G206" s="28" t="s">
        <v>167</v>
      </c>
      <c r="J206" s="111">
        <f>IF( AND( ISNUMBER(J$140), J$140 &lt;&gt; 0), ( J$140 - J189 ) / J$140, 0)</f>
        <v>0.24849299741952874</v>
      </c>
      <c r="K206" s="111">
        <f>IF( AND( ISNUMBER(K$140), K$140 &lt;&gt; 0), ( K$140 - K189 ) / K$140, 0)</f>
        <v>0</v>
      </c>
      <c r="L206" s="111">
        <f t="shared" ref="L206:AK206" si="58">IF( AND( ISNUMBER(L$140), L$140 &lt;&gt; 0), ( L$140 - L189 ) / L$140, 0)</f>
        <v>0</v>
      </c>
      <c r="M206" s="111">
        <f t="shared" si="58"/>
        <v>0.33596493825373591</v>
      </c>
      <c r="N206" s="111">
        <f t="shared" si="58"/>
        <v>0.33680840808350809</v>
      </c>
      <c r="O206" s="111">
        <f t="shared" si="58"/>
        <v>0.33704842608197583</v>
      </c>
      <c r="P206" s="111">
        <f t="shared" si="58"/>
        <v>0.3371771680170938</v>
      </c>
      <c r="Q206" s="111">
        <f t="shared" si="58"/>
        <v>0</v>
      </c>
      <c r="R206" s="111">
        <f t="shared" si="58"/>
        <v>0</v>
      </c>
      <c r="S206" s="111">
        <f t="shared" si="58"/>
        <v>0.33773445387373235</v>
      </c>
      <c r="T206" s="111">
        <f t="shared" si="58"/>
        <v>0.33784587750760831</v>
      </c>
      <c r="U206" s="111">
        <f t="shared" si="58"/>
        <v>0.33785960306330121</v>
      </c>
      <c r="V206" s="111">
        <f t="shared" si="58"/>
        <v>0.33787815048689579</v>
      </c>
      <c r="W206" s="111">
        <f t="shared" si="58"/>
        <v>0</v>
      </c>
      <c r="X206" s="111">
        <f t="shared" si="58"/>
        <v>1</v>
      </c>
      <c r="Y206" s="111">
        <f t="shared" si="58"/>
        <v>1</v>
      </c>
      <c r="Z206" s="111">
        <f t="shared" si="58"/>
        <v>1</v>
      </c>
      <c r="AA206" s="111">
        <f t="shared" si="58"/>
        <v>1</v>
      </c>
      <c r="AB206" s="111">
        <f t="shared" si="58"/>
        <v>0</v>
      </c>
      <c r="AC206" s="111">
        <f t="shared" si="58"/>
        <v>1</v>
      </c>
      <c r="AD206" s="111">
        <f t="shared" si="58"/>
        <v>1</v>
      </c>
      <c r="AE206" s="111">
        <f t="shared" si="58"/>
        <v>1</v>
      </c>
      <c r="AF206" s="111">
        <f t="shared" si="58"/>
        <v>1</v>
      </c>
      <c r="AG206" s="111">
        <f t="shared" si="58"/>
        <v>0.33734381778603567</v>
      </c>
      <c r="AH206" s="111">
        <f t="shared" si="58"/>
        <v>0</v>
      </c>
      <c r="AI206" s="406"/>
      <c r="AJ206" s="111">
        <f t="shared" si="58"/>
        <v>-2.271318297756962E-16</v>
      </c>
      <c r="AK206" s="111">
        <f t="shared" si="58"/>
        <v>0</v>
      </c>
      <c r="AL206" s="406"/>
      <c r="AM206" s="406"/>
      <c r="AN206" s="406"/>
      <c r="AO206" s="406"/>
    </row>
    <row r="207" spans="3:43" x14ac:dyDescent="0.3">
      <c r="C207" s="88"/>
      <c r="D207" s="2"/>
      <c r="E207" t="s">
        <v>795</v>
      </c>
      <c r="G207" s="28" t="s">
        <v>167</v>
      </c>
      <c r="J207" s="111">
        <f>IF( AND( ISNUMBER(J$140), J$140 &lt;&gt; 0), ( J$140 - J200 ) / J$140, 0)</f>
        <v>0.35501096378369779</v>
      </c>
      <c r="K207" s="111">
        <f>IF( AND( ISNUMBER(K$140), K$140 &lt;&gt; 0), ( K$140 - K200 ) / K$140, 0)</f>
        <v>0</v>
      </c>
      <c r="L207" s="111">
        <f t="shared" ref="L207:AO207" si="59">IF( AND( ISNUMBER(L$140), L$140 &lt;&gt; 0), ( L$140 - L200 ) / L$140, 0)</f>
        <v>0</v>
      </c>
      <c r="M207" s="111">
        <f t="shared" si="59"/>
        <v>0.48039565738050405</v>
      </c>
      <c r="N207" s="111">
        <f t="shared" si="59"/>
        <v>0.48156318398308201</v>
      </c>
      <c r="O207" s="111">
        <f t="shared" si="59"/>
        <v>0.48185319484673472</v>
      </c>
      <c r="P207" s="111">
        <f t="shared" si="59"/>
        <v>0.48205619121168913</v>
      </c>
      <c r="Q207" s="111">
        <f t="shared" si="59"/>
        <v>0</v>
      </c>
      <c r="R207" s="111">
        <f t="shared" si="59"/>
        <v>0</v>
      </c>
      <c r="S207" s="111">
        <f t="shared" si="59"/>
        <v>0.48196795886937033</v>
      </c>
      <c r="T207" s="111">
        <f t="shared" si="59"/>
        <v>0.4819460043624193</v>
      </c>
      <c r="U207" s="111">
        <f t="shared" si="59"/>
        <v>0.48194816387952716</v>
      </c>
      <c r="V207" s="111">
        <f t="shared" si="59"/>
        <v>0.48194698810143438</v>
      </c>
      <c r="W207" s="111">
        <f t="shared" si="59"/>
        <v>0</v>
      </c>
      <c r="X207" s="111">
        <f t="shared" si="59"/>
        <v>0.19776358756098139</v>
      </c>
      <c r="Y207" s="111">
        <f t="shared" si="59"/>
        <v>0.19783580720941416</v>
      </c>
      <c r="Z207" s="111">
        <f t="shared" si="59"/>
        <v>0.19784745114435195</v>
      </c>
      <c r="AA207" s="111">
        <f t="shared" si="59"/>
        <v>0.19787000158022741</v>
      </c>
      <c r="AB207" s="111">
        <f t="shared" si="59"/>
        <v>0</v>
      </c>
      <c r="AC207" s="111">
        <f t="shared" si="59"/>
        <v>7.8261494925803865E-2</v>
      </c>
      <c r="AD207" s="111">
        <f t="shared" si="59"/>
        <v>7.8283215498118355E-2</v>
      </c>
      <c r="AE207" s="111">
        <f t="shared" si="59"/>
        <v>7.8299240229030412E-2</v>
      </c>
      <c r="AF207" s="111">
        <f t="shared" si="59"/>
        <v>7.8314274873205636E-2</v>
      </c>
      <c r="AG207" s="111">
        <f t="shared" si="59"/>
        <v>0.48214343793788422</v>
      </c>
      <c r="AH207" s="111">
        <f t="shared" si="59"/>
        <v>0</v>
      </c>
      <c r="AI207" s="111">
        <f t="shared" si="59"/>
        <v>0</v>
      </c>
      <c r="AJ207" s="111">
        <f t="shared" si="59"/>
        <v>-2.271318297756962E-16</v>
      </c>
      <c r="AK207" s="111">
        <f t="shared" si="59"/>
        <v>0</v>
      </c>
      <c r="AL207" s="111">
        <f t="shared" si="59"/>
        <v>-1.133793366131181E-16</v>
      </c>
      <c r="AM207" s="111">
        <f t="shared" si="59"/>
        <v>0</v>
      </c>
      <c r="AN207" s="111">
        <f t="shared" si="59"/>
        <v>-2.8249262324235549E-2</v>
      </c>
      <c r="AO207" s="111">
        <f t="shared" si="59"/>
        <v>0</v>
      </c>
    </row>
    <row r="208" spans="3:43" x14ac:dyDescent="0.3">
      <c r="C208" s="88"/>
      <c r="D208" s="2"/>
      <c r="E208" s="2"/>
      <c r="F208" s="102"/>
      <c r="G208" s="102"/>
    </row>
    <row r="209" spans="2:43" x14ac:dyDescent="0.3">
      <c r="B209" s="30" t="s">
        <v>231</v>
      </c>
      <c r="C209" s="30"/>
      <c r="D209" s="30"/>
      <c r="E209" s="30"/>
      <c r="F209" s="30"/>
      <c r="G209" s="92"/>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row>
    <row r="210" spans="2:43" x14ac:dyDescent="0.3">
      <c r="F210" s="3"/>
      <c r="G210" s="212"/>
      <c r="H210" s="3"/>
      <c r="I210" s="3"/>
    </row>
    <row r="211" spans="2:43" x14ac:dyDescent="0.3">
      <c r="D211" t="s">
        <v>232</v>
      </c>
      <c r="G211" s="6" t="s">
        <v>55</v>
      </c>
      <c r="H211" s="103">
        <f t="array" ref="H211">SUM(IF(ISERROR($H$13:$AP$207), 1))</f>
        <v>0</v>
      </c>
      <c r="I211" s="3"/>
    </row>
    <row r="212" spans="2:43" x14ac:dyDescent="0.3">
      <c r="F212" s="3"/>
      <c r="G212" s="3"/>
      <c r="H212" s="3"/>
      <c r="I212" s="3"/>
    </row>
    <row r="213" spans="2:43" x14ac:dyDescent="0.3">
      <c r="B213" s="30" t="s">
        <v>106</v>
      </c>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row>
  </sheetData>
  <sheetProtection sheet="1" objects="1" formatCells="0" formatColumns="0" formatRows="0" sort="0" autoFilter="0"/>
  <conditionalFormatting sqref="A4:I4 AP4:XFD4">
    <cfRule type="expression" dxfId="13" priority="10">
      <formula>LEFT($A$4,1) &lt;&gt; "0"</formula>
    </cfRule>
  </conditionalFormatting>
  <conditionalFormatting sqref="R4:AF4">
    <cfRule type="expression" dxfId="12" priority="9">
      <formula>LEFT($A$4,1) &lt;&gt; "0"</formula>
    </cfRule>
  </conditionalFormatting>
  <conditionalFormatting sqref="L4:Q4">
    <cfRule type="expression" dxfId="11" priority="8">
      <formula>LEFT($A$4,1) &lt;&gt; "0"</formula>
    </cfRule>
  </conditionalFormatting>
  <conditionalFormatting sqref="J4:K4">
    <cfRule type="expression" dxfId="10" priority="7">
      <formula>LEFT($A$4,1) &lt;&gt; "0"</formula>
    </cfRule>
  </conditionalFormatting>
  <conditionalFormatting sqref="AG4">
    <cfRule type="expression" dxfId="9" priority="6">
      <formula>LEFT($A$4,1) &lt;&gt; "0"</formula>
    </cfRule>
  </conditionalFormatting>
  <conditionalFormatting sqref="AH4:AI4">
    <cfRule type="expression" dxfId="8" priority="5">
      <formula>LEFT($A$4,1) &lt;&gt; "0"</formula>
    </cfRule>
  </conditionalFormatting>
  <conditionalFormatting sqref="AJ4:AK4">
    <cfRule type="expression" dxfId="7" priority="4">
      <formula>LEFT($A$4,1) &lt;&gt; "0"</formula>
    </cfRule>
  </conditionalFormatting>
  <conditionalFormatting sqref="AL4:AM4">
    <cfRule type="expression" dxfId="6" priority="3">
      <formula>LEFT($A$4,1) &lt;&gt; "0"</formula>
    </cfRule>
  </conditionalFormatting>
  <conditionalFormatting sqref="AN4:AO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formula1>0</formula1>
    </dataValidation>
    <dataValidation allowBlank="1" sqref="J168:AO168 J155:AO161 J170:AO170"/>
  </dataValidations>
  <hyperlinks>
    <hyperlink ref="B5:F5" location="'Model map'!A1" display="Click here to return to model map"/>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Y123"/>
  <sheetViews>
    <sheetView showGridLines="0" zoomScale="80" zoomScaleNormal="80" workbookViewId="0">
      <pane xSplit="9" ySplit="5" topLeftCell="J30"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16" width="17" customWidth="1"/>
    <col min="17" max="17" width="2.44140625" customWidth="1"/>
    <col min="18" max="18" width="50.5546875" customWidth="1"/>
    <col min="19" max="19" width="2.44140625" customWidth="1"/>
    <col min="20" max="27" width="0" hidden="1" customWidth="1"/>
    <col min="28" max="28" width="24.5546875" hidden="1" customWidth="1"/>
    <col min="29" max="29" width="3.5546875" hidden="1" customWidth="1"/>
    <col min="30" max="30" width="15.44140625" hidden="1" customWidth="1"/>
    <col min="31" max="285" width="24.5546875" hidden="1" customWidth="1"/>
    <col min="286" max="16384" width="8.5546875" hidden="1"/>
  </cols>
  <sheetData>
    <row r="1" spans="1:44" s="1" customFormat="1" x14ac:dyDescent="0.3">
      <c r="A1" s="1" t="str">
        <f ca="1">MID(CELL("filename",A1),FIND("]",CELL("filename",A1))+1,255)</f>
        <v>Tariff summary</v>
      </c>
    </row>
    <row r="2" spans="1:44" s="1" customFormat="1" x14ac:dyDescent="0.3">
      <c r="A2" s="1" t="str">
        <f>Cover!D21&amp;" - "&amp;Cover!D23</f>
        <v>WPD Mid West - April 22 Pricing</v>
      </c>
    </row>
    <row r="3" spans="1:44" s="5" customFormat="1" x14ac:dyDescent="0.3">
      <c r="A3" s="5" t="str">
        <f>Cover!D2&amp;" - "&amp;Cover!D8&amp;" v"&amp;Cover!D10&amp;" - "&amp;Cover!D19</f>
        <v>CDCM charging model - Release for charge setting v7 - 2022/23</v>
      </c>
    </row>
    <row r="4" spans="1:44" x14ac:dyDescent="0.3">
      <c r="A4" s="12" t="str">
        <f>H119 &amp; IF(H119 = 1, " issue", " issues") &amp;" identified in checks on this sheet"</f>
        <v>0 issues identified in checks on this sheet</v>
      </c>
      <c r="B4" s="13"/>
      <c r="C4" s="13"/>
      <c r="D4" s="13"/>
      <c r="E4" s="13"/>
      <c r="F4" s="13"/>
      <c r="G4" s="13"/>
      <c r="H4" s="14"/>
      <c r="I4" s="14"/>
      <c r="J4" s="13"/>
    </row>
    <row r="5" spans="1:44" ht="43.2" x14ac:dyDescent="0.3">
      <c r="B5" s="59" t="s">
        <v>142</v>
      </c>
      <c r="C5" s="60"/>
      <c r="D5" s="60"/>
      <c r="E5" s="60"/>
      <c r="F5" s="60"/>
      <c r="G5" s="61"/>
      <c r="H5" s="61" t="s">
        <v>796</v>
      </c>
      <c r="J5" s="62" t="s">
        <v>797</v>
      </c>
      <c r="K5" s="62" t="s">
        <v>798</v>
      </c>
      <c r="L5" s="62" t="s">
        <v>799</v>
      </c>
      <c r="M5" s="62" t="s">
        <v>800</v>
      </c>
      <c r="N5" s="62" t="s">
        <v>801</v>
      </c>
      <c r="O5" s="62" t="s">
        <v>802</v>
      </c>
      <c r="P5" s="62" t="s">
        <v>803</v>
      </c>
      <c r="R5" s="61" t="s">
        <v>145</v>
      </c>
    </row>
    <row r="7" spans="1:44"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3">
      <c r="C9" s="29" t="s">
        <v>804</v>
      </c>
    </row>
    <row r="11" spans="1:44" x14ac:dyDescent="0.3">
      <c r="B11" s="30" t="s">
        <v>96</v>
      </c>
      <c r="C11" s="30"/>
      <c r="D11" s="30"/>
      <c r="E11" s="30"/>
      <c r="F11" s="30"/>
      <c r="G11" s="30"/>
      <c r="H11" s="30"/>
      <c r="I11" s="30"/>
      <c r="J11" s="30"/>
      <c r="K11" s="30"/>
      <c r="L11" s="105"/>
      <c r="M11" s="105"/>
      <c r="N11" s="105"/>
      <c r="O11" s="105"/>
      <c r="P11" s="105"/>
      <c r="Q11" s="105"/>
      <c r="R11" s="105"/>
    </row>
    <row r="12" spans="1:44" x14ac:dyDescent="0.3">
      <c r="D12"/>
      <c r="E12"/>
    </row>
    <row r="13" spans="1:44" x14ac:dyDescent="0.3">
      <c r="C13" s="31" t="str">
        <f>"Output 101-A: Tariffs for "&amp; charging_year</f>
        <v>Output 101-A: Tariffs for 2022/23</v>
      </c>
      <c r="D13" s="31"/>
      <c r="E13" s="31"/>
      <c r="F13" s="31"/>
      <c r="G13" s="31"/>
      <c r="H13" s="31"/>
      <c r="I13" s="31"/>
      <c r="J13" s="31"/>
      <c r="K13" s="31"/>
      <c r="L13" s="31"/>
      <c r="M13" s="31"/>
      <c r="N13" s="31"/>
      <c r="O13" s="31"/>
      <c r="P13" s="31"/>
      <c r="Q13" s="31"/>
      <c r="R13" s="31"/>
    </row>
    <row r="14" spans="1:44" x14ac:dyDescent="0.3">
      <c r="D14"/>
      <c r="E14"/>
    </row>
    <row r="15" spans="1:44" x14ac:dyDescent="0.3">
      <c r="D15" s="32"/>
      <c r="E15" s="32" t="s">
        <v>805</v>
      </c>
    </row>
    <row r="16" spans="1:44" x14ac:dyDescent="0.3">
      <c r="F16" s="23" t="s">
        <v>913</v>
      </c>
      <c r="G16" s="23"/>
      <c r="H16" s="23" t="s">
        <v>773</v>
      </c>
      <c r="I16" s="23"/>
      <c r="J16" s="220">
        <f t="array" ref="J16:P47">TRANSPOSE(Rounding!J150:AO156)</f>
        <v>6.0220000000000002</v>
      </c>
      <c r="K16" s="220">
        <v>0.95099999999999996</v>
      </c>
      <c r="L16" s="220">
        <v>0.09</v>
      </c>
      <c r="M16" s="388">
        <v>25.72</v>
      </c>
      <c r="N16" s="221">
        <v>0</v>
      </c>
      <c r="O16" s="221">
        <v>0</v>
      </c>
      <c r="P16" s="220">
        <v>0</v>
      </c>
    </row>
    <row r="17" spans="6:16" x14ac:dyDescent="0.3">
      <c r="F17" t="s">
        <v>831</v>
      </c>
      <c r="H17" t="s">
        <v>773</v>
      </c>
      <c r="J17" s="222">
        <v>6.0220000000000002</v>
      </c>
      <c r="K17" s="222">
        <v>0.95099999999999996</v>
      </c>
      <c r="L17" s="222">
        <v>0.09</v>
      </c>
      <c r="M17" s="389">
        <v>0</v>
      </c>
      <c r="N17" s="223">
        <v>0</v>
      </c>
      <c r="O17" s="223">
        <v>0</v>
      </c>
      <c r="P17" s="222">
        <v>0</v>
      </c>
    </row>
    <row r="18" spans="6:16" x14ac:dyDescent="0.3">
      <c r="F18" t="s">
        <v>914</v>
      </c>
      <c r="H18" t="s">
        <v>773</v>
      </c>
      <c r="J18" s="222">
        <v>6.8559999999999999</v>
      </c>
      <c r="K18" s="222">
        <v>1.083</v>
      </c>
      <c r="L18" s="222">
        <v>0.10199999999999999</v>
      </c>
      <c r="M18" s="389">
        <v>8.91</v>
      </c>
      <c r="N18" s="223">
        <v>0</v>
      </c>
      <c r="O18" s="223">
        <v>0</v>
      </c>
      <c r="P18" s="222">
        <v>0</v>
      </c>
    </row>
    <row r="19" spans="6:16" x14ac:dyDescent="0.3">
      <c r="F19" t="s">
        <v>915</v>
      </c>
      <c r="H19" t="s">
        <v>773</v>
      </c>
      <c r="J19" s="222">
        <v>6.8559999999999999</v>
      </c>
      <c r="K19" s="222">
        <v>1.083</v>
      </c>
      <c r="L19" s="222">
        <v>0.10199999999999999</v>
      </c>
      <c r="M19" s="389">
        <v>13.38</v>
      </c>
      <c r="N19" s="223">
        <v>0</v>
      </c>
      <c r="O19" s="223">
        <v>0</v>
      </c>
      <c r="P19" s="222">
        <v>0</v>
      </c>
    </row>
    <row r="20" spans="6:16" x14ac:dyDescent="0.3">
      <c r="F20" t="s">
        <v>916</v>
      </c>
      <c r="H20" t="s">
        <v>773</v>
      </c>
      <c r="J20" s="222">
        <v>6.8559999999999999</v>
      </c>
      <c r="K20" s="222">
        <v>1.083</v>
      </c>
      <c r="L20" s="222">
        <v>0.10199999999999999</v>
      </c>
      <c r="M20" s="389">
        <v>33.75</v>
      </c>
      <c r="N20" s="223">
        <v>0</v>
      </c>
      <c r="O20" s="223">
        <v>0</v>
      </c>
      <c r="P20" s="222">
        <v>0</v>
      </c>
    </row>
    <row r="21" spans="6:16" x14ac:dyDescent="0.3">
      <c r="F21" t="s">
        <v>917</v>
      </c>
      <c r="H21" t="s">
        <v>773</v>
      </c>
      <c r="J21" s="222">
        <v>6.8559999999999999</v>
      </c>
      <c r="K21" s="222">
        <v>1.083</v>
      </c>
      <c r="L21" s="222">
        <v>0.10199999999999999</v>
      </c>
      <c r="M21" s="389">
        <v>69.819999999999993</v>
      </c>
      <c r="N21" s="223">
        <v>0</v>
      </c>
      <c r="O21" s="223">
        <v>0</v>
      </c>
      <c r="P21" s="222">
        <v>0</v>
      </c>
    </row>
    <row r="22" spans="6:16" x14ac:dyDescent="0.3">
      <c r="F22" t="s">
        <v>918</v>
      </c>
      <c r="H22" t="s">
        <v>773</v>
      </c>
      <c r="J22" s="222">
        <v>6.8559999999999999</v>
      </c>
      <c r="K22" s="222">
        <v>1.083</v>
      </c>
      <c r="L22" s="222">
        <v>0.10199999999999999</v>
      </c>
      <c r="M22" s="389">
        <v>205.33</v>
      </c>
      <c r="N22" s="223">
        <v>0</v>
      </c>
      <c r="O22" s="223">
        <v>0</v>
      </c>
      <c r="P22" s="222">
        <v>0</v>
      </c>
    </row>
    <row r="23" spans="6:16" x14ac:dyDescent="0.3">
      <c r="F23" t="s">
        <v>832</v>
      </c>
      <c r="H23" t="s">
        <v>773</v>
      </c>
      <c r="J23" s="222">
        <v>6.8559999999999999</v>
      </c>
      <c r="K23" s="222">
        <v>1.083</v>
      </c>
      <c r="L23" s="222">
        <v>0.10199999999999999</v>
      </c>
      <c r="M23" s="389">
        <v>0</v>
      </c>
      <c r="N23" s="223">
        <v>0</v>
      </c>
      <c r="O23" s="223">
        <v>0</v>
      </c>
      <c r="P23" s="222">
        <v>0</v>
      </c>
    </row>
    <row r="24" spans="6:16" x14ac:dyDescent="0.3">
      <c r="F24" t="s">
        <v>919</v>
      </c>
      <c r="H24" t="s">
        <v>773</v>
      </c>
      <c r="J24" s="222">
        <v>4.2649999999999997</v>
      </c>
      <c r="K24" s="222">
        <v>0.69099999999999995</v>
      </c>
      <c r="L24" s="222">
        <v>5.8000000000000003E-2</v>
      </c>
      <c r="M24" s="389">
        <v>12.56</v>
      </c>
      <c r="N24" s="223">
        <v>4.34</v>
      </c>
      <c r="O24" s="223">
        <v>7.85</v>
      </c>
      <c r="P24" s="222">
        <v>0.218</v>
      </c>
    </row>
    <row r="25" spans="6:16" x14ac:dyDescent="0.3">
      <c r="F25" t="s">
        <v>920</v>
      </c>
      <c r="H25" t="s">
        <v>773</v>
      </c>
      <c r="J25" s="222">
        <v>4.2649999999999997</v>
      </c>
      <c r="K25" s="222">
        <v>0.69099999999999995</v>
      </c>
      <c r="L25" s="222">
        <v>5.8000000000000003E-2</v>
      </c>
      <c r="M25" s="389">
        <v>303.5</v>
      </c>
      <c r="N25" s="223">
        <v>4.34</v>
      </c>
      <c r="O25" s="223">
        <v>7.85</v>
      </c>
      <c r="P25" s="222">
        <v>0.218</v>
      </c>
    </row>
    <row r="26" spans="6:16" x14ac:dyDescent="0.3">
      <c r="F26" t="s">
        <v>921</v>
      </c>
      <c r="H26" t="s">
        <v>773</v>
      </c>
      <c r="J26" s="222">
        <v>4.2649999999999997</v>
      </c>
      <c r="K26" s="222">
        <v>0.69099999999999995</v>
      </c>
      <c r="L26" s="222">
        <v>5.8000000000000003E-2</v>
      </c>
      <c r="M26" s="389">
        <v>550.27</v>
      </c>
      <c r="N26" s="223">
        <v>4.34</v>
      </c>
      <c r="O26" s="223">
        <v>7.85</v>
      </c>
      <c r="P26" s="222">
        <v>0.218</v>
      </c>
    </row>
    <row r="27" spans="6:16" x14ac:dyDescent="0.3">
      <c r="F27" t="s">
        <v>922</v>
      </c>
      <c r="H27" t="s">
        <v>773</v>
      </c>
      <c r="J27" s="222">
        <v>4.2649999999999997</v>
      </c>
      <c r="K27" s="222">
        <v>0.69099999999999995</v>
      </c>
      <c r="L27" s="222">
        <v>5.8000000000000003E-2</v>
      </c>
      <c r="M27" s="389">
        <v>846.28</v>
      </c>
      <c r="N27" s="223">
        <v>4.34</v>
      </c>
      <c r="O27" s="223">
        <v>7.85</v>
      </c>
      <c r="P27" s="222">
        <v>0.218</v>
      </c>
    </row>
    <row r="28" spans="6:16" x14ac:dyDescent="0.3">
      <c r="F28" t="s">
        <v>923</v>
      </c>
      <c r="H28" t="s">
        <v>773</v>
      </c>
      <c r="J28" s="222">
        <v>4.2649999999999997</v>
      </c>
      <c r="K28" s="222">
        <v>0.69099999999999995</v>
      </c>
      <c r="L28" s="222">
        <v>5.8000000000000003E-2</v>
      </c>
      <c r="M28" s="389">
        <v>1314.22</v>
      </c>
      <c r="N28" s="223">
        <v>4.34</v>
      </c>
      <c r="O28" s="223">
        <v>7.85</v>
      </c>
      <c r="P28" s="222">
        <v>0.218</v>
      </c>
    </row>
    <row r="29" spans="6:16" x14ac:dyDescent="0.3">
      <c r="F29" t="s">
        <v>924</v>
      </c>
      <c r="H29" t="s">
        <v>773</v>
      </c>
      <c r="J29" s="222">
        <v>1.887</v>
      </c>
      <c r="K29" s="222">
        <v>0.32800000000000001</v>
      </c>
      <c r="L29" s="222">
        <v>1.7999999999999999E-2</v>
      </c>
      <c r="M29" s="389">
        <v>9.82</v>
      </c>
      <c r="N29" s="223">
        <v>4.9000000000000004</v>
      </c>
      <c r="O29" s="223">
        <v>6.77</v>
      </c>
      <c r="P29" s="222">
        <v>0.13300000000000001</v>
      </c>
    </row>
    <row r="30" spans="6:16" x14ac:dyDescent="0.3">
      <c r="F30" t="s">
        <v>925</v>
      </c>
      <c r="H30" t="s">
        <v>773</v>
      </c>
      <c r="J30" s="222">
        <v>1.887</v>
      </c>
      <c r="K30" s="222">
        <v>0.32800000000000001</v>
      </c>
      <c r="L30" s="222">
        <v>1.7999999999999999E-2</v>
      </c>
      <c r="M30" s="389">
        <v>300.76</v>
      </c>
      <c r="N30" s="223">
        <v>4.9000000000000004</v>
      </c>
      <c r="O30" s="223">
        <v>6.77</v>
      </c>
      <c r="P30" s="222">
        <v>0.13300000000000001</v>
      </c>
    </row>
    <row r="31" spans="6:16" x14ac:dyDescent="0.3">
      <c r="F31" s="311" t="s">
        <v>926</v>
      </c>
      <c r="G31" s="311"/>
      <c r="H31" s="311" t="s">
        <v>773</v>
      </c>
      <c r="I31" s="311"/>
      <c r="J31" s="346">
        <v>1.887</v>
      </c>
      <c r="K31" s="346">
        <v>0.32800000000000001</v>
      </c>
      <c r="L31" s="346">
        <v>1.7999999999999999E-2</v>
      </c>
      <c r="M31" s="390">
        <v>547.53</v>
      </c>
      <c r="N31" s="347">
        <v>4.9000000000000004</v>
      </c>
      <c r="O31" s="347">
        <v>6.77</v>
      </c>
      <c r="P31" s="346">
        <v>0.13300000000000001</v>
      </c>
    </row>
    <row r="32" spans="6:16" x14ac:dyDescent="0.3">
      <c r="F32" s="311" t="s">
        <v>927</v>
      </c>
      <c r="G32" s="311"/>
      <c r="H32" s="311" t="s">
        <v>773</v>
      </c>
      <c r="I32" s="311"/>
      <c r="J32" s="346">
        <v>1.887</v>
      </c>
      <c r="K32" s="346">
        <v>0.32800000000000001</v>
      </c>
      <c r="L32" s="346">
        <v>1.7999999999999999E-2</v>
      </c>
      <c r="M32" s="390">
        <v>843.54</v>
      </c>
      <c r="N32" s="347">
        <v>4.9000000000000004</v>
      </c>
      <c r="O32" s="347">
        <v>6.77</v>
      </c>
      <c r="P32" s="346">
        <v>0.13300000000000001</v>
      </c>
    </row>
    <row r="33" spans="6:16" x14ac:dyDescent="0.3">
      <c r="F33" s="311" t="s">
        <v>928</v>
      </c>
      <c r="G33" s="311"/>
      <c r="H33" s="311" t="s">
        <v>773</v>
      </c>
      <c r="I33" s="311"/>
      <c r="J33" s="346">
        <v>1.887</v>
      </c>
      <c r="K33" s="346">
        <v>0.32800000000000001</v>
      </c>
      <c r="L33" s="346">
        <v>1.7999999999999999E-2</v>
      </c>
      <c r="M33" s="390">
        <v>1311.48</v>
      </c>
      <c r="N33" s="347">
        <v>4.9000000000000004</v>
      </c>
      <c r="O33" s="347">
        <v>6.77</v>
      </c>
      <c r="P33" s="346">
        <v>0.13300000000000001</v>
      </c>
    </row>
    <row r="34" spans="6:16" x14ac:dyDescent="0.3">
      <c r="F34" s="311" t="s">
        <v>929</v>
      </c>
      <c r="G34" s="311"/>
      <c r="H34" s="311" t="s">
        <v>773</v>
      </c>
      <c r="I34" s="311"/>
      <c r="J34" s="346">
        <v>1.284</v>
      </c>
      <c r="K34" s="346">
        <v>0.224</v>
      </c>
      <c r="L34" s="346">
        <v>8.9999999999999993E-3</v>
      </c>
      <c r="M34" s="390">
        <v>90.06</v>
      </c>
      <c r="N34" s="347">
        <v>5.18</v>
      </c>
      <c r="O34" s="347">
        <v>6.84</v>
      </c>
      <c r="P34" s="346">
        <v>5.8999999999999997E-2</v>
      </c>
    </row>
    <row r="35" spans="6:16" x14ac:dyDescent="0.3">
      <c r="F35" s="311" t="s">
        <v>930</v>
      </c>
      <c r="G35" s="311"/>
      <c r="H35" s="311" t="s">
        <v>773</v>
      </c>
      <c r="I35" s="311"/>
      <c r="J35" s="346">
        <v>1.284</v>
      </c>
      <c r="K35" s="346">
        <v>0.224</v>
      </c>
      <c r="L35" s="346">
        <v>8.9999999999999993E-3</v>
      </c>
      <c r="M35" s="390">
        <v>1499.07</v>
      </c>
      <c r="N35" s="347">
        <v>5.18</v>
      </c>
      <c r="O35" s="347">
        <v>6.84</v>
      </c>
      <c r="P35" s="346">
        <v>5.8999999999999997E-2</v>
      </c>
    </row>
    <row r="36" spans="6:16" x14ac:dyDescent="0.3">
      <c r="F36" s="311" t="s">
        <v>931</v>
      </c>
      <c r="G36" s="311"/>
      <c r="H36" s="311" t="s">
        <v>773</v>
      </c>
      <c r="I36" s="311"/>
      <c r="J36" s="346">
        <v>1.284</v>
      </c>
      <c r="K36" s="346">
        <v>0.224</v>
      </c>
      <c r="L36" s="346">
        <v>8.9999999999999993E-3</v>
      </c>
      <c r="M36" s="390">
        <v>4746.01</v>
      </c>
      <c r="N36" s="347">
        <v>5.18</v>
      </c>
      <c r="O36" s="347">
        <v>6.84</v>
      </c>
      <c r="P36" s="346">
        <v>5.8999999999999997E-2</v>
      </c>
    </row>
    <row r="37" spans="6:16" x14ac:dyDescent="0.3">
      <c r="F37" s="311" t="s">
        <v>932</v>
      </c>
      <c r="G37" s="311"/>
      <c r="H37" s="311" t="s">
        <v>773</v>
      </c>
      <c r="I37" s="311"/>
      <c r="J37" s="346">
        <v>1.284</v>
      </c>
      <c r="K37" s="346">
        <v>0.224</v>
      </c>
      <c r="L37" s="346">
        <v>8.9999999999999993E-3</v>
      </c>
      <c r="M37" s="390">
        <v>10468.799999999999</v>
      </c>
      <c r="N37" s="347">
        <v>5.18</v>
      </c>
      <c r="O37" s="347">
        <v>6.84</v>
      </c>
      <c r="P37" s="346">
        <v>5.8999999999999997E-2</v>
      </c>
    </row>
    <row r="38" spans="6:16" x14ac:dyDescent="0.3">
      <c r="F38" s="311" t="s">
        <v>933</v>
      </c>
      <c r="G38" s="311"/>
      <c r="H38" s="311" t="s">
        <v>773</v>
      </c>
      <c r="I38" s="311"/>
      <c r="J38" s="346">
        <v>1.284</v>
      </c>
      <c r="K38" s="346">
        <v>0.224</v>
      </c>
      <c r="L38" s="346">
        <v>8.9999999999999993E-3</v>
      </c>
      <c r="M38" s="390">
        <v>32106.1</v>
      </c>
      <c r="N38" s="347">
        <v>5.18</v>
      </c>
      <c r="O38" s="347">
        <v>6.84</v>
      </c>
      <c r="P38" s="346">
        <v>5.8999999999999997E-2</v>
      </c>
    </row>
    <row r="39" spans="6:16" x14ac:dyDescent="0.3">
      <c r="F39" s="311" t="s">
        <v>841</v>
      </c>
      <c r="G39" s="311"/>
      <c r="H39" s="311" t="s">
        <v>773</v>
      </c>
      <c r="I39" s="311"/>
      <c r="J39" s="346">
        <v>17.327000000000002</v>
      </c>
      <c r="K39" s="346">
        <v>2.81</v>
      </c>
      <c r="L39" s="346">
        <v>2.1760000000000002</v>
      </c>
      <c r="M39" s="390">
        <v>0</v>
      </c>
      <c r="N39" s="347">
        <v>0</v>
      </c>
      <c r="O39" s="347">
        <v>0</v>
      </c>
      <c r="P39" s="346">
        <v>0</v>
      </c>
    </row>
    <row r="40" spans="6:16" x14ac:dyDescent="0.3">
      <c r="F40" s="311" t="s">
        <v>833</v>
      </c>
      <c r="G40" s="311"/>
      <c r="H40" s="311" t="s">
        <v>773</v>
      </c>
      <c r="I40" s="311"/>
      <c r="J40" s="346">
        <v>-4.2030000000000003</v>
      </c>
      <c r="K40" s="346">
        <v>-0.66400000000000003</v>
      </c>
      <c r="L40" s="346">
        <v>-6.3E-2</v>
      </c>
      <c r="M40" s="390">
        <v>0</v>
      </c>
      <c r="N40" s="347">
        <v>0</v>
      </c>
      <c r="O40" s="347">
        <v>0</v>
      </c>
      <c r="P40" s="346">
        <v>0</v>
      </c>
    </row>
    <row r="41" spans="6:16" x14ac:dyDescent="0.3">
      <c r="F41" s="311" t="s">
        <v>834</v>
      </c>
      <c r="G41" s="311"/>
      <c r="H41" s="311" t="s">
        <v>773</v>
      </c>
      <c r="I41" s="311"/>
      <c r="J41" s="346">
        <v>-3.496</v>
      </c>
      <c r="K41" s="346">
        <v>-0.56100000000000005</v>
      </c>
      <c r="L41" s="346">
        <v>-4.9000000000000002E-2</v>
      </c>
      <c r="M41" s="390">
        <v>0</v>
      </c>
      <c r="N41" s="347">
        <v>0</v>
      </c>
      <c r="O41" s="347">
        <v>0</v>
      </c>
      <c r="P41" s="346">
        <v>0</v>
      </c>
    </row>
    <row r="42" spans="6:16" x14ac:dyDescent="0.3">
      <c r="F42" s="311" t="s">
        <v>835</v>
      </c>
      <c r="G42" s="311"/>
      <c r="H42" s="311" t="s">
        <v>773</v>
      </c>
      <c r="I42" s="311"/>
      <c r="J42" s="346">
        <v>-4.2030000000000003</v>
      </c>
      <c r="K42" s="346">
        <v>-0.66400000000000003</v>
      </c>
      <c r="L42" s="346">
        <v>-6.3E-2</v>
      </c>
      <c r="M42" s="390">
        <v>0</v>
      </c>
      <c r="N42" s="347">
        <v>0</v>
      </c>
      <c r="O42" s="347">
        <v>0</v>
      </c>
      <c r="P42" s="346">
        <v>0.215</v>
      </c>
    </row>
    <row r="43" spans="6:16" x14ac:dyDescent="0.3">
      <c r="F43" s="311" t="s">
        <v>844</v>
      </c>
      <c r="G43" s="311"/>
      <c r="H43" s="311" t="s">
        <v>773</v>
      </c>
      <c r="I43" s="311"/>
      <c r="J43" s="346">
        <v>-4.2030000000000003</v>
      </c>
      <c r="K43" s="346">
        <v>-0.66400000000000003</v>
      </c>
      <c r="L43" s="346">
        <v>-6.3E-2</v>
      </c>
      <c r="M43" s="390">
        <v>0</v>
      </c>
      <c r="N43" s="347">
        <v>0</v>
      </c>
      <c r="O43" s="347">
        <v>0</v>
      </c>
      <c r="P43" s="346">
        <v>0</v>
      </c>
    </row>
    <row r="44" spans="6:16" x14ac:dyDescent="0.3">
      <c r="F44" s="311" t="s">
        <v>836</v>
      </c>
      <c r="G44" s="311"/>
      <c r="H44" s="311" t="s">
        <v>773</v>
      </c>
      <c r="I44" s="311"/>
      <c r="J44" s="346">
        <v>-3.496</v>
      </c>
      <c r="K44" s="346">
        <v>-0.56100000000000005</v>
      </c>
      <c r="L44" s="346">
        <v>-4.9000000000000002E-2</v>
      </c>
      <c r="M44" s="390">
        <v>0</v>
      </c>
      <c r="N44" s="347">
        <v>0</v>
      </c>
      <c r="O44" s="347">
        <v>0</v>
      </c>
      <c r="P44" s="346">
        <v>0.16700000000000001</v>
      </c>
    </row>
    <row r="45" spans="6:16" x14ac:dyDescent="0.3">
      <c r="F45" s="311" t="s">
        <v>843</v>
      </c>
      <c r="G45" s="311"/>
      <c r="H45" s="311" t="s">
        <v>773</v>
      </c>
      <c r="I45" s="311"/>
      <c r="J45" s="346">
        <v>-3.496</v>
      </c>
      <c r="K45" s="346">
        <v>-0.56100000000000005</v>
      </c>
      <c r="L45" s="346">
        <v>-4.9000000000000002E-2</v>
      </c>
      <c r="M45" s="390">
        <v>0</v>
      </c>
      <c r="N45" s="347">
        <v>0</v>
      </c>
      <c r="O45" s="347">
        <v>0</v>
      </c>
      <c r="P45" s="346">
        <v>0</v>
      </c>
    </row>
    <row r="46" spans="6:16" x14ac:dyDescent="0.3">
      <c r="F46" s="311" t="s">
        <v>837</v>
      </c>
      <c r="G46" s="311"/>
      <c r="H46" s="311" t="s">
        <v>773</v>
      </c>
      <c r="I46" s="311"/>
      <c r="J46" s="346">
        <v>-1.8</v>
      </c>
      <c r="K46" s="346">
        <v>-0.313</v>
      </c>
      <c r="L46" s="346">
        <v>-1.7000000000000001E-2</v>
      </c>
      <c r="M46" s="390">
        <v>56.32</v>
      </c>
      <c r="N46" s="347">
        <v>0</v>
      </c>
      <c r="O46" s="347">
        <v>0</v>
      </c>
      <c r="P46" s="346">
        <v>0.13</v>
      </c>
    </row>
    <row r="47" spans="6:16" x14ac:dyDescent="0.3">
      <c r="F47" s="37" t="s">
        <v>842</v>
      </c>
      <c r="G47" s="37"/>
      <c r="H47" s="37" t="s">
        <v>773</v>
      </c>
      <c r="I47" s="37"/>
      <c r="J47" s="224">
        <v>-1.8</v>
      </c>
      <c r="K47" s="224">
        <v>-0.313</v>
      </c>
      <c r="L47" s="224">
        <v>-1.7000000000000001E-2</v>
      </c>
      <c r="M47" s="391">
        <v>56.32</v>
      </c>
      <c r="N47" s="225">
        <v>0</v>
      </c>
      <c r="O47" s="225">
        <v>0</v>
      </c>
      <c r="P47" s="224">
        <v>0</v>
      </c>
    </row>
    <row r="48" spans="6:16" x14ac:dyDescent="0.3">
      <c r="F48" s="2"/>
      <c r="J48" s="14"/>
      <c r="K48" s="14"/>
      <c r="L48" s="14"/>
      <c r="M48" s="226"/>
      <c r="N48" s="226"/>
      <c r="O48" s="226"/>
      <c r="P48" s="14"/>
    </row>
    <row r="49" spans="4:16" x14ac:dyDescent="0.3">
      <c r="D49" s="32"/>
      <c r="E49" s="32" t="s">
        <v>806</v>
      </c>
      <c r="F49" s="2"/>
      <c r="J49" s="14"/>
      <c r="K49" s="14"/>
      <c r="L49" s="14"/>
      <c r="M49" s="226"/>
      <c r="N49" s="226"/>
      <c r="O49" s="226"/>
      <c r="P49" s="14"/>
    </row>
    <row r="50" spans="4:16" x14ac:dyDescent="0.3">
      <c r="F50" s="23" t="s">
        <v>913</v>
      </c>
      <c r="G50" s="23"/>
      <c r="H50" s="23" t="s">
        <v>448</v>
      </c>
      <c r="I50" s="23"/>
      <c r="J50" s="220">
        <f t="array" ref="J50:P81">TRANSPOSE(Rounding!J159:AO165)</f>
        <v>3.99</v>
      </c>
      <c r="K50" s="220">
        <v>0.63</v>
      </c>
      <c r="L50" s="220">
        <v>5.8999999999999997E-2</v>
      </c>
      <c r="M50" s="388">
        <v>20.22</v>
      </c>
      <c r="N50" s="221">
        <v>0</v>
      </c>
      <c r="O50" s="221">
        <v>0</v>
      </c>
      <c r="P50" s="220">
        <v>0</v>
      </c>
    </row>
    <row r="51" spans="4:16" x14ac:dyDescent="0.3">
      <c r="F51" t="s">
        <v>831</v>
      </c>
      <c r="H51" t="s">
        <v>448</v>
      </c>
      <c r="J51" s="222">
        <v>3.99</v>
      </c>
      <c r="K51" s="222">
        <v>0.63</v>
      </c>
      <c r="L51" s="222">
        <v>5.8999999999999997E-2</v>
      </c>
      <c r="M51" s="389">
        <v>0</v>
      </c>
      <c r="N51" s="223">
        <v>0</v>
      </c>
      <c r="O51" s="223">
        <v>0</v>
      </c>
      <c r="P51" s="222">
        <v>0</v>
      </c>
    </row>
    <row r="52" spans="4:16" x14ac:dyDescent="0.3">
      <c r="F52" t="s">
        <v>914</v>
      </c>
      <c r="H52" t="s">
        <v>448</v>
      </c>
      <c r="J52" s="222">
        <v>4.5430000000000001</v>
      </c>
      <c r="K52" s="222">
        <v>0.71799999999999997</v>
      </c>
      <c r="L52" s="222">
        <v>6.8000000000000005E-2</v>
      </c>
      <c r="M52" s="389">
        <v>5.93</v>
      </c>
      <c r="N52" s="223">
        <v>0</v>
      </c>
      <c r="O52" s="223">
        <v>0</v>
      </c>
      <c r="P52" s="222">
        <v>0</v>
      </c>
    </row>
    <row r="53" spans="4:16" x14ac:dyDescent="0.3">
      <c r="F53" t="s">
        <v>915</v>
      </c>
      <c r="H53" t="s">
        <v>448</v>
      </c>
      <c r="J53" s="222">
        <v>4.5430000000000001</v>
      </c>
      <c r="K53" s="222">
        <v>0.71799999999999997</v>
      </c>
      <c r="L53" s="222">
        <v>6.8000000000000005E-2</v>
      </c>
      <c r="M53" s="389">
        <v>8.89</v>
      </c>
      <c r="N53" s="223">
        <v>0</v>
      </c>
      <c r="O53" s="223">
        <v>0</v>
      </c>
      <c r="P53" s="222">
        <v>0</v>
      </c>
    </row>
    <row r="54" spans="4:16" x14ac:dyDescent="0.3">
      <c r="F54" t="s">
        <v>916</v>
      </c>
      <c r="H54" t="s">
        <v>448</v>
      </c>
      <c r="J54" s="222">
        <v>4.5430000000000001</v>
      </c>
      <c r="K54" s="222">
        <v>0.71799999999999997</v>
      </c>
      <c r="L54" s="222">
        <v>6.8000000000000005E-2</v>
      </c>
      <c r="M54" s="389">
        <v>22.39</v>
      </c>
      <c r="N54" s="223">
        <v>0</v>
      </c>
      <c r="O54" s="223">
        <v>0</v>
      </c>
      <c r="P54" s="222">
        <v>0</v>
      </c>
    </row>
    <row r="55" spans="4:16" x14ac:dyDescent="0.3">
      <c r="F55" t="s">
        <v>917</v>
      </c>
      <c r="H55" t="s">
        <v>448</v>
      </c>
      <c r="J55" s="222">
        <v>4.5430000000000001</v>
      </c>
      <c r="K55" s="222">
        <v>0.71799999999999997</v>
      </c>
      <c r="L55" s="222">
        <v>6.8000000000000005E-2</v>
      </c>
      <c r="M55" s="389">
        <v>46.29</v>
      </c>
      <c r="N55" s="223">
        <v>0</v>
      </c>
      <c r="O55" s="223">
        <v>0</v>
      </c>
      <c r="P55" s="222">
        <v>0</v>
      </c>
    </row>
    <row r="56" spans="4:16" x14ac:dyDescent="0.3">
      <c r="F56" t="s">
        <v>918</v>
      </c>
      <c r="H56" t="s">
        <v>448</v>
      </c>
      <c r="J56" s="222">
        <v>4.5430000000000001</v>
      </c>
      <c r="K56" s="222">
        <v>0.71799999999999997</v>
      </c>
      <c r="L56" s="222">
        <v>6.8000000000000005E-2</v>
      </c>
      <c r="M56" s="389">
        <v>136.08000000000001</v>
      </c>
      <c r="N56" s="223">
        <v>0</v>
      </c>
      <c r="O56" s="223">
        <v>0</v>
      </c>
      <c r="P56" s="222">
        <v>0</v>
      </c>
    </row>
    <row r="57" spans="4:16" x14ac:dyDescent="0.3">
      <c r="F57" t="s">
        <v>832</v>
      </c>
      <c r="H57" t="s">
        <v>448</v>
      </c>
      <c r="J57" s="222">
        <v>4.5430000000000001</v>
      </c>
      <c r="K57" s="222">
        <v>0.71799999999999997</v>
      </c>
      <c r="L57" s="222">
        <v>6.8000000000000005E-2</v>
      </c>
      <c r="M57" s="389">
        <v>0</v>
      </c>
      <c r="N57" s="223">
        <v>0</v>
      </c>
      <c r="O57" s="223">
        <v>0</v>
      </c>
      <c r="P57" s="222">
        <v>0</v>
      </c>
    </row>
    <row r="58" spans="4:16" x14ac:dyDescent="0.3">
      <c r="F58" t="s">
        <v>919</v>
      </c>
      <c r="H58" t="s">
        <v>448</v>
      </c>
      <c r="J58" s="222">
        <v>2.8260000000000001</v>
      </c>
      <c r="K58" s="222">
        <v>0.45800000000000002</v>
      </c>
      <c r="L58" s="222">
        <v>3.7999999999999999E-2</v>
      </c>
      <c r="M58" s="389">
        <v>8.34</v>
      </c>
      <c r="N58" s="223">
        <v>2.87</v>
      </c>
      <c r="O58" s="223">
        <v>5.2</v>
      </c>
      <c r="P58" s="222">
        <v>0.14499999999999999</v>
      </c>
    </row>
    <row r="59" spans="4:16" x14ac:dyDescent="0.3">
      <c r="F59" t="s">
        <v>920</v>
      </c>
      <c r="H59" t="s">
        <v>448</v>
      </c>
      <c r="J59" s="222">
        <v>2.8260000000000001</v>
      </c>
      <c r="K59" s="222">
        <v>0.45800000000000002</v>
      </c>
      <c r="L59" s="222">
        <v>3.7999999999999999E-2</v>
      </c>
      <c r="M59" s="389">
        <v>201.13</v>
      </c>
      <c r="N59" s="223">
        <v>2.87</v>
      </c>
      <c r="O59" s="223">
        <v>5.2</v>
      </c>
      <c r="P59" s="222">
        <v>0.14499999999999999</v>
      </c>
    </row>
    <row r="60" spans="4:16" x14ac:dyDescent="0.3">
      <c r="F60" t="s">
        <v>921</v>
      </c>
      <c r="H60" t="s">
        <v>448</v>
      </c>
      <c r="J60" s="222">
        <v>2.8260000000000001</v>
      </c>
      <c r="K60" s="222">
        <v>0.45800000000000002</v>
      </c>
      <c r="L60" s="222">
        <v>3.7999999999999999E-2</v>
      </c>
      <c r="M60" s="389">
        <v>364.65</v>
      </c>
      <c r="N60" s="223">
        <v>2.87</v>
      </c>
      <c r="O60" s="223">
        <v>5.2</v>
      </c>
      <c r="P60" s="222">
        <v>0.14499999999999999</v>
      </c>
    </row>
    <row r="61" spans="4:16" x14ac:dyDescent="0.3">
      <c r="F61" t="s">
        <v>922</v>
      </c>
      <c r="H61" t="s">
        <v>448</v>
      </c>
      <c r="J61" s="222">
        <v>2.8260000000000001</v>
      </c>
      <c r="K61" s="222">
        <v>0.45800000000000002</v>
      </c>
      <c r="L61" s="222">
        <v>3.7999999999999999E-2</v>
      </c>
      <c r="M61" s="389">
        <v>560.79999999999995</v>
      </c>
      <c r="N61" s="223">
        <v>2.87</v>
      </c>
      <c r="O61" s="223">
        <v>5.2</v>
      </c>
      <c r="P61" s="222">
        <v>0.14499999999999999</v>
      </c>
    </row>
    <row r="62" spans="4:16" x14ac:dyDescent="0.3">
      <c r="F62" t="s">
        <v>923</v>
      </c>
      <c r="H62" t="s">
        <v>448</v>
      </c>
      <c r="J62" s="222">
        <v>2.8260000000000001</v>
      </c>
      <c r="K62" s="222">
        <v>0.45800000000000002</v>
      </c>
      <c r="L62" s="222">
        <v>3.7999999999999999E-2</v>
      </c>
      <c r="M62" s="389">
        <v>870.87</v>
      </c>
      <c r="N62" s="223">
        <v>2.87</v>
      </c>
      <c r="O62" s="223">
        <v>5.2</v>
      </c>
      <c r="P62" s="222">
        <v>0.14499999999999999</v>
      </c>
    </row>
    <row r="63" spans="4:16" x14ac:dyDescent="0.3">
      <c r="F63" t="s">
        <v>924</v>
      </c>
      <c r="H63" t="s">
        <v>448</v>
      </c>
      <c r="J63" s="227">
        <v>0</v>
      </c>
      <c r="K63" s="227">
        <v>0</v>
      </c>
      <c r="L63" s="227">
        <v>0</v>
      </c>
      <c r="M63" s="407">
        <v>0</v>
      </c>
      <c r="N63" s="349">
        <v>0</v>
      </c>
      <c r="O63" s="349">
        <v>0</v>
      </c>
      <c r="P63" s="227">
        <v>0</v>
      </c>
    </row>
    <row r="64" spans="4:16" x14ac:dyDescent="0.3">
      <c r="F64" t="s">
        <v>925</v>
      </c>
      <c r="H64" t="s">
        <v>448</v>
      </c>
      <c r="J64" s="227">
        <v>0</v>
      </c>
      <c r="K64" s="227">
        <v>0</v>
      </c>
      <c r="L64" s="227">
        <v>0</v>
      </c>
      <c r="M64" s="407">
        <v>0</v>
      </c>
      <c r="N64" s="349">
        <v>0</v>
      </c>
      <c r="O64" s="349">
        <v>0</v>
      </c>
      <c r="P64" s="227">
        <v>0</v>
      </c>
    </row>
    <row r="65" spans="6:16" x14ac:dyDescent="0.3">
      <c r="F65" s="311" t="s">
        <v>926</v>
      </c>
      <c r="H65" t="s">
        <v>448</v>
      </c>
      <c r="J65" s="348">
        <v>0</v>
      </c>
      <c r="K65" s="348">
        <v>0</v>
      </c>
      <c r="L65" s="348">
        <v>0</v>
      </c>
      <c r="M65" s="408">
        <v>0</v>
      </c>
      <c r="N65" s="350">
        <v>0</v>
      </c>
      <c r="O65" s="350">
        <v>0</v>
      </c>
      <c r="P65" s="348">
        <v>0</v>
      </c>
    </row>
    <row r="66" spans="6:16" x14ac:dyDescent="0.3">
      <c r="F66" s="311" t="s">
        <v>927</v>
      </c>
      <c r="H66" t="s">
        <v>448</v>
      </c>
      <c r="J66" s="348">
        <v>0</v>
      </c>
      <c r="K66" s="348">
        <v>0</v>
      </c>
      <c r="L66" s="348">
        <v>0</v>
      </c>
      <c r="M66" s="408">
        <v>0</v>
      </c>
      <c r="N66" s="350">
        <v>0</v>
      </c>
      <c r="O66" s="350">
        <v>0</v>
      </c>
      <c r="P66" s="348">
        <v>0</v>
      </c>
    </row>
    <row r="67" spans="6:16" x14ac:dyDescent="0.3">
      <c r="F67" s="311" t="s">
        <v>928</v>
      </c>
      <c r="H67" t="s">
        <v>448</v>
      </c>
      <c r="J67" s="348">
        <v>0</v>
      </c>
      <c r="K67" s="348">
        <v>0</v>
      </c>
      <c r="L67" s="348">
        <v>0</v>
      </c>
      <c r="M67" s="408">
        <v>0</v>
      </c>
      <c r="N67" s="350">
        <v>0</v>
      </c>
      <c r="O67" s="350">
        <v>0</v>
      </c>
      <c r="P67" s="348">
        <v>0</v>
      </c>
    </row>
    <row r="68" spans="6:16" x14ac:dyDescent="0.3">
      <c r="F68" s="311" t="s">
        <v>929</v>
      </c>
      <c r="H68" t="s">
        <v>448</v>
      </c>
      <c r="J68" s="348">
        <v>0</v>
      </c>
      <c r="K68" s="348">
        <v>0</v>
      </c>
      <c r="L68" s="348">
        <v>0</v>
      </c>
      <c r="M68" s="408">
        <v>0</v>
      </c>
      <c r="N68" s="350">
        <v>0</v>
      </c>
      <c r="O68" s="350">
        <v>0</v>
      </c>
      <c r="P68" s="348">
        <v>0</v>
      </c>
    </row>
    <row r="69" spans="6:16" x14ac:dyDescent="0.3">
      <c r="F69" s="311" t="s">
        <v>930</v>
      </c>
      <c r="H69" t="s">
        <v>448</v>
      </c>
      <c r="J69" s="348">
        <v>0</v>
      </c>
      <c r="K69" s="348">
        <v>0</v>
      </c>
      <c r="L69" s="348">
        <v>0</v>
      </c>
      <c r="M69" s="408">
        <v>0</v>
      </c>
      <c r="N69" s="350">
        <v>0</v>
      </c>
      <c r="O69" s="350">
        <v>0</v>
      </c>
      <c r="P69" s="348">
        <v>0</v>
      </c>
    </row>
    <row r="70" spans="6:16" x14ac:dyDescent="0.3">
      <c r="F70" s="311" t="s">
        <v>931</v>
      </c>
      <c r="H70" t="s">
        <v>448</v>
      </c>
      <c r="J70" s="348">
        <v>0</v>
      </c>
      <c r="K70" s="348">
        <v>0</v>
      </c>
      <c r="L70" s="348">
        <v>0</v>
      </c>
      <c r="M70" s="408">
        <v>0</v>
      </c>
      <c r="N70" s="350">
        <v>0</v>
      </c>
      <c r="O70" s="350">
        <v>0</v>
      </c>
      <c r="P70" s="348">
        <v>0</v>
      </c>
    </row>
    <row r="71" spans="6:16" x14ac:dyDescent="0.3">
      <c r="F71" s="311" t="s">
        <v>932</v>
      </c>
      <c r="H71" t="s">
        <v>448</v>
      </c>
      <c r="J71" s="348">
        <v>0</v>
      </c>
      <c r="K71" s="348">
        <v>0</v>
      </c>
      <c r="L71" s="348">
        <v>0</v>
      </c>
      <c r="M71" s="408">
        <v>0</v>
      </c>
      <c r="N71" s="350">
        <v>0</v>
      </c>
      <c r="O71" s="350">
        <v>0</v>
      </c>
      <c r="P71" s="348">
        <v>0</v>
      </c>
    </row>
    <row r="72" spans="6:16" x14ac:dyDescent="0.3">
      <c r="F72" s="311" t="s">
        <v>933</v>
      </c>
      <c r="H72" t="s">
        <v>448</v>
      </c>
      <c r="J72" s="348">
        <v>0</v>
      </c>
      <c r="K72" s="348">
        <v>0</v>
      </c>
      <c r="L72" s="348">
        <v>0</v>
      </c>
      <c r="M72" s="408">
        <v>0</v>
      </c>
      <c r="N72" s="350">
        <v>0</v>
      </c>
      <c r="O72" s="350">
        <v>0</v>
      </c>
      <c r="P72" s="348">
        <v>0</v>
      </c>
    </row>
    <row r="73" spans="6:16" x14ac:dyDescent="0.3">
      <c r="F73" s="311" t="s">
        <v>841</v>
      </c>
      <c r="H73" t="s">
        <v>448</v>
      </c>
      <c r="J73" s="346">
        <v>11.481</v>
      </c>
      <c r="K73" s="346">
        <v>1.8620000000000001</v>
      </c>
      <c r="L73" s="346">
        <v>1.4419999999999999</v>
      </c>
      <c r="M73" s="390">
        <v>0</v>
      </c>
      <c r="N73" s="347">
        <v>0</v>
      </c>
      <c r="O73" s="347">
        <v>0</v>
      </c>
      <c r="P73" s="346">
        <v>0</v>
      </c>
    </row>
    <row r="74" spans="6:16" x14ac:dyDescent="0.3">
      <c r="F74" s="311" t="s">
        <v>833</v>
      </c>
      <c r="H74" t="s">
        <v>448</v>
      </c>
      <c r="J74" s="346">
        <v>-4.2030000000000003</v>
      </c>
      <c r="K74" s="346">
        <v>-0.66400000000000003</v>
      </c>
      <c r="L74" s="346">
        <v>-6.3E-2</v>
      </c>
      <c r="M74" s="390">
        <v>0</v>
      </c>
      <c r="N74" s="347">
        <v>0</v>
      </c>
      <c r="O74" s="347">
        <v>0</v>
      </c>
      <c r="P74" s="346">
        <v>0</v>
      </c>
    </row>
    <row r="75" spans="6:16" x14ac:dyDescent="0.3">
      <c r="F75" s="311" t="s">
        <v>834</v>
      </c>
      <c r="H75" t="s">
        <v>448</v>
      </c>
      <c r="J75" s="348">
        <v>0</v>
      </c>
      <c r="K75" s="348">
        <v>0</v>
      </c>
      <c r="L75" s="348">
        <v>0</v>
      </c>
      <c r="M75" s="408">
        <v>0</v>
      </c>
      <c r="N75" s="350">
        <v>0</v>
      </c>
      <c r="O75" s="350">
        <v>0</v>
      </c>
      <c r="P75" s="348">
        <v>0</v>
      </c>
    </row>
    <row r="76" spans="6:16" x14ac:dyDescent="0.3">
      <c r="F76" s="311" t="s">
        <v>835</v>
      </c>
      <c r="H76" t="s">
        <v>448</v>
      </c>
      <c r="J76" s="346">
        <v>-4.2030000000000003</v>
      </c>
      <c r="K76" s="346">
        <v>-0.66400000000000003</v>
      </c>
      <c r="L76" s="346">
        <v>-6.3E-2</v>
      </c>
      <c r="M76" s="390">
        <v>0</v>
      </c>
      <c r="N76" s="347">
        <v>0</v>
      </c>
      <c r="O76" s="347">
        <v>0</v>
      </c>
      <c r="P76" s="346">
        <v>0.215</v>
      </c>
    </row>
    <row r="77" spans="6:16" x14ac:dyDescent="0.3">
      <c r="F77" s="311" t="s">
        <v>844</v>
      </c>
      <c r="H77" t="s">
        <v>448</v>
      </c>
      <c r="J77" s="348">
        <v>0</v>
      </c>
      <c r="K77" s="348">
        <v>0</v>
      </c>
      <c r="L77" s="348">
        <v>0</v>
      </c>
      <c r="M77" s="408">
        <v>0</v>
      </c>
      <c r="N77" s="350">
        <v>0</v>
      </c>
      <c r="O77" s="350">
        <v>0</v>
      </c>
      <c r="P77" s="348">
        <v>0</v>
      </c>
    </row>
    <row r="78" spans="6:16" x14ac:dyDescent="0.3">
      <c r="F78" s="311" t="s">
        <v>836</v>
      </c>
      <c r="H78" t="s">
        <v>448</v>
      </c>
      <c r="J78" s="348">
        <v>0</v>
      </c>
      <c r="K78" s="348">
        <v>0</v>
      </c>
      <c r="L78" s="348">
        <v>0</v>
      </c>
      <c r="M78" s="408">
        <v>0</v>
      </c>
      <c r="N78" s="350">
        <v>0</v>
      </c>
      <c r="O78" s="350">
        <v>0</v>
      </c>
      <c r="P78" s="348">
        <v>0</v>
      </c>
    </row>
    <row r="79" spans="6:16" x14ac:dyDescent="0.3">
      <c r="F79" s="311" t="s">
        <v>843</v>
      </c>
      <c r="H79" t="s">
        <v>448</v>
      </c>
      <c r="J79" s="348">
        <v>0</v>
      </c>
      <c r="K79" s="348">
        <v>0</v>
      </c>
      <c r="L79" s="348">
        <v>0</v>
      </c>
      <c r="M79" s="408">
        <v>0</v>
      </c>
      <c r="N79" s="350">
        <v>0</v>
      </c>
      <c r="O79" s="350">
        <v>0</v>
      </c>
      <c r="P79" s="348">
        <v>0</v>
      </c>
    </row>
    <row r="80" spans="6:16" x14ac:dyDescent="0.3">
      <c r="F80" s="311" t="s">
        <v>837</v>
      </c>
      <c r="H80" t="s">
        <v>448</v>
      </c>
      <c r="J80" s="348">
        <v>0</v>
      </c>
      <c r="K80" s="348">
        <v>0</v>
      </c>
      <c r="L80" s="348">
        <v>0</v>
      </c>
      <c r="M80" s="408">
        <v>0</v>
      </c>
      <c r="N80" s="350">
        <v>0</v>
      </c>
      <c r="O80" s="350">
        <v>0</v>
      </c>
      <c r="P80" s="348">
        <v>0</v>
      </c>
    </row>
    <row r="81" spans="4:16" x14ac:dyDescent="0.3">
      <c r="F81" s="37" t="s">
        <v>842</v>
      </c>
      <c r="G81" s="37"/>
      <c r="H81" s="37" t="s">
        <v>448</v>
      </c>
      <c r="I81" s="37"/>
      <c r="J81" s="228">
        <v>0</v>
      </c>
      <c r="K81" s="228">
        <v>0</v>
      </c>
      <c r="L81" s="228">
        <v>0</v>
      </c>
      <c r="M81" s="409">
        <v>0</v>
      </c>
      <c r="N81" s="351">
        <v>0</v>
      </c>
      <c r="O81" s="351">
        <v>0</v>
      </c>
      <c r="P81" s="228">
        <v>0</v>
      </c>
    </row>
    <row r="82" spans="4:16" x14ac:dyDescent="0.3">
      <c r="D82"/>
      <c r="E82"/>
      <c r="M82" s="229"/>
      <c r="N82" s="229"/>
      <c r="O82" s="229"/>
    </row>
    <row r="83" spans="4:16" x14ac:dyDescent="0.3">
      <c r="D83" s="32"/>
      <c r="E83" s="32" t="s">
        <v>807</v>
      </c>
      <c r="M83" s="229"/>
      <c r="N83" s="229"/>
      <c r="O83" s="229"/>
    </row>
    <row r="84" spans="4:16" x14ac:dyDescent="0.3">
      <c r="F84" s="23" t="s">
        <v>913</v>
      </c>
      <c r="G84" s="23"/>
      <c r="H84" s="23" t="s">
        <v>449</v>
      </c>
      <c r="I84" s="23"/>
      <c r="J84" s="220">
        <f t="array" ref="J84:P115">TRANSPOSE(Rounding!J168:AO174)</f>
        <v>3.1179999999999999</v>
      </c>
      <c r="K84" s="220">
        <v>0.49299999999999999</v>
      </c>
      <c r="L84" s="220">
        <v>4.5999999999999999E-2</v>
      </c>
      <c r="M84" s="388">
        <v>17.86</v>
      </c>
      <c r="N84" s="221">
        <v>0</v>
      </c>
      <c r="O84" s="221">
        <v>0</v>
      </c>
      <c r="P84" s="220">
        <v>0</v>
      </c>
    </row>
    <row r="85" spans="4:16" x14ac:dyDescent="0.3">
      <c r="F85" t="s">
        <v>831</v>
      </c>
      <c r="H85" t="s">
        <v>449</v>
      </c>
      <c r="J85" s="222">
        <v>3.1179999999999999</v>
      </c>
      <c r="K85" s="222">
        <v>0.49299999999999999</v>
      </c>
      <c r="L85" s="222">
        <v>4.5999999999999999E-2</v>
      </c>
      <c r="M85" s="389">
        <v>0</v>
      </c>
      <c r="N85" s="223">
        <v>0</v>
      </c>
      <c r="O85" s="223">
        <v>0</v>
      </c>
      <c r="P85" s="222">
        <v>0</v>
      </c>
    </row>
    <row r="86" spans="4:16" x14ac:dyDescent="0.3">
      <c r="F86" t="s">
        <v>914</v>
      </c>
      <c r="H86" t="s">
        <v>449</v>
      </c>
      <c r="J86" s="222">
        <v>3.55</v>
      </c>
      <c r="K86" s="222">
        <v>0.56100000000000005</v>
      </c>
      <c r="L86" s="222">
        <v>5.2999999999999999E-2</v>
      </c>
      <c r="M86" s="389">
        <v>4.6500000000000004</v>
      </c>
      <c r="N86" s="223">
        <v>0</v>
      </c>
      <c r="O86" s="223">
        <v>0</v>
      </c>
      <c r="P86" s="222">
        <v>0</v>
      </c>
    </row>
    <row r="87" spans="4:16" x14ac:dyDescent="0.3">
      <c r="F87" t="s">
        <v>915</v>
      </c>
      <c r="H87" t="s">
        <v>449</v>
      </c>
      <c r="J87" s="222">
        <v>3.55</v>
      </c>
      <c r="K87" s="222">
        <v>0.56100000000000005</v>
      </c>
      <c r="L87" s="222">
        <v>5.2999999999999999E-2</v>
      </c>
      <c r="M87" s="389">
        <v>6.96</v>
      </c>
      <c r="N87" s="223">
        <v>0</v>
      </c>
      <c r="O87" s="223">
        <v>0</v>
      </c>
      <c r="P87" s="222">
        <v>0</v>
      </c>
    </row>
    <row r="88" spans="4:16" x14ac:dyDescent="0.3">
      <c r="F88" t="s">
        <v>916</v>
      </c>
      <c r="H88" t="s">
        <v>449</v>
      </c>
      <c r="J88" s="222">
        <v>3.55</v>
      </c>
      <c r="K88" s="222">
        <v>0.56100000000000005</v>
      </c>
      <c r="L88" s="222">
        <v>5.2999999999999999E-2</v>
      </c>
      <c r="M88" s="389">
        <v>17.510000000000002</v>
      </c>
      <c r="N88" s="223">
        <v>0</v>
      </c>
      <c r="O88" s="223">
        <v>0</v>
      </c>
      <c r="P88" s="222">
        <v>0</v>
      </c>
    </row>
    <row r="89" spans="4:16" x14ac:dyDescent="0.3">
      <c r="F89" t="s">
        <v>917</v>
      </c>
      <c r="H89" t="s">
        <v>449</v>
      </c>
      <c r="J89" s="222">
        <v>3.55</v>
      </c>
      <c r="K89" s="222">
        <v>0.56100000000000005</v>
      </c>
      <c r="L89" s="222">
        <v>5.2999999999999999E-2</v>
      </c>
      <c r="M89" s="389">
        <v>36.19</v>
      </c>
      <c r="N89" s="223">
        <v>0</v>
      </c>
      <c r="O89" s="223">
        <v>0</v>
      </c>
      <c r="P89" s="222">
        <v>0</v>
      </c>
    </row>
    <row r="90" spans="4:16" x14ac:dyDescent="0.3">
      <c r="F90" t="s">
        <v>918</v>
      </c>
      <c r="H90" t="s">
        <v>449</v>
      </c>
      <c r="J90" s="222">
        <v>3.55</v>
      </c>
      <c r="K90" s="222">
        <v>0.56100000000000005</v>
      </c>
      <c r="L90" s="222">
        <v>5.2999999999999999E-2</v>
      </c>
      <c r="M90" s="389">
        <v>106.35</v>
      </c>
      <c r="N90" s="223">
        <v>0</v>
      </c>
      <c r="O90" s="223">
        <v>0</v>
      </c>
      <c r="P90" s="222">
        <v>0</v>
      </c>
    </row>
    <row r="91" spans="4:16" x14ac:dyDescent="0.3">
      <c r="F91" t="s">
        <v>832</v>
      </c>
      <c r="H91" t="s">
        <v>449</v>
      </c>
      <c r="J91" s="222">
        <v>3.55</v>
      </c>
      <c r="K91" s="222">
        <v>0.56100000000000005</v>
      </c>
      <c r="L91" s="222">
        <v>5.2999999999999999E-2</v>
      </c>
      <c r="M91" s="389">
        <v>0</v>
      </c>
      <c r="N91" s="223">
        <v>0</v>
      </c>
      <c r="O91" s="223">
        <v>0</v>
      </c>
      <c r="P91" s="222">
        <v>0</v>
      </c>
    </row>
    <row r="92" spans="4:16" x14ac:dyDescent="0.3">
      <c r="F92" t="s">
        <v>919</v>
      </c>
      <c r="H92" t="s">
        <v>449</v>
      </c>
      <c r="J92" s="222">
        <v>2.2080000000000002</v>
      </c>
      <c r="K92" s="222">
        <v>0.35799999999999998</v>
      </c>
      <c r="L92" s="222">
        <v>0.03</v>
      </c>
      <c r="M92" s="389">
        <v>6.53</v>
      </c>
      <c r="N92" s="223">
        <v>2.25</v>
      </c>
      <c r="O92" s="223">
        <v>4.07</v>
      </c>
      <c r="P92" s="222">
        <v>0.113</v>
      </c>
    </row>
    <row r="93" spans="4:16" x14ac:dyDescent="0.3">
      <c r="F93" t="s">
        <v>920</v>
      </c>
      <c r="H93" t="s">
        <v>449</v>
      </c>
      <c r="J93" s="222">
        <v>2.2080000000000002</v>
      </c>
      <c r="K93" s="222">
        <v>0.35799999999999998</v>
      </c>
      <c r="L93" s="222">
        <v>0.03</v>
      </c>
      <c r="M93" s="389">
        <v>157.18</v>
      </c>
      <c r="N93" s="223">
        <v>2.25</v>
      </c>
      <c r="O93" s="223">
        <v>4.07</v>
      </c>
      <c r="P93" s="222">
        <v>0.113</v>
      </c>
    </row>
    <row r="94" spans="4:16" x14ac:dyDescent="0.3">
      <c r="F94" t="s">
        <v>921</v>
      </c>
      <c r="H94" t="s">
        <v>449</v>
      </c>
      <c r="J94" s="222">
        <v>2.2080000000000002</v>
      </c>
      <c r="K94" s="222">
        <v>0.35799999999999998</v>
      </c>
      <c r="L94" s="222">
        <v>0.03</v>
      </c>
      <c r="M94" s="389">
        <v>284.95</v>
      </c>
      <c r="N94" s="223">
        <v>2.25</v>
      </c>
      <c r="O94" s="223">
        <v>4.07</v>
      </c>
      <c r="P94" s="222">
        <v>0.113</v>
      </c>
    </row>
    <row r="95" spans="4:16" x14ac:dyDescent="0.3">
      <c r="F95" t="s">
        <v>922</v>
      </c>
      <c r="H95" t="s">
        <v>449</v>
      </c>
      <c r="J95" s="222">
        <v>2.2080000000000002</v>
      </c>
      <c r="K95" s="222">
        <v>0.35799999999999998</v>
      </c>
      <c r="L95" s="222">
        <v>0.03</v>
      </c>
      <c r="M95" s="389">
        <v>438.22</v>
      </c>
      <c r="N95" s="223">
        <v>2.25</v>
      </c>
      <c r="O95" s="223">
        <v>4.07</v>
      </c>
      <c r="P95" s="222">
        <v>0.113</v>
      </c>
    </row>
    <row r="96" spans="4:16" x14ac:dyDescent="0.3">
      <c r="F96" t="s">
        <v>923</v>
      </c>
      <c r="H96" t="s">
        <v>449</v>
      </c>
      <c r="J96" s="222">
        <v>2.2080000000000002</v>
      </c>
      <c r="K96" s="222">
        <v>0.35799999999999998</v>
      </c>
      <c r="L96" s="222">
        <v>0.03</v>
      </c>
      <c r="M96" s="389">
        <v>680.51</v>
      </c>
      <c r="N96" s="223">
        <v>2.25</v>
      </c>
      <c r="O96" s="223">
        <v>4.07</v>
      </c>
      <c r="P96" s="222">
        <v>0.113</v>
      </c>
    </row>
    <row r="97" spans="6:16" x14ac:dyDescent="0.3">
      <c r="F97" t="s">
        <v>924</v>
      </c>
      <c r="H97" t="s">
        <v>449</v>
      </c>
      <c r="J97" s="222">
        <v>1.514</v>
      </c>
      <c r="K97" s="222">
        <v>0.26300000000000001</v>
      </c>
      <c r="L97" s="222">
        <v>1.4E-2</v>
      </c>
      <c r="M97" s="389">
        <v>7.89</v>
      </c>
      <c r="N97" s="223">
        <v>3.93</v>
      </c>
      <c r="O97" s="223">
        <v>5.43</v>
      </c>
      <c r="P97" s="222">
        <v>0.106</v>
      </c>
    </row>
    <row r="98" spans="6:16" x14ac:dyDescent="0.3">
      <c r="F98" t="s">
        <v>925</v>
      </c>
      <c r="H98" t="s">
        <v>449</v>
      </c>
      <c r="J98" s="222">
        <v>1.514</v>
      </c>
      <c r="K98" s="222">
        <v>0.26300000000000001</v>
      </c>
      <c r="L98" s="222">
        <v>1.4E-2</v>
      </c>
      <c r="M98" s="389">
        <v>241.37</v>
      </c>
      <c r="N98" s="223">
        <v>3.93</v>
      </c>
      <c r="O98" s="223">
        <v>5.43</v>
      </c>
      <c r="P98" s="222">
        <v>0.106</v>
      </c>
    </row>
    <row r="99" spans="6:16" x14ac:dyDescent="0.3">
      <c r="F99" s="311" t="s">
        <v>926</v>
      </c>
      <c r="H99" t="s">
        <v>449</v>
      </c>
      <c r="J99" s="346">
        <v>1.514</v>
      </c>
      <c r="K99" s="346">
        <v>0.26300000000000001</v>
      </c>
      <c r="L99" s="346">
        <v>1.4E-2</v>
      </c>
      <c r="M99" s="390">
        <v>439.4</v>
      </c>
      <c r="N99" s="347">
        <v>3.93</v>
      </c>
      <c r="O99" s="347">
        <v>5.43</v>
      </c>
      <c r="P99" s="346">
        <v>0.106</v>
      </c>
    </row>
    <row r="100" spans="6:16" x14ac:dyDescent="0.3">
      <c r="F100" s="311" t="s">
        <v>927</v>
      </c>
      <c r="H100" t="s">
        <v>449</v>
      </c>
      <c r="J100" s="346">
        <v>1.514</v>
      </c>
      <c r="K100" s="346">
        <v>0.26300000000000001</v>
      </c>
      <c r="L100" s="346">
        <v>1.4E-2</v>
      </c>
      <c r="M100" s="390">
        <v>676.94</v>
      </c>
      <c r="N100" s="347">
        <v>3.93</v>
      </c>
      <c r="O100" s="347">
        <v>5.43</v>
      </c>
      <c r="P100" s="346">
        <v>0.106</v>
      </c>
    </row>
    <row r="101" spans="6:16" x14ac:dyDescent="0.3">
      <c r="F101" s="311" t="s">
        <v>928</v>
      </c>
      <c r="H101" t="s">
        <v>449</v>
      </c>
      <c r="J101" s="346">
        <v>1.514</v>
      </c>
      <c r="K101" s="346">
        <v>0.26300000000000001</v>
      </c>
      <c r="L101" s="346">
        <v>1.4E-2</v>
      </c>
      <c r="M101" s="390">
        <v>1052.46</v>
      </c>
      <c r="N101" s="347">
        <v>3.93</v>
      </c>
      <c r="O101" s="347">
        <v>5.43</v>
      </c>
      <c r="P101" s="346">
        <v>0.106</v>
      </c>
    </row>
    <row r="102" spans="6:16" x14ac:dyDescent="0.3">
      <c r="F102" s="311" t="s">
        <v>929</v>
      </c>
      <c r="H102" t="s">
        <v>449</v>
      </c>
      <c r="J102" s="346">
        <v>1.1830000000000001</v>
      </c>
      <c r="K102" s="346">
        <v>0.20599999999999999</v>
      </c>
      <c r="L102" s="346">
        <v>8.0000000000000002E-3</v>
      </c>
      <c r="M102" s="390">
        <v>82.98</v>
      </c>
      <c r="N102" s="347">
        <v>4.78</v>
      </c>
      <c r="O102" s="347">
        <v>6.3</v>
      </c>
      <c r="P102" s="346">
        <v>5.3999999999999999E-2</v>
      </c>
    </row>
    <row r="103" spans="6:16" x14ac:dyDescent="0.3">
      <c r="F103" s="311" t="s">
        <v>930</v>
      </c>
      <c r="H103" t="s">
        <v>449</v>
      </c>
      <c r="J103" s="346">
        <v>1.1830000000000001</v>
      </c>
      <c r="K103" s="346">
        <v>0.20599999999999999</v>
      </c>
      <c r="L103" s="346">
        <v>8.0000000000000002E-3</v>
      </c>
      <c r="M103" s="390">
        <v>1381.13</v>
      </c>
      <c r="N103" s="347">
        <v>4.78</v>
      </c>
      <c r="O103" s="347">
        <v>6.3</v>
      </c>
      <c r="P103" s="346">
        <v>5.3999999999999999E-2</v>
      </c>
    </row>
    <row r="104" spans="6:16" x14ac:dyDescent="0.3">
      <c r="F104" s="311" t="s">
        <v>931</v>
      </c>
      <c r="H104" t="s">
        <v>449</v>
      </c>
      <c r="J104" s="346">
        <v>1.1830000000000001</v>
      </c>
      <c r="K104" s="346">
        <v>0.20599999999999999</v>
      </c>
      <c r="L104" s="346">
        <v>8.0000000000000002E-3</v>
      </c>
      <c r="M104" s="390">
        <v>4372.6000000000004</v>
      </c>
      <c r="N104" s="347">
        <v>4.78</v>
      </c>
      <c r="O104" s="347">
        <v>6.3</v>
      </c>
      <c r="P104" s="346">
        <v>5.3999999999999999E-2</v>
      </c>
    </row>
    <row r="105" spans="6:16" x14ac:dyDescent="0.3">
      <c r="F105" s="311" t="s">
        <v>932</v>
      </c>
      <c r="H105" t="s">
        <v>449</v>
      </c>
      <c r="J105" s="346">
        <v>1.1830000000000001</v>
      </c>
      <c r="K105" s="346">
        <v>0.20599999999999999</v>
      </c>
      <c r="L105" s="346">
        <v>8.0000000000000002E-3</v>
      </c>
      <c r="M105" s="390">
        <v>9645.1200000000008</v>
      </c>
      <c r="N105" s="347">
        <v>4.78</v>
      </c>
      <c r="O105" s="347">
        <v>6.3</v>
      </c>
      <c r="P105" s="346">
        <v>5.3999999999999999E-2</v>
      </c>
    </row>
    <row r="106" spans="6:16" x14ac:dyDescent="0.3">
      <c r="F106" s="311" t="s">
        <v>933</v>
      </c>
      <c r="H106" t="s">
        <v>449</v>
      </c>
      <c r="J106" s="346">
        <v>1.1830000000000001</v>
      </c>
      <c r="K106" s="346">
        <v>0.20599999999999999</v>
      </c>
      <c r="L106" s="346">
        <v>8.0000000000000002E-3</v>
      </c>
      <c r="M106" s="390">
        <v>29580.01</v>
      </c>
      <c r="N106" s="347">
        <v>4.78</v>
      </c>
      <c r="O106" s="347">
        <v>6.3</v>
      </c>
      <c r="P106" s="346">
        <v>5.3999999999999999E-2</v>
      </c>
    </row>
    <row r="107" spans="6:16" x14ac:dyDescent="0.3">
      <c r="F107" s="311" t="s">
        <v>841</v>
      </c>
      <c r="H107" t="s">
        <v>449</v>
      </c>
      <c r="J107" s="346">
        <v>8.9710000000000001</v>
      </c>
      <c r="K107" s="346">
        <v>1.4550000000000001</v>
      </c>
      <c r="L107" s="346">
        <v>1.127</v>
      </c>
      <c r="M107" s="390">
        <v>0</v>
      </c>
      <c r="N107" s="347">
        <v>0</v>
      </c>
      <c r="O107" s="347">
        <v>0</v>
      </c>
      <c r="P107" s="346">
        <v>0</v>
      </c>
    </row>
    <row r="108" spans="6:16" x14ac:dyDescent="0.3">
      <c r="F108" s="311" t="s">
        <v>833</v>
      </c>
      <c r="H108" t="s">
        <v>449</v>
      </c>
      <c r="J108" s="346">
        <v>-4.2030000000000003</v>
      </c>
      <c r="K108" s="346">
        <v>-0.66400000000000003</v>
      </c>
      <c r="L108" s="346">
        <v>-6.3E-2</v>
      </c>
      <c r="M108" s="390">
        <v>0</v>
      </c>
      <c r="N108" s="347">
        <v>0</v>
      </c>
      <c r="O108" s="347">
        <v>0</v>
      </c>
      <c r="P108" s="346">
        <v>0</v>
      </c>
    </row>
    <row r="109" spans="6:16" x14ac:dyDescent="0.3">
      <c r="F109" s="311" t="s">
        <v>834</v>
      </c>
      <c r="H109" t="s">
        <v>449</v>
      </c>
      <c r="J109" s="346">
        <v>-3.496</v>
      </c>
      <c r="K109" s="346">
        <v>-0.56100000000000005</v>
      </c>
      <c r="L109" s="346">
        <v>-4.9000000000000002E-2</v>
      </c>
      <c r="M109" s="390">
        <v>0</v>
      </c>
      <c r="N109" s="347">
        <v>0</v>
      </c>
      <c r="O109" s="347">
        <v>0</v>
      </c>
      <c r="P109" s="346">
        <v>0</v>
      </c>
    </row>
    <row r="110" spans="6:16" x14ac:dyDescent="0.3">
      <c r="F110" s="311" t="s">
        <v>835</v>
      </c>
      <c r="H110" t="s">
        <v>449</v>
      </c>
      <c r="J110" s="346">
        <v>-4.2030000000000003</v>
      </c>
      <c r="K110" s="346">
        <v>-0.66400000000000003</v>
      </c>
      <c r="L110" s="346">
        <v>-6.3E-2</v>
      </c>
      <c r="M110" s="390">
        <v>0</v>
      </c>
      <c r="N110" s="347">
        <v>0</v>
      </c>
      <c r="O110" s="347">
        <v>0</v>
      </c>
      <c r="P110" s="346">
        <v>0.215</v>
      </c>
    </row>
    <row r="111" spans="6:16" x14ac:dyDescent="0.3">
      <c r="F111" s="311" t="s">
        <v>844</v>
      </c>
      <c r="H111" t="s">
        <v>449</v>
      </c>
      <c r="J111" s="348">
        <v>0</v>
      </c>
      <c r="K111" s="348">
        <v>0</v>
      </c>
      <c r="L111" s="348">
        <v>0</v>
      </c>
      <c r="M111" s="408">
        <v>0</v>
      </c>
      <c r="N111" s="350">
        <v>0</v>
      </c>
      <c r="O111" s="350">
        <v>0</v>
      </c>
      <c r="P111" s="348">
        <v>0</v>
      </c>
    </row>
    <row r="112" spans="6:16" x14ac:dyDescent="0.3">
      <c r="F112" s="311" t="s">
        <v>836</v>
      </c>
      <c r="H112" t="s">
        <v>449</v>
      </c>
      <c r="J112" s="346">
        <v>-3.496</v>
      </c>
      <c r="K112" s="346">
        <v>-0.56100000000000005</v>
      </c>
      <c r="L112" s="346">
        <v>-4.9000000000000002E-2</v>
      </c>
      <c r="M112" s="390">
        <v>0</v>
      </c>
      <c r="N112" s="347">
        <v>0</v>
      </c>
      <c r="O112" s="347">
        <v>0</v>
      </c>
      <c r="P112" s="346">
        <v>0.16700000000000001</v>
      </c>
    </row>
    <row r="113" spans="2:19" x14ac:dyDescent="0.3">
      <c r="F113" s="311" t="s">
        <v>843</v>
      </c>
      <c r="H113" t="s">
        <v>449</v>
      </c>
      <c r="J113" s="348">
        <v>0</v>
      </c>
      <c r="K113" s="348">
        <v>0</v>
      </c>
      <c r="L113" s="348">
        <v>0</v>
      </c>
      <c r="M113" s="408">
        <v>0</v>
      </c>
      <c r="N113" s="350">
        <v>0</v>
      </c>
      <c r="O113" s="350">
        <v>0</v>
      </c>
      <c r="P113" s="348">
        <v>0</v>
      </c>
    </row>
    <row r="114" spans="2:19" x14ac:dyDescent="0.3">
      <c r="F114" s="311" t="s">
        <v>837</v>
      </c>
      <c r="H114" t="s">
        <v>449</v>
      </c>
      <c r="J114" s="346">
        <v>-1.8</v>
      </c>
      <c r="K114" s="346">
        <v>-0.313</v>
      </c>
      <c r="L114" s="346">
        <v>-1.7000000000000001E-2</v>
      </c>
      <c r="M114" s="390">
        <v>0</v>
      </c>
      <c r="N114" s="347">
        <v>0</v>
      </c>
      <c r="O114" s="347">
        <v>0</v>
      </c>
      <c r="P114" s="346">
        <v>0.13</v>
      </c>
    </row>
    <row r="115" spans="2:19" x14ac:dyDescent="0.3">
      <c r="F115" s="37" t="s">
        <v>842</v>
      </c>
      <c r="G115" s="37"/>
      <c r="H115" s="37" t="s">
        <v>449</v>
      </c>
      <c r="I115" s="37"/>
      <c r="J115" s="228">
        <v>0</v>
      </c>
      <c r="K115" s="228">
        <v>0</v>
      </c>
      <c r="L115" s="228">
        <v>0</v>
      </c>
      <c r="M115" s="409">
        <v>0</v>
      </c>
      <c r="N115" s="351">
        <v>0</v>
      </c>
      <c r="O115" s="351">
        <v>0</v>
      </c>
      <c r="P115" s="228">
        <v>0</v>
      </c>
    </row>
    <row r="116" spans="2:19" x14ac:dyDescent="0.3">
      <c r="D116" s="32"/>
      <c r="E116" s="32"/>
      <c r="F116" s="32"/>
      <c r="G116" s="32"/>
      <c r="H116" s="32"/>
      <c r="I116" s="32"/>
      <c r="J116" s="32"/>
      <c r="K116" s="32"/>
      <c r="L116" s="32"/>
      <c r="M116" s="230"/>
      <c r="N116" s="230"/>
      <c r="O116" s="230"/>
      <c r="P116" s="32"/>
      <c r="Q116" s="32"/>
      <c r="R116" s="32"/>
      <c r="S116" s="32"/>
    </row>
    <row r="117" spans="2:19" x14ac:dyDescent="0.3">
      <c r="B117" s="30" t="s">
        <v>231</v>
      </c>
      <c r="C117" s="30"/>
      <c r="D117" s="30"/>
      <c r="E117" s="30"/>
      <c r="F117" s="30"/>
      <c r="G117" s="30"/>
      <c r="H117" s="30"/>
      <c r="I117" s="30"/>
      <c r="J117" s="30"/>
      <c r="K117" s="30"/>
      <c r="L117" s="104"/>
      <c r="M117" s="231"/>
      <c r="N117" s="231"/>
      <c r="O117" s="231"/>
      <c r="P117" s="104"/>
      <c r="Q117" s="104"/>
      <c r="R117" s="104"/>
    </row>
    <row r="118" spans="2:19" x14ac:dyDescent="0.3">
      <c r="M118" s="229"/>
      <c r="N118" s="229"/>
      <c r="O118" s="229"/>
    </row>
    <row r="119" spans="2:19" x14ac:dyDescent="0.3">
      <c r="D119"/>
      <c r="E119" t="s">
        <v>232</v>
      </c>
      <c r="G119" s="6" t="s">
        <v>55</v>
      </c>
      <c r="H119" s="103">
        <f t="array" ref="H119">SUM(IF(ISERROR(J16:P99), 1))</f>
        <v>0</v>
      </c>
      <c r="M119" s="229"/>
      <c r="N119" s="229"/>
      <c r="O119" s="229"/>
    </row>
    <row r="120" spans="2:19" x14ac:dyDescent="0.3">
      <c r="M120" s="229"/>
      <c r="N120" s="229"/>
      <c r="O120" s="229"/>
    </row>
    <row r="121" spans="2:19" x14ac:dyDescent="0.3">
      <c r="B121" s="30" t="s">
        <v>106</v>
      </c>
      <c r="C121" s="30"/>
      <c r="D121" s="30"/>
      <c r="E121" s="30"/>
      <c r="F121" s="30"/>
      <c r="G121" s="30"/>
      <c r="H121" s="30"/>
      <c r="I121" s="30"/>
      <c r="J121" s="30"/>
      <c r="K121" s="30"/>
      <c r="L121" s="104"/>
      <c r="M121" s="231"/>
      <c r="N121" s="231"/>
      <c r="O121" s="231"/>
      <c r="P121" s="104"/>
      <c r="Q121" s="104"/>
      <c r="R121" s="104"/>
    </row>
    <row r="122" spans="2:19" x14ac:dyDescent="0.3">
      <c r="M122" s="229"/>
      <c r="N122" s="229"/>
      <c r="O122" s="229"/>
    </row>
    <row r="123" spans="2:19" x14ac:dyDescent="0.3">
      <c r="D123"/>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KN80"/>
  <sheetViews>
    <sheetView showGridLines="0" zoomScale="80" zoomScaleNormal="80" workbookViewId="0">
      <pane xSplit="9" ySplit="5" topLeftCell="J42" activePane="bottomRight" state="frozen"/>
      <selection pane="topRight"/>
      <selection pane="bottomLeft"/>
      <selection pane="bottomRight" activeCell="H19" sqref="H19:H23"/>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38" width="17" customWidth="1"/>
    <col min="39" max="39" width="2.44140625" customWidth="1"/>
    <col min="40" max="40" width="50.5546875" customWidth="1"/>
    <col min="41" max="41" width="2.44140625" customWidth="1"/>
    <col min="42" max="44" width="17" hidden="1" customWidth="1"/>
    <col min="45" max="45" width="2.44140625" hidden="1" customWidth="1"/>
    <col min="46" max="46" width="18.44140625" hidden="1" customWidth="1"/>
    <col min="47" max="47" width="4.44140625" hidden="1" customWidth="1"/>
    <col min="48" max="300" width="24.5546875" hidden="1" customWidth="1"/>
    <col min="301" max="16384" width="8.5546875" hidden="1"/>
  </cols>
  <sheetData>
    <row r="1" spans="1:40" s="1" customFormat="1" x14ac:dyDescent="0.3">
      <c r="A1" s="1" t="str">
        <f ca="1">MID(CELL("filename",A1),FIND("]",CELL("filename",A1))+1,255)</f>
        <v>Output to other models</v>
      </c>
    </row>
    <row r="2" spans="1:40" s="1" customFormat="1" x14ac:dyDescent="0.3">
      <c r="A2" s="1" t="str">
        <f>Cover!D21&amp;" - "&amp;Cover!D23</f>
        <v>WPD Mid West - April 22 Pricing</v>
      </c>
    </row>
    <row r="3" spans="1:40" s="5" customFormat="1" x14ac:dyDescent="0.3">
      <c r="A3" s="5" t="str">
        <f>Cover!D2&amp;" - "&amp;Cover!D8&amp;" v"&amp;Cover!D10&amp;" - "&amp;Cover!D19</f>
        <v>CDCM charging model - Release for charge setting v7 - 2022/23</v>
      </c>
    </row>
    <row r="4" spans="1:40" x14ac:dyDescent="0.3">
      <c r="A4" s="12" t="str">
        <f>H78 &amp; IF(H78 = 1, " issue", " issues") &amp;" identified in checks on this sheet"</f>
        <v>0 issues identified in checks on this sheet</v>
      </c>
      <c r="B4" s="13"/>
      <c r="C4" s="13"/>
      <c r="D4" s="13"/>
      <c r="E4" s="13"/>
      <c r="F4" s="13"/>
      <c r="G4" s="13"/>
      <c r="H4" s="14"/>
      <c r="I4" s="14"/>
      <c r="J4" s="13"/>
    </row>
    <row r="5" spans="1:40" x14ac:dyDescent="0.3">
      <c r="B5" s="59" t="s">
        <v>142</v>
      </c>
      <c r="C5" s="60"/>
      <c r="D5" s="60"/>
      <c r="E5" s="60"/>
      <c r="F5" s="60"/>
      <c r="G5" s="61" t="s">
        <v>143</v>
      </c>
      <c r="H5" s="93" t="s">
        <v>144</v>
      </c>
      <c r="AN5" s="61" t="s">
        <v>145</v>
      </c>
    </row>
    <row r="7" spans="1:40" x14ac:dyDescent="0.3">
      <c r="B7" s="30" t="s">
        <v>10</v>
      </c>
      <c r="C7" s="30"/>
      <c r="D7" s="30"/>
      <c r="E7" s="30"/>
      <c r="F7" s="30"/>
      <c r="G7" s="30"/>
      <c r="H7" s="30"/>
      <c r="I7" s="30"/>
      <c r="J7" s="30"/>
      <c r="K7" s="30"/>
      <c r="L7" s="105"/>
      <c r="M7" s="105"/>
      <c r="N7" s="105"/>
      <c r="O7" s="105"/>
      <c r="P7" s="105"/>
      <c r="Q7" s="105"/>
      <c r="R7" s="105"/>
      <c r="S7" s="105"/>
      <c r="T7" s="105"/>
      <c r="U7" s="105"/>
      <c r="V7" s="105"/>
      <c r="W7" s="105"/>
      <c r="X7" s="105"/>
      <c r="Y7" s="105"/>
      <c r="Z7" s="105"/>
      <c r="AA7" s="105"/>
      <c r="AB7" s="105"/>
      <c r="AC7" s="105"/>
      <c r="AD7" s="105"/>
      <c r="AE7" s="105"/>
      <c r="AF7" s="105"/>
      <c r="AG7" s="105"/>
      <c r="AH7" s="105"/>
      <c r="AI7" s="105"/>
      <c r="AJ7" s="105"/>
      <c r="AK7" s="105"/>
      <c r="AL7" s="105"/>
      <c r="AM7" s="105"/>
      <c r="AN7" s="105"/>
    </row>
    <row r="9" spans="1:40" x14ac:dyDescent="0.3">
      <c r="C9" s="29" t="s">
        <v>808</v>
      </c>
      <c r="E9"/>
    </row>
    <row r="10" spans="1:40" x14ac:dyDescent="0.3">
      <c r="C10" s="29" t="s">
        <v>809</v>
      </c>
      <c r="E10"/>
    </row>
    <row r="12" spans="1:40" x14ac:dyDescent="0.3">
      <c r="B12" s="30" t="s">
        <v>810</v>
      </c>
      <c r="C12" s="30"/>
      <c r="D12" s="30"/>
      <c r="E12" s="30"/>
      <c r="F12" s="30"/>
      <c r="G12" s="30"/>
      <c r="H12" s="30"/>
      <c r="I12" s="30"/>
      <c r="J12" s="30"/>
      <c r="K12" s="30"/>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row>
    <row r="14" spans="1:40" x14ac:dyDescent="0.3">
      <c r="B14" s="29"/>
      <c r="C14" s="31" t="str">
        <f ca="1">INDEX('Version control'!$H$34:$H$57,MATCH($A$1,'Version control'!$F$34:$F$57,0),1)&amp;"-A: CDCM notional EHV asset values"</f>
        <v>Output 102-A: CDCM notional EHV asset values</v>
      </c>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row>
    <row r="16" spans="1:40" x14ac:dyDescent="0.3">
      <c r="D16" s="29" t="s">
        <v>811</v>
      </c>
      <c r="E16"/>
    </row>
    <row r="17" spans="2:40" x14ac:dyDescent="0.3">
      <c r="D17" s="29"/>
      <c r="E17"/>
    </row>
    <row r="18" spans="2:40" x14ac:dyDescent="0.3">
      <c r="E18" s="32" t="s">
        <v>812</v>
      </c>
    </row>
    <row r="19" spans="2:40" x14ac:dyDescent="0.3">
      <c r="F19" s="64" t="s">
        <v>192</v>
      </c>
      <c r="G19" s="23" t="s">
        <v>277</v>
      </c>
      <c r="H19" s="232">
        <f t="array" ref="H19:H23">TRANSPOSE('Unit costs'!L108:P108)</f>
        <v>445711197.27068639</v>
      </c>
    </row>
    <row r="20" spans="2:40" x14ac:dyDescent="0.3">
      <c r="E20"/>
      <c r="F20" s="28" t="s">
        <v>193</v>
      </c>
      <c r="G20" t="s">
        <v>277</v>
      </c>
      <c r="H20" s="233">
        <v>99417322.396165192</v>
      </c>
    </row>
    <row r="21" spans="2:40" x14ac:dyDescent="0.3">
      <c r="E21"/>
      <c r="F21" s="28" t="s">
        <v>194</v>
      </c>
      <c r="G21" t="s">
        <v>277</v>
      </c>
      <c r="H21" s="233">
        <v>108384503.6923511</v>
      </c>
    </row>
    <row r="22" spans="2:40" x14ac:dyDescent="0.3">
      <c r="E22"/>
      <c r="F22" s="28" t="s">
        <v>195</v>
      </c>
      <c r="G22" t="s">
        <v>277</v>
      </c>
      <c r="H22" s="233">
        <v>275984631.36507398</v>
      </c>
    </row>
    <row r="23" spans="2:40" x14ac:dyDescent="0.3">
      <c r="E23"/>
      <c r="F23" s="67" t="s">
        <v>196</v>
      </c>
      <c r="G23" s="37" t="s">
        <v>277</v>
      </c>
      <c r="H23" s="234">
        <v>300144402.58664125</v>
      </c>
    </row>
    <row r="25" spans="2:40" x14ac:dyDescent="0.3">
      <c r="B25" s="30" t="s">
        <v>813</v>
      </c>
      <c r="C25" s="30"/>
      <c r="D25" s="30"/>
      <c r="E25" s="30"/>
      <c r="F25" s="30"/>
      <c r="G25" s="30"/>
      <c r="H25" s="30"/>
      <c r="I25" s="30"/>
      <c r="J25" s="30"/>
      <c r="K25" s="30"/>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row>
    <row r="27" spans="2:40" x14ac:dyDescent="0.3">
      <c r="C27" s="31" t="str">
        <f ca="1">INDEX('Version control'!$H$34:$H$57,MATCH($A$1,'Version control'!$F$34:$F$57,0),1)&amp;"-B: CDCM end user tariff forecast"</f>
        <v>Output 102-B: CDCM end user tariff forecast</v>
      </c>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row>
    <row r="29" spans="2:40" x14ac:dyDescent="0.3">
      <c r="D29" s="29" t="s">
        <v>901</v>
      </c>
      <c r="E29"/>
    </row>
    <row r="31" spans="2:40" ht="43.2" x14ac:dyDescent="0.3">
      <c r="C31" s="235"/>
      <c r="E31" s="32" t="s">
        <v>814</v>
      </c>
      <c r="J31" s="236" t="s">
        <v>913</v>
      </c>
      <c r="K31" s="236" t="s">
        <v>831</v>
      </c>
      <c r="L31" s="236" t="s">
        <v>914</v>
      </c>
      <c r="M31" s="236" t="s">
        <v>915</v>
      </c>
      <c r="N31" s="236" t="s">
        <v>916</v>
      </c>
      <c r="O31" s="236" t="s">
        <v>917</v>
      </c>
      <c r="P31" s="236" t="s">
        <v>918</v>
      </c>
      <c r="Q31" s="236" t="s">
        <v>832</v>
      </c>
      <c r="R31" s="236" t="s">
        <v>919</v>
      </c>
      <c r="S31" s="236" t="s">
        <v>920</v>
      </c>
      <c r="T31" s="236" t="s">
        <v>921</v>
      </c>
      <c r="U31" s="236" t="s">
        <v>922</v>
      </c>
      <c r="V31" s="236" t="s">
        <v>923</v>
      </c>
      <c r="W31" s="236" t="s">
        <v>924</v>
      </c>
      <c r="X31" s="236" t="s">
        <v>925</v>
      </c>
      <c r="Y31" s="236" t="s">
        <v>926</v>
      </c>
      <c r="Z31" s="236" t="s">
        <v>927</v>
      </c>
      <c r="AA31" s="236" t="s">
        <v>928</v>
      </c>
      <c r="AB31" s="236" t="s">
        <v>929</v>
      </c>
      <c r="AC31" s="236" t="s">
        <v>930</v>
      </c>
      <c r="AD31" s="236" t="s">
        <v>931</v>
      </c>
      <c r="AE31" s="236" t="s">
        <v>932</v>
      </c>
      <c r="AF31" s="236" t="s">
        <v>933</v>
      </c>
      <c r="AG31" s="236" t="s">
        <v>841</v>
      </c>
      <c r="AH31" s="236" t="s">
        <v>833</v>
      </c>
      <c r="AI31" s="236" t="s">
        <v>834</v>
      </c>
      <c r="AJ31" s="236" t="s">
        <v>835</v>
      </c>
      <c r="AK31" s="236" t="s">
        <v>836</v>
      </c>
      <c r="AL31" s="236" t="s">
        <v>837</v>
      </c>
    </row>
    <row r="32" spans="2:40" x14ac:dyDescent="0.3">
      <c r="C32" s="235"/>
      <c r="D32"/>
      <c r="F32" s="237" t="s">
        <v>156</v>
      </c>
      <c r="G32" s="237" t="s">
        <v>269</v>
      </c>
      <c r="H32" s="266" t="s">
        <v>773</v>
      </c>
      <c r="I32" s="266"/>
      <c r="J32" s="285">
        <f>Rounding!J110</f>
        <v>6.0221483582302726</v>
      </c>
      <c r="K32" s="285">
        <f>Rounding!K110</f>
        <v>6.0221483582302726</v>
      </c>
      <c r="L32" s="285">
        <f>Rounding!L110</f>
        <v>6.8556231914876227</v>
      </c>
      <c r="M32" s="285">
        <f>Rounding!M110</f>
        <v>6.8556231914876227</v>
      </c>
      <c r="N32" s="285">
        <f>Rounding!N110</f>
        <v>6.8556231914876227</v>
      </c>
      <c r="O32" s="285">
        <f>Rounding!O110</f>
        <v>6.8556231914876227</v>
      </c>
      <c r="P32" s="285">
        <f>Rounding!P110</f>
        <v>6.8556231914876227</v>
      </c>
      <c r="Q32" s="285">
        <f>Rounding!Q110</f>
        <v>6.8556231914876227</v>
      </c>
      <c r="R32" s="285">
        <f>Rounding!R110</f>
        <v>4.2652239720587968</v>
      </c>
      <c r="S32" s="285">
        <f>Rounding!S110</f>
        <v>4.2652239720587968</v>
      </c>
      <c r="T32" s="285">
        <f>Rounding!T110</f>
        <v>4.2652239720587968</v>
      </c>
      <c r="U32" s="285">
        <f>Rounding!U110</f>
        <v>4.2652239720587968</v>
      </c>
      <c r="V32" s="285">
        <f>Rounding!V110</f>
        <v>4.2652239720587968</v>
      </c>
      <c r="W32" s="285">
        <f>Rounding!W110</f>
        <v>1.887205166199178</v>
      </c>
      <c r="X32" s="285">
        <f>Rounding!X110</f>
        <v>1.887205166199178</v>
      </c>
      <c r="Y32" s="285">
        <f>Rounding!Y110</f>
        <v>1.887205166199178</v>
      </c>
      <c r="Z32" s="285">
        <f>Rounding!Z110</f>
        <v>1.887205166199178</v>
      </c>
      <c r="AA32" s="285">
        <f>Rounding!AA110</f>
        <v>1.887205166199178</v>
      </c>
      <c r="AB32" s="285">
        <f>Rounding!AB110</f>
        <v>1.2836091007228583</v>
      </c>
      <c r="AC32" s="285">
        <f>Rounding!AC110</f>
        <v>1.2836091007228583</v>
      </c>
      <c r="AD32" s="285">
        <f>Rounding!AD110</f>
        <v>1.2836091007228583</v>
      </c>
      <c r="AE32" s="285">
        <f>Rounding!AE110</f>
        <v>1.2836091007228583</v>
      </c>
      <c r="AF32" s="285">
        <f>Rounding!AF110</f>
        <v>1.2836091007228583</v>
      </c>
      <c r="AG32" s="285">
        <f>Rounding!AG110</f>
        <v>17.326587222112806</v>
      </c>
      <c r="AH32" s="285">
        <f>Rounding!AH110</f>
        <v>-4.2026893264145153</v>
      </c>
      <c r="AI32" s="285">
        <f>Rounding!AI110</f>
        <v>-3.4961132793592773</v>
      </c>
      <c r="AJ32" s="285">
        <f>Rounding!AJ110</f>
        <v>-4.2026893264145153</v>
      </c>
      <c r="AK32" s="285">
        <f>Rounding!AL110</f>
        <v>-3.4961132793592773</v>
      </c>
      <c r="AL32" s="285">
        <f>Rounding!AN110</f>
        <v>-1.7998280217679377</v>
      </c>
    </row>
    <row r="33" spans="3:40" x14ac:dyDescent="0.3">
      <c r="C33" s="235"/>
      <c r="D33"/>
      <c r="F33" s="238" t="s">
        <v>157</v>
      </c>
      <c r="G33" s="238" t="s">
        <v>269</v>
      </c>
      <c r="H33" s="267" t="s">
        <v>773</v>
      </c>
      <c r="I33" s="267"/>
      <c r="J33" s="380">
        <f>Rounding!J111</f>
        <v>0.95141599957884027</v>
      </c>
      <c r="K33" s="380">
        <f>Rounding!K111</f>
        <v>0.95141599957884027</v>
      </c>
      <c r="L33" s="380">
        <f>Rounding!L111</f>
        <v>1.0830934748644838</v>
      </c>
      <c r="M33" s="380">
        <f>Rounding!M111</f>
        <v>1.0830934748644838</v>
      </c>
      <c r="N33" s="380">
        <f>Rounding!N111</f>
        <v>1.0830934748644838</v>
      </c>
      <c r="O33" s="380">
        <f>Rounding!O111</f>
        <v>1.0830934748644838</v>
      </c>
      <c r="P33" s="380">
        <f>Rounding!P111</f>
        <v>1.0830934748644838</v>
      </c>
      <c r="Q33" s="380">
        <f>Rounding!Q111</f>
        <v>1.0830934748644838</v>
      </c>
      <c r="R33" s="380">
        <f>Rounding!R111</f>
        <v>0.69123793373055742</v>
      </c>
      <c r="S33" s="380">
        <f>Rounding!S111</f>
        <v>0.69123793373055742</v>
      </c>
      <c r="T33" s="380">
        <f>Rounding!T111</f>
        <v>0.69123793373055742</v>
      </c>
      <c r="U33" s="380">
        <f>Rounding!U111</f>
        <v>0.69123793373055742</v>
      </c>
      <c r="V33" s="380">
        <f>Rounding!V111</f>
        <v>0.69123793373055742</v>
      </c>
      <c r="W33" s="380">
        <f>Rounding!W111</f>
        <v>0.32804937533032308</v>
      </c>
      <c r="X33" s="380">
        <f>Rounding!X111</f>
        <v>0.32804937533032308</v>
      </c>
      <c r="Y33" s="380">
        <f>Rounding!Y111</f>
        <v>0.32804937533032308</v>
      </c>
      <c r="Z33" s="380">
        <f>Rounding!Z111</f>
        <v>0.32804937533032308</v>
      </c>
      <c r="AA33" s="380">
        <f>Rounding!AA111</f>
        <v>0.32804937533032308</v>
      </c>
      <c r="AB33" s="380">
        <f>Rounding!AB111</f>
        <v>0.22373534796604991</v>
      </c>
      <c r="AC33" s="380">
        <f>Rounding!AC111</f>
        <v>0.22373534796604991</v>
      </c>
      <c r="AD33" s="380">
        <f>Rounding!AD111</f>
        <v>0.22373534796604991</v>
      </c>
      <c r="AE33" s="380">
        <f>Rounding!AE111</f>
        <v>0.22373534796604991</v>
      </c>
      <c r="AF33" s="380">
        <f>Rounding!AF111</f>
        <v>0.22373534796604991</v>
      </c>
      <c r="AG33" s="380">
        <f>Rounding!AG111</f>
        <v>2.8096973994973782</v>
      </c>
      <c r="AH33" s="380">
        <f>Rounding!AH111</f>
        <v>-0.66396668241249179</v>
      </c>
      <c r="AI33" s="380">
        <f>Rounding!AI111</f>
        <v>-0.56093505629734508</v>
      </c>
      <c r="AJ33" s="380">
        <f>Rounding!AJ111</f>
        <v>-0.66396668241249179</v>
      </c>
      <c r="AK33" s="380">
        <f>Rounding!AL111</f>
        <v>-0.56093505629734508</v>
      </c>
      <c r="AL33" s="380">
        <f>Rounding!AN111</f>
        <v>-0.31311949231288227</v>
      </c>
    </row>
    <row r="34" spans="3:40" x14ac:dyDescent="0.3">
      <c r="C34" s="235"/>
      <c r="D34"/>
      <c r="F34" s="238" t="s">
        <v>158</v>
      </c>
      <c r="G34" s="238" t="s">
        <v>269</v>
      </c>
      <c r="H34" s="267" t="s">
        <v>773</v>
      </c>
      <c r="I34" s="267"/>
      <c r="J34" s="380">
        <f>Rounding!J112</f>
        <v>8.964018638578318E-2</v>
      </c>
      <c r="K34" s="380">
        <f>Rounding!K112</f>
        <v>8.964018638578318E-2</v>
      </c>
      <c r="L34" s="380">
        <f>Rounding!L112</f>
        <v>0.10204652959699627</v>
      </c>
      <c r="M34" s="380">
        <f>Rounding!M112</f>
        <v>0.10204652959699627</v>
      </c>
      <c r="N34" s="380">
        <f>Rounding!N112</f>
        <v>0.10204652959699627</v>
      </c>
      <c r="O34" s="380">
        <f>Rounding!O112</f>
        <v>0.10204652959699627</v>
      </c>
      <c r="P34" s="380">
        <f>Rounding!P112</f>
        <v>0.10204652959699627</v>
      </c>
      <c r="Q34" s="380">
        <f>Rounding!Q112</f>
        <v>0.10204652959699627</v>
      </c>
      <c r="R34" s="380">
        <f>Rounding!R112</f>
        <v>5.7596045435720597E-2</v>
      </c>
      <c r="S34" s="380">
        <f>Rounding!S112</f>
        <v>5.7596045435720597E-2</v>
      </c>
      <c r="T34" s="380">
        <f>Rounding!T112</f>
        <v>5.7596045435720597E-2</v>
      </c>
      <c r="U34" s="380">
        <f>Rounding!U112</f>
        <v>5.7596045435720597E-2</v>
      </c>
      <c r="V34" s="380">
        <f>Rounding!V112</f>
        <v>5.7596045435720597E-2</v>
      </c>
      <c r="W34" s="380">
        <f>Rounding!W112</f>
        <v>1.7962266911247374E-2</v>
      </c>
      <c r="X34" s="380">
        <f>Rounding!X112</f>
        <v>1.7962266911247374E-2</v>
      </c>
      <c r="Y34" s="380">
        <f>Rounding!Y112</f>
        <v>1.7962266911247374E-2</v>
      </c>
      <c r="Z34" s="380">
        <f>Rounding!Z112</f>
        <v>1.7962266911247374E-2</v>
      </c>
      <c r="AA34" s="380">
        <f>Rounding!AA112</f>
        <v>1.7962266911247374E-2</v>
      </c>
      <c r="AB34" s="380">
        <f>Rounding!AB112</f>
        <v>9.0275222938815628E-3</v>
      </c>
      <c r="AC34" s="380">
        <f>Rounding!AC112</f>
        <v>9.0275222938815628E-3</v>
      </c>
      <c r="AD34" s="380">
        <f>Rounding!AD112</f>
        <v>9.0275222938815628E-3</v>
      </c>
      <c r="AE34" s="380">
        <f>Rounding!AE112</f>
        <v>9.0275222938815628E-3</v>
      </c>
      <c r="AF34" s="380">
        <f>Rounding!AF112</f>
        <v>9.0275222938815628E-3</v>
      </c>
      <c r="AG34" s="380">
        <f>Rounding!AG112</f>
        <v>2.1762081900343948</v>
      </c>
      <c r="AH34" s="380">
        <f>Rounding!AH112</f>
        <v>-6.2557385194018711E-2</v>
      </c>
      <c r="AI34" s="380">
        <f>Rounding!AI112</f>
        <v>-4.9127131689069681E-2</v>
      </c>
      <c r="AJ34" s="380">
        <f>Rounding!AJ112</f>
        <v>-6.2557385194018711E-2</v>
      </c>
      <c r="AK34" s="380">
        <f>Rounding!AL112</f>
        <v>-4.9127131689069681E-2</v>
      </c>
      <c r="AL34" s="380">
        <f>Rounding!AN112</f>
        <v>-1.6727759883072124E-2</v>
      </c>
    </row>
    <row r="35" spans="3:40" x14ac:dyDescent="0.3">
      <c r="C35" s="235"/>
      <c r="D35"/>
      <c r="F35" s="238" t="s">
        <v>159</v>
      </c>
      <c r="G35" s="238" t="s">
        <v>270</v>
      </c>
      <c r="H35" t="s">
        <v>773</v>
      </c>
      <c r="J35" s="381">
        <f>Rounding!J113</f>
        <v>16.296532150363106</v>
      </c>
      <c r="K35" s="381">
        <f>Rounding!K113</f>
        <v>0</v>
      </c>
      <c r="L35" s="381">
        <f>Rounding!L113</f>
        <v>8.8455191726453233</v>
      </c>
      <c r="M35" s="381">
        <f>Rounding!M113</f>
        <v>13.311836563746965</v>
      </c>
      <c r="N35" s="381">
        <f>Rounding!N113</f>
        <v>33.685359016407091</v>
      </c>
      <c r="O35" s="381">
        <f>Rounding!O113</f>
        <v>69.757108855791117</v>
      </c>
      <c r="P35" s="381">
        <f>Rounding!P113</f>
        <v>205.2623032798426</v>
      </c>
      <c r="Q35" s="381">
        <f>Rounding!Q113</f>
        <v>0</v>
      </c>
      <c r="R35" s="381">
        <f>Rounding!R113</f>
        <v>12.488244880854381</v>
      </c>
      <c r="S35" s="381">
        <f>Rounding!S113</f>
        <v>303.42898017111816</v>
      </c>
      <c r="T35" s="381">
        <f>Rounding!T113</f>
        <v>550.20512851462752</v>
      </c>
      <c r="U35" s="381">
        <f>Rounding!U113</f>
        <v>846.21738453063256</v>
      </c>
      <c r="V35" s="381">
        <f>Rounding!V113</f>
        <v>1314.157232819724</v>
      </c>
      <c r="W35" s="381">
        <f>Rounding!W113</f>
        <v>9.7484171632986918</v>
      </c>
      <c r="X35" s="381">
        <f>Rounding!X113</f>
        <v>300.68915245356249</v>
      </c>
      <c r="Y35" s="381">
        <f>Rounding!Y113</f>
        <v>547.46530079707179</v>
      </c>
      <c r="Z35" s="381">
        <f>Rounding!Z113</f>
        <v>843.47755681307672</v>
      </c>
      <c r="AA35" s="381">
        <f>Rounding!AA113</f>
        <v>1311.4174051021678</v>
      </c>
      <c r="AB35" s="381">
        <f>Rounding!AB113</f>
        <v>89.995785082794086</v>
      </c>
      <c r="AC35" s="381">
        <f>Rounding!AC113</f>
        <v>1498.9991907636386</v>
      </c>
      <c r="AD35" s="381">
        <f>Rounding!AD113</f>
        <v>4745.9415641095238</v>
      </c>
      <c r="AE35" s="381">
        <f>Rounding!AE113</f>
        <v>10468.7279882849</v>
      </c>
      <c r="AF35" s="381">
        <f>Rounding!AF113</f>
        <v>32106.02914093505</v>
      </c>
      <c r="AG35" s="381">
        <f>Rounding!AG113</f>
        <v>0</v>
      </c>
      <c r="AH35" s="381">
        <f>Rounding!AH113</f>
        <v>0</v>
      </c>
      <c r="AI35" s="381">
        <f>Rounding!AI113</f>
        <v>0</v>
      </c>
      <c r="AJ35" s="381">
        <f>Rounding!AJ113</f>
        <v>0</v>
      </c>
      <c r="AK35" s="381">
        <f>Rounding!AL113</f>
        <v>0</v>
      </c>
      <c r="AL35" s="381">
        <f>Rounding!AN113</f>
        <v>56.323203629083082</v>
      </c>
    </row>
    <row r="36" spans="3:40" x14ac:dyDescent="0.3">
      <c r="C36" s="235"/>
      <c r="D36"/>
      <c r="F36" s="238" t="s">
        <v>160</v>
      </c>
      <c r="G36" s="238" t="s">
        <v>271</v>
      </c>
      <c r="H36" t="s">
        <v>773</v>
      </c>
      <c r="J36" s="381">
        <f>Rounding!J114</f>
        <v>0</v>
      </c>
      <c r="K36" s="381">
        <f>Rounding!K114</f>
        <v>0</v>
      </c>
      <c r="L36" s="381">
        <f>Rounding!L114</f>
        <v>0</v>
      </c>
      <c r="M36" s="381">
        <f>Rounding!M114</f>
        <v>0</v>
      </c>
      <c r="N36" s="381">
        <f>Rounding!N114</f>
        <v>0</v>
      </c>
      <c r="O36" s="381">
        <f>Rounding!O114</f>
        <v>0</v>
      </c>
      <c r="P36" s="381">
        <f>Rounding!P114</f>
        <v>0</v>
      </c>
      <c r="Q36" s="381">
        <f>Rounding!Q114</f>
        <v>0</v>
      </c>
      <c r="R36" s="381">
        <f>Rounding!R114</f>
        <v>4.3379810793048295</v>
      </c>
      <c r="S36" s="381">
        <f>Rounding!S114</f>
        <v>4.3379810793048295</v>
      </c>
      <c r="T36" s="381">
        <f>Rounding!T114</f>
        <v>4.3379810793048295</v>
      </c>
      <c r="U36" s="381">
        <f>Rounding!U114</f>
        <v>4.3379810793048295</v>
      </c>
      <c r="V36" s="381">
        <f>Rounding!V114</f>
        <v>4.3379810793048295</v>
      </c>
      <c r="W36" s="381">
        <f>Rounding!W114</f>
        <v>4.8971441833049472</v>
      </c>
      <c r="X36" s="381">
        <f>Rounding!X114</f>
        <v>4.8971441833049472</v>
      </c>
      <c r="Y36" s="381">
        <f>Rounding!Y114</f>
        <v>4.8971441833049472</v>
      </c>
      <c r="Z36" s="381">
        <f>Rounding!Z114</f>
        <v>4.8971441833049472</v>
      </c>
      <c r="AA36" s="381">
        <f>Rounding!AA114</f>
        <v>4.8971441833049472</v>
      </c>
      <c r="AB36" s="381">
        <f>Rounding!AB114</f>
        <v>5.1847879034973312</v>
      </c>
      <c r="AC36" s="381">
        <f>Rounding!AC114</f>
        <v>5.1847879034973312</v>
      </c>
      <c r="AD36" s="381">
        <f>Rounding!AD114</f>
        <v>5.1847879034973312</v>
      </c>
      <c r="AE36" s="381">
        <f>Rounding!AE114</f>
        <v>5.1847879034973312</v>
      </c>
      <c r="AF36" s="381">
        <f>Rounding!AF114</f>
        <v>5.1847879034973312</v>
      </c>
      <c r="AG36" s="381">
        <f>Rounding!AG114</f>
        <v>0</v>
      </c>
      <c r="AH36" s="381">
        <f>Rounding!AH114</f>
        <v>0</v>
      </c>
      <c r="AI36" s="381">
        <f>Rounding!AI114</f>
        <v>0</v>
      </c>
      <c r="AJ36" s="381">
        <f>Rounding!AJ114</f>
        <v>0</v>
      </c>
      <c r="AK36" s="381">
        <f>Rounding!AL114</f>
        <v>0</v>
      </c>
      <c r="AL36" s="381">
        <f>Rounding!AN114</f>
        <v>0</v>
      </c>
    </row>
    <row r="37" spans="3:40" x14ac:dyDescent="0.3">
      <c r="C37" s="235"/>
      <c r="D37"/>
      <c r="F37" s="238" t="s">
        <v>161</v>
      </c>
      <c r="G37" s="238" t="s">
        <v>271</v>
      </c>
      <c r="H37" t="s">
        <v>773</v>
      </c>
      <c r="J37" s="381">
        <f>Rounding!J115</f>
        <v>0</v>
      </c>
      <c r="K37" s="381">
        <f>Rounding!K115</f>
        <v>0</v>
      </c>
      <c r="L37" s="381">
        <f>Rounding!L115</f>
        <v>0</v>
      </c>
      <c r="M37" s="381">
        <f>Rounding!M115</f>
        <v>0</v>
      </c>
      <c r="N37" s="381">
        <f>Rounding!N115</f>
        <v>0</v>
      </c>
      <c r="O37" s="381">
        <f>Rounding!O115</f>
        <v>0</v>
      </c>
      <c r="P37" s="381">
        <f>Rounding!P115</f>
        <v>0</v>
      </c>
      <c r="Q37" s="381">
        <f>Rounding!Q115</f>
        <v>0</v>
      </c>
      <c r="R37" s="381">
        <f>Rounding!R115</f>
        <v>7.8549236543849785</v>
      </c>
      <c r="S37" s="381">
        <f>Rounding!S115</f>
        <v>7.8549236543849785</v>
      </c>
      <c r="T37" s="381">
        <f>Rounding!T115</f>
        <v>7.8549236543849785</v>
      </c>
      <c r="U37" s="381">
        <f>Rounding!U115</f>
        <v>7.8549236543849785</v>
      </c>
      <c r="V37" s="381">
        <f>Rounding!V115</f>
        <v>7.8549236543849785</v>
      </c>
      <c r="W37" s="381">
        <f>Rounding!W115</f>
        <v>6.7662485707310376</v>
      </c>
      <c r="X37" s="381">
        <f>Rounding!X115</f>
        <v>6.7662485707310376</v>
      </c>
      <c r="Y37" s="381">
        <f>Rounding!Y115</f>
        <v>6.7662485707310376</v>
      </c>
      <c r="Z37" s="381">
        <f>Rounding!Z115</f>
        <v>6.7662485707310376</v>
      </c>
      <c r="AA37" s="381">
        <f>Rounding!AA115</f>
        <v>6.7662485707310376</v>
      </c>
      <c r="AB37" s="381">
        <f>Rounding!AB115</f>
        <v>6.840016635421688</v>
      </c>
      <c r="AC37" s="381">
        <f>Rounding!AC115</f>
        <v>6.840016635421688</v>
      </c>
      <c r="AD37" s="381">
        <f>Rounding!AD115</f>
        <v>6.840016635421688</v>
      </c>
      <c r="AE37" s="381">
        <f>Rounding!AE115</f>
        <v>6.840016635421688</v>
      </c>
      <c r="AF37" s="381">
        <f>Rounding!AF115</f>
        <v>6.840016635421688</v>
      </c>
      <c r="AG37" s="381">
        <f>Rounding!AG115</f>
        <v>0</v>
      </c>
      <c r="AH37" s="381">
        <f>Rounding!AH115</f>
        <v>0</v>
      </c>
      <c r="AI37" s="381">
        <f>Rounding!AI115</f>
        <v>0</v>
      </c>
      <c r="AJ37" s="381">
        <f>Rounding!AJ115</f>
        <v>0</v>
      </c>
      <c r="AK37" s="381">
        <f>Rounding!AL115</f>
        <v>0</v>
      </c>
      <c r="AL37" s="381">
        <f>Rounding!AN115</f>
        <v>0</v>
      </c>
    </row>
    <row r="38" spans="3:40" x14ac:dyDescent="0.3">
      <c r="C38" s="235"/>
      <c r="D38"/>
      <c r="F38" s="239" t="s">
        <v>162</v>
      </c>
      <c r="G38" s="239" t="s">
        <v>272</v>
      </c>
      <c r="H38" s="269" t="s">
        <v>773</v>
      </c>
      <c r="I38" s="269"/>
      <c r="J38" s="286">
        <f>Rounding!J116</f>
        <v>0</v>
      </c>
      <c r="K38" s="286">
        <f>Rounding!K116</f>
        <v>0</v>
      </c>
      <c r="L38" s="286">
        <f>Rounding!L116</f>
        <v>0</v>
      </c>
      <c r="M38" s="286">
        <f>Rounding!M116</f>
        <v>0</v>
      </c>
      <c r="N38" s="286">
        <f>Rounding!N116</f>
        <v>0</v>
      </c>
      <c r="O38" s="286">
        <f>Rounding!O116</f>
        <v>0</v>
      </c>
      <c r="P38" s="286">
        <f>Rounding!P116</f>
        <v>0</v>
      </c>
      <c r="Q38" s="286">
        <f>Rounding!Q116</f>
        <v>0</v>
      </c>
      <c r="R38" s="286">
        <f>Rounding!R116</f>
        <v>0.21808178761874586</v>
      </c>
      <c r="S38" s="286">
        <f>Rounding!S116</f>
        <v>0.21808178761874586</v>
      </c>
      <c r="T38" s="286">
        <f>Rounding!T116</f>
        <v>0.21808178761874586</v>
      </c>
      <c r="U38" s="286">
        <f>Rounding!U116</f>
        <v>0.21808178761874586</v>
      </c>
      <c r="V38" s="286">
        <f>Rounding!V116</f>
        <v>0.21808178761874586</v>
      </c>
      <c r="W38" s="286">
        <f>Rounding!W116</f>
        <v>0.13269223171545519</v>
      </c>
      <c r="X38" s="286">
        <f>Rounding!X116</f>
        <v>0.13269223171545519</v>
      </c>
      <c r="Y38" s="286">
        <f>Rounding!Y116</f>
        <v>0.13269223171545519</v>
      </c>
      <c r="Z38" s="286">
        <f>Rounding!Z116</f>
        <v>0.13269223171545519</v>
      </c>
      <c r="AA38" s="286">
        <f>Rounding!AA116</f>
        <v>0.13269223171545519</v>
      </c>
      <c r="AB38" s="286">
        <f>Rounding!AB116</f>
        <v>5.8701869092401909E-2</v>
      </c>
      <c r="AC38" s="286">
        <f>Rounding!AC116</f>
        <v>5.8701869092401909E-2</v>
      </c>
      <c r="AD38" s="286">
        <f>Rounding!AD116</f>
        <v>5.8701869092401909E-2</v>
      </c>
      <c r="AE38" s="286">
        <f>Rounding!AE116</f>
        <v>5.8701869092401909E-2</v>
      </c>
      <c r="AF38" s="286">
        <f>Rounding!AF116</f>
        <v>5.8701869092401909E-2</v>
      </c>
      <c r="AG38" s="286">
        <f>Rounding!AG116</f>
        <v>0</v>
      </c>
      <c r="AH38" s="286">
        <f>Rounding!AH116</f>
        <v>0</v>
      </c>
      <c r="AI38" s="286">
        <f>Rounding!AI116</f>
        <v>0</v>
      </c>
      <c r="AJ38" s="286">
        <f>Rounding!AJ116</f>
        <v>0.21538700524373391</v>
      </c>
      <c r="AK38" s="286">
        <f>Rounding!AL116</f>
        <v>0.16741946552320405</v>
      </c>
      <c r="AL38" s="286">
        <f>Rounding!AN116</f>
        <v>0.13034882474051146</v>
      </c>
    </row>
    <row r="39" spans="3:40" x14ac:dyDescent="0.3">
      <c r="D39"/>
      <c r="E39"/>
      <c r="F39" s="240"/>
    </row>
    <row r="40" spans="3:40" x14ac:dyDescent="0.3">
      <c r="D40" s="29" t="s">
        <v>900</v>
      </c>
      <c r="E40"/>
    </row>
    <row r="42" spans="3:40" ht="60" customHeight="1" x14ac:dyDescent="0.3">
      <c r="D42"/>
      <c r="E42"/>
      <c r="F42" s="240"/>
      <c r="J42" s="236" t="s">
        <v>913</v>
      </c>
      <c r="K42" s="236" t="s">
        <v>831</v>
      </c>
      <c r="L42" s="236" t="s">
        <v>914</v>
      </c>
      <c r="M42" s="236" t="s">
        <v>915</v>
      </c>
      <c r="N42" s="236" t="s">
        <v>916</v>
      </c>
      <c r="O42" s="236" t="s">
        <v>917</v>
      </c>
      <c r="P42" s="236" t="s">
        <v>918</v>
      </c>
      <c r="Q42" s="236" t="s">
        <v>832</v>
      </c>
      <c r="R42" s="236" t="s">
        <v>919</v>
      </c>
      <c r="S42" s="236" t="s">
        <v>920</v>
      </c>
      <c r="T42" s="236" t="s">
        <v>921</v>
      </c>
      <c r="U42" s="236" t="s">
        <v>922</v>
      </c>
      <c r="V42" s="236" t="s">
        <v>923</v>
      </c>
      <c r="W42" s="236" t="s">
        <v>924</v>
      </c>
      <c r="X42" s="236" t="s">
        <v>925</v>
      </c>
      <c r="Y42" s="236" t="s">
        <v>926</v>
      </c>
      <c r="Z42" s="236" t="s">
        <v>927</v>
      </c>
      <c r="AA42" s="236" t="s">
        <v>928</v>
      </c>
      <c r="AB42" s="236" t="s">
        <v>929</v>
      </c>
      <c r="AC42" s="236" t="s">
        <v>930</v>
      </c>
      <c r="AD42" s="236" t="s">
        <v>931</v>
      </c>
      <c r="AE42" s="236" t="s">
        <v>932</v>
      </c>
      <c r="AF42" s="236" t="s">
        <v>933</v>
      </c>
      <c r="AG42" s="236" t="s">
        <v>841</v>
      </c>
      <c r="AH42" s="236" t="s">
        <v>833</v>
      </c>
      <c r="AI42" s="236" t="s">
        <v>834</v>
      </c>
      <c r="AJ42" s="236" t="s">
        <v>835</v>
      </c>
      <c r="AK42" s="236" t="s">
        <v>836</v>
      </c>
      <c r="AL42" s="236" t="s">
        <v>837</v>
      </c>
    </row>
    <row r="43" spans="3:40" x14ac:dyDescent="0.3">
      <c r="D43"/>
      <c r="E43" t="s">
        <v>895</v>
      </c>
      <c r="F43" s="240"/>
      <c r="G43" t="s">
        <v>270</v>
      </c>
      <c r="J43" s="233">
        <f>Rounding!J47</f>
        <v>9.4185089559576216</v>
      </c>
      <c r="K43" s="233">
        <f>Rounding!K47</f>
        <v>0</v>
      </c>
      <c r="L43" s="233">
        <f>Rounding!L47</f>
        <v>6.7209034716197477E-2</v>
      </c>
      <c r="M43" s="233">
        <f>Rounding!M47</f>
        <v>6.7209034716197477E-2</v>
      </c>
      <c r="N43" s="233">
        <f>Rounding!N47</f>
        <v>6.7209034716197477E-2</v>
      </c>
      <c r="O43" s="233">
        <f>Rounding!O47</f>
        <v>6.7209034716197477E-2</v>
      </c>
      <c r="P43" s="233">
        <f>Rounding!P47</f>
        <v>6.7209034716197477E-2</v>
      </c>
      <c r="Q43" s="233">
        <f>Rounding!Q47</f>
        <v>0</v>
      </c>
      <c r="R43" s="233">
        <f>Rounding!R47</f>
        <v>6.7209034716197477E-2</v>
      </c>
      <c r="S43" s="233">
        <f>Rounding!S47</f>
        <v>6.7209034716197477E-2</v>
      </c>
      <c r="T43" s="233">
        <f>Rounding!T47</f>
        <v>6.7209034716197477E-2</v>
      </c>
      <c r="U43" s="233">
        <f>Rounding!U47</f>
        <v>6.7209034716197477E-2</v>
      </c>
      <c r="V43" s="233">
        <f>Rounding!V47</f>
        <v>6.7209034716197477E-2</v>
      </c>
      <c r="W43" s="233">
        <f>Rounding!W47</f>
        <v>6.7209034716197477E-2</v>
      </c>
      <c r="X43" s="233">
        <f>Rounding!X47</f>
        <v>6.7209034716197477E-2</v>
      </c>
      <c r="Y43" s="233">
        <f>Rounding!Y47</f>
        <v>6.7209034716197477E-2</v>
      </c>
      <c r="Z43" s="233">
        <f>Rounding!Z47</f>
        <v>6.7209034716197477E-2</v>
      </c>
      <c r="AA43" s="233">
        <f>Rounding!AA47</f>
        <v>6.7209034716197477E-2</v>
      </c>
      <c r="AB43" s="233">
        <f>Rounding!AB47</f>
        <v>6.7209034716197477E-2</v>
      </c>
      <c r="AC43" s="233">
        <f>Rounding!AC47</f>
        <v>6.7209034716197477E-2</v>
      </c>
      <c r="AD43" s="233">
        <f>Rounding!AD47</f>
        <v>6.7209034716197477E-2</v>
      </c>
      <c r="AE43" s="233">
        <f>Rounding!AE47</f>
        <v>6.7209034716197477E-2</v>
      </c>
      <c r="AF43" s="233">
        <f>Rounding!AF47</f>
        <v>6.7209034716197477E-2</v>
      </c>
      <c r="AG43" s="233">
        <f>Rounding!AG47</f>
        <v>0</v>
      </c>
      <c r="AH43" s="233">
        <f>Rounding!AH47</f>
        <v>0</v>
      </c>
      <c r="AI43" s="233">
        <f>Rounding!AI47</f>
        <v>0</v>
      </c>
      <c r="AJ43" s="233">
        <f>Rounding!AJ47</f>
        <v>0</v>
      </c>
      <c r="AK43" s="233">
        <f>Rounding!AL47</f>
        <v>0</v>
      </c>
      <c r="AL43" s="233">
        <f>Rounding!AN47</f>
        <v>0</v>
      </c>
    </row>
    <row r="44" spans="3:40" x14ac:dyDescent="0.3">
      <c r="D44"/>
      <c r="E44"/>
      <c r="F44" s="240"/>
    </row>
    <row r="45" spans="3:40" x14ac:dyDescent="0.3">
      <c r="C45" s="31" t="str">
        <f ca="1">INDEX('Version control'!$H$34:$H$57,MATCH($A$1,'Version control'!$F$34:$F$57,0),1)&amp;"-C: CDCM non-tariff outputs to EDCM"</f>
        <v>Output 102-C: CDCM non-tariff outputs to EDCM</v>
      </c>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row>
    <row r="46" spans="3:40" x14ac:dyDescent="0.3">
      <c r="C46" s="2"/>
      <c r="D46"/>
    </row>
    <row r="47" spans="3:40" x14ac:dyDescent="0.3">
      <c r="D47" s="29" t="s">
        <v>815</v>
      </c>
      <c r="E47"/>
    </row>
    <row r="49" spans="2:40" x14ac:dyDescent="0.3">
      <c r="D49"/>
      <c r="F49" s="2"/>
      <c r="G49" s="2"/>
      <c r="H49" s="2"/>
      <c r="I49" s="2"/>
      <c r="J49" s="114" t="s">
        <v>191</v>
      </c>
      <c r="K49" s="114" t="s">
        <v>192</v>
      </c>
      <c r="L49" s="114" t="s">
        <v>193</v>
      </c>
      <c r="M49" s="114" t="s">
        <v>194</v>
      </c>
      <c r="N49" s="114" t="s">
        <v>195</v>
      </c>
      <c r="O49" s="114" t="s">
        <v>196</v>
      </c>
      <c r="P49" s="114" t="s">
        <v>197</v>
      </c>
      <c r="Q49" s="114" t="s">
        <v>198</v>
      </c>
      <c r="R49" s="114" t="s">
        <v>199</v>
      </c>
      <c r="S49" s="114" t="s">
        <v>376</v>
      </c>
      <c r="T49" s="114" t="s">
        <v>377</v>
      </c>
    </row>
    <row r="50" spans="2:40" x14ac:dyDescent="0.3">
      <c r="D50"/>
      <c r="E50" s="301" t="s">
        <v>826</v>
      </c>
      <c r="F50" s="301"/>
      <c r="G50" s="67" t="s">
        <v>167</v>
      </c>
      <c r="H50" s="37"/>
      <c r="I50" s="37"/>
      <c r="J50" s="302"/>
      <c r="K50" s="303">
        <f t="array" ref="K50:O50">TRANSPOSE('System peak demand'!H227:H231)</f>
        <v>8.3503476129090037E-2</v>
      </c>
      <c r="L50" s="303">
        <v>8.3503476129090037E-2</v>
      </c>
      <c r="M50" s="303">
        <v>0.11235890369236912</v>
      </c>
      <c r="N50" s="303">
        <v>0.11235890369236912</v>
      </c>
      <c r="O50" s="303">
        <v>8.3503476129090037E-2</v>
      </c>
      <c r="P50" s="302"/>
      <c r="Q50" s="302"/>
      <c r="R50" s="302"/>
      <c r="S50" s="302"/>
      <c r="T50" s="302"/>
    </row>
    <row r="51" spans="2:40" x14ac:dyDescent="0.3">
      <c r="D51"/>
      <c r="E51" s="304" t="s">
        <v>827</v>
      </c>
      <c r="F51" s="304"/>
      <c r="G51" s="108" t="s">
        <v>520</v>
      </c>
      <c r="H51" s="108"/>
      <c r="I51" s="108"/>
      <c r="J51" s="305">
        <f t="array" ref="J51:O51">TRANSPOSE('System peak demand'!H154:H159)</f>
        <v>3941790.7962086988</v>
      </c>
      <c r="K51" s="305">
        <v>3888168.3826797623</v>
      </c>
      <c r="L51" s="305">
        <v>1190617.8230122731</v>
      </c>
      <c r="M51" s="305">
        <v>1153976.3302209403</v>
      </c>
      <c r="N51" s="305">
        <v>1147273.6603455043</v>
      </c>
      <c r="O51" s="305">
        <v>2619821.724272775</v>
      </c>
      <c r="P51" s="306"/>
      <c r="Q51" s="306"/>
      <c r="R51" s="306"/>
      <c r="S51" s="306"/>
      <c r="T51" s="306"/>
    </row>
    <row r="52" spans="2:40" x14ac:dyDescent="0.3">
      <c r="D52"/>
      <c r="E52" s="304" t="s">
        <v>816</v>
      </c>
      <c r="F52" s="304"/>
      <c r="G52" s="108" t="s">
        <v>277</v>
      </c>
      <c r="H52" s="108"/>
      <c r="I52" s="108"/>
      <c r="J52" s="306"/>
      <c r="K52" s="305">
        <f>'Unit costs'!L108</f>
        <v>445711197.27068639</v>
      </c>
      <c r="L52" s="305">
        <f>'Unit costs'!M108</f>
        <v>99417322.396165192</v>
      </c>
      <c r="M52" s="305">
        <f>'Unit costs'!N108</f>
        <v>108384503.6923511</v>
      </c>
      <c r="N52" s="305">
        <f>'Unit costs'!O108</f>
        <v>275984631.36507398</v>
      </c>
      <c r="O52" s="305">
        <f>'Unit costs'!P108</f>
        <v>300144402.58664125</v>
      </c>
      <c r="P52" s="305">
        <f>'Unit costs'!Q108</f>
        <v>1649150691.3619084</v>
      </c>
      <c r="Q52" s="305">
        <f>'Unit costs'!R108</f>
        <v>573494652.48398185</v>
      </c>
      <c r="R52" s="305">
        <f>'Unit costs'!S108</f>
        <v>1040511142.3197553</v>
      </c>
      <c r="S52" s="305">
        <f>'Unit costs'!T108</f>
        <v>809171051.03557897</v>
      </c>
      <c r="T52" s="305">
        <f>'Unit costs'!U108</f>
        <v>44961399.10068664</v>
      </c>
    </row>
    <row r="53" spans="2:40" x14ac:dyDescent="0.3">
      <c r="D53"/>
      <c r="E53" s="307" t="s">
        <v>392</v>
      </c>
      <c r="F53" s="307"/>
      <c r="G53" s="23" t="s">
        <v>283</v>
      </c>
      <c r="H53" s="23"/>
      <c r="I53" s="23"/>
      <c r="J53" s="232">
        <f>'Load &amp; loss characteristics'!K29</f>
        <v>1</v>
      </c>
      <c r="K53" s="232">
        <f>'Load &amp; loss characteristics'!L29</f>
        <v>1.0049999999999999</v>
      </c>
      <c r="L53" s="232">
        <f>'Load &amp; loss characteristics'!M29</f>
        <v>1.0089999999999999</v>
      </c>
      <c r="M53" s="232">
        <f>'Load &amp; loss characteristics'!N29</f>
        <v>1.0269999999999999</v>
      </c>
      <c r="N53" s="232">
        <f>'Load &amp; loss characteristics'!O29</f>
        <v>1.0329999999999999</v>
      </c>
      <c r="O53" s="232">
        <f>'Load &amp; loss characteristics'!P29</f>
        <v>1.0329999999999999</v>
      </c>
      <c r="P53" s="83"/>
      <c r="Q53" s="83"/>
      <c r="R53" s="83"/>
      <c r="S53" s="83"/>
      <c r="T53" s="83"/>
    </row>
    <row r="54" spans="2:40" x14ac:dyDescent="0.3">
      <c r="D54"/>
      <c r="E54"/>
      <c r="F54" s="240"/>
    </row>
    <row r="55" spans="2:40" x14ac:dyDescent="0.3">
      <c r="B55" s="30" t="s">
        <v>817</v>
      </c>
      <c r="C55" s="30"/>
      <c r="D55" s="30"/>
      <c r="E55" s="30"/>
      <c r="F55" s="30"/>
      <c r="G55" s="30"/>
      <c r="H55" s="30"/>
      <c r="I55" s="30"/>
      <c r="J55" s="30"/>
      <c r="K55" s="30"/>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5"/>
      <c r="AL55" s="105"/>
      <c r="AM55" s="105"/>
      <c r="AN55" s="105"/>
    </row>
    <row r="57" spans="2:40" x14ac:dyDescent="0.3">
      <c r="C57" s="31" t="str">
        <f ca="1">INDEX('Version control'!$H$34:$H$57,MATCH($A$1,'Version control'!$F$34:$F$57,0),1)&amp;"-D: Outputs for DNOs' internal use"</f>
        <v>Output 102-D: Outputs for DNOs' internal use</v>
      </c>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row>
    <row r="59" spans="2:40" x14ac:dyDescent="0.3">
      <c r="D59" s="29" t="s">
        <v>818</v>
      </c>
      <c r="E59"/>
    </row>
    <row r="61" spans="2:40" ht="43.2" x14ac:dyDescent="0.3">
      <c r="F61" s="2"/>
      <c r="G61" s="2"/>
      <c r="H61" s="2"/>
      <c r="I61" s="2"/>
      <c r="J61" s="236" t="s">
        <v>913</v>
      </c>
      <c r="K61" s="236" t="s">
        <v>831</v>
      </c>
      <c r="L61" s="236" t="s">
        <v>914</v>
      </c>
      <c r="M61" s="236" t="s">
        <v>915</v>
      </c>
      <c r="N61" s="236" t="s">
        <v>916</v>
      </c>
      <c r="O61" s="236" t="s">
        <v>917</v>
      </c>
      <c r="P61" s="236" t="s">
        <v>918</v>
      </c>
      <c r="Q61" s="236" t="s">
        <v>832</v>
      </c>
      <c r="R61" s="236" t="s">
        <v>919</v>
      </c>
      <c r="S61" s="236" t="s">
        <v>920</v>
      </c>
      <c r="T61" s="236" t="s">
        <v>921</v>
      </c>
      <c r="U61" s="236" t="s">
        <v>922</v>
      </c>
      <c r="V61" s="236" t="s">
        <v>923</v>
      </c>
      <c r="W61" s="236" t="s">
        <v>924</v>
      </c>
      <c r="X61" s="236" t="s">
        <v>925</v>
      </c>
      <c r="Y61" s="236" t="s">
        <v>926</v>
      </c>
      <c r="Z61" s="236" t="s">
        <v>927</v>
      </c>
      <c r="AA61" s="236" t="s">
        <v>928</v>
      </c>
      <c r="AB61" s="236" t="s">
        <v>929</v>
      </c>
      <c r="AC61" s="236" t="s">
        <v>930</v>
      </c>
      <c r="AD61" s="236" t="s">
        <v>931</v>
      </c>
      <c r="AE61" s="236" t="s">
        <v>932</v>
      </c>
      <c r="AF61" s="236" t="s">
        <v>933</v>
      </c>
      <c r="AG61" s="236" t="s">
        <v>841</v>
      </c>
      <c r="AH61" s="236" t="s">
        <v>833</v>
      </c>
      <c r="AI61" s="236" t="s">
        <v>834</v>
      </c>
      <c r="AJ61" s="236" t="s">
        <v>835</v>
      </c>
      <c r="AK61" s="236" t="s">
        <v>836</v>
      </c>
      <c r="AL61" s="236" t="s">
        <v>837</v>
      </c>
    </row>
    <row r="62" spans="2:40" x14ac:dyDescent="0.3">
      <c r="C62" s="235"/>
      <c r="D62"/>
      <c r="E62" s="37" t="s">
        <v>771</v>
      </c>
      <c r="F62" s="37"/>
      <c r="G62" s="86" t="s">
        <v>277</v>
      </c>
      <c r="H62" s="37" t="s">
        <v>773</v>
      </c>
      <c r="I62" s="37"/>
      <c r="J62" s="234">
        <f>'Net revenue summary'!J140</f>
        <v>130.30422679605158</v>
      </c>
      <c r="K62" s="234">
        <f>'Net revenue summary'!K140</f>
        <v>0</v>
      </c>
      <c r="L62" s="234">
        <f>'Net revenue summary'!L140</f>
        <v>0</v>
      </c>
      <c r="M62" s="234">
        <f>'Net revenue summary'!M140</f>
        <v>65.718985809593462</v>
      </c>
      <c r="N62" s="234">
        <f>'Net revenue summary'!N140</f>
        <v>217.07823525997807</v>
      </c>
      <c r="O62" s="234">
        <f>'Net revenue summary'!O140</f>
        <v>485.07934520900193</v>
      </c>
      <c r="P62" s="234">
        <f>'Net revenue summary'!P140</f>
        <v>1491.8794267797336</v>
      </c>
      <c r="Q62" s="234">
        <f>'Net revenue summary'!Q140</f>
        <v>0</v>
      </c>
      <c r="R62" s="234">
        <f>'Net revenue summary'!R140</f>
        <v>0</v>
      </c>
      <c r="S62" s="234">
        <f>'Net revenue summary'!S140</f>
        <v>2530.5472372063632</v>
      </c>
      <c r="T62" s="234">
        <f>'Net revenue summary'!T140</f>
        <v>5178.4911402263051</v>
      </c>
      <c r="U62" s="234">
        <f>'Net revenue summary'!U140</f>
        <v>8083.1759166451602</v>
      </c>
      <c r="V62" s="234">
        <f>'Net revenue summary'!V140</f>
        <v>12789.445747180538</v>
      </c>
      <c r="W62" s="234">
        <f>'Net revenue summary'!W140</f>
        <v>0</v>
      </c>
      <c r="X62" s="234">
        <f>'Net revenue summary'!X140</f>
        <v>1986.1209332026806</v>
      </c>
      <c r="Y62" s="234">
        <f>'Net revenue summary'!Y140</f>
        <v>5007.6257795194988</v>
      </c>
      <c r="Z62" s="234">
        <f>'Net revenue summary'!Z140</f>
        <v>7949.4307932968832</v>
      </c>
      <c r="AA62" s="234">
        <f>'Net revenue summary'!AA140</f>
        <v>15748.65803223665</v>
      </c>
      <c r="AB62" s="234">
        <f>'Net revenue summary'!AB140</f>
        <v>0</v>
      </c>
      <c r="AC62" s="234">
        <f>'Net revenue summary'!AC140</f>
        <v>10451.298118574088</v>
      </c>
      <c r="AD62" s="234">
        <f>'Net revenue summary'!AD140</f>
        <v>32820.059447109372</v>
      </c>
      <c r="AE62" s="234">
        <f>'Net revenue summary'!AE140</f>
        <v>71522.320912504496</v>
      </c>
      <c r="AF62" s="234">
        <f>'Net revenue summary'!AF140</f>
        <v>216588.41815813567</v>
      </c>
      <c r="AG62" s="234">
        <f>'Net revenue summary'!AG140</f>
        <v>241672.13429203705</v>
      </c>
      <c r="AH62" s="234">
        <f>'Net revenue summary'!AH140</f>
        <v>0</v>
      </c>
      <c r="AI62" s="234">
        <f>'Net revenue summary'!AI140</f>
        <v>0</v>
      </c>
      <c r="AJ62" s="234">
        <f>'Net revenue summary'!AJ140</f>
        <v>-500.53239052354462</v>
      </c>
      <c r="AK62" s="234">
        <f>'Net revenue summary'!AL140</f>
        <v>-2005.4242883700617</v>
      </c>
      <c r="AL62" s="234">
        <f>'Net revenue summary'!AN140</f>
        <v>-7276.9333811467259</v>
      </c>
    </row>
    <row r="63" spans="2:40" x14ac:dyDescent="0.3">
      <c r="C63" s="235"/>
      <c r="D63"/>
      <c r="E63" s="108" t="s">
        <v>776</v>
      </c>
      <c r="F63" s="108"/>
      <c r="G63" s="214" t="s">
        <v>269</v>
      </c>
      <c r="H63" s="308" t="s">
        <v>773</v>
      </c>
      <c r="I63" s="308"/>
      <c r="J63" s="428">
        <f>'Net revenue summary'!J146</f>
        <v>3.7358153315893672</v>
      </c>
      <c r="K63" s="428">
        <f>'Net revenue summary'!K146</f>
        <v>0.29463079713080353</v>
      </c>
      <c r="L63" s="428">
        <f>'Net revenue summary'!L146</f>
        <v>0</v>
      </c>
      <c r="M63" s="428">
        <f>'Net revenue summary'!M146</f>
        <v>4.9046629751509316</v>
      </c>
      <c r="N63" s="428">
        <f>'Net revenue summary'!N146</f>
        <v>2.9129658323011425</v>
      </c>
      <c r="O63" s="428">
        <f>'Net revenue summary'!O146</f>
        <v>2.6544878897419739</v>
      </c>
      <c r="P63" s="428">
        <f>'Net revenue summary'!P146</f>
        <v>2.5317628825689527</v>
      </c>
      <c r="Q63" s="428">
        <f>'Net revenue summary'!Q146</f>
        <v>0.5508725285491235</v>
      </c>
      <c r="R63" s="428">
        <f>'Net revenue summary'!R146</f>
        <v>0</v>
      </c>
      <c r="S63" s="428">
        <f>'Net revenue summary'!S146</f>
        <v>2.9521835506243144</v>
      </c>
      <c r="T63" s="428">
        <f>'Net revenue summary'!T146</f>
        <v>3.2699595983307921</v>
      </c>
      <c r="U63" s="428">
        <f>'Net revenue summary'!U146</f>
        <v>3.2949717554035525</v>
      </c>
      <c r="V63" s="428">
        <f>'Net revenue summary'!V146</f>
        <v>3.3412610258785103</v>
      </c>
      <c r="W63" s="428">
        <f>'Net revenue summary'!W146</f>
        <v>0</v>
      </c>
      <c r="X63" s="428">
        <f>'Net revenue summary'!X146</f>
        <v>2.6857070903416935</v>
      </c>
      <c r="Y63" s="428">
        <f>'Net revenue summary'!Y146</f>
        <v>3.1658372982835035</v>
      </c>
      <c r="Z63" s="428">
        <f>'Net revenue summary'!Z146</f>
        <v>3.1360936114865492</v>
      </c>
      <c r="AA63" s="428">
        <f>'Net revenue summary'!AA146</f>
        <v>4.1405805730833052</v>
      </c>
      <c r="AB63" s="428">
        <f>'Net revenue summary'!AB146</f>
        <v>0</v>
      </c>
      <c r="AC63" s="428">
        <f>'Net revenue summary'!AC146</f>
        <v>2.4720972423889744</v>
      </c>
      <c r="AD63" s="428">
        <f>'Net revenue summary'!AD146</f>
        <v>2.349301772205973</v>
      </c>
      <c r="AE63" s="428">
        <f>'Net revenue summary'!AE146</f>
        <v>2.2967020061008609</v>
      </c>
      <c r="AF63" s="428">
        <f>'Net revenue summary'!AF146</f>
        <v>2.2546288647110053</v>
      </c>
      <c r="AG63" s="428">
        <f>'Net revenue summary'!AG146</f>
        <v>2.8971179067989845</v>
      </c>
      <c r="AH63" s="428">
        <f>'Net revenue summary'!AH146</f>
        <v>-0.87928272768726856</v>
      </c>
      <c r="AI63" s="428">
        <f>'Net revenue summary'!AI146</f>
        <v>0</v>
      </c>
      <c r="AJ63" s="428">
        <f>'Net revenue summary'!AJ146</f>
        <v>-0.69519381242654721</v>
      </c>
      <c r="AK63" s="428">
        <f>'Net revenue summary'!AL146</f>
        <v>-0.54601589092448799</v>
      </c>
      <c r="AL63" s="428">
        <f>'Net revenue summary'!AN146</f>
        <v>-0.32671660925555379</v>
      </c>
    </row>
    <row r="64" spans="2:40" x14ac:dyDescent="0.3">
      <c r="C64" s="235"/>
      <c r="D64"/>
      <c r="E64" s="108" t="s">
        <v>785</v>
      </c>
      <c r="F64" s="108"/>
      <c r="G64" s="108" t="s">
        <v>167</v>
      </c>
      <c r="H64" s="108" t="s">
        <v>773</v>
      </c>
      <c r="I64" s="108"/>
      <c r="J64" s="429" t="str">
        <f>'Net revenue summary'!J172</f>
        <v>-</v>
      </c>
      <c r="K64" s="429" t="str">
        <f>'Net revenue summary'!K172</f>
        <v>-</v>
      </c>
      <c r="L64" s="429" t="str">
        <f>'Net revenue summary'!L172</f>
        <v>-</v>
      </c>
      <c r="M64" s="429" t="str">
        <f>'Net revenue summary'!M172</f>
        <v>-</v>
      </c>
      <c r="N64" s="429" t="str">
        <f>'Net revenue summary'!N172</f>
        <v>-</v>
      </c>
      <c r="O64" s="429" t="str">
        <f>'Net revenue summary'!O172</f>
        <v>-</v>
      </c>
      <c r="P64" s="429" t="str">
        <f>'Net revenue summary'!P172</f>
        <v>-</v>
      </c>
      <c r="Q64" s="429" t="str">
        <f>'Net revenue summary'!Q172</f>
        <v>-</v>
      </c>
      <c r="R64" s="429" t="str">
        <f>'Net revenue summary'!R172</f>
        <v>-</v>
      </c>
      <c r="S64" s="429" t="str">
        <f>'Net revenue summary'!S172</f>
        <v>-</v>
      </c>
      <c r="T64" s="429" t="str">
        <f>'Net revenue summary'!T172</f>
        <v>-</v>
      </c>
      <c r="U64" s="429" t="str">
        <f>'Net revenue summary'!U172</f>
        <v>-</v>
      </c>
      <c r="V64" s="429" t="str">
        <f>'Net revenue summary'!V172</f>
        <v>-</v>
      </c>
      <c r="W64" s="429" t="str">
        <f>'Net revenue summary'!W172</f>
        <v>-</v>
      </c>
      <c r="X64" s="429" t="str">
        <f>'Net revenue summary'!X172</f>
        <v>-</v>
      </c>
      <c r="Y64" s="429" t="str">
        <f>'Net revenue summary'!Y172</f>
        <v>-</v>
      </c>
      <c r="Z64" s="429" t="str">
        <f>'Net revenue summary'!Z172</f>
        <v>-</v>
      </c>
      <c r="AA64" s="429" t="str">
        <f>'Net revenue summary'!AA172</f>
        <v>-</v>
      </c>
      <c r="AB64" s="429" t="str">
        <f>'Net revenue summary'!AB172</f>
        <v>-</v>
      </c>
      <c r="AC64" s="429" t="str">
        <f>'Net revenue summary'!AC172</f>
        <v>-</v>
      </c>
      <c r="AD64" s="429" t="str">
        <f>'Net revenue summary'!AD172</f>
        <v>-</v>
      </c>
      <c r="AE64" s="429" t="str">
        <f>'Net revenue summary'!AE172</f>
        <v>-</v>
      </c>
      <c r="AF64" s="429" t="str">
        <f>'Net revenue summary'!AF172</f>
        <v>-</v>
      </c>
      <c r="AG64" s="429" t="str">
        <f>'Net revenue summary'!AG172</f>
        <v>-</v>
      </c>
      <c r="AH64" s="429" t="str">
        <f>'Net revenue summary'!AH172</f>
        <v>-</v>
      </c>
      <c r="AI64" s="429" t="str">
        <f>'Net revenue summary'!AI172</f>
        <v>-</v>
      </c>
      <c r="AJ64" s="429" t="str">
        <f>'Net revenue summary'!AJ172</f>
        <v>-</v>
      </c>
      <c r="AK64" s="429" t="str">
        <f>'Net revenue summary'!AL172</f>
        <v>-</v>
      </c>
      <c r="AL64" s="429" t="str">
        <f>'Net revenue summary'!AN172</f>
        <v>-</v>
      </c>
    </row>
    <row r="65" spans="2:40" x14ac:dyDescent="0.3">
      <c r="C65" s="235"/>
      <c r="D65"/>
      <c r="E65" s="23" t="s">
        <v>786</v>
      </c>
      <c r="F65" s="23"/>
      <c r="G65" s="23" t="s">
        <v>269</v>
      </c>
      <c r="H65" s="266" t="s">
        <v>773</v>
      </c>
      <c r="I65" s="266"/>
      <c r="J65" s="430">
        <f>'Net revenue summary'!J174</f>
        <v>3.7358153315893672</v>
      </c>
      <c r="K65" s="430">
        <f>'Net revenue summary'!K174</f>
        <v>0.29463079713080353</v>
      </c>
      <c r="L65" s="430" t="str">
        <f>'Net revenue summary'!L174</f>
        <v>-</v>
      </c>
      <c r="M65" s="430">
        <f>'Net revenue summary'!M174</f>
        <v>4.9046629751509316</v>
      </c>
      <c r="N65" s="430">
        <f>'Net revenue summary'!N174</f>
        <v>2.9129658323011425</v>
      </c>
      <c r="O65" s="430">
        <f>'Net revenue summary'!O174</f>
        <v>2.6544878897419739</v>
      </c>
      <c r="P65" s="430">
        <f>'Net revenue summary'!P174</f>
        <v>2.5317628825689527</v>
      </c>
      <c r="Q65" s="430">
        <f>'Net revenue summary'!Q174</f>
        <v>0.55087252854912339</v>
      </c>
      <c r="R65" s="430" t="str">
        <f>'Net revenue summary'!R174</f>
        <v>-</v>
      </c>
      <c r="S65" s="430">
        <f>'Net revenue summary'!S174</f>
        <v>2.9521835506243144</v>
      </c>
      <c r="T65" s="430">
        <f>'Net revenue summary'!T174</f>
        <v>3.2699595983307921</v>
      </c>
      <c r="U65" s="430">
        <f>'Net revenue summary'!U174</f>
        <v>3.2949717554035525</v>
      </c>
      <c r="V65" s="430">
        <f>'Net revenue summary'!V174</f>
        <v>3.3412610258785103</v>
      </c>
      <c r="W65" s="430" t="str">
        <f>'Net revenue summary'!W174</f>
        <v>-</v>
      </c>
      <c r="X65" s="430">
        <f>'Net revenue summary'!X174</f>
        <v>2.6857070903416935</v>
      </c>
      <c r="Y65" s="430">
        <f>'Net revenue summary'!Y174</f>
        <v>3.1658372982835035</v>
      </c>
      <c r="Z65" s="430">
        <f>'Net revenue summary'!Z174</f>
        <v>3.1360936114865487</v>
      </c>
      <c r="AA65" s="430">
        <f>'Net revenue summary'!AA174</f>
        <v>4.1405805730833052</v>
      </c>
      <c r="AB65" s="430" t="str">
        <f>'Net revenue summary'!AB174</f>
        <v>-</v>
      </c>
      <c r="AC65" s="430">
        <f>'Net revenue summary'!AC174</f>
        <v>2.4720972423889744</v>
      </c>
      <c r="AD65" s="430">
        <f>'Net revenue summary'!AD174</f>
        <v>2.3493017722059735</v>
      </c>
      <c r="AE65" s="430">
        <f>'Net revenue summary'!AE174</f>
        <v>2.2967020061008609</v>
      </c>
      <c r="AF65" s="430">
        <f>'Net revenue summary'!AF174</f>
        <v>2.2546288647110053</v>
      </c>
      <c r="AG65" s="430">
        <f>'Net revenue summary'!AG174</f>
        <v>2.897117906798985</v>
      </c>
      <c r="AH65" s="430">
        <f>'Net revenue summary'!AH174</f>
        <v>-0.87928272768726856</v>
      </c>
      <c r="AI65" s="430" t="str">
        <f>'Net revenue summary'!AI174</f>
        <v>-</v>
      </c>
      <c r="AJ65" s="430">
        <f>'Net revenue summary'!AJ174</f>
        <v>-0.69519381242654721</v>
      </c>
      <c r="AK65" s="430">
        <f>'Net revenue summary'!AL174</f>
        <v>-0.54601589092448799</v>
      </c>
      <c r="AL65" s="430">
        <f>'Net revenue summary'!AN174</f>
        <v>-0.32671660925555379</v>
      </c>
    </row>
    <row r="66" spans="2:40" x14ac:dyDescent="0.3">
      <c r="C66" s="235"/>
    </row>
    <row r="67" spans="2:40" x14ac:dyDescent="0.3">
      <c r="C67" s="31" t="str">
        <f ca="1">INDEX('Version control'!$H$34:$H$57,MATCH($A$1,'Version control'!$F$34:$F$57,0),1)&amp;"-E: Outputs for IDNOs' internal use"</f>
        <v>Output 102-E: Outputs for IDNOs' internal use</v>
      </c>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row>
    <row r="69" spans="2:40" x14ac:dyDescent="0.3">
      <c r="D69" s="29" t="s">
        <v>819</v>
      </c>
      <c r="E69"/>
    </row>
    <row r="70" spans="2:40" x14ac:dyDescent="0.3">
      <c r="D70" s="29" t="s">
        <v>820</v>
      </c>
      <c r="E70"/>
    </row>
    <row r="72" spans="2:40" ht="43.2" x14ac:dyDescent="0.3">
      <c r="E72"/>
      <c r="J72" s="236" t="s">
        <v>913</v>
      </c>
      <c r="K72" s="236" t="s">
        <v>831</v>
      </c>
      <c r="L72" s="236" t="s">
        <v>914</v>
      </c>
      <c r="M72" s="236" t="s">
        <v>915</v>
      </c>
      <c r="N72" s="236" t="s">
        <v>916</v>
      </c>
      <c r="O72" s="236" t="s">
        <v>917</v>
      </c>
      <c r="P72" s="236" t="s">
        <v>918</v>
      </c>
      <c r="Q72" s="236" t="s">
        <v>832</v>
      </c>
      <c r="R72" s="236" t="s">
        <v>919</v>
      </c>
      <c r="S72" s="236" t="s">
        <v>920</v>
      </c>
      <c r="T72" s="236" t="s">
        <v>921</v>
      </c>
      <c r="U72" s="236" t="s">
        <v>922</v>
      </c>
      <c r="V72" s="236" t="s">
        <v>923</v>
      </c>
      <c r="W72" s="236" t="s">
        <v>924</v>
      </c>
      <c r="X72" s="236" t="s">
        <v>925</v>
      </c>
      <c r="Y72" s="236" t="s">
        <v>926</v>
      </c>
      <c r="Z72" s="236" t="s">
        <v>927</v>
      </c>
      <c r="AA72" s="236" t="s">
        <v>928</v>
      </c>
      <c r="AB72" s="236" t="s">
        <v>929</v>
      </c>
      <c r="AC72" s="236" t="s">
        <v>930</v>
      </c>
      <c r="AD72" s="236" t="s">
        <v>931</v>
      </c>
      <c r="AE72" s="236" t="s">
        <v>932</v>
      </c>
      <c r="AF72" s="236" t="s">
        <v>933</v>
      </c>
      <c r="AG72" s="236" t="s">
        <v>841</v>
      </c>
      <c r="AH72" s="236" t="s">
        <v>833</v>
      </c>
      <c r="AI72" s="236" t="s">
        <v>834</v>
      </c>
      <c r="AJ72" s="236" t="s">
        <v>835</v>
      </c>
      <c r="AK72" s="236" t="s">
        <v>836</v>
      </c>
      <c r="AL72" s="236" t="s">
        <v>837</v>
      </c>
    </row>
    <row r="73" spans="2:40" x14ac:dyDescent="0.3">
      <c r="C73" s="235"/>
      <c r="D73"/>
      <c r="E73" s="23" t="s">
        <v>794</v>
      </c>
      <c r="F73" s="23"/>
      <c r="G73" s="64" t="s">
        <v>167</v>
      </c>
      <c r="H73" s="23" t="s">
        <v>448</v>
      </c>
      <c r="I73" s="23"/>
      <c r="J73" s="309">
        <f>'Net revenue summary'!J206</f>
        <v>0.24849299741952874</v>
      </c>
      <c r="K73" s="309">
        <f>'Net revenue summary'!K206</f>
        <v>0</v>
      </c>
      <c r="L73" s="309">
        <f>'Net revenue summary'!L206</f>
        <v>0</v>
      </c>
      <c r="M73" s="309">
        <f>'Net revenue summary'!M206</f>
        <v>0.33596493825373591</v>
      </c>
      <c r="N73" s="309">
        <f>'Net revenue summary'!N206</f>
        <v>0.33680840808350809</v>
      </c>
      <c r="O73" s="309">
        <f>'Net revenue summary'!O206</f>
        <v>0.33704842608197583</v>
      </c>
      <c r="P73" s="309">
        <f>'Net revenue summary'!P206</f>
        <v>0.3371771680170938</v>
      </c>
      <c r="Q73" s="309">
        <f>'Net revenue summary'!Q206</f>
        <v>0</v>
      </c>
      <c r="R73" s="309">
        <f>'Net revenue summary'!R206</f>
        <v>0</v>
      </c>
      <c r="S73" s="309">
        <f>'Net revenue summary'!S206</f>
        <v>0.33773445387373235</v>
      </c>
      <c r="T73" s="309">
        <f>'Net revenue summary'!T206</f>
        <v>0.33784587750760831</v>
      </c>
      <c r="U73" s="309">
        <f>'Net revenue summary'!U206</f>
        <v>0.33785960306330121</v>
      </c>
      <c r="V73" s="309">
        <f>'Net revenue summary'!V206</f>
        <v>0.33787815048689579</v>
      </c>
      <c r="W73" s="165"/>
      <c r="X73" s="165"/>
      <c r="Y73" s="165"/>
      <c r="Z73" s="165"/>
      <c r="AA73" s="165"/>
      <c r="AB73" s="165"/>
      <c r="AC73" s="165"/>
      <c r="AD73" s="165"/>
      <c r="AE73" s="165"/>
      <c r="AF73" s="165"/>
      <c r="AG73" s="309">
        <f>'Net revenue summary'!AG206</f>
        <v>0.33734381778603567</v>
      </c>
      <c r="AH73" s="309">
        <f>'Net revenue summary'!AH206</f>
        <v>0</v>
      </c>
      <c r="AI73" s="165"/>
      <c r="AJ73" s="309">
        <f>'Net revenue summary'!AJ206</f>
        <v>-2.271318297756962E-16</v>
      </c>
      <c r="AK73" s="165"/>
      <c r="AL73" s="165"/>
    </row>
    <row r="74" spans="2:40" x14ac:dyDescent="0.3">
      <c r="C74" s="235"/>
      <c r="D74"/>
      <c r="E74" s="37" t="s">
        <v>795</v>
      </c>
      <c r="F74" s="37"/>
      <c r="G74" s="67" t="s">
        <v>167</v>
      </c>
      <c r="H74" s="37" t="s">
        <v>449</v>
      </c>
      <c r="I74" s="37"/>
      <c r="J74" s="310">
        <f>'Net revenue summary'!J207</f>
        <v>0.35501096378369779</v>
      </c>
      <c r="K74" s="310">
        <f>'Net revenue summary'!K207</f>
        <v>0</v>
      </c>
      <c r="L74" s="310">
        <f>'Net revenue summary'!L207</f>
        <v>0</v>
      </c>
      <c r="M74" s="310">
        <f>'Net revenue summary'!M207</f>
        <v>0.48039565738050405</v>
      </c>
      <c r="N74" s="310">
        <f>'Net revenue summary'!N207</f>
        <v>0.48156318398308201</v>
      </c>
      <c r="O74" s="310">
        <f>'Net revenue summary'!O207</f>
        <v>0.48185319484673472</v>
      </c>
      <c r="P74" s="310">
        <f>'Net revenue summary'!P207</f>
        <v>0.48205619121168913</v>
      </c>
      <c r="Q74" s="310">
        <f>'Net revenue summary'!Q207</f>
        <v>0</v>
      </c>
      <c r="R74" s="310">
        <f>'Net revenue summary'!R207</f>
        <v>0</v>
      </c>
      <c r="S74" s="310">
        <f>'Net revenue summary'!S207</f>
        <v>0.48196795886937033</v>
      </c>
      <c r="T74" s="310">
        <f>'Net revenue summary'!T207</f>
        <v>0.4819460043624193</v>
      </c>
      <c r="U74" s="310">
        <f>'Net revenue summary'!U207</f>
        <v>0.48194816387952716</v>
      </c>
      <c r="V74" s="310">
        <f>'Net revenue summary'!V207</f>
        <v>0.48194698810143438</v>
      </c>
      <c r="W74" s="310">
        <f>'Net revenue summary'!W207</f>
        <v>0</v>
      </c>
      <c r="X74" s="310">
        <f>'Net revenue summary'!X207</f>
        <v>0.19776358756098139</v>
      </c>
      <c r="Y74" s="310">
        <f>'Net revenue summary'!Y207</f>
        <v>0.19783580720941416</v>
      </c>
      <c r="Z74" s="310">
        <f>'Net revenue summary'!Z207</f>
        <v>0.19784745114435195</v>
      </c>
      <c r="AA74" s="310">
        <f>'Net revenue summary'!AA207</f>
        <v>0.19787000158022741</v>
      </c>
      <c r="AB74" s="310">
        <f>'Net revenue summary'!AB207</f>
        <v>0</v>
      </c>
      <c r="AC74" s="310">
        <f>'Net revenue summary'!AC207</f>
        <v>7.8261494925803865E-2</v>
      </c>
      <c r="AD74" s="310">
        <f>'Net revenue summary'!AD207</f>
        <v>7.8283215498118355E-2</v>
      </c>
      <c r="AE74" s="310">
        <f>'Net revenue summary'!AE207</f>
        <v>7.8299240229030412E-2</v>
      </c>
      <c r="AF74" s="310">
        <f>'Net revenue summary'!AF207</f>
        <v>7.8314274873205636E-2</v>
      </c>
      <c r="AG74" s="310">
        <f>'Net revenue summary'!AG207</f>
        <v>0.48214343793788422</v>
      </c>
      <c r="AH74" s="310">
        <f>'Net revenue summary'!AH207</f>
        <v>0</v>
      </c>
      <c r="AI74" s="310">
        <f>'Net revenue summary'!AI207</f>
        <v>0</v>
      </c>
      <c r="AJ74" s="310">
        <f>'Net revenue summary'!AJ207</f>
        <v>-2.271318297756962E-16</v>
      </c>
      <c r="AK74" s="310">
        <f>'Net revenue summary'!AL207</f>
        <v>-1.133793366131181E-16</v>
      </c>
      <c r="AL74" s="310">
        <f>'Net revenue summary'!AN207</f>
        <v>-2.8249262324235549E-2</v>
      </c>
    </row>
    <row r="76" spans="2:40" x14ac:dyDescent="0.3">
      <c r="B76" s="30" t="s">
        <v>231</v>
      </c>
      <c r="C76" s="30"/>
      <c r="D76" s="30"/>
      <c r="E76" s="30"/>
      <c r="F76" s="30"/>
      <c r="G76" s="30"/>
      <c r="H76" s="30"/>
      <c r="I76" s="30"/>
      <c r="J76" s="30"/>
      <c r="K76" s="30"/>
      <c r="L76" s="104"/>
      <c r="M76" s="104"/>
      <c r="N76" s="104"/>
      <c r="O76" s="104"/>
      <c r="P76" s="104"/>
      <c r="Q76" s="104"/>
      <c r="R76" s="104"/>
      <c r="S76" s="104"/>
      <c r="T76" s="104"/>
      <c r="U76" s="104"/>
      <c r="V76" s="104"/>
      <c r="W76" s="104"/>
      <c r="X76" s="104"/>
      <c r="Y76" s="104"/>
      <c r="Z76" s="104"/>
      <c r="AA76" s="104"/>
      <c r="AB76" s="104"/>
      <c r="AC76" s="104"/>
      <c r="AD76" s="104"/>
      <c r="AE76" s="104"/>
      <c r="AF76" s="104"/>
      <c r="AG76" s="104"/>
      <c r="AH76" s="104"/>
      <c r="AI76" s="104"/>
      <c r="AJ76" s="105"/>
      <c r="AK76" s="105"/>
      <c r="AL76" s="105"/>
      <c r="AM76" s="105"/>
      <c r="AN76" s="105"/>
    </row>
    <row r="78" spans="2:40" x14ac:dyDescent="0.3">
      <c r="E78" t="s">
        <v>232</v>
      </c>
      <c r="G78" s="6" t="s">
        <v>55</v>
      </c>
      <c r="H78" s="103">
        <f t="array" ref="H78">SUM(IF(ISERROR(H19:AL75), 1))</f>
        <v>0</v>
      </c>
    </row>
    <row r="80" spans="2:40" x14ac:dyDescent="0.3">
      <c r="B80" s="30" t="s">
        <v>106</v>
      </c>
      <c r="C80" s="30"/>
      <c r="D80" s="30"/>
      <c r="E80" s="30"/>
      <c r="F80" s="30"/>
      <c r="G80" s="30"/>
      <c r="H80" s="30"/>
      <c r="I80" s="30"/>
      <c r="J80" s="30"/>
      <c r="K80" s="30"/>
      <c r="L80" s="104"/>
      <c r="M80" s="104"/>
      <c r="N80" s="104"/>
      <c r="O80" s="104"/>
      <c r="P80" s="104"/>
      <c r="Q80" s="104"/>
      <c r="R80" s="104"/>
      <c r="S80" s="104"/>
      <c r="T80" s="104"/>
      <c r="U80" s="104"/>
      <c r="V80" s="104"/>
      <c r="W80" s="104"/>
      <c r="X80" s="104"/>
      <c r="Y80" s="104"/>
      <c r="Z80" s="104"/>
      <c r="AA80" s="104"/>
      <c r="AB80" s="104"/>
      <c r="AC80" s="104"/>
      <c r="AD80" s="104"/>
      <c r="AE80" s="104"/>
      <c r="AF80" s="104"/>
      <c r="AG80" s="104"/>
      <c r="AH80" s="104"/>
      <c r="AI80" s="104"/>
      <c r="AJ80" s="105"/>
      <c r="AK80" s="105"/>
      <c r="AL80" s="105"/>
      <c r="AM80" s="105"/>
      <c r="AN80" s="105"/>
    </row>
  </sheetData>
  <sheetProtection sheet="1" objects="1" formatCells="0" formatColumns="0" formatRows="0" sort="0" autoFilter="0"/>
  <conditionalFormatting sqref="A4:XFD4">
    <cfRule type="expression" dxfId="1" priority="2">
      <formula>LEFT($A$4,1) &lt;&gt; "0"</formula>
    </cfRule>
  </conditionalFormatting>
  <conditionalFormatting sqref="H78">
    <cfRule type="cellIs" dxfId="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3"/>
  <cols>
    <col min="1" max="5" width="2.5546875" style="3" customWidth="1"/>
    <col min="6" max="6" width="30.5546875" style="3" customWidth="1"/>
    <col min="7" max="7" width="2.5546875" style="3" customWidth="1"/>
    <col min="8" max="8" width="25.5546875" style="4" customWidth="1"/>
    <col min="9" max="9" width="125.44140625" style="4" customWidth="1"/>
    <col min="10" max="10" width="2.5546875" style="3" customWidth="1"/>
    <col min="11" max="16384" width="9.21875" style="3" hidden="1"/>
  </cols>
  <sheetData>
    <row r="1" spans="1:9" s="1" customFormat="1" ht="14.4" x14ac:dyDescent="0.3">
      <c r="A1" s="1" t="str">
        <f ca="1">MID(CELL("filename",A1),FIND("]",CELL("filename",A1))+1,255)</f>
        <v>Model map</v>
      </c>
    </row>
    <row r="2" spans="1:9" s="1" customFormat="1" ht="14.4" x14ac:dyDescent="0.3">
      <c r="A2" s="1" t="str">
        <f>Cover!D21&amp;" - "&amp;Cover!D23</f>
        <v>WPD Mid West - April 22 Pricing</v>
      </c>
    </row>
    <row r="3" spans="1:9" s="5" customFormat="1" ht="14.4" x14ac:dyDescent="0.3">
      <c r="A3" s="5" t="str">
        <f>Cover!D2&amp;" - "&amp;Cover!D8&amp;" v"&amp;Cover!D10&amp;" - "&amp;Cover!D19</f>
        <v>CDCM charging model - Release for charge setting v7 - 2022/23</v>
      </c>
    </row>
    <row r="5" spans="1:9" customFormat="1" ht="14.4" x14ac:dyDescent="0.3">
      <c r="A5" s="9"/>
      <c r="B5" s="41" t="s">
        <v>107</v>
      </c>
      <c r="C5" s="41"/>
      <c r="D5" s="41"/>
      <c r="E5" s="41"/>
      <c r="F5" s="41"/>
      <c r="G5" s="41"/>
      <c r="H5" s="41"/>
      <c r="I5" s="41"/>
    </row>
    <row r="7" spans="1:9" ht="15" customHeight="1" x14ac:dyDescent="0.3">
      <c r="F7" s="55"/>
      <c r="G7" s="55"/>
      <c r="H7" s="56"/>
      <c r="I7" s="56"/>
    </row>
    <row r="8" spans="1:9" ht="15" customHeight="1" x14ac:dyDescent="0.3">
      <c r="F8" s="55"/>
      <c r="G8" s="55"/>
    </row>
    <row r="9" spans="1:9" ht="15" customHeight="1" x14ac:dyDescent="0.3">
      <c r="F9" s="55"/>
      <c r="G9" s="55"/>
      <c r="H9" s="55"/>
      <c r="I9" s="55"/>
    </row>
    <row r="10" spans="1:9" ht="15" customHeight="1" x14ac:dyDescent="0.3">
      <c r="F10" s="55"/>
      <c r="G10" s="55"/>
      <c r="H10" s="55"/>
      <c r="I10" s="55"/>
    </row>
    <row r="11" spans="1:9" ht="15" customHeight="1" x14ac:dyDescent="0.3">
      <c r="F11" s="55"/>
      <c r="G11" s="55"/>
      <c r="H11" s="55"/>
      <c r="I11" s="3"/>
    </row>
    <row r="12" spans="1:9" ht="15" customHeight="1" x14ac:dyDescent="0.3">
      <c r="F12" s="55"/>
      <c r="H12" s="55"/>
      <c r="I12" s="3"/>
    </row>
    <row r="13" spans="1:9" ht="15" customHeight="1" x14ac:dyDescent="0.3">
      <c r="F13" s="55"/>
      <c r="H13" s="55"/>
      <c r="I13" s="3"/>
    </row>
    <row r="14" spans="1:9" ht="15" customHeight="1" x14ac:dyDescent="0.3">
      <c r="F14" s="55"/>
      <c r="H14" s="55"/>
      <c r="I14" s="3"/>
    </row>
    <row r="15" spans="1:9" ht="14.4" x14ac:dyDescent="0.3">
      <c r="F15" s="57"/>
      <c r="G15" s="57"/>
      <c r="H15" s="57"/>
      <c r="I15" s="57"/>
    </row>
    <row r="16" spans="1:9" ht="15" customHeight="1" x14ac:dyDescent="0.3">
      <c r="H16" s="57"/>
      <c r="I16" s="57"/>
    </row>
    <row r="17" spans="6:9" ht="15" customHeight="1" x14ac:dyDescent="0.3">
      <c r="H17" s="57"/>
      <c r="I17" s="57"/>
    </row>
    <row r="18" spans="6:9" ht="15" customHeight="1" x14ac:dyDescent="0.3">
      <c r="H18" s="57"/>
      <c r="I18" s="57"/>
    </row>
    <row r="19" spans="6:9" ht="15" customHeight="1" x14ac:dyDescent="0.3">
      <c r="F19" s="57"/>
      <c r="G19" s="57"/>
      <c r="H19" s="57"/>
      <c r="I19" s="57"/>
    </row>
    <row r="20" spans="6:9" ht="15" customHeight="1" x14ac:dyDescent="0.3">
      <c r="F20" s="57"/>
      <c r="G20" s="57"/>
      <c r="H20" s="57"/>
      <c r="I20" s="57"/>
    </row>
    <row r="21" spans="6:9" ht="15" customHeight="1" x14ac:dyDescent="0.3">
      <c r="F21" s="57"/>
      <c r="G21" s="57"/>
      <c r="H21" s="57"/>
      <c r="I21" s="57"/>
    </row>
    <row r="22" spans="6:9" ht="15" customHeight="1" x14ac:dyDescent="0.3">
      <c r="F22" s="57"/>
      <c r="G22" s="57"/>
      <c r="H22" s="57"/>
      <c r="I22" s="57"/>
    </row>
    <row r="23" spans="6:9" ht="15" customHeight="1" x14ac:dyDescent="0.3">
      <c r="F23" s="57"/>
      <c r="G23" s="57"/>
      <c r="H23" s="57"/>
      <c r="I23" s="57"/>
    </row>
    <row r="24" spans="6:9" ht="15" customHeight="1" x14ac:dyDescent="0.3">
      <c r="F24" s="57"/>
      <c r="G24" s="57"/>
      <c r="H24" s="57"/>
      <c r="I24" s="57"/>
    </row>
    <row r="25" spans="6:9" ht="15" customHeight="1" x14ac:dyDescent="0.3">
      <c r="F25" s="57"/>
      <c r="G25" s="57"/>
      <c r="H25" s="57"/>
      <c r="I25" s="57"/>
    </row>
    <row r="26" spans="6:9" ht="15" customHeight="1" x14ac:dyDescent="0.3">
      <c r="F26" s="57"/>
      <c r="G26" s="57"/>
      <c r="H26" s="57"/>
      <c r="I26" s="57"/>
    </row>
    <row r="27" spans="6:9" ht="15" customHeight="1" x14ac:dyDescent="0.3">
      <c r="F27" s="57"/>
      <c r="G27" s="57"/>
      <c r="H27" s="57"/>
      <c r="I27" s="57"/>
    </row>
    <row r="28" spans="6:9" ht="15" customHeight="1" x14ac:dyDescent="0.3">
      <c r="F28" s="57"/>
      <c r="G28" s="57"/>
      <c r="H28" s="57"/>
      <c r="I28" s="57"/>
    </row>
    <row r="29" spans="6:9" ht="15" customHeight="1" x14ac:dyDescent="0.3">
      <c r="F29" s="57"/>
      <c r="G29" s="57"/>
      <c r="H29" s="57"/>
      <c r="I29" s="57"/>
    </row>
    <row r="30" spans="6:9" ht="15" customHeight="1" x14ac:dyDescent="0.3">
      <c r="F30" s="57"/>
      <c r="G30" s="57"/>
      <c r="H30" s="57"/>
      <c r="I30" s="57"/>
    </row>
    <row r="31" spans="6:9" ht="15" customHeight="1" x14ac:dyDescent="0.3">
      <c r="F31" s="57"/>
      <c r="G31" s="57"/>
      <c r="H31" s="57"/>
      <c r="I31" s="57"/>
    </row>
    <row r="32" spans="6:9" ht="15" customHeight="1" x14ac:dyDescent="0.3">
      <c r="F32" s="57"/>
      <c r="G32" s="57"/>
      <c r="H32" s="57"/>
      <c r="I32" s="57"/>
    </row>
    <row r="33" spans="6:9" ht="15" customHeight="1" x14ac:dyDescent="0.3">
      <c r="F33" s="57"/>
      <c r="G33" s="57"/>
      <c r="H33" s="57"/>
      <c r="I33" s="57"/>
    </row>
    <row r="34" spans="6:9" customFormat="1" ht="14.4" x14ac:dyDescent="0.3">
      <c r="F34" s="57"/>
      <c r="G34" s="57"/>
      <c r="H34" s="57"/>
      <c r="I34" s="57"/>
    </row>
    <row r="35" spans="6:9" customFormat="1" ht="14.4" x14ac:dyDescent="0.3">
      <c r="F35" s="57"/>
      <c r="G35" s="57"/>
      <c r="H35" s="57"/>
      <c r="I35" s="57"/>
    </row>
    <row r="36" spans="6:9" customFormat="1" ht="14.4" x14ac:dyDescent="0.3">
      <c r="F36" s="57"/>
      <c r="G36" s="57"/>
      <c r="H36" s="57"/>
      <c r="I36" s="57"/>
    </row>
    <row r="37" spans="6:9" customFormat="1" ht="14.4" x14ac:dyDescent="0.3">
      <c r="F37" s="57"/>
      <c r="G37" s="57"/>
      <c r="H37" s="57"/>
      <c r="I37" s="57"/>
    </row>
    <row r="38" spans="6:9" customFormat="1" ht="14.4" x14ac:dyDescent="0.3">
      <c r="F38" s="57"/>
      <c r="G38" s="57"/>
      <c r="H38" s="57"/>
      <c r="I38" s="57"/>
    </row>
    <row r="39" spans="6:9" customFormat="1" ht="14.4" x14ac:dyDescent="0.3">
      <c r="F39" s="57"/>
      <c r="G39" s="57"/>
      <c r="H39" s="57"/>
      <c r="I39" s="57"/>
    </row>
    <row r="40" spans="6:9" customFormat="1" ht="14.4" x14ac:dyDescent="0.3">
      <c r="F40" s="57"/>
      <c r="G40" s="57"/>
      <c r="H40" s="57"/>
      <c r="I40" s="57"/>
    </row>
    <row r="41" spans="6:9" ht="15" customHeight="1" x14ac:dyDescent="0.3">
      <c r="F41" s="57"/>
      <c r="G41" s="57"/>
      <c r="H41" s="57"/>
      <c r="I41" s="57"/>
    </row>
    <row r="42" spans="6:9" ht="15" customHeight="1" x14ac:dyDescent="0.3">
      <c r="F42" s="57"/>
      <c r="G42" s="57"/>
      <c r="H42" s="57"/>
      <c r="I42" s="57"/>
    </row>
    <row r="43" spans="6:9" ht="15" customHeight="1" x14ac:dyDescent="0.3">
      <c r="F43" s="57"/>
      <c r="G43" s="57"/>
      <c r="H43" s="57"/>
      <c r="I43" s="57"/>
    </row>
    <row r="44" spans="6:9" ht="15" customHeight="1" x14ac:dyDescent="0.3">
      <c r="F44" s="57"/>
      <c r="G44" s="57"/>
      <c r="H44" s="57"/>
      <c r="I44" s="57"/>
    </row>
    <row r="45" spans="6:9" ht="15" customHeight="1" x14ac:dyDescent="0.3">
      <c r="F45" s="57"/>
      <c r="G45" s="57"/>
      <c r="H45" s="57"/>
      <c r="I45" s="57"/>
    </row>
    <row r="46" spans="6:9" ht="15" customHeight="1" x14ac:dyDescent="0.3">
      <c r="F46" s="57"/>
      <c r="G46" s="57"/>
      <c r="H46" s="57"/>
      <c r="I46" s="57"/>
    </row>
    <row r="47" spans="6:9" ht="15" customHeight="1" x14ac:dyDescent="0.3">
      <c r="F47" s="39"/>
      <c r="H47" s="3"/>
      <c r="I47" s="3"/>
    </row>
    <row r="51" spans="1:10" customFormat="1" ht="14.4" x14ac:dyDescent="0.3">
      <c r="A51" s="9"/>
      <c r="B51" s="9"/>
      <c r="C51" s="9"/>
      <c r="D51" s="9"/>
      <c r="E51" s="9"/>
      <c r="F51" s="9"/>
      <c r="G51" s="9"/>
      <c r="H51" s="9"/>
      <c r="I51" s="9"/>
      <c r="J51" s="9"/>
    </row>
    <row r="62" spans="1:10" ht="15" customHeight="1" x14ac:dyDescent="0.3">
      <c r="A62" s="41" t="s">
        <v>106</v>
      </c>
      <c r="B62" s="41"/>
      <c r="C62" s="41"/>
      <c r="D62" s="41"/>
      <c r="E62" s="41"/>
      <c r="F62" s="41"/>
      <c r="G62" s="41"/>
      <c r="H62" s="41"/>
      <c r="I62" s="4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39"/>
  <sheetViews>
    <sheetView showGridLines="0" zoomScale="80" zoomScaleNormal="80" workbookViewId="0">
      <pane ySplit="3" topLeftCell="A4" activePane="bottomLeft" state="frozen"/>
      <selection pane="bottomLeft"/>
    </sheetView>
  </sheetViews>
  <sheetFormatPr defaultColWidth="0" defaultRowHeight="14.4" x14ac:dyDescent="0.3"/>
  <cols>
    <col min="1" max="5" width="2.5546875" customWidth="1"/>
    <col min="6" max="6" width="27.77734375" bestFit="1" customWidth="1"/>
    <col min="7" max="7" width="134.44140625" bestFit="1" customWidth="1"/>
    <col min="8" max="8" width="2.5546875" customWidth="1"/>
    <col min="9" max="9" width="59.5546875" hidden="1" customWidth="1"/>
    <col min="10" max="20" width="15.44140625" hidden="1" customWidth="1"/>
    <col min="21" max="21" width="2.5546875" hidden="1" customWidth="1"/>
    <col min="22" max="16384" width="9.21875" hidden="1"/>
  </cols>
  <sheetData>
    <row r="1" spans="1:7" s="1" customFormat="1" x14ac:dyDescent="0.3">
      <c r="A1" s="1" t="str">
        <f ca="1">MID(CELL("filename",A1),FIND("]",CELL("filename",A1))+1,255)</f>
        <v>Index</v>
      </c>
    </row>
    <row r="2" spans="1:7" s="1" customFormat="1" x14ac:dyDescent="0.3">
      <c r="A2" s="1" t="str">
        <f>Cover!D21&amp;" - "&amp;Cover!D23</f>
        <v>WPD Mid West - April 22 Pricing</v>
      </c>
    </row>
    <row r="3" spans="1:7" s="5" customFormat="1" x14ac:dyDescent="0.3">
      <c r="A3" s="5" t="str">
        <f>Cover!D2&amp;" - "&amp;Cover!D8&amp;" v"&amp;Cover!D10&amp;" - "&amp;Cover!D19</f>
        <v>CDCM charging model - Release for charge setting v7 - 2022/23</v>
      </c>
    </row>
    <row r="5" spans="1:7" x14ac:dyDescent="0.3">
      <c r="B5" s="30" t="s">
        <v>10</v>
      </c>
      <c r="C5" s="30"/>
      <c r="D5" s="30"/>
      <c r="E5" s="30"/>
      <c r="F5" s="30"/>
      <c r="G5" s="30"/>
    </row>
    <row r="7" spans="1:7" x14ac:dyDescent="0.3">
      <c r="C7" s="29" t="s">
        <v>108</v>
      </c>
    </row>
    <row r="8" spans="1:7" x14ac:dyDescent="0.3">
      <c r="C8" s="29" t="s">
        <v>109</v>
      </c>
    </row>
    <row r="10" spans="1:7" x14ac:dyDescent="0.3">
      <c r="B10" s="30" t="s">
        <v>110</v>
      </c>
      <c r="C10" s="30"/>
      <c r="D10" s="30"/>
      <c r="E10" s="30"/>
      <c r="F10" s="30"/>
      <c r="G10" s="30"/>
    </row>
    <row r="12" spans="1:7" x14ac:dyDescent="0.3">
      <c r="C12" s="29" t="s">
        <v>111</v>
      </c>
    </row>
    <row r="14" spans="1:7" ht="15" thickBot="1" x14ac:dyDescent="0.35">
      <c r="F14" s="321" t="s">
        <v>112</v>
      </c>
      <c r="G14" s="287" t="s">
        <v>113</v>
      </c>
    </row>
    <row r="15" spans="1:7" ht="15.6" thickTop="1" thickBot="1" x14ac:dyDescent="0.35">
      <c r="F15" s="289" t="s">
        <v>114</v>
      </c>
    </row>
    <row r="16" spans="1:7" ht="15" thickTop="1" x14ac:dyDescent="0.3">
      <c r="F16" s="289" t="s">
        <v>115</v>
      </c>
      <c r="G16" s="58" t="str">
        <f>'Version control'!$B$5</f>
        <v>Model version</v>
      </c>
    </row>
    <row r="17" spans="6:7" x14ac:dyDescent="0.3">
      <c r="F17" s="288" t="s">
        <v>116</v>
      </c>
      <c r="G17" s="58" t="str">
        <f>'Version control'!$B$17</f>
        <v>Version log</v>
      </c>
    </row>
    <row r="18" spans="6:7" x14ac:dyDescent="0.3">
      <c r="F18" s="288" t="s">
        <v>116</v>
      </c>
      <c r="G18" s="58" t="str">
        <f>'Version control'!$B$31</f>
        <v>Model checks</v>
      </c>
    </row>
    <row r="19" spans="6:7" ht="15" thickBot="1" x14ac:dyDescent="0.35">
      <c r="F19" s="288" t="s">
        <v>116</v>
      </c>
      <c r="G19" s="58" t="str">
        <f>'Version control'!$B$60</f>
        <v>Version log lists</v>
      </c>
    </row>
    <row r="20" spans="6:7" ht="15.6" thickTop="1" thickBot="1" x14ac:dyDescent="0.35">
      <c r="F20" s="289" t="s">
        <v>107</v>
      </c>
      <c r="G20" s="58" t="str">
        <f>'Model map'!$B$5</f>
        <v>Model map</v>
      </c>
    </row>
    <row r="21" spans="6:7" ht="15.6" thickTop="1" thickBot="1" x14ac:dyDescent="0.35">
      <c r="F21" s="289" t="s">
        <v>117</v>
      </c>
      <c r="G21" s="58" t="str">
        <f>'Named ranges'!$B$5</f>
        <v>List of named ranges</v>
      </c>
    </row>
    <row r="22" spans="6:7" ht="15.6" thickTop="1" thickBot="1" x14ac:dyDescent="0.35">
      <c r="F22" s="291" t="s">
        <v>53</v>
      </c>
      <c r="G22" s="58" t="str">
        <f>'Fixed inputs'!$B$11</f>
        <v>Fixed inputs</v>
      </c>
    </row>
    <row r="23" spans="6:7" ht="15.6" thickTop="1" thickBot="1" x14ac:dyDescent="0.35">
      <c r="F23" s="291" t="s">
        <v>56</v>
      </c>
      <c r="G23" s="58" t="str">
        <f>'Inputs by customer type'!$B$11</f>
        <v>Inputs by customer type</v>
      </c>
    </row>
    <row r="24" spans="6:7" ht="15.6" thickTop="1" thickBot="1" x14ac:dyDescent="0.35">
      <c r="F24" s="291" t="s">
        <v>58</v>
      </c>
      <c r="G24" s="58" t="str">
        <f>'Inputs by network level'!$B$11</f>
        <v>Inputs by network level</v>
      </c>
    </row>
    <row r="25" spans="6:7" ht="15.6" thickTop="1" thickBot="1" x14ac:dyDescent="0.35">
      <c r="F25" s="291" t="s">
        <v>60</v>
      </c>
      <c r="G25" s="58" t="str">
        <f>'General inputs'!$B$11</f>
        <v>General inputs</v>
      </c>
    </row>
    <row r="26" spans="6:7" ht="15.6" thickTop="1" thickBot="1" x14ac:dyDescent="0.35">
      <c r="F26" s="293" t="s">
        <v>120</v>
      </c>
      <c r="G26" s="58" t="str">
        <f>'Standing charge factors'!$B$17</f>
        <v>Adjustments to standing charges</v>
      </c>
    </row>
    <row r="27" spans="6:7" ht="15" thickTop="1" x14ac:dyDescent="0.3">
      <c r="F27" s="293" t="s">
        <v>64</v>
      </c>
      <c r="G27" s="58" t="str">
        <f>'Load &amp; loss characteristics'!$B$13</f>
        <v>Load and loss characteristics</v>
      </c>
    </row>
    <row r="28" spans="6:7" ht="15" thickBot="1" x14ac:dyDescent="0.35">
      <c r="F28" s="292" t="s">
        <v>116</v>
      </c>
      <c r="G28" s="58" t="str">
        <f>'Load &amp; loss characteristics'!$B$31</f>
        <v>User loss factor adjustments</v>
      </c>
    </row>
    <row r="29" spans="6:7" ht="15.6" thickTop="1" thickBot="1" x14ac:dyDescent="0.35">
      <c r="F29" s="293" t="s">
        <v>66</v>
      </c>
      <c r="G29" s="58" t="str">
        <f>'Customer contributions'!$B$12</f>
        <v>Customer contributions</v>
      </c>
    </row>
    <row r="30" spans="6:7" ht="15" thickTop="1" x14ac:dyDescent="0.3">
      <c r="F30" s="293" t="s">
        <v>68</v>
      </c>
      <c r="G30" s="58" t="str">
        <f>'Volume adjustments'!$B$13</f>
        <v>LDNO discounts</v>
      </c>
    </row>
    <row r="31" spans="6:7" x14ac:dyDescent="0.3">
      <c r="F31" s="292" t="s">
        <v>116</v>
      </c>
      <c r="G31" s="58" t="str">
        <f>'Volume adjustments'!$B$51</f>
        <v>Volume discounting</v>
      </c>
    </row>
    <row r="32" spans="6:7" ht="15" thickBot="1" x14ac:dyDescent="0.35">
      <c r="F32" s="292" t="s">
        <v>116</v>
      </c>
      <c r="G32" s="58" t="str">
        <f>'Volume adjustments'!$B$310</f>
        <v>Volume discounting for revenue matching</v>
      </c>
    </row>
    <row r="33" spans="6:7" ht="15" thickTop="1" x14ac:dyDescent="0.3">
      <c r="F33" s="293" t="s">
        <v>70</v>
      </c>
      <c r="G33" s="58" t="str">
        <f>'Pseudo-load coefficients'!$B$13</f>
        <v>Step 1: Ratio of coincidence to load factor assuming units evenly spread within time bands, and peak falls in Red period</v>
      </c>
    </row>
    <row r="34" spans="6:7" x14ac:dyDescent="0.3">
      <c r="F34" s="292" t="s">
        <v>116</v>
      </c>
      <c r="G34" s="58" t="str">
        <f>'Pseudo-load coefficients'!$B$56</f>
        <v>Step 2: Calculate correction factor</v>
      </c>
    </row>
    <row r="35" spans="6:7" x14ac:dyDescent="0.3">
      <c r="F35" s="292" t="s">
        <v>116</v>
      </c>
      <c r="G35" s="58" t="str">
        <f>'Pseudo-load coefficients'!$B$95</f>
        <v>Step 3: Ratio of coincidence factor (to network asset peak) to load factor, given peaking probabilities, multiplied by correction factor</v>
      </c>
    </row>
    <row r="36" spans="6:7" ht="15" thickBot="1" x14ac:dyDescent="0.35">
      <c r="F36" s="292" t="s">
        <v>116</v>
      </c>
      <c r="G36" s="58" t="str">
        <f>'Pseudo-load coefficients'!$B$261</f>
        <v>Step 4: Results of Step 3</v>
      </c>
    </row>
    <row r="37" spans="6:7" ht="15" thickTop="1" x14ac:dyDescent="0.3">
      <c r="F37" s="293" t="s">
        <v>72</v>
      </c>
      <c r="G37" s="58" t="str">
        <f>'System peak demand'!$B$16</f>
        <v>Common inputs for chargeable load calculations</v>
      </c>
    </row>
    <row r="38" spans="6:7" x14ac:dyDescent="0.3">
      <c r="F38" s="292" t="s">
        <v>116</v>
      </c>
      <c r="G38" s="58" t="str">
        <f>'System peak demand'!$B$63</f>
        <v>Load at system peak charged to unit rates</v>
      </c>
    </row>
    <row r="39" spans="6:7" x14ac:dyDescent="0.3">
      <c r="F39" s="292" t="s">
        <v>116</v>
      </c>
      <c r="G39" s="58" t="str">
        <f>'System peak demand'!$B$179</f>
        <v>Load at system peak charged to standing charges</v>
      </c>
    </row>
    <row r="40" spans="6:7" ht="15" thickBot="1" x14ac:dyDescent="0.35">
      <c r="F40" s="292" t="s">
        <v>116</v>
      </c>
      <c r="G40" s="58" t="str">
        <f>'System peak demand'!$B$262</f>
        <v>System peak based on chargeable load</v>
      </c>
    </row>
    <row r="41" spans="6:7" ht="15.6" thickTop="1" thickBot="1" x14ac:dyDescent="0.35">
      <c r="F41" s="293" t="s">
        <v>74</v>
      </c>
      <c r="G41" s="58" t="str">
        <f>'Service model assets'!$B$12</f>
        <v>Service model notional asset values</v>
      </c>
    </row>
    <row r="42" spans="6:7" ht="15" thickTop="1" x14ac:dyDescent="0.3">
      <c r="F42" s="293" t="s">
        <v>76</v>
      </c>
      <c r="G42" s="58" t="str">
        <f>'Unit costs'!$B$15</f>
        <v>500MW model costs</v>
      </c>
    </row>
    <row r="43" spans="6:7" x14ac:dyDescent="0.3">
      <c r="F43" s="292" t="s">
        <v>116</v>
      </c>
      <c r="G43" s="58" t="str">
        <f>'Unit costs'!$B$58</f>
        <v>Allocation of other costs</v>
      </c>
    </row>
    <row r="44" spans="6:7" ht="15" thickBot="1" x14ac:dyDescent="0.35">
      <c r="F44" s="292" t="s">
        <v>116</v>
      </c>
      <c r="G44" s="58" t="str">
        <f>'Unit costs'!$B$102</f>
        <v>Outputs</v>
      </c>
    </row>
    <row r="45" spans="6:7" ht="15" thickTop="1" x14ac:dyDescent="0.3">
      <c r="F45" s="293" t="s">
        <v>78</v>
      </c>
      <c r="G45" s="58" t="str">
        <f>'Initial unit rates'!$B$11</f>
        <v>Inputs for yardstick and unit rate calculations</v>
      </c>
    </row>
    <row r="46" spans="6:7" ht="15" thickBot="1" x14ac:dyDescent="0.35">
      <c r="F46" s="292" t="s">
        <v>116</v>
      </c>
      <c r="G46" s="58" t="str">
        <f>'Initial unit rates'!$B$116</f>
        <v>Calculation of yardstick &amp; unit rate charges</v>
      </c>
    </row>
    <row r="47" spans="6:7" ht="15" thickTop="1" x14ac:dyDescent="0.3">
      <c r="F47" s="293" t="s">
        <v>80</v>
      </c>
      <c r="G47" s="58" t="str">
        <f>'Service model charges'!$B$13</f>
        <v>Inputs to service model charge calculation</v>
      </c>
    </row>
    <row r="48" spans="6:7" ht="15" thickBot="1" x14ac:dyDescent="0.35">
      <c r="F48" s="292" t="s">
        <v>116</v>
      </c>
      <c r="G48" s="58" t="str">
        <f>'Service model charges'!$B$29</f>
        <v>Allocation of service model costs</v>
      </c>
    </row>
    <row r="49" spans="6:7" ht="15" thickTop="1" x14ac:dyDescent="0.3">
      <c r="F49" s="293" t="s">
        <v>82</v>
      </c>
      <c r="G49" s="58" t="str">
        <f>'Unit rate charges'!$B$15</f>
        <v>Inputs to unit rate charge calculations</v>
      </c>
    </row>
    <row r="50" spans="6:7" ht="15" thickBot="1" x14ac:dyDescent="0.35">
      <c r="F50" s="292" t="s">
        <v>116</v>
      </c>
      <c r="G50" s="58" t="str">
        <f>'Unit rate charges'!$B$122</f>
        <v>Application of standing charges to unit rates</v>
      </c>
    </row>
    <row r="51" spans="6:7" ht="15" thickTop="1" x14ac:dyDescent="0.3">
      <c r="F51" s="293" t="s">
        <v>86</v>
      </c>
      <c r="G51" s="58" t="str">
        <f>'Capacity charges'!$B$17</f>
        <v>Inputs to capacity charge calculations</v>
      </c>
    </row>
    <row r="52" spans="6:7" x14ac:dyDescent="0.3">
      <c r="F52" s="292" t="s">
        <v>116</v>
      </c>
      <c r="G52" s="58" t="str">
        <f>'Capacity charges'!$B$125</f>
        <v>Calculation of capacity charges</v>
      </c>
    </row>
    <row r="53" spans="6:7" ht="15" thickBot="1" x14ac:dyDescent="0.35">
      <c r="F53" s="292" t="s">
        <v>116</v>
      </c>
      <c r="G53" s="58" t="str">
        <f>'Capacity charges'!$B$249</f>
        <v>Capacity charges (and elements allocated to fixed charges)</v>
      </c>
    </row>
    <row r="54" spans="6:7" ht="15" thickTop="1" x14ac:dyDescent="0.3">
      <c r="F54" s="293" t="s">
        <v>84</v>
      </c>
      <c r="G54" s="58" t="str">
        <f>'Reactive power charges'!$B$13</f>
        <v>Inputs to reactive power charge calculations</v>
      </c>
    </row>
    <row r="55" spans="6:7" x14ac:dyDescent="0.3">
      <c r="F55" s="292" t="s">
        <v>116</v>
      </c>
      <c r="G55" s="58" t="str">
        <f>'Reactive power charges'!$B$150</f>
        <v>Calculation of yardstick charges for generation</v>
      </c>
    </row>
    <row r="56" spans="6:7" ht="15" thickBot="1" x14ac:dyDescent="0.35">
      <c r="F56" s="292" t="s">
        <v>116</v>
      </c>
      <c r="G56" s="58" t="str">
        <f>'Reactive power charges'!$B$185</f>
        <v>Calculation of reactive power charges</v>
      </c>
    </row>
    <row r="57" spans="6:7" ht="15" thickTop="1" x14ac:dyDescent="0.3">
      <c r="F57" s="293" t="s">
        <v>88</v>
      </c>
      <c r="G57" s="58" t="str">
        <f>'Fixed charges'!$B$14</f>
        <v>Inputs to fixed charge calculations</v>
      </c>
    </row>
    <row r="58" spans="6:7" ht="15" thickBot="1" x14ac:dyDescent="0.35">
      <c r="F58" s="292" t="s">
        <v>116</v>
      </c>
      <c r="G58" s="58" t="str">
        <f>'Fixed charges'!$B$65</f>
        <v>Calculation of fixed charges</v>
      </c>
    </row>
    <row r="59" spans="6:7" ht="15.6" thickTop="1" thickBot="1" x14ac:dyDescent="0.35">
      <c r="F59" s="293" t="s">
        <v>1157</v>
      </c>
      <c r="G59" s="58" t="str">
        <f>'SoLR &amp; bad debt adders'!$B$12</f>
        <v>Fixed tariff adjustments</v>
      </c>
    </row>
    <row r="60" spans="6:7" ht="15" thickTop="1" x14ac:dyDescent="0.3">
      <c r="F60" s="293" t="s">
        <v>90</v>
      </c>
      <c r="G60" s="58" t="str">
        <f>'Revenue matching'!$B$13</f>
        <v>Pre-matching net revenue calculations</v>
      </c>
    </row>
    <row r="61" spans="6:7" x14ac:dyDescent="0.3">
      <c r="F61" s="292" t="s">
        <v>116</v>
      </c>
      <c r="G61" s="58" t="str">
        <f>'Revenue matching'!$B$86</f>
        <v>Residual charge calculation</v>
      </c>
    </row>
    <row r="62" spans="6:7" x14ac:dyDescent="0.3">
      <c r="F62" s="292" t="s">
        <v>116</v>
      </c>
      <c r="G62" s="58" t="str">
        <f>'Revenue matching'!$B$209</f>
        <v>Adjustments for negative fixed charges</v>
      </c>
    </row>
    <row r="63" spans="6:7" ht="15" thickBot="1" x14ac:dyDescent="0.35">
      <c r="F63" s="292" t="s">
        <v>116</v>
      </c>
      <c r="G63" s="58" t="str">
        <f>'Revenue matching'!$B$407</f>
        <v>Final adders</v>
      </c>
    </row>
    <row r="64" spans="6:7" ht="15" thickTop="1" x14ac:dyDescent="0.3">
      <c r="F64" s="293" t="s">
        <v>92</v>
      </c>
      <c r="G64" s="58" t="str">
        <f>Rounding!$B$12</f>
        <v>Inputs</v>
      </c>
    </row>
    <row r="65" spans="2:7" ht="15" thickBot="1" x14ac:dyDescent="0.35">
      <c r="F65" s="292" t="s">
        <v>116</v>
      </c>
      <c r="G65" s="58" t="str">
        <f>Rounding!$B$103</f>
        <v>Rounding of tariff forecast</v>
      </c>
    </row>
    <row r="66" spans="2:7" ht="15" thickTop="1" x14ac:dyDescent="0.3">
      <c r="F66" s="293" t="s">
        <v>94</v>
      </c>
      <c r="G66" s="58" t="str">
        <f>'Net revenue summary'!$B$11</f>
        <v>Inputs to net revenue summary calculation</v>
      </c>
    </row>
    <row r="67" spans="2:7" x14ac:dyDescent="0.3">
      <c r="F67" s="292" t="s">
        <v>116</v>
      </c>
      <c r="G67" s="58" t="str">
        <f>'Net revenue summary'!$B$90</f>
        <v>Typical bills</v>
      </c>
    </row>
    <row r="68" spans="2:7" x14ac:dyDescent="0.3">
      <c r="F68" s="292" t="s">
        <v>116</v>
      </c>
      <c r="G68" s="58" t="str">
        <f>'Net revenue summary'!$B$150</f>
        <v>Comparison with previous year</v>
      </c>
    </row>
    <row r="69" spans="2:7" ht="15" thickBot="1" x14ac:dyDescent="0.35">
      <c r="F69" s="292" t="s">
        <v>116</v>
      </c>
      <c r="G69" s="58" t="str">
        <f>'Net revenue summary'!$B$176</f>
        <v>LDNO margins</v>
      </c>
    </row>
    <row r="70" spans="2:7" ht="15.6" thickTop="1" thickBot="1" x14ac:dyDescent="0.35">
      <c r="F70" s="295" t="s">
        <v>96</v>
      </c>
      <c r="G70" s="58" t="str">
        <f>'Tariff summary'!$B$11</f>
        <v>Tariff summary</v>
      </c>
    </row>
    <row r="71" spans="2:7" ht="15" thickTop="1" x14ac:dyDescent="0.3">
      <c r="F71" s="295" t="s">
        <v>98</v>
      </c>
      <c r="G71" s="58" t="str">
        <f>'Output to other models'!$B$12</f>
        <v>Outputs for PCDM</v>
      </c>
    </row>
    <row r="72" spans="2:7" x14ac:dyDescent="0.3">
      <c r="F72" s="294" t="s">
        <v>116</v>
      </c>
      <c r="G72" s="58" t="str">
        <f>'Output to other models'!$B$25</f>
        <v>Outputs for EDCM</v>
      </c>
    </row>
    <row r="73" spans="2:7" x14ac:dyDescent="0.3">
      <c r="F73" s="294" t="s">
        <v>116</v>
      </c>
      <c r="G73" s="58" t="str">
        <f>'Output to other models'!$B$55</f>
        <v>Outputs for users' internal use</v>
      </c>
    </row>
    <row r="75" spans="2:7" x14ac:dyDescent="0.3">
      <c r="B75" s="30" t="s">
        <v>118</v>
      </c>
      <c r="C75" s="30"/>
      <c r="D75" s="30"/>
      <c r="E75" s="30"/>
      <c r="F75" s="30"/>
      <c r="G75" s="30"/>
    </row>
    <row r="77" spans="2:7" x14ac:dyDescent="0.3">
      <c r="C77" s="29" t="s">
        <v>119</v>
      </c>
    </row>
    <row r="79" spans="2:7" ht="15" thickBot="1" x14ac:dyDescent="0.35">
      <c r="F79" s="321" t="s">
        <v>112</v>
      </c>
      <c r="G79" s="287" t="s">
        <v>113</v>
      </c>
    </row>
    <row r="80" spans="2:7" ht="15" thickTop="1" x14ac:dyDescent="0.3">
      <c r="F80" s="291" t="s">
        <v>53</v>
      </c>
      <c r="G80" s="58" t="str">
        <f ca="1">'Fixed inputs'!$C$13</f>
        <v>Input 101-A: Conversions and time</v>
      </c>
    </row>
    <row r="81" spans="6:7" x14ac:dyDescent="0.3">
      <c r="F81" s="290" t="s">
        <v>116</v>
      </c>
      <c r="G81" s="58" t="str">
        <f ca="1">'Fixed inputs'!$C$20</f>
        <v>Input 101-B: Input 101-B: Rounding</v>
      </c>
    </row>
    <row r="82" spans="6:7" x14ac:dyDescent="0.3">
      <c r="F82" s="290" t="s">
        <v>116</v>
      </c>
      <c r="G82" s="58" t="str">
        <f ca="1">'Fixed inputs'!$C$33</f>
        <v>Input 101-C: Financial and general assumptions</v>
      </c>
    </row>
    <row r="83" spans="6:7" x14ac:dyDescent="0.3">
      <c r="F83" s="290" t="s">
        <v>116</v>
      </c>
      <c r="G83" s="58" t="str">
        <f ca="1">'Fixed inputs'!$C$43</f>
        <v>Input 101-D: Mappings</v>
      </c>
    </row>
    <row r="84" spans="6:7" x14ac:dyDescent="0.3">
      <c r="F84" s="290" t="s">
        <v>116</v>
      </c>
      <c r="G84" s="58" t="str">
        <f ca="1">'Fixed inputs'!$C$84</f>
        <v>Input 101-E: Standing charge factors</v>
      </c>
    </row>
    <row r="85" spans="6:7" x14ac:dyDescent="0.3">
      <c r="F85" s="290" t="s">
        <v>116</v>
      </c>
      <c r="G85" s="58" t="str">
        <f ca="1">'Fixed inputs'!$C$99</f>
        <v>Input 101-F: Flags</v>
      </c>
    </row>
    <row r="86" spans="6:7" x14ac:dyDescent="0.3">
      <c r="F86" s="290" t="s">
        <v>116</v>
      </c>
      <c r="G86" s="58" t="str">
        <f ca="1">'Fixed inputs'!$C$141</f>
        <v>Input 101-G: Identifiers for customer groupings</v>
      </c>
    </row>
    <row r="87" spans="6:7" x14ac:dyDescent="0.3">
      <c r="F87" s="290" t="s">
        <v>116</v>
      </c>
      <c r="G87" s="58" t="str">
        <f ca="1">'Fixed inputs'!$C$151</f>
        <v>Input 101-H: Decimal places for error checks</v>
      </c>
    </row>
    <row r="88" spans="6:7" x14ac:dyDescent="0.3">
      <c r="F88" s="290" t="s">
        <v>116</v>
      </c>
      <c r="G88" s="58" t="str">
        <f ca="1">'Fixed inputs'!$C$155</f>
        <v>Input 101-I: Map of applicable MPANs</v>
      </c>
    </row>
    <row r="89" spans="6:7" ht="15" thickBot="1" x14ac:dyDescent="0.35">
      <c r="F89" s="290" t="s">
        <v>116</v>
      </c>
      <c r="G89" s="58" t="str">
        <f ca="1">'Fixed inputs'!$C$161</f>
        <v>Input 101-J: Revenue matching inputs</v>
      </c>
    </row>
    <row r="90" spans="6:7" ht="15" thickTop="1" x14ac:dyDescent="0.3">
      <c r="F90" s="291" t="s">
        <v>56</v>
      </c>
      <c r="G90" s="58" t="str">
        <f ca="1">'Inputs by customer type'!$C$13</f>
        <v>Input 102-A: Load characteristics</v>
      </c>
    </row>
    <row r="91" spans="6:7" x14ac:dyDescent="0.3">
      <c r="F91" s="290" t="s">
        <v>116</v>
      </c>
      <c r="G91" s="58" t="str">
        <f ca="1">'Inputs by customer type'!$C$18</f>
        <v>Input 102-B: Volume forecasts for the charging year</v>
      </c>
    </row>
    <row r="92" spans="6:7" x14ac:dyDescent="0.3">
      <c r="F92" s="290" t="s">
        <v>116</v>
      </c>
      <c r="G92" s="58" t="str">
        <f ca="1">'Inputs by customer type'!$C$163</f>
        <v>Input 102-C: Non-Domestic Aggregated (Related MPAN) distribution by bands</v>
      </c>
    </row>
    <row r="93" spans="6:7" x14ac:dyDescent="0.3">
      <c r="F93" s="290" t="s">
        <v>116</v>
      </c>
      <c r="G93" s="58" t="str">
        <f ca="1">'Inputs by customer type'!$C$183</f>
        <v>Input 102-D: Service model asset values</v>
      </c>
    </row>
    <row r="94" spans="6:7" x14ac:dyDescent="0.3">
      <c r="F94" s="290" t="s">
        <v>116</v>
      </c>
      <c r="G94" s="58" t="str">
        <f ca="1">'Inputs by customer type'!$C$192</f>
        <v>Input 102-E: Previous year all-the-way tariff forecast</v>
      </c>
    </row>
    <row r="95" spans="6:7" ht="15" thickBot="1" x14ac:dyDescent="0.35">
      <c r="F95" s="290" t="s">
        <v>116</v>
      </c>
      <c r="G95" s="58" t="str">
        <f ca="1">'Inputs by customer type'!$C$206</f>
        <v>Input 102-F: Previous year net revenue (if known)</v>
      </c>
    </row>
    <row r="96" spans="6:7" ht="15" thickTop="1" x14ac:dyDescent="0.3">
      <c r="F96" s="291" t="s">
        <v>58</v>
      </c>
      <c r="G96" s="58" t="str">
        <f ca="1">'Inputs by network level'!$C$13</f>
        <v>Input 103-A: Network and load inputs</v>
      </c>
    </row>
    <row r="97" spans="6:7" x14ac:dyDescent="0.3">
      <c r="F97" s="290" t="s">
        <v>116</v>
      </c>
      <c r="G97" s="58" t="str">
        <f ca="1">'Inputs by network level'!$C$23</f>
        <v>Input 103-B: Customer contributions under current connection charging policy</v>
      </c>
    </row>
    <row r="98" spans="6:7" x14ac:dyDescent="0.3">
      <c r="F98" s="290" t="s">
        <v>116</v>
      </c>
      <c r="G98" s="58" t="str">
        <f ca="1">'Inputs by network level'!$C$31</f>
        <v>Input 103-C: DRM asset costs</v>
      </c>
    </row>
    <row r="99" spans="6:7" ht="15" thickBot="1" x14ac:dyDescent="0.35">
      <c r="F99" s="290" t="s">
        <v>116</v>
      </c>
      <c r="G99" s="58" t="str">
        <f ca="1">'Inputs by network level'!$C$35</f>
        <v>Input 103-D: Peaking probabilities by network level</v>
      </c>
    </row>
    <row r="100" spans="6:7" ht="15" thickTop="1" x14ac:dyDescent="0.3">
      <c r="F100" s="291" t="s">
        <v>60</v>
      </c>
      <c r="G100" s="58" t="str">
        <f ca="1">'General inputs'!$C$13</f>
        <v>Input 104-A: Inputs by distribution timeband</v>
      </c>
    </row>
    <row r="101" spans="6:7" x14ac:dyDescent="0.3">
      <c r="F101" s="290" t="s">
        <v>116</v>
      </c>
      <c r="G101" s="58" t="str">
        <f ca="1">'General inputs'!$C$25</f>
        <v>Input 104-B: LDNO discount inputs</v>
      </c>
    </row>
    <row r="102" spans="6:7" x14ac:dyDescent="0.3">
      <c r="F102" s="290" t="s">
        <v>116</v>
      </c>
      <c r="G102" s="58" t="str">
        <f ca="1">'General inputs'!$C$35</f>
        <v>Input 104-C: CDCM target revenue</v>
      </c>
    </row>
    <row r="103" spans="6:7" x14ac:dyDescent="0.3">
      <c r="F103" s="290" t="s">
        <v>116</v>
      </c>
      <c r="G103" s="58" t="str">
        <f ca="1">'General inputs'!$C$89</f>
        <v>Input 104-D: Financial and general assumptions</v>
      </c>
    </row>
    <row r="104" spans="6:7" x14ac:dyDescent="0.3">
      <c r="F104" s="290" t="s">
        <v>116</v>
      </c>
      <c r="G104" s="58" t="str">
        <f ca="1">'General inputs'!$C$95</f>
        <v>Input 104-E: Transmission exit charges</v>
      </c>
    </row>
    <row r="105" spans="6:7" ht="15" thickBot="1" x14ac:dyDescent="0.35">
      <c r="F105" s="290" t="s">
        <v>116</v>
      </c>
      <c r="G105" s="58" t="str">
        <f ca="1">'General inputs'!$C$99</f>
        <v>Input 104-F: Other expenditure</v>
      </c>
    </row>
    <row r="106" spans="6:7" ht="15.6" thickTop="1" thickBot="1" x14ac:dyDescent="0.35">
      <c r="F106" s="293" t="s">
        <v>120</v>
      </c>
      <c r="G106" s="58" t="str">
        <f ca="1">'Standing charge factors'!$C$19</f>
        <v>Section 101-A: Adjustments to standing charges</v>
      </c>
    </row>
    <row r="107" spans="6:7" ht="15" thickTop="1" x14ac:dyDescent="0.3">
      <c r="F107" s="293" t="s">
        <v>64</v>
      </c>
      <c r="G107" s="58" t="str">
        <f ca="1">'Load &amp; loss characteristics'!$C$17</f>
        <v>Section 102-A: Load characteristics</v>
      </c>
    </row>
    <row r="108" spans="6:7" x14ac:dyDescent="0.3">
      <c r="F108" s="292" t="s">
        <v>116</v>
      </c>
      <c r="G108" s="58" t="str">
        <f ca="1">'Load &amp; loss characteristics'!$C$25</f>
        <v>Section 102-B: Loss adjustment factors</v>
      </c>
    </row>
    <row r="109" spans="6:7" x14ac:dyDescent="0.3">
      <c r="F109" s="292" t="s">
        <v>116</v>
      </c>
      <c r="G109" s="58" t="str">
        <f ca="1">'Load &amp; loss characteristics'!$C$35</f>
        <v>Section 102-C: Proportion of relevant load going through 132kV/HV direct transformation</v>
      </c>
    </row>
    <row r="110" spans="6:7" x14ac:dyDescent="0.3">
      <c r="F110" s="292" t="s">
        <v>116</v>
      </c>
      <c r="G110" s="58" t="str">
        <f ca="1">'Load &amp; loss characteristics'!$C$40</f>
        <v>Section 102-D: Network use factors</v>
      </c>
    </row>
    <row r="111" spans="6:7" ht="15" thickBot="1" x14ac:dyDescent="0.35">
      <c r="F111" s="292" t="s">
        <v>116</v>
      </c>
      <c r="G111" s="58" t="str">
        <f ca="1">'Load &amp; loss characteristics'!$C$121</f>
        <v>Section 102-E: User loss factors</v>
      </c>
    </row>
    <row r="112" spans="6:7" ht="15" thickTop="1" x14ac:dyDescent="0.3">
      <c r="F112" s="293" t="s">
        <v>66</v>
      </c>
      <c r="G112" s="58" t="str">
        <f ca="1">'Customer contributions'!$C$16</f>
        <v>Section 103-A: Network use factors</v>
      </c>
    </row>
    <row r="113" spans="6:7" ht="15" thickBot="1" x14ac:dyDescent="0.35">
      <c r="F113" s="292" t="s">
        <v>116</v>
      </c>
      <c r="G113" s="58" t="str">
        <f ca="1">'Customer contributions'!$C$38</f>
        <v>Section 103-B: Customer contributions</v>
      </c>
    </row>
    <row r="114" spans="6:7" ht="15" thickTop="1" x14ac:dyDescent="0.3">
      <c r="F114" s="293" t="s">
        <v>68</v>
      </c>
      <c r="G114" s="58" t="str">
        <f ca="1">'Volume adjustments'!$C$15</f>
        <v>Section 104-A: LDNO discounts</v>
      </c>
    </row>
    <row r="115" spans="6:7" x14ac:dyDescent="0.3">
      <c r="F115" s="292" t="s">
        <v>116</v>
      </c>
      <c r="G115" s="58" t="str">
        <f ca="1">'Volume adjustments'!$C$53</f>
        <v>Section 104-B: Aggregation of volumes</v>
      </c>
    </row>
    <row r="116" spans="6:7" x14ac:dyDescent="0.3">
      <c r="F116" s="292" t="s">
        <v>116</v>
      </c>
      <c r="G116" s="58" t="str">
        <f ca="1">'Volume adjustments'!$C$225</f>
        <v>Section 104-C: Volume discounting</v>
      </c>
    </row>
    <row r="117" spans="6:7" x14ac:dyDescent="0.3">
      <c r="F117" s="292" t="s">
        <v>116</v>
      </c>
      <c r="G117" s="58" t="str">
        <f ca="1">'Volume adjustments'!$C$332</f>
        <v>Section 104-D: No residual volume discounting</v>
      </c>
    </row>
    <row r="118" spans="6:7" x14ac:dyDescent="0.3">
      <c r="F118" s="292" t="s">
        <v>116</v>
      </c>
      <c r="G118" s="58" t="str">
        <f ca="1">'Volume adjustments'!$C$361</f>
        <v>Section 104-E: Residual band 1 volume discounting</v>
      </c>
    </row>
    <row r="119" spans="6:7" x14ac:dyDescent="0.3">
      <c r="F119" s="292" t="s">
        <v>116</v>
      </c>
      <c r="G119" s="58" t="str">
        <f ca="1">'Volume adjustments'!$C$390</f>
        <v>Section 104-F: Residual band 2 volume discounting</v>
      </c>
    </row>
    <row r="120" spans="6:7" x14ac:dyDescent="0.3">
      <c r="F120" s="292" t="s">
        <v>116</v>
      </c>
      <c r="G120" s="58" t="str">
        <f ca="1">'Volume adjustments'!$C$419</f>
        <v>Section 104-G: Residual band 3 volume discounting</v>
      </c>
    </row>
    <row r="121" spans="6:7" x14ac:dyDescent="0.3">
      <c r="F121" s="292" t="s">
        <v>116</v>
      </c>
      <c r="G121" s="58" t="str">
        <f ca="1">'Volume adjustments'!$C$448</f>
        <v>Section 104-H: Residual band 4 volume discounting</v>
      </c>
    </row>
    <row r="122" spans="6:7" x14ac:dyDescent="0.3">
      <c r="F122" s="292" t="s">
        <v>116</v>
      </c>
      <c r="G122" s="58" t="str">
        <f ca="1">'Volume adjustments'!$C$477</f>
        <v>Section 104-I: Discounted volumes by residual band</v>
      </c>
    </row>
    <row r="123" spans="6:7" x14ac:dyDescent="0.3">
      <c r="F123" s="292" t="s">
        <v>116</v>
      </c>
      <c r="G123" s="58" t="str">
        <f ca="1">'Volume adjustments'!$C$523</f>
        <v>Section 104-J: Volumes by residual band</v>
      </c>
    </row>
    <row r="124" spans="6:7" ht="15" thickBot="1" x14ac:dyDescent="0.35">
      <c r="F124" s="292" t="s">
        <v>116</v>
      </c>
      <c r="G124" s="58" t="str">
        <f ca="1">'Volume adjustments'!$C$657</f>
        <v>Section 104-K: Non-domestic aggregated (related MPAN) distribution across bands</v>
      </c>
    </row>
    <row r="125" spans="6:7" ht="15" thickTop="1" x14ac:dyDescent="0.3">
      <c r="F125" s="293" t="s">
        <v>70</v>
      </c>
      <c r="G125" s="58" t="str">
        <f ca="1">'Pseudo-load coefficients'!$C$18</f>
        <v>Section 105-A: Flags and hours in timebands</v>
      </c>
    </row>
    <row r="126" spans="6:7" x14ac:dyDescent="0.3">
      <c r="F126" s="292" t="s">
        <v>116</v>
      </c>
      <c r="G126" s="58" t="str">
        <f ca="1">'Pseudo-load coefficients'!$C$28</f>
        <v>Section 105-B: Average load by timeband</v>
      </c>
    </row>
    <row r="127" spans="6:7" x14ac:dyDescent="0.3">
      <c r="F127" s="292" t="s">
        <v>116</v>
      </c>
      <c r="G127" s="58" t="str">
        <f ca="1">'Pseudo-load coefficients'!$C$36</f>
        <v>Section 105-C: Aggregated groups for pseudo-load coefficients</v>
      </c>
    </row>
    <row r="128" spans="6:7" x14ac:dyDescent="0.3">
      <c r="F128" s="292" t="s">
        <v>116</v>
      </c>
      <c r="G128" s="58" t="str">
        <f ca="1">'Pseudo-load coefficients'!$C$52</f>
        <v>Section 105-D: Ratio of coincidence to load factor assuming units evenly spread within time bands, and peak falls in Red period</v>
      </c>
    </row>
    <row r="129" spans="6:7" x14ac:dyDescent="0.3">
      <c r="F129" s="292" t="s">
        <v>116</v>
      </c>
      <c r="G129" s="58" t="str">
        <f ca="1">'Pseudo-load coefficients'!$C$60</f>
        <v>Section 105-E: Load characteristics for all customers</v>
      </c>
    </row>
    <row r="130" spans="6:7" x14ac:dyDescent="0.3">
      <c r="F130" s="292" t="s">
        <v>116</v>
      </c>
      <c r="G130" s="58" t="str">
        <f ca="1">'Pseudo-load coefficients'!$C$65</f>
        <v>Section 105-F: Aggregated load characteristics for grouped customers</v>
      </c>
    </row>
    <row r="131" spans="6:7" x14ac:dyDescent="0.3">
      <c r="F131" s="292" t="s">
        <v>116</v>
      </c>
      <c r="G131" s="58" t="str">
        <f ca="1">'Pseudo-load coefficients'!$C$87</f>
        <v>Section 105-G: Calculation of correction factor</v>
      </c>
    </row>
    <row r="132" spans="6:7" x14ac:dyDescent="0.3">
      <c r="F132" s="292" t="s">
        <v>116</v>
      </c>
      <c r="G132" s="58" t="str">
        <f ca="1">'Pseudo-load coefficients'!$C$100</f>
        <v>Section 105-H: Peaking probabilities, by network level</v>
      </c>
    </row>
    <row r="133" spans="6:7" x14ac:dyDescent="0.3">
      <c r="F133" s="292" t="s">
        <v>116</v>
      </c>
      <c r="G133" s="58" t="str">
        <f ca="1">'Pseudo-load coefficients'!$C$174</f>
        <v>Section 105-I: Peaking probabilities, by network level and customer type</v>
      </c>
    </row>
    <row r="134" spans="6:7" x14ac:dyDescent="0.3">
      <c r="F134" s="292" t="s">
        <v>116</v>
      </c>
      <c r="G134" s="58" t="str">
        <f ca="1">'Pseudo-load coefficients'!$C$221</f>
        <v>Section 105-J: Ratio of coincidence factor to load factor, based on uniform distribution in timebands and peaking probabilities</v>
      </c>
    </row>
    <row r="135" spans="6:7" x14ac:dyDescent="0.3">
      <c r="F135" s="292" t="s">
        <v>116</v>
      </c>
      <c r="G135" s="58" t="str">
        <f ca="1">'Pseudo-load coefficients'!$C$265</f>
        <v>Section 105-K: Load coefficient</v>
      </c>
    </row>
    <row r="136" spans="6:7" ht="15" thickBot="1" x14ac:dyDescent="0.35">
      <c r="F136" s="292" t="s">
        <v>116</v>
      </c>
      <c r="G136" s="58" t="str">
        <f ca="1">'Pseudo-load coefficients'!$C$269</f>
        <v>Section 105-L: Pseudo load coefficients, by unit rate</v>
      </c>
    </row>
    <row r="137" spans="6:7" ht="15" thickTop="1" x14ac:dyDescent="0.3">
      <c r="F137" s="293" t="s">
        <v>72</v>
      </c>
      <c r="G137" s="58" t="str">
        <f ca="1">'System peak demand'!$C$18</f>
        <v>Section 106-A: Common inputs for chargeable load calculations</v>
      </c>
    </row>
    <row r="138" spans="6:7" x14ac:dyDescent="0.3">
      <c r="F138" s="292" t="s">
        <v>116</v>
      </c>
      <c r="G138" s="58" t="str">
        <f ca="1">'System peak demand'!$C$67</f>
        <v>Section 106-B: System peak load, by unit rate</v>
      </c>
    </row>
    <row r="139" spans="6:7" x14ac:dyDescent="0.3">
      <c r="F139" s="292" t="s">
        <v>116</v>
      </c>
      <c r="G139" s="58" t="str">
        <f ca="1">'System peak demand'!$C$138</f>
        <v>Section 106-C: System peak load, all unit rates</v>
      </c>
    </row>
    <row r="140" spans="6:7" x14ac:dyDescent="0.3">
      <c r="F140" s="292" t="s">
        <v>116</v>
      </c>
      <c r="G140" s="58" t="str">
        <f ca="1">'System peak demand'!$C$164</f>
        <v>Section 106-D: Unit rate contributions to chargeable peak load</v>
      </c>
    </row>
    <row r="141" spans="6:7" x14ac:dyDescent="0.3">
      <c r="F141" s="292" t="s">
        <v>116</v>
      </c>
      <c r="G141" s="58" t="str">
        <f ca="1">'System peak demand'!$C$184</f>
        <v>Section 106-E: Adjustment of import and exceeded capacity</v>
      </c>
    </row>
    <row r="142" spans="6:7" x14ac:dyDescent="0.3">
      <c r="F142" s="292" t="s">
        <v>116</v>
      </c>
      <c r="G142" s="58" t="str">
        <f ca="1">'System peak demand'!$C$194</f>
        <v>Section 106-F: Calculation of LV circuit diversity factor</v>
      </c>
    </row>
    <row r="143" spans="6:7" x14ac:dyDescent="0.3">
      <c r="F143" s="292" t="s">
        <v>116</v>
      </c>
      <c r="G143" s="58" t="str">
        <f ca="1">'System peak demand'!$C$236</f>
        <v>Section 106-G: Import/exceeded capacity contribution to system peak</v>
      </c>
    </row>
    <row r="144" spans="6:7" x14ac:dyDescent="0.3">
      <c r="F144" s="292" t="s">
        <v>116</v>
      </c>
      <c r="G144" s="58" t="str">
        <f ca="1">'System peak demand'!$C$249</f>
        <v>Section 106-H: Estimated capacity contribution to system peak</v>
      </c>
    </row>
    <row r="145" spans="6:7" ht="15" thickBot="1" x14ac:dyDescent="0.35">
      <c r="F145" s="292" t="s">
        <v>116</v>
      </c>
      <c r="G145" s="58" t="str">
        <f ca="1">'System peak demand'!$C$266</f>
        <v>Section 106-I: System peak based on chargeable load</v>
      </c>
    </row>
    <row r="146" spans="6:7" ht="15.6" thickTop="1" thickBot="1" x14ac:dyDescent="0.35">
      <c r="F146" s="293" t="s">
        <v>74</v>
      </c>
      <c r="G146" s="58" t="str">
        <f ca="1">'Service model assets'!$C$14</f>
        <v>Section 107-A: Service model notional asset values</v>
      </c>
    </row>
    <row r="147" spans="6:7" ht="15" thickTop="1" x14ac:dyDescent="0.3">
      <c r="F147" s="293" t="s">
        <v>76</v>
      </c>
      <c r="G147" s="58" t="str">
        <f ca="1">'Unit costs'!$C$19</f>
        <v>Section 108-A: Financial data</v>
      </c>
    </row>
    <row r="148" spans="6:7" x14ac:dyDescent="0.3">
      <c r="F148" s="292" t="s">
        <v>116</v>
      </c>
      <c r="G148" s="58" t="str">
        <f ca="1">'Unit costs'!$C$27</f>
        <v>Section 108-B: Diversity and loss adjustment factors</v>
      </c>
    </row>
    <row r="149" spans="6:7" x14ac:dyDescent="0.3">
      <c r="F149" s="292" t="s">
        <v>116</v>
      </c>
      <c r="G149" s="58" t="str">
        <f ca="1">'Unit costs'!$C$35</f>
        <v>Section 108-C: Maximum demand</v>
      </c>
    </row>
    <row r="150" spans="6:7" x14ac:dyDescent="0.3">
      <c r="F150" s="292" t="s">
        <v>116</v>
      </c>
      <c r="G150" s="58" t="str">
        <f ca="1">'Unit costs'!$C$42</f>
        <v>Section 108-D: Rerouting matrix</v>
      </c>
    </row>
    <row r="151" spans="6:7" x14ac:dyDescent="0.3">
      <c r="F151" s="292" t="s">
        <v>116</v>
      </c>
      <c r="G151" s="58" t="str">
        <f ca="1">'Unit costs'!$C$50</f>
        <v>Section 108-E: Annuitised cost of assets</v>
      </c>
    </row>
    <row r="152" spans="6:7" x14ac:dyDescent="0.3">
      <c r="F152" s="292" t="s">
        <v>116</v>
      </c>
      <c r="G152" s="58" t="str">
        <f ca="1">'Unit costs'!$C$62</f>
        <v>Section 108-F: System simultaneous peak load based on charegable units</v>
      </c>
    </row>
    <row r="153" spans="6:7" x14ac:dyDescent="0.3">
      <c r="F153" s="292" t="s">
        <v>116</v>
      </c>
      <c r="G153" s="58" t="str">
        <f ca="1">'Unit costs'!$C$69</f>
        <v>Section 108-G: Notional asset values, by network level</v>
      </c>
    </row>
    <row r="154" spans="6:7" x14ac:dyDescent="0.3">
      <c r="F154" s="292" t="s">
        <v>116</v>
      </c>
      <c r="G154" s="58" t="str">
        <f ca="1">'Unit costs'!$C$80</f>
        <v>Section 108-H: Other operating costs</v>
      </c>
    </row>
    <row r="155" spans="6:7" x14ac:dyDescent="0.3">
      <c r="F155" s="292" t="s">
        <v>116</v>
      </c>
      <c r="G155" s="58" t="str">
        <f ca="1">'Unit costs'!$C$92</f>
        <v>Section 108-I: Other operating costs by network level</v>
      </c>
    </row>
    <row r="156" spans="6:7" x14ac:dyDescent="0.3">
      <c r="F156" s="292" t="s">
        <v>116</v>
      </c>
      <c r="G156" s="58" t="str">
        <f ca="1">'Unit costs'!$C$104</f>
        <v>Section 108-J: Notional asset values by network level</v>
      </c>
    </row>
    <row r="157" spans="6:7" x14ac:dyDescent="0.3">
      <c r="F157" s="292" t="s">
        <v>116</v>
      </c>
      <c r="G157" s="58" t="str">
        <f ca="1">'Unit costs'!$C$110</f>
        <v>Section 108-K: Unit costs</v>
      </c>
    </row>
    <row r="158" spans="6:7" ht="15" thickBot="1" x14ac:dyDescent="0.35">
      <c r="F158" s="292" t="s">
        <v>116</v>
      </c>
      <c r="G158" s="58" t="str">
        <f ca="1">'Unit costs'!$C$117</f>
        <v>Section 108-L: Values used for allocating costs to service models</v>
      </c>
    </row>
    <row r="159" spans="6:7" ht="15" thickTop="1" x14ac:dyDescent="0.3">
      <c r="F159" s="293" t="s">
        <v>78</v>
      </c>
      <c r="G159" s="58" t="str">
        <f ca="1">'Initial unit rates'!$C$13</f>
        <v>Section 109-A: Inputs for yardstick and unit rate calculations</v>
      </c>
    </row>
    <row r="160" spans="6:7" x14ac:dyDescent="0.3">
      <c r="F160" s="292" t="s">
        <v>116</v>
      </c>
      <c r="G160" s="58" t="str">
        <f ca="1">'Initial unit rates'!$C$118</f>
        <v>Section 109-B: Yardstick charges</v>
      </c>
    </row>
    <row r="161" spans="6:7" x14ac:dyDescent="0.3">
      <c r="F161" s="292" t="s">
        <v>116</v>
      </c>
      <c r="G161" s="58" t="str">
        <f ca="1">'Initial unit rates'!$C$146</f>
        <v>Section 109-C: Unit rate 1</v>
      </c>
    </row>
    <row r="162" spans="6:7" x14ac:dyDescent="0.3">
      <c r="F162" s="292" t="s">
        <v>116</v>
      </c>
      <c r="G162" s="58" t="str">
        <f ca="1">'Initial unit rates'!$C$175</f>
        <v>Section 109-D: Unit rate 2</v>
      </c>
    </row>
    <row r="163" spans="6:7" ht="15" thickBot="1" x14ac:dyDescent="0.35">
      <c r="F163" s="292" t="s">
        <v>116</v>
      </c>
      <c r="G163" s="58" t="str">
        <f ca="1">'Initial unit rates'!$C$204</f>
        <v>Section 109-E: Unit rate 3</v>
      </c>
    </row>
    <row r="164" spans="6:7" ht="15" thickTop="1" x14ac:dyDescent="0.3">
      <c r="F164" s="293" t="s">
        <v>80</v>
      </c>
      <c r="G164" s="58" t="str">
        <f ca="1">'Service model charges'!$C$17</f>
        <v>Section 110-A: Inputs to service model charge calculation</v>
      </c>
    </row>
    <row r="165" spans="6:7" x14ac:dyDescent="0.3">
      <c r="F165" s="292" t="s">
        <v>116</v>
      </c>
      <c r="G165" s="58" t="str">
        <f ca="1">'Service model charges'!$C$33</f>
        <v>Section 110-B: Calculation of other operating expenditure per £ of notional asset value</v>
      </c>
    </row>
    <row r="166" spans="6:7" ht="15" thickBot="1" x14ac:dyDescent="0.35">
      <c r="F166" s="292" t="s">
        <v>116</v>
      </c>
      <c r="G166" s="58" t="str">
        <f ca="1">'Service model charges'!$C$37</f>
        <v>Section 110-C: Calculation of service model charges</v>
      </c>
    </row>
    <row r="167" spans="6:7" ht="15" thickTop="1" x14ac:dyDescent="0.3">
      <c r="F167" s="293" t="s">
        <v>82</v>
      </c>
      <c r="G167" s="58" t="str">
        <f ca="1">'Unit rate charges'!$C$19</f>
        <v>Section 111-A: Initial unit rate 1</v>
      </c>
    </row>
    <row r="168" spans="6:7" x14ac:dyDescent="0.3">
      <c r="F168" s="292" t="s">
        <v>116</v>
      </c>
      <c r="G168" s="58" t="str">
        <f ca="1">'Unit rate charges'!$C$49</f>
        <v>Section 111-B: Initial unit rate 2</v>
      </c>
    </row>
    <row r="169" spans="6:7" x14ac:dyDescent="0.3">
      <c r="F169" s="292" t="s">
        <v>116</v>
      </c>
      <c r="G169" s="58" t="str">
        <f ca="1">'Unit rate charges'!$C$79</f>
        <v>Section 111-C: Initial unit rate 3</v>
      </c>
    </row>
    <row r="170" spans="6:7" x14ac:dyDescent="0.3">
      <c r="F170" s="292" t="s">
        <v>116</v>
      </c>
      <c r="G170" s="58" t="str">
        <f ca="1">'Unit rate charges'!$C$109</f>
        <v>Section 111-D: Standing charge factors</v>
      </c>
    </row>
    <row r="171" spans="6:7" x14ac:dyDescent="0.3">
      <c r="F171" s="292" t="s">
        <v>116</v>
      </c>
      <c r="G171" s="58" t="str">
        <f ca="1">'Unit rate charges'!$C$124</f>
        <v>Section 111-E: Contributions to unit rate 1 p/kWh by network level (taking account of standing charges)</v>
      </c>
    </row>
    <row r="172" spans="6:7" x14ac:dyDescent="0.3">
      <c r="F172" s="292" t="s">
        <v>116</v>
      </c>
      <c r="G172" s="58" t="str">
        <f ca="1">'Unit rate charges'!$C$154</f>
        <v>Section 111-F: Contributions to unit rate 2 p/kWh by network level (taking account of standing charges)</v>
      </c>
    </row>
    <row r="173" spans="6:7" x14ac:dyDescent="0.3">
      <c r="F173" s="292" t="s">
        <v>116</v>
      </c>
      <c r="G173" s="58" t="str">
        <f ca="1">'Unit rate charges'!$C$184</f>
        <v>Section 111-G: Contributions to unit rate 3 p/kWh by network level (taking account of standing charges)</v>
      </c>
    </row>
    <row r="174" spans="6:7" ht="15" thickBot="1" x14ac:dyDescent="0.35">
      <c r="F174" s="292" t="s">
        <v>116</v>
      </c>
      <c r="G174" s="58" t="str">
        <f ca="1">'Unit rate charges'!$C$214</f>
        <v>Section 111-H: Unit rates, post application of standing charges</v>
      </c>
    </row>
    <row r="175" spans="6:7" ht="15" thickTop="1" x14ac:dyDescent="0.3">
      <c r="F175" s="293" t="s">
        <v>86</v>
      </c>
      <c r="G175" s="58" t="str">
        <f ca="1">'Capacity charges'!$C$19</f>
        <v>Section 112-A: Inputs to capacity charge calculations</v>
      </c>
    </row>
    <row r="176" spans="6:7" x14ac:dyDescent="0.3">
      <c r="F176" s="292" t="s">
        <v>116</v>
      </c>
      <c r="G176" s="58" t="str">
        <f ca="1">'Capacity charges'!$C$129</f>
        <v>Section 112-B: Capacity-based charge elements (to be split between capacity &amp; fixed charges)</v>
      </c>
    </row>
    <row r="177" spans="6:7" x14ac:dyDescent="0.3">
      <c r="F177" s="292" t="s">
        <v>116</v>
      </c>
      <c r="G177" s="58" t="str">
        <f ca="1">'Capacity charges'!$C$159</f>
        <v>Section 112-C: Exceeded capacity-based charge elements</v>
      </c>
    </row>
    <row r="178" spans="6:7" x14ac:dyDescent="0.3">
      <c r="F178" s="292" t="s">
        <v>116</v>
      </c>
      <c r="G178" s="58" t="str">
        <f ca="1">'Capacity charges'!$C$189</f>
        <v>Section 112-D: Capacity charges for eligible customers, by network level</v>
      </c>
    </row>
    <row r="179" spans="6:7" x14ac:dyDescent="0.3">
      <c r="F179" s="292" t="s">
        <v>116</v>
      </c>
      <c r="G179" s="58" t="str">
        <f ca="1">'Capacity charges'!$C$219</f>
        <v>Section 112-E: Exceeded capacity charges for eligible customers, by network level</v>
      </c>
    </row>
    <row r="180" spans="6:7" x14ac:dyDescent="0.3">
      <c r="F180" s="292" t="s">
        <v>116</v>
      </c>
      <c r="G180" s="58" t="str">
        <f ca="1">'Capacity charges'!$C$254</f>
        <v>Section 112-F: Capacity and exceeded capacity charges</v>
      </c>
    </row>
    <row r="181" spans="6:7" ht="15" thickBot="1" x14ac:dyDescent="0.35">
      <c r="F181" s="292" t="s">
        <v>116</v>
      </c>
      <c r="G181" s="58" t="str">
        <f ca="1">'Capacity charges'!$C$259</f>
        <v>Section 112-G: Capacity elements allocated to fixed charges</v>
      </c>
    </row>
    <row r="182" spans="6:7" ht="15" thickTop="1" x14ac:dyDescent="0.3">
      <c r="F182" s="293" t="s">
        <v>84</v>
      </c>
      <c r="G182" s="58" t="str">
        <f ca="1">'Reactive power charges'!$C$17</f>
        <v>Section 113-A: Inputs to reactive power charge calculations</v>
      </c>
    </row>
    <row r="183" spans="6:7" x14ac:dyDescent="0.3">
      <c r="F183" s="292" t="s">
        <v>116</v>
      </c>
      <c r="G183" s="58" t="str">
        <f ca="1">'Reactive power charges'!$C$120</f>
        <v>Section 113-B: Yardstick charge (demand)</v>
      </c>
    </row>
    <row r="184" spans="6:7" x14ac:dyDescent="0.3">
      <c r="F184" s="292" t="s">
        <v>116</v>
      </c>
      <c r="G184" s="58" t="str">
        <f ca="1">'Reactive power charges'!$C$155</f>
        <v>Section 113-C: Yardstick charge used for generation</v>
      </c>
    </row>
    <row r="185" spans="6:7" x14ac:dyDescent="0.3">
      <c r="F185" s="292" t="s">
        <v>116</v>
      </c>
      <c r="G185" s="58" t="str">
        <f ca="1">'Reactive power charges'!$C$190</f>
        <v>Section 113-D: Reactive power charges, all customer categories</v>
      </c>
    </row>
    <row r="186" spans="6:7" ht="15" thickBot="1" x14ac:dyDescent="0.35">
      <c r="F186" s="292" t="s">
        <v>116</v>
      </c>
      <c r="G186" s="58" t="str">
        <f ca="1">'Reactive power charges'!$C$220</f>
        <v>Section 113-E: Reactive power charges for applicable customers</v>
      </c>
    </row>
    <row r="187" spans="6:7" ht="15" thickTop="1" x14ac:dyDescent="0.3">
      <c r="F187" s="293" t="s">
        <v>88</v>
      </c>
      <c r="G187" s="58" t="str">
        <f ca="1">'Fixed charges'!$C$16</f>
        <v>Section 114-A: Volumes (discounted MPANs &amp; maximum load)</v>
      </c>
    </row>
    <row r="188" spans="6:7" x14ac:dyDescent="0.3">
      <c r="F188" s="292" t="s">
        <v>116</v>
      </c>
      <c r="G188" s="58" t="str">
        <f ca="1">'Fixed charges'!$C$22</f>
        <v>Section 114-B: Capacity elements allocated to fixed charges</v>
      </c>
    </row>
    <row r="189" spans="6:7" x14ac:dyDescent="0.3">
      <c r="F189" s="292" t="s">
        <v>116</v>
      </c>
      <c r="G189" s="58" t="str">
        <f ca="1">'Fixed charges'!$C$52</f>
        <v>Section 114-C: Service model costs allocated to fixed charges</v>
      </c>
    </row>
    <row r="190" spans="6:7" x14ac:dyDescent="0.3">
      <c r="F190" s="292" t="s">
        <v>116</v>
      </c>
      <c r="G190" s="58" t="str">
        <f ca="1">'Fixed charges'!$C$58</f>
        <v>Section 114-D: Flags</v>
      </c>
    </row>
    <row r="191" spans="6:7" x14ac:dyDescent="0.3">
      <c r="F191" s="292" t="s">
        <v>116</v>
      </c>
      <c r="G191" s="58" t="str">
        <f ca="1">'Fixed charges'!$C$67</f>
        <v>Section 114-E: Revenue allocated to fixed charges</v>
      </c>
    </row>
    <row r="192" spans="6:7" x14ac:dyDescent="0.3">
      <c r="F192" s="292" t="s">
        <v>116</v>
      </c>
      <c r="G192" s="58" t="str">
        <f ca="1">'Fixed charges'!$C$97</f>
        <v>Section 114-F: Revenue allocated to fixed charges, by aggregation group</v>
      </c>
    </row>
    <row r="193" spans="6:7" x14ac:dyDescent="0.3">
      <c r="F193" s="292" t="s">
        <v>116</v>
      </c>
      <c r="G193" s="58" t="str">
        <f ca="1">'Fixed charges'!$C$127</f>
        <v>Section 114-G: Fixed charges, by network level</v>
      </c>
    </row>
    <row r="194" spans="6:7" ht="15" thickBot="1" x14ac:dyDescent="0.35">
      <c r="F194" s="292" t="s">
        <v>116</v>
      </c>
      <c r="G194" s="58" t="str">
        <f ca="1">'Fixed charges'!$C$159</f>
        <v>Section 114-H: Aggregated fixed charges</v>
      </c>
    </row>
    <row r="195" spans="6:7" ht="15" thickTop="1" x14ac:dyDescent="0.3">
      <c r="F195" s="293" t="s">
        <v>1157</v>
      </c>
      <c r="G195" s="58" t="str">
        <f ca="1">'SoLR &amp; bad debt adders'!$C$16</f>
        <v>Section 115-A: Inputs for fixed tariff adjustments</v>
      </c>
    </row>
    <row r="196" spans="6:7" x14ac:dyDescent="0.3">
      <c r="F196" s="292" t="s">
        <v>116</v>
      </c>
      <c r="G196" s="58" t="str">
        <f ca="1">'SoLR &amp; bad debt adders'!$C$33</f>
        <v>Section 115-B: Calculation of fixed tariff adjustments</v>
      </c>
    </row>
    <row r="197" spans="6:7" ht="15" thickBot="1" x14ac:dyDescent="0.35">
      <c r="F197" s="292" t="s">
        <v>116</v>
      </c>
      <c r="G197" s="58" t="str">
        <f ca="1">'SoLR &amp; bad debt adders'!$C$48</f>
        <v>Section 115-C: Calculation of fixed charge adder revenue</v>
      </c>
    </row>
    <row r="198" spans="6:7" ht="15" thickTop="1" x14ac:dyDescent="0.3">
      <c r="F198" s="293" t="s">
        <v>90</v>
      </c>
      <c r="G198" s="58" t="str">
        <f ca="1">'Revenue matching'!$C$15</f>
        <v>Section 116-A: Inputs to revenue matching</v>
      </c>
    </row>
    <row r="199" spans="6:7" x14ac:dyDescent="0.3">
      <c r="F199" s="292" t="s">
        <v>116</v>
      </c>
      <c r="G199" s="58" t="str">
        <f ca="1">'Revenue matching'!$C$69</f>
        <v>Section 116-B: Net revenue before matching</v>
      </c>
    </row>
    <row r="200" spans="6:7" x14ac:dyDescent="0.3">
      <c r="F200" s="292" t="s">
        <v>116</v>
      </c>
      <c r="G200" s="58" t="str">
        <f ca="1">'Revenue matching'!$C$88</f>
        <v>Section 116-C: Grouping of residual bands where a band has insufficient customers</v>
      </c>
    </row>
    <row r="201" spans="6:7" x14ac:dyDescent="0.3">
      <c r="F201" s="292" t="s">
        <v>116</v>
      </c>
      <c r="G201" s="58" t="str">
        <f ca="1">'Revenue matching'!$C$151</f>
        <v>Section 116-D: Calculating MPANs for matching</v>
      </c>
    </row>
    <row r="202" spans="6:7" x14ac:dyDescent="0.3">
      <c r="F202" s="292" t="s">
        <v>116</v>
      </c>
      <c r="G202" s="58" t="str">
        <f ca="1">'Revenue matching'!$C$159</f>
        <v>Section 116-E: Calculating unit volumes for matching</v>
      </c>
    </row>
    <row r="203" spans="6:7" x14ac:dyDescent="0.3">
      <c r="F203" s="292" t="s">
        <v>116</v>
      </c>
      <c r="G203" s="58" t="str">
        <f ca="1">'Revenue matching'!$C$176</f>
        <v>Section 116-F: Allocating revenue to tariffs</v>
      </c>
    </row>
    <row r="204" spans="6:7" x14ac:dyDescent="0.3">
      <c r="F204" s="292" t="s">
        <v>116</v>
      </c>
      <c r="G204" s="58" t="str">
        <f ca="1">'Revenue matching'!$C$192</f>
        <v>Section 116-G: Calculating the residual fixed charge</v>
      </c>
    </row>
    <row r="205" spans="6:7" x14ac:dyDescent="0.3">
      <c r="F205" s="292" t="s">
        <v>116</v>
      </c>
      <c r="G205" s="58" t="str">
        <f ca="1">'Revenue matching'!$C$200</f>
        <v>Section 116-H: Calculating the initial residual unit rate</v>
      </c>
    </row>
    <row r="206" spans="6:7" x14ac:dyDescent="0.3">
      <c r="F206" s="292" t="s">
        <v>116</v>
      </c>
      <c r="G206" s="58" t="str">
        <f ca="1">'Revenue matching'!$C$213</f>
        <v>Section 116-I: Floor on negative residual fixed charges</v>
      </c>
    </row>
    <row r="207" spans="6:7" x14ac:dyDescent="0.3">
      <c r="F207" s="292" t="s">
        <v>116</v>
      </c>
      <c r="G207" s="58" t="str">
        <f ca="1">'Revenue matching'!$C$232</f>
        <v>Section 116-J: Ranking unit rate volumes and tariffs</v>
      </c>
    </row>
    <row r="208" spans="6:7" x14ac:dyDescent="0.3">
      <c r="F208" s="292" t="s">
        <v>116</v>
      </c>
      <c r="G208" s="58" t="str">
        <f ca="1">'Revenue matching'!$C$286</f>
        <v>Section 116-K: Revenue matching for three timebands</v>
      </c>
    </row>
    <row r="209" spans="6:7" x14ac:dyDescent="0.3">
      <c r="F209" s="292" t="s">
        <v>116</v>
      </c>
      <c r="G209" s="58" t="str">
        <f ca="1">'Revenue matching'!$C$313</f>
        <v>Section 116-L: Revenue matching for two timebands</v>
      </c>
    </row>
    <row r="210" spans="6:7" x14ac:dyDescent="0.3">
      <c r="F210" s="292" t="s">
        <v>116</v>
      </c>
      <c r="G210" s="58" t="str">
        <f ca="1">'Revenue matching'!$C$345</f>
        <v>Section 116-M: Revenue matching for one timeband</v>
      </c>
    </row>
    <row r="211" spans="6:7" x14ac:dyDescent="0.3">
      <c r="F211" s="292" t="s">
        <v>116</v>
      </c>
      <c r="G211" s="58" t="str">
        <f ca="1">'Revenue matching'!$C$377</f>
        <v>Section 116-N: Revenue matching adders by timeband</v>
      </c>
    </row>
    <row r="212" spans="6:7" ht="15" thickBot="1" x14ac:dyDescent="0.35">
      <c r="F212" s="292" t="s">
        <v>116</v>
      </c>
      <c r="G212" s="58" t="str">
        <f ca="1">'Revenue matching'!$C$409</f>
        <v>Section 116-O: Final adders</v>
      </c>
    </row>
    <row r="213" spans="6:7" ht="15" thickTop="1" x14ac:dyDescent="0.3">
      <c r="F213" s="293" t="s">
        <v>92</v>
      </c>
      <c r="G213" s="58" t="str">
        <f ca="1">Rounding!$C$16</f>
        <v>Section 117-A: Pre-match, pre-rounding tariff forecast</v>
      </c>
    </row>
    <row r="214" spans="6:7" x14ac:dyDescent="0.3">
      <c r="F214" s="292" t="s">
        <v>116</v>
      </c>
      <c r="G214" s="58" t="str">
        <f ca="1">Rounding!$C$28</f>
        <v>Section 117-B: Adders for revenue matching</v>
      </c>
    </row>
    <row r="215" spans="6:7" x14ac:dyDescent="0.3">
      <c r="F215" s="292" t="s">
        <v>116</v>
      </c>
      <c r="G215" s="58" t="str">
        <f ca="1">Rounding!$C$40</f>
        <v>Section 117-C: Adder to fixed charge for allocated pass-through costs</v>
      </c>
    </row>
    <row r="216" spans="6:7" x14ac:dyDescent="0.3">
      <c r="F216" s="292" t="s">
        <v>116</v>
      </c>
      <c r="G216" s="58" t="str">
        <f ca="1">Rounding!$C$52</f>
        <v>Section 117-D: LDNO discounts</v>
      </c>
    </row>
    <row r="217" spans="6:7" x14ac:dyDescent="0.3">
      <c r="F217" s="292" t="s">
        <v>116</v>
      </c>
      <c r="G217" s="58" t="str">
        <f ca="1">Rounding!$C$92</f>
        <v>Section 117-E: Decimal places for rounding</v>
      </c>
    </row>
    <row r="218" spans="6:7" x14ac:dyDescent="0.3">
      <c r="F218" s="292" t="s">
        <v>116</v>
      </c>
      <c r="G218" s="58" t="str">
        <f ca="1">Rounding!$C$107</f>
        <v>Section 117-F: Tariff forecast, post-revenue matching</v>
      </c>
    </row>
    <row r="219" spans="6:7" x14ac:dyDescent="0.3">
      <c r="F219" s="292" t="s">
        <v>116</v>
      </c>
      <c r="G219" s="58" t="str">
        <f ca="1">Rounding!$C$118</f>
        <v>Section 117-G: Tariff forecast, post-adders &amp; discounting</v>
      </c>
    </row>
    <row r="220" spans="6:7" ht="15" thickBot="1" x14ac:dyDescent="0.35">
      <c r="F220" s="292" t="s">
        <v>116</v>
      </c>
      <c r="G220" s="58" t="str">
        <f ca="1">Rounding!$C$147</f>
        <v>Section 117-H: Tariff forecast, post-rounding</v>
      </c>
    </row>
    <row r="221" spans="6:7" ht="15" thickTop="1" x14ac:dyDescent="0.3">
      <c r="F221" s="293" t="s">
        <v>94</v>
      </c>
      <c r="G221" s="58" t="str">
        <f ca="1">'Net revenue summary'!$C$13</f>
        <v>Section 118-A: Volume forecasts</v>
      </c>
    </row>
    <row r="222" spans="6:7" x14ac:dyDescent="0.3">
      <c r="F222" s="292" t="s">
        <v>116</v>
      </c>
      <c r="G222" s="58" t="str">
        <f ca="1">'Net revenue summary'!$C$52</f>
        <v>Section 118-B: Tariff forecast</v>
      </c>
    </row>
    <row r="223" spans="6:7" x14ac:dyDescent="0.3">
      <c r="F223" s="292" t="s">
        <v>116</v>
      </c>
      <c r="G223" s="58" t="str">
        <f ca="1">'Net revenue summary'!$C$81</f>
        <v>Section 118-C: Net revenue components</v>
      </c>
    </row>
    <row r="224" spans="6:7" x14ac:dyDescent="0.3">
      <c r="F224" s="292" t="s">
        <v>116</v>
      </c>
      <c r="G224" s="58" t="str">
        <f ca="1">'Net revenue summary'!$C$92</f>
        <v>Section 118-D: Net revenue by tariff</v>
      </c>
    </row>
    <row r="225" spans="2:7" x14ac:dyDescent="0.3">
      <c r="F225" s="292" t="s">
        <v>116</v>
      </c>
      <c r="G225" s="58" t="str">
        <f ca="1">'Net revenue summary'!$C$124</f>
        <v>Section 118-E: Net revenue summary (for information only)</v>
      </c>
    </row>
    <row r="226" spans="2:7" x14ac:dyDescent="0.3">
      <c r="F226" s="292" t="s">
        <v>116</v>
      </c>
      <c r="G226" s="58" t="str">
        <f ca="1">'Net revenue summary'!$C$138</f>
        <v>Section 118-F: Typical bills</v>
      </c>
    </row>
    <row r="227" spans="2:7" x14ac:dyDescent="0.3">
      <c r="F227" s="292" t="s">
        <v>116</v>
      </c>
      <c r="G227" s="58" t="str">
        <f ca="1">'Net revenue summary'!$C$144</f>
        <v>Section 118-G: Average bill per kWh</v>
      </c>
    </row>
    <row r="228" spans="2:7" x14ac:dyDescent="0.3">
      <c r="F228" s="292" t="s">
        <v>116</v>
      </c>
      <c r="G228" s="58" t="str">
        <f ca="1">'Net revenue summary'!$C$152</f>
        <v>Section 118-H: Previous year all the way tariff forecast</v>
      </c>
    </row>
    <row r="229" spans="2:7" x14ac:dyDescent="0.3">
      <c r="F229" s="292" t="s">
        <v>116</v>
      </c>
      <c r="G229" s="58" t="str">
        <f ca="1">'Net revenue summary'!$C$163</f>
        <v>Section 118-I: Previous year net revenue from all the way tariff forecast</v>
      </c>
    </row>
    <row r="230" spans="2:7" x14ac:dyDescent="0.3">
      <c r="F230" s="292" t="s">
        <v>116</v>
      </c>
      <c r="G230" s="58" t="str">
        <f ca="1">'Net revenue summary'!$C$178</f>
        <v>Section 118-J: LDNO typical bills using all-the-way volumes</v>
      </c>
    </row>
    <row r="231" spans="2:7" ht="15" thickBot="1" x14ac:dyDescent="0.35">
      <c r="F231" s="292" t="s">
        <v>116</v>
      </c>
      <c r="G231" s="58" t="str">
        <f ca="1">'Net revenue summary'!$C$202</f>
        <v>Section 118-K: LDNO margins</v>
      </c>
    </row>
    <row r="232" spans="2:7" ht="15.6" thickTop="1" thickBot="1" x14ac:dyDescent="0.35">
      <c r="F232" s="295" t="s">
        <v>96</v>
      </c>
      <c r="G232" s="58" t="str">
        <f>'Tariff summary'!$C$13</f>
        <v>Output 101-A: Tariffs for 2022/23</v>
      </c>
    </row>
    <row r="233" spans="2:7" ht="15" thickTop="1" x14ac:dyDescent="0.3">
      <c r="F233" s="295" t="s">
        <v>98</v>
      </c>
      <c r="G233" s="58" t="str">
        <f ca="1">'Output to other models'!$C$14</f>
        <v>Output 102-A: CDCM notional EHV asset values</v>
      </c>
    </row>
    <row r="234" spans="2:7" x14ac:dyDescent="0.3">
      <c r="F234" s="294" t="s">
        <v>116</v>
      </c>
      <c r="G234" s="58" t="str">
        <f ca="1">'Output to other models'!$C$27</f>
        <v>Output 102-B: CDCM end user tariff forecast</v>
      </c>
    </row>
    <row r="235" spans="2:7" x14ac:dyDescent="0.3">
      <c r="F235" s="294" t="s">
        <v>116</v>
      </c>
      <c r="G235" s="58" t="str">
        <f ca="1">'Output to other models'!$C$45</f>
        <v>Output 102-C: CDCM non-tariff outputs to EDCM</v>
      </c>
    </row>
    <row r="236" spans="2:7" x14ac:dyDescent="0.3">
      <c r="F236" s="294" t="s">
        <v>116</v>
      </c>
      <c r="G236" s="58" t="str">
        <f ca="1">'Output to other models'!$C$57</f>
        <v>Output 102-D: Outputs for DNOs' internal use</v>
      </c>
    </row>
    <row r="237" spans="2:7" x14ac:dyDescent="0.3">
      <c r="F237" s="294" t="s">
        <v>116</v>
      </c>
      <c r="G237" s="58" t="str">
        <f ca="1">'Output to other models'!$C$67</f>
        <v>Output 102-E: Outputs for IDNOs' internal use</v>
      </c>
    </row>
    <row r="239" spans="2:7" x14ac:dyDescent="0.3">
      <c r="B239" s="30" t="s">
        <v>106</v>
      </c>
      <c r="C239" s="30"/>
      <c r="D239" s="30"/>
      <c r="E239" s="30"/>
      <c r="F239" s="30"/>
      <c r="G239" s="30"/>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60" display="'Version control'!$B$60"/>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Standing charge factors'!A4" display="'"/>
    <hyperlink ref="G26" location="'Standing charge factors'!$B$17" display="'Standing charge factors'!$B$17"/>
    <hyperlink ref="F27" location="'Load &amp; loss characteristics'!A4" display="'"/>
    <hyperlink ref="G27" location="'Load &amp; loss characteristics'!$B$13" display="'Load &amp; loss characteristics'!$B$13"/>
    <hyperlink ref="F28" location="'Load &amp; loss characteristics'!A4" display="'"/>
    <hyperlink ref="G28" location="'Load &amp; loss characteristics'!$B$31" display="'Load &amp; loss characteristics'!$B$31"/>
    <hyperlink ref="F29" location="'Customer contributions'!A4" display="'"/>
    <hyperlink ref="G29" location="'Customer contributions'!$B$12" display="'Customer contributions'!$B$12"/>
    <hyperlink ref="F30" location="'Volume adjustments'!A4" display="'"/>
    <hyperlink ref="G30" location="'Volume adjustments'!$B$13" display="'Volume adjustments'!$B$13"/>
    <hyperlink ref="F31" location="'Volume adjustments'!A4" display="'"/>
    <hyperlink ref="G31" location="'Volume adjustments'!$B$51" display="'Volume adjustments'!$B$51"/>
    <hyperlink ref="F32" location="'Volume adjustments'!A4" display="'"/>
    <hyperlink ref="G32" location="'Volume adjustments'!$B$310" display="'Volume adjustments'!$B$310"/>
    <hyperlink ref="F33" location="'Pseudo-load coefficients'!A4" display="'"/>
    <hyperlink ref="G33" location="'Pseudo-load coefficients'!$B$13" display="'Pseudo-load coefficients'!$B$13"/>
    <hyperlink ref="F34" location="'Pseudo-load coefficients'!A4" display="'"/>
    <hyperlink ref="G34" location="'Pseudo-load coefficients'!$B$56" display="'Pseudo-load coefficients'!$B$56"/>
    <hyperlink ref="F35" location="'Pseudo-load coefficients'!A4" display="'"/>
    <hyperlink ref="G35" location="'Pseudo-load coefficients'!$B$95" display="'Pseudo-load coefficients'!$B$95"/>
    <hyperlink ref="F36" location="'Pseudo-load coefficients'!A4" display="'"/>
    <hyperlink ref="G36" location="'Pseudo-load coefficients'!$B$261" display="'Pseudo-load coefficients'!$B$261"/>
    <hyperlink ref="F37" location="'System peak demand'!A4" display="'"/>
    <hyperlink ref="G37" location="'System peak demand'!$B$16" display="'System peak demand'!$B$16"/>
    <hyperlink ref="F38" location="'System peak demand'!A4" display="'"/>
    <hyperlink ref="G38" location="'System peak demand'!$B$63" display="'System peak demand'!$B$63"/>
    <hyperlink ref="F39" location="'System peak demand'!A4" display="'"/>
    <hyperlink ref="G39" location="'System peak demand'!$B$179" display="'System peak demand'!$B$179"/>
    <hyperlink ref="F40" location="'System peak demand'!A4" display="'"/>
    <hyperlink ref="G40" location="'System peak demand'!$B$262" display="'System peak demand'!$B$262"/>
    <hyperlink ref="F41" location="'Service model assets'!A4" display="'"/>
    <hyperlink ref="G41" location="'Service model assets'!$B$12" display="'Service model assets'!$B$12"/>
    <hyperlink ref="F42" location="'Unit costs'!A4" display="'"/>
    <hyperlink ref="G42" location="'Unit costs'!$B$15" display="'Unit costs'!$B$15"/>
    <hyperlink ref="F43" location="'Unit costs'!A4" display="'"/>
    <hyperlink ref="G43" location="'Unit costs'!$B$58" display="'Unit costs'!$B$58"/>
    <hyperlink ref="F44" location="'Unit costs'!A4" display="'"/>
    <hyperlink ref="G44" location="'Unit costs'!$B$102" display="'Unit costs'!$B$102"/>
    <hyperlink ref="F45" location="'Initial unit rates'!A4" display="'"/>
    <hyperlink ref="G45" location="'Initial unit rates'!$B$11" display="'Initial unit rates'!$B$11"/>
    <hyperlink ref="F46" location="'Initial unit rates'!A4" display="'"/>
    <hyperlink ref="G46" location="'Initial unit rates'!$B$116" display="'Initial unit rates'!$B$116"/>
    <hyperlink ref="F47" location="'Service model charges'!A4" display="'"/>
    <hyperlink ref="G47" location="'Service model charges'!$B$13" display="'Service model charges'!$B$13"/>
    <hyperlink ref="F48" location="'Service model charges'!A4" display="'"/>
    <hyperlink ref="G48" location="'Service model charges'!$B$29" display="'Service model charges'!$B$29"/>
    <hyperlink ref="F49" location="'Unit rate charges'!A4" display="'"/>
    <hyperlink ref="G49" location="'Unit rate charges'!$B$15" display="'Unit rate charges'!$B$15"/>
    <hyperlink ref="F50" location="'Unit rate charges'!A4" display="'"/>
    <hyperlink ref="G50" location="'Unit rate charges'!$B$122" display="'Unit rate charges'!$B$122"/>
    <hyperlink ref="F51" location="'Capacity charges'!A4" display="'"/>
    <hyperlink ref="G51" location="'Capacity charges'!$B$17" display="'Capacity charges'!$B$17"/>
    <hyperlink ref="F52" location="'Capacity charges'!A4" display="'"/>
    <hyperlink ref="G52" location="'Capacity charges'!$B$125" display="'Capacity charges'!$B$125"/>
    <hyperlink ref="F53" location="'Capacity charges'!A4" display="'"/>
    <hyperlink ref="G53" location="'Capacity charges'!$B$249" display="'Capacity charges'!$B$249"/>
    <hyperlink ref="F54" location="'Reactive power charges'!A4" display="'"/>
    <hyperlink ref="G54" location="'Reactive power charges'!$B$13" display="'Reactive power charges'!$B$13"/>
    <hyperlink ref="F55" location="'Reactive power charges'!A4" display="'"/>
    <hyperlink ref="G55" location="'Reactive power charges'!$B$150" display="'Reactive power charges'!$B$150"/>
    <hyperlink ref="F56" location="'Reactive power charges'!A4" display="'"/>
    <hyperlink ref="G56" location="'Reactive power charges'!$B$185" display="'Reactive power charges'!$B$185"/>
    <hyperlink ref="F57" location="'Fixed charges'!A4" display="'"/>
    <hyperlink ref="G57" location="'Fixed charges'!$B$14" display="'Fixed charges'!$B$14"/>
    <hyperlink ref="F58" location="'Fixed charges'!A4" display="'"/>
    <hyperlink ref="G58" location="'Fixed charges'!$B$65" display="'Fixed charges'!$B$65"/>
    <hyperlink ref="F59" location="'Fixed charge adder'!A4" display="'"/>
    <hyperlink ref="G59" location="'Fixed charge adder'!$B$12" display="'Fixed charge adder'!$B$12"/>
    <hyperlink ref="F60" location="'Revenue matching'!A4" display="'"/>
    <hyperlink ref="G60" location="'Revenue matching'!$B$13" display="'Revenue matching'!$B$13"/>
    <hyperlink ref="F61" location="'Revenue matching'!A4" display="'"/>
    <hyperlink ref="G61" location="'Revenue matching'!$B$86" display="'Revenue matching'!$B$86"/>
    <hyperlink ref="F62" location="'Revenue matching'!A4" display="'"/>
    <hyperlink ref="G62" location="'Revenue matching'!$B$209" display="'Revenue matching'!$B$209"/>
    <hyperlink ref="F63" location="'Revenue matching'!A4" display="'"/>
    <hyperlink ref="G63" location="'Revenue matching'!$B$407" display="'Revenue matching'!$B$407"/>
    <hyperlink ref="F64" location="'Rounding'!A4" display="'"/>
    <hyperlink ref="G64" location="'Rounding'!$B$12" display="'Rounding'!$B$12"/>
    <hyperlink ref="F65" location="'Rounding'!A4" display="'"/>
    <hyperlink ref="G65" location="'Rounding'!$B$103" display="'Rounding'!$B$103"/>
    <hyperlink ref="F66" location="'Net revenue summary'!A4" display="'"/>
    <hyperlink ref="G66" location="'Net revenue summary'!$B$11" display="'Net revenue summary'!$B$11"/>
    <hyperlink ref="F67" location="'Net revenue summary'!A4" display="'"/>
    <hyperlink ref="G67" location="'Net revenue summary'!$B$90" display="'Net revenue summary'!$B$90"/>
    <hyperlink ref="F68" location="'Net revenue summary'!A4" display="'"/>
    <hyperlink ref="G68" location="'Net revenue summary'!$B$150" display="'Net revenue summary'!$B$150"/>
    <hyperlink ref="F69" location="'Net revenue summary'!A4" display="'"/>
    <hyperlink ref="G69" location="'Net revenue summary'!$B$176" display="'Net revenue summary'!$B$176"/>
    <hyperlink ref="F70" location="'Tariff summary'!A4" display="'"/>
    <hyperlink ref="G70" location="'Tariff summary'!$B$11" display="'Tariff summary'!$B$11"/>
    <hyperlink ref="F71" location="'Output to other models'!A4" display="'"/>
    <hyperlink ref="G71" location="'Output to other models'!$B$12" display="'Output to other models'!$B$12"/>
    <hyperlink ref="F72" location="'Output to other models'!A4" display="'"/>
    <hyperlink ref="G72" location="'Output to other models'!$B$25" display="'Output to other models'!$B$25"/>
    <hyperlink ref="F73" location="'Output to other models'!A4" display="'"/>
    <hyperlink ref="G73" location="'Output to other models'!$B$55" display="'Output to other models'!$B$55"/>
    <hyperlink ref="F80" location="'Fixed inputs'!A4" display="'"/>
    <hyperlink ref="G80" location="'Fixed inputs'!$C$13" display="'Fixed inputs'!$C$13"/>
    <hyperlink ref="F81" location="'Fixed inputs'!A4" display="'"/>
    <hyperlink ref="G81" location="'Fixed inputs'!$C$20" display="'Fixed inputs'!$C$20"/>
    <hyperlink ref="F82" location="'Fixed inputs'!A4" display="'"/>
    <hyperlink ref="G82" location="'Fixed inputs'!$C$33" display="'Fixed inputs'!$C$33"/>
    <hyperlink ref="F83" location="'Fixed inputs'!A4" display="'"/>
    <hyperlink ref="G83" location="'Fixed inputs'!$C$43" display="'Fixed inputs'!$C$43"/>
    <hyperlink ref="F84" location="'Fixed inputs'!A4" display="'"/>
    <hyperlink ref="G84" location="'Fixed inputs'!$C$84" display="'Fixed inputs'!$C$84"/>
    <hyperlink ref="F85" location="'Fixed inputs'!A4" display="'"/>
    <hyperlink ref="G85" location="'Fixed inputs'!$C$99" display="'Fixed inputs'!$C$99"/>
    <hyperlink ref="F86" location="'Fixed inputs'!A4" display="'"/>
    <hyperlink ref="G86" location="'Fixed inputs'!$C$141" display="'Fixed inputs'!$C$141"/>
    <hyperlink ref="F87" location="'Fixed inputs'!A4" display="'"/>
    <hyperlink ref="G87" location="'Fixed inputs'!$C$151" display="'Fixed inputs'!$C$151"/>
    <hyperlink ref="F88" location="'Fixed inputs'!A4" display="'"/>
    <hyperlink ref="G88" location="'Fixed inputs'!$C$155" display="'Fixed inputs'!$C$155"/>
    <hyperlink ref="F89" location="'Fixed inputs'!A4" display="'"/>
    <hyperlink ref="G89" location="'Fixed inputs'!$C$161" display="'Fixed inputs'!$C$161"/>
    <hyperlink ref="F90" location="'Inputs by customer type'!A4" display="'"/>
    <hyperlink ref="G90" location="'Inputs by customer type'!$C$13" display="'Inputs by customer type'!$C$13"/>
    <hyperlink ref="F91" location="'Inputs by customer type'!A4" display="'"/>
    <hyperlink ref="G91" location="'Inputs by customer type'!$C$18" display="'Inputs by customer type'!$C$18"/>
    <hyperlink ref="F92" location="'Inputs by customer type'!A4" display="'"/>
    <hyperlink ref="G92" location="'Inputs by customer type'!$C$163" display="'Inputs by customer type'!$C$163"/>
    <hyperlink ref="F93" location="'Inputs by customer type'!A4" display="'"/>
    <hyperlink ref="G93" location="'Inputs by customer type'!$C$180" display="'Inputs by customer type'!$C$180"/>
    <hyperlink ref="F94" location="'Inputs by customer type'!A4" display="'"/>
    <hyperlink ref="G94" location="'Inputs by customer type'!$C$189" display="'Inputs by customer type'!$C$189"/>
    <hyperlink ref="F95" location="'Inputs by customer type'!A4" display="'"/>
    <hyperlink ref="G95" location="'Inputs by customer type'!$C$203" display="'Inputs by customer type'!$C$203"/>
    <hyperlink ref="F96" location="'Inputs by network level'!A4" display="'"/>
    <hyperlink ref="G96" location="'Inputs by network level'!$C$13" display="'Inputs by network level'!$C$13"/>
    <hyperlink ref="F97" location="'Inputs by network level'!A4" display="'"/>
    <hyperlink ref="G97" location="'Inputs by network level'!$C$23" display="'Inputs by network level'!$C$23"/>
    <hyperlink ref="F98" location="'Inputs by network level'!A4" display="'"/>
    <hyperlink ref="G98" location="'Inputs by network level'!$C$31" display="'Inputs by network level'!$C$31"/>
    <hyperlink ref="F99" location="'Inputs by network level'!A4" display="'"/>
    <hyperlink ref="G99" location="'Inputs by network level'!$C$35" display="'Inputs by network level'!$C$35"/>
    <hyperlink ref="F100" location="'General inputs'!A4" display="'"/>
    <hyperlink ref="G100" location="'General inputs'!$C$13" display="'General inputs'!$C$13"/>
    <hyperlink ref="F101" location="'General inputs'!A4" display="'"/>
    <hyperlink ref="G101" location="'General inputs'!$C$25" display="'General inputs'!$C$25"/>
    <hyperlink ref="F102" location="'General inputs'!A4" display="'"/>
    <hyperlink ref="G102" location="'General inputs'!$C$35" display="'General inputs'!$C$35"/>
    <hyperlink ref="F103" location="'General inputs'!A4" display="'"/>
    <hyperlink ref="G103" location="'General inputs'!$C$89" display="'General inputs'!$C$89"/>
    <hyperlink ref="F104" location="'General inputs'!A4" display="'"/>
    <hyperlink ref="G104" location="'General inputs'!$C$95" display="'General inputs'!$C$95"/>
    <hyperlink ref="F105" location="'General inputs'!A4" display="'"/>
    <hyperlink ref="G105" location="'General inputs'!$C$99" display="'General inputs'!$C$99"/>
    <hyperlink ref="F106" location="'Standing charge factors'!A4" display="'"/>
    <hyperlink ref="G106" location="'Standing charge factors'!$C$19" display="'Standing charge factors'!$C$19"/>
    <hyperlink ref="F107" location="'Load &amp; loss characteristics'!A4" display="'"/>
    <hyperlink ref="G107" location="'Load &amp; loss characteristics'!$C$17" display="'Load &amp; loss characteristics'!$C$17"/>
    <hyperlink ref="F108" location="'Load &amp; loss characteristics'!A4" display="'"/>
    <hyperlink ref="G108" location="'Load &amp; loss characteristics'!$C$25" display="'Load &amp; loss characteristics'!$C$25"/>
    <hyperlink ref="F109" location="'Load &amp; loss characteristics'!A4" display="'"/>
    <hyperlink ref="G109" location="'Load &amp; loss characteristics'!$C$35" display="'Load &amp; loss characteristics'!$C$35"/>
    <hyperlink ref="F110" location="'Load &amp; loss characteristics'!A4" display="'"/>
    <hyperlink ref="G110" location="'Load &amp; loss characteristics'!$C$40" display="'Load &amp; loss characteristics'!$C$40"/>
    <hyperlink ref="F111" location="'Load &amp; loss characteristics'!A4" display="'"/>
    <hyperlink ref="G111" location="'Load &amp; loss characteristics'!$C$121" display="'Load &amp; loss characteristics'!$C$121"/>
    <hyperlink ref="F112" location="'Customer contributions'!A4" display="'"/>
    <hyperlink ref="G112" location="'Customer contributions'!$C$16" display="'Customer contributions'!$C$16"/>
    <hyperlink ref="F113" location="'Customer contributions'!A4" display="'"/>
    <hyperlink ref="G113" location="'Customer contributions'!$C$38" display="'Customer contributions'!$C$38"/>
    <hyperlink ref="F114" location="'Volume adjustments'!A4" display="'"/>
    <hyperlink ref="G114" location="'Volume adjustments'!$C$15" display="'Volume adjustments'!$C$15"/>
    <hyperlink ref="F115" location="'Volume adjustments'!A4" display="'"/>
    <hyperlink ref="G115" location="'Volume adjustments'!$C$53" display="'Volume adjustments'!$C$53"/>
    <hyperlink ref="F116" location="'Volume adjustments'!A4" display="'"/>
    <hyperlink ref="G116" location="'Volume adjustments'!$C$225" display="'Volume adjustments'!$C$225"/>
    <hyperlink ref="F117" location="'Volume adjustments'!A4" display="'"/>
    <hyperlink ref="G117" location="'Volume adjustments'!$C$332" display="'Volume adjustments'!$C$332"/>
    <hyperlink ref="F118" location="'Volume adjustments'!A4" display="'"/>
    <hyperlink ref="G118" location="'Volume adjustments'!$C$361" display="'Volume adjustments'!$C$361"/>
    <hyperlink ref="F119" location="'Volume adjustments'!A4" display="'"/>
    <hyperlink ref="G119" location="'Volume adjustments'!$C$390" display="'Volume adjustments'!$C$390"/>
    <hyperlink ref="F120" location="'Volume adjustments'!A4" display="'"/>
    <hyperlink ref="G120" location="'Volume adjustments'!$C$419" display="'Volume adjustments'!$C$419"/>
    <hyperlink ref="F121" location="'Volume adjustments'!A4" display="'"/>
    <hyperlink ref="G121" location="'Volume adjustments'!$C$448" display="'Volume adjustments'!$C$448"/>
    <hyperlink ref="F122" location="'Volume adjustments'!A4" display="'"/>
    <hyperlink ref="G122" location="'Volume adjustments'!$C$477" display="'Volume adjustments'!$C$477"/>
    <hyperlink ref="F123" location="'Volume adjustments'!A4" display="'"/>
    <hyperlink ref="G123" location="'Volume adjustments'!$C$523" display="'Volume adjustments'!$C$523"/>
    <hyperlink ref="F124" location="'Volume adjustments'!A4" display="'"/>
    <hyperlink ref="G124" location="'Volume adjustments'!$C$657" display="'Volume adjustments'!$C$657"/>
    <hyperlink ref="F125" location="'Pseudo-load coefficients'!A4" display="'"/>
    <hyperlink ref="G125" location="'Pseudo-load coefficients'!$C$18" display="'Pseudo-load coefficients'!$C$18"/>
    <hyperlink ref="F126" location="'Pseudo-load coefficients'!A4" display="'"/>
    <hyperlink ref="G126" location="'Pseudo-load coefficients'!$C$28" display="'Pseudo-load coefficients'!$C$28"/>
    <hyperlink ref="F127" location="'Pseudo-load coefficients'!A4" display="'"/>
    <hyperlink ref="G127" location="'Pseudo-load coefficients'!$C$36" display="'Pseudo-load coefficients'!$C$36"/>
    <hyperlink ref="F128" location="'Pseudo-load coefficients'!A4" display="'"/>
    <hyperlink ref="G128" location="'Pseudo-load coefficients'!$C$52" display="'Pseudo-load coefficients'!$C$52"/>
    <hyperlink ref="F129" location="'Pseudo-load coefficients'!A4" display="'"/>
    <hyperlink ref="G129" location="'Pseudo-load coefficients'!$C$60" display="'Pseudo-load coefficients'!$C$60"/>
    <hyperlink ref="F130" location="'Pseudo-load coefficients'!A4" display="'"/>
    <hyperlink ref="G130" location="'Pseudo-load coefficients'!$C$65" display="'Pseudo-load coefficients'!$C$65"/>
    <hyperlink ref="F131" location="'Pseudo-load coefficients'!A4" display="'"/>
    <hyperlink ref="G131" location="'Pseudo-load coefficients'!$C$87" display="'Pseudo-load coefficients'!$C$87"/>
    <hyperlink ref="F132" location="'Pseudo-load coefficients'!A4" display="'"/>
    <hyperlink ref="G132" location="'Pseudo-load coefficients'!$C$100" display="'Pseudo-load coefficients'!$C$100"/>
    <hyperlink ref="F133" location="'Pseudo-load coefficients'!A4" display="'"/>
    <hyperlink ref="G133" location="'Pseudo-load coefficients'!$C$174" display="'Pseudo-load coefficients'!$C$174"/>
    <hyperlink ref="F134" location="'Pseudo-load coefficients'!A4" display="'"/>
    <hyperlink ref="G134" location="'Pseudo-load coefficients'!$C$221" display="'Pseudo-load coefficients'!$C$221"/>
    <hyperlink ref="F135" location="'Pseudo-load coefficients'!A4" display="'"/>
    <hyperlink ref="G135" location="'Pseudo-load coefficients'!$C$265" display="'Pseudo-load coefficients'!$C$265"/>
    <hyperlink ref="F136" location="'Pseudo-load coefficients'!A4" display="'"/>
    <hyperlink ref="G136" location="'Pseudo-load coefficients'!$C$269" display="'Pseudo-load coefficients'!$C$269"/>
    <hyperlink ref="F137" location="'System peak demand'!A4" display="'"/>
    <hyperlink ref="G137" location="'System peak demand'!$C$18" display="'System peak demand'!$C$18"/>
    <hyperlink ref="F138" location="'System peak demand'!A4" display="'"/>
    <hyperlink ref="G138" location="'System peak demand'!$C$67" display="'System peak demand'!$C$67"/>
    <hyperlink ref="F139" location="'System peak demand'!A4" display="'"/>
    <hyperlink ref="G139" location="'System peak demand'!$C$138" display="'System peak demand'!$C$138"/>
    <hyperlink ref="F140" location="'System peak demand'!A4" display="'"/>
    <hyperlink ref="G140" location="'System peak demand'!$C$164" display="'System peak demand'!$C$164"/>
    <hyperlink ref="F141" location="'System peak demand'!A4" display="'"/>
    <hyperlink ref="G141" location="'System peak demand'!$C$184" display="'System peak demand'!$C$184"/>
    <hyperlink ref="F142" location="'System peak demand'!A4" display="'"/>
    <hyperlink ref="G142" location="'System peak demand'!$C$194" display="'System peak demand'!$C$194"/>
    <hyperlink ref="F143" location="'System peak demand'!A4" display="'"/>
    <hyperlink ref="G143" location="'System peak demand'!$C$236" display="'System peak demand'!$C$236"/>
    <hyperlink ref="F144" location="'System peak demand'!A4" display="'"/>
    <hyperlink ref="G144" location="'System peak demand'!$C$249" display="'System peak demand'!$C$249"/>
    <hyperlink ref="F145" location="'System peak demand'!A4" display="'"/>
    <hyperlink ref="G145" location="'System peak demand'!$C$266" display="'System peak demand'!$C$266"/>
    <hyperlink ref="F146" location="'Service model assets'!A4" display="'"/>
    <hyperlink ref="G146" location="'Service model assets'!$C$14" display="'Service model assets'!$C$14"/>
    <hyperlink ref="F147" location="'Unit costs'!A4" display="'"/>
    <hyperlink ref="G147" location="'Unit costs'!$C$19" display="'Unit costs'!$C$19"/>
    <hyperlink ref="F148" location="'Unit costs'!A4" display="'"/>
    <hyperlink ref="G148" location="'Unit costs'!$C$27" display="'Unit costs'!$C$27"/>
    <hyperlink ref="F149" location="'Unit costs'!A4" display="'"/>
    <hyperlink ref="G149" location="'Unit costs'!$C$35" display="'Unit costs'!$C$35"/>
    <hyperlink ref="F150" location="'Unit costs'!A4" display="'"/>
    <hyperlink ref="G150" location="'Unit costs'!$C$42" display="'Unit costs'!$C$42"/>
    <hyperlink ref="F151" location="'Unit costs'!A4" display="'"/>
    <hyperlink ref="G151" location="'Unit costs'!$C$50" display="'Unit costs'!$C$50"/>
    <hyperlink ref="F152" location="'Unit costs'!A4" display="'"/>
    <hyperlink ref="G152" location="'Unit costs'!$C$62" display="'Unit costs'!$C$62"/>
    <hyperlink ref="F153" location="'Unit costs'!A4" display="'"/>
    <hyperlink ref="G153" location="'Unit costs'!$C$69" display="'Unit costs'!$C$69"/>
    <hyperlink ref="F154" location="'Unit costs'!A4" display="'"/>
    <hyperlink ref="G154" location="'Unit costs'!$C$80" display="'Unit costs'!$C$80"/>
    <hyperlink ref="F155" location="'Unit costs'!A4" display="'"/>
    <hyperlink ref="G155" location="'Unit costs'!$C$92" display="'Unit costs'!$C$92"/>
    <hyperlink ref="F156" location="'Unit costs'!A4" display="'"/>
    <hyperlink ref="G156" location="'Unit costs'!$C$104" display="'Unit costs'!$C$104"/>
    <hyperlink ref="F157" location="'Unit costs'!A4" display="'"/>
    <hyperlink ref="G157" location="'Unit costs'!$C$110" display="'Unit costs'!$C$110"/>
    <hyperlink ref="F158" location="'Unit costs'!A4" display="'"/>
    <hyperlink ref="G158" location="'Unit costs'!$C$117" display="'Unit costs'!$C$117"/>
    <hyperlink ref="F159" location="'Initial unit rates'!A4" display="'"/>
    <hyperlink ref="G159" location="'Initial unit rates'!$C$13" display="'Initial unit rates'!$C$13"/>
    <hyperlink ref="F160" location="'Initial unit rates'!A4" display="'"/>
    <hyperlink ref="G160" location="'Initial unit rates'!$C$118" display="'Initial unit rates'!$C$118"/>
    <hyperlink ref="F161" location="'Initial unit rates'!A4" display="'"/>
    <hyperlink ref="G161" location="'Initial unit rates'!$C$146" display="'Initial unit rates'!$C$146"/>
    <hyperlink ref="F162" location="'Initial unit rates'!A4" display="'"/>
    <hyperlink ref="G162" location="'Initial unit rates'!$C$175" display="'Initial unit rates'!$C$175"/>
    <hyperlink ref="F163" location="'Initial unit rates'!A4" display="'"/>
    <hyperlink ref="G163" location="'Initial unit rates'!$C$204" display="'Initial unit rates'!$C$204"/>
    <hyperlink ref="F164" location="'Service model charges'!A4" display="'"/>
    <hyperlink ref="G164" location="'Service model charges'!$C$17" display="'Service model charges'!$C$17"/>
    <hyperlink ref="F165" location="'Service model charges'!A4" display="'"/>
    <hyperlink ref="G165" location="'Service model charges'!$C$33" display="'Service model charges'!$C$33"/>
    <hyperlink ref="F166" location="'Service model charges'!A4" display="'"/>
    <hyperlink ref="G166" location="'Service model charges'!$C$37" display="'Service model charges'!$C$37"/>
    <hyperlink ref="F167" location="'Unit rate charges'!A4" display="'"/>
    <hyperlink ref="G167" location="'Unit rate charges'!$C$19" display="'Unit rate charges'!$C$19"/>
    <hyperlink ref="F168" location="'Unit rate charges'!A4" display="'"/>
    <hyperlink ref="G168" location="'Unit rate charges'!$C$49" display="'Unit rate charges'!$C$49"/>
    <hyperlink ref="F169" location="'Unit rate charges'!A4" display="'"/>
    <hyperlink ref="G169" location="'Unit rate charges'!$C$79" display="'Unit rate charges'!$C$79"/>
    <hyperlink ref="F170" location="'Unit rate charges'!A4" display="'"/>
    <hyperlink ref="G170" location="'Unit rate charges'!$C$109" display="'Unit rate charges'!$C$109"/>
    <hyperlink ref="F171" location="'Unit rate charges'!A4" display="'"/>
    <hyperlink ref="G171" location="'Unit rate charges'!$C$124" display="'Unit rate charges'!$C$124"/>
    <hyperlink ref="F172" location="'Unit rate charges'!A4" display="'"/>
    <hyperlink ref="G172" location="'Unit rate charges'!$C$154" display="'Unit rate charges'!$C$154"/>
    <hyperlink ref="F173" location="'Unit rate charges'!A4" display="'"/>
    <hyperlink ref="G173" location="'Unit rate charges'!$C$184" display="'Unit rate charges'!$C$184"/>
    <hyperlink ref="F174" location="'Unit rate charges'!A4" display="'"/>
    <hyperlink ref="G174" location="'Unit rate charges'!$C$214" display="'Unit rate charges'!$C$214"/>
    <hyperlink ref="F175" location="'Capacity charges'!A4" display="'"/>
    <hyperlink ref="G175" location="'Capacity charges'!$C$19" display="'Capacity charges'!$C$19"/>
    <hyperlink ref="F176" location="'Capacity charges'!A4" display="'"/>
    <hyperlink ref="G176" location="'Capacity charges'!$C$129" display="'Capacity charges'!$C$129"/>
    <hyperlink ref="F177" location="'Capacity charges'!A4" display="'"/>
    <hyperlink ref="G177" location="'Capacity charges'!$C$159" display="'Capacity charges'!$C$159"/>
    <hyperlink ref="F178" location="'Capacity charges'!A4" display="'"/>
    <hyperlink ref="G178" location="'Capacity charges'!$C$189" display="'Capacity charges'!$C$189"/>
    <hyperlink ref="F179" location="'Capacity charges'!A4" display="'"/>
    <hyperlink ref="G179" location="'Capacity charges'!$C$219" display="'Capacity charges'!$C$219"/>
    <hyperlink ref="F180" location="'Capacity charges'!A4" display="'"/>
    <hyperlink ref="G180" location="'Capacity charges'!$C$254" display="'Capacity charges'!$C$254"/>
    <hyperlink ref="F181" location="'Capacity charges'!A4" display="'"/>
    <hyperlink ref="G181" location="'Capacity charges'!$C$259" display="'Capacity charges'!$C$259"/>
    <hyperlink ref="F182" location="'Reactive power charges'!A4" display="'"/>
    <hyperlink ref="G182" location="'Reactive power charges'!$C$17" display="'Reactive power charges'!$C$17"/>
    <hyperlink ref="F183" location="'Reactive power charges'!A4" display="'"/>
    <hyperlink ref="G183" location="'Reactive power charges'!$C$120" display="'Reactive power charges'!$C$120"/>
    <hyperlink ref="F184" location="'Reactive power charges'!A4" display="'"/>
    <hyperlink ref="G184" location="'Reactive power charges'!$C$155" display="'Reactive power charges'!$C$155"/>
    <hyperlink ref="F185" location="'Reactive power charges'!A4" display="'"/>
    <hyperlink ref="G185" location="'Reactive power charges'!$C$190" display="'Reactive power charges'!$C$190"/>
    <hyperlink ref="F186" location="'Reactive power charges'!A4" display="'"/>
    <hyperlink ref="G186" location="'Reactive power charges'!$C$220" display="'Reactive power charges'!$C$220"/>
    <hyperlink ref="F187" location="'Fixed charges'!A4" display="'"/>
    <hyperlink ref="G187" location="'Fixed charges'!$C$16" display="'Fixed charges'!$C$16"/>
    <hyperlink ref="F188" location="'Fixed charges'!A4" display="'"/>
    <hyperlink ref="G188" location="'Fixed charges'!$C$22" display="'Fixed charges'!$C$22"/>
    <hyperlink ref="F189" location="'Fixed charges'!A4" display="'"/>
    <hyperlink ref="G189" location="'Fixed charges'!$C$52" display="'Fixed charges'!$C$52"/>
    <hyperlink ref="F190" location="'Fixed charges'!A4" display="'"/>
    <hyperlink ref="G190" location="'Fixed charges'!$C$58" display="'Fixed charges'!$C$58"/>
    <hyperlink ref="F191" location="'Fixed charges'!A4" display="'"/>
    <hyperlink ref="G191" location="'Fixed charges'!$C$67" display="'Fixed charges'!$C$67"/>
    <hyperlink ref="F192" location="'Fixed charges'!A4" display="'"/>
    <hyperlink ref="G192" location="'Fixed charges'!$C$97" display="'Fixed charges'!$C$97"/>
    <hyperlink ref="F193" location="'Fixed charges'!A4" display="'"/>
    <hyperlink ref="G193" location="'Fixed charges'!$C$127" display="'Fixed charges'!$C$127"/>
    <hyperlink ref="F194" location="'Fixed charges'!A4" display="'"/>
    <hyperlink ref="G194" location="'Fixed charges'!$C$159" display="'Fixed charges'!$C$159"/>
    <hyperlink ref="F195" location="'Fixed charge adder'!A4" display="'"/>
    <hyperlink ref="G195" location="'Fixed charge adder'!$C$16" display="'Fixed charge adder'!$C$16"/>
    <hyperlink ref="F196" location="'Fixed charge adder'!A4" display="'"/>
    <hyperlink ref="G196" location="'Fixed charge adder'!$C$33" display="'Fixed charge adder'!$C$33"/>
    <hyperlink ref="F197" location="'Fixed charge adder'!A4" display="'"/>
    <hyperlink ref="G197" location="'Fixed charge adder'!$C$48" display="'Fixed charge adder'!$C$48"/>
    <hyperlink ref="F198" location="'Revenue matching'!A4" display="'"/>
    <hyperlink ref="G198" location="'Revenue matching'!$C$15" display="'Revenue matching'!$C$15"/>
    <hyperlink ref="F199" location="'Revenue matching'!A4" display="'"/>
    <hyperlink ref="G199" location="'Revenue matching'!$C$69" display="'Revenue matching'!$C$69"/>
    <hyperlink ref="F200" location="'Revenue matching'!A4" display="'"/>
    <hyperlink ref="G200" location="'Revenue matching'!$C$88" display="'Revenue matching'!$C$88"/>
    <hyperlink ref="F201" location="'Revenue matching'!A4" display="'"/>
    <hyperlink ref="G201" location="'Revenue matching'!$C$151" display="'Revenue matching'!$C$151"/>
    <hyperlink ref="F202" location="'Revenue matching'!A4" display="'"/>
    <hyperlink ref="G202" location="'Revenue matching'!$C$159" display="'Revenue matching'!$C$159"/>
    <hyperlink ref="F203" location="'Revenue matching'!A4" display="'"/>
    <hyperlink ref="G203" location="'Revenue matching'!$C$176" display="'Revenue matching'!$C$176"/>
    <hyperlink ref="F204" location="'Revenue matching'!A4" display="'"/>
    <hyperlink ref="G204" location="'Revenue matching'!$C$192" display="'Revenue matching'!$C$192"/>
    <hyperlink ref="F205" location="'Revenue matching'!A4" display="'"/>
    <hyperlink ref="G205" location="'Revenue matching'!$C$200" display="'Revenue matching'!$C$200"/>
    <hyperlink ref="F206" location="'Revenue matching'!A4" display="'"/>
    <hyperlink ref="G206" location="'Revenue matching'!$C$213" display="'Revenue matching'!$C$213"/>
    <hyperlink ref="F207" location="'Revenue matching'!A4" display="'"/>
    <hyperlink ref="G207" location="'Revenue matching'!$C$232" display="'Revenue matching'!$C$232"/>
    <hyperlink ref="F208" location="'Revenue matching'!A4" display="'"/>
    <hyperlink ref="G208" location="'Revenue matching'!$C$286" display="'Revenue matching'!$C$286"/>
    <hyperlink ref="F209" location="'Revenue matching'!A4" display="'"/>
    <hyperlink ref="G209" location="'Revenue matching'!$C$313" display="'Revenue matching'!$C$313"/>
    <hyperlink ref="F210" location="'Revenue matching'!A4" display="'"/>
    <hyperlink ref="G210" location="'Revenue matching'!$C$345" display="'Revenue matching'!$C$345"/>
    <hyperlink ref="F211" location="'Revenue matching'!A4" display="'"/>
    <hyperlink ref="G211" location="'Revenue matching'!$C$377" display="'Revenue matching'!$C$377"/>
    <hyperlink ref="F212" location="'Revenue matching'!A4" display="'"/>
    <hyperlink ref="G212" location="'Revenue matching'!$C$409" display="'Revenue matching'!$C$409"/>
    <hyperlink ref="F213" location="'Rounding'!A4" display="'"/>
    <hyperlink ref="G213" location="'Rounding'!$C$16" display="'Rounding'!$C$16"/>
    <hyperlink ref="F214" location="'Rounding'!A4" display="'"/>
    <hyperlink ref="G214" location="'Rounding'!$C$28" display="'Rounding'!$C$28"/>
    <hyperlink ref="F215" location="'Rounding'!A4" display="'"/>
    <hyperlink ref="G215" location="'Rounding'!$C$40" display="'Rounding'!$C$40"/>
    <hyperlink ref="F216" location="'Rounding'!A4" display="'"/>
    <hyperlink ref="G216" location="'Rounding'!$C$52" display="'Rounding'!$C$52"/>
    <hyperlink ref="F217" location="'Rounding'!A4" display="'"/>
    <hyperlink ref="G217" location="'Rounding'!$C$92" display="'Rounding'!$C$92"/>
    <hyperlink ref="F218" location="'Rounding'!A4" display="'"/>
    <hyperlink ref="G218" location="'Rounding'!$C$107" display="'Rounding'!$C$107"/>
    <hyperlink ref="F219" location="'Rounding'!A4" display="'"/>
    <hyperlink ref="G219" location="'Rounding'!$C$118" display="'Rounding'!$C$118"/>
    <hyperlink ref="F220" location="'Rounding'!A4" display="'"/>
    <hyperlink ref="G220" location="'Rounding'!$C$147" display="'Rounding'!$C$147"/>
    <hyperlink ref="F221" location="'Net revenue summary'!A4" display="'"/>
    <hyperlink ref="G221" location="'Net revenue summary'!$C$13" display="'Net revenue summary'!$C$13"/>
    <hyperlink ref="F222" location="'Net revenue summary'!A4" display="'"/>
    <hyperlink ref="G222" location="'Net revenue summary'!$C$52" display="'Net revenue summary'!$C$52"/>
    <hyperlink ref="F223" location="'Net revenue summary'!A4" display="'"/>
    <hyperlink ref="G223" location="'Net revenue summary'!$C$81" display="'Net revenue summary'!$C$81"/>
    <hyperlink ref="F224" location="'Net revenue summary'!A4" display="'"/>
    <hyperlink ref="G224" location="'Net revenue summary'!$C$92" display="'Net revenue summary'!$C$92"/>
    <hyperlink ref="F225" location="'Net revenue summary'!A4" display="'"/>
    <hyperlink ref="G225" location="'Net revenue summary'!$C$124" display="'Net revenue summary'!$C$124"/>
    <hyperlink ref="F226" location="'Net revenue summary'!A4" display="'"/>
    <hyperlink ref="G226" location="'Net revenue summary'!$C$138" display="'Net revenue summary'!$C$138"/>
    <hyperlink ref="F227" location="'Net revenue summary'!A4" display="'"/>
    <hyperlink ref="G227" location="'Net revenue summary'!$C$144" display="'Net revenue summary'!$C$144"/>
    <hyperlink ref="F228" location="'Net revenue summary'!A4" display="'"/>
    <hyperlink ref="G228" location="'Net revenue summary'!$C$152" display="'Net revenue summary'!$C$152"/>
    <hyperlink ref="F229" location="'Net revenue summary'!A4" display="'"/>
    <hyperlink ref="G229" location="'Net revenue summary'!$C$163" display="'Net revenue summary'!$C$163"/>
    <hyperlink ref="F230" location="'Net revenue summary'!A4" display="'"/>
    <hyperlink ref="G230" location="'Net revenue summary'!$C$178" display="'Net revenue summary'!$C$178"/>
    <hyperlink ref="F231" location="'Net revenue summary'!A4" display="'"/>
    <hyperlink ref="G231" location="'Net revenue summary'!$C$202" display="'Net revenue summary'!$C$202"/>
    <hyperlink ref="F232" location="'Tariff summary'!A4" display="'"/>
    <hyperlink ref="G232" location="'Tariff summary'!$C$13" display="'Tariff summary'!$C$13"/>
    <hyperlink ref="F233" location="'Output to other models'!A4" display="'"/>
    <hyperlink ref="G233" location="'Output to other models'!$C$14" display="'Output to other models'!$C$14"/>
    <hyperlink ref="F234" location="'Output to other models'!A4" display="'"/>
    <hyperlink ref="G234" location="'Output to other models'!$C$27" display="'Output to other models'!$C$27"/>
    <hyperlink ref="F235" location="'Output to other models'!A4" display="'"/>
    <hyperlink ref="G235" location="'Output to other models'!$C$45" display="'Output to other models'!$C$45"/>
    <hyperlink ref="F236" location="'Output to other models'!A4" display="'"/>
    <hyperlink ref="G236" location="'Output to other models'!$C$57" display="'Output to other models'!$C$57"/>
    <hyperlink ref="F237" location="'Output to other models'!A4" display="'"/>
    <hyperlink ref="G237" location="'Output to other models'!$C$67" display="'Output to other models'!$C$6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D18"/>
  <sheetViews>
    <sheetView showGridLines="0" zoomScale="80" zoomScaleNormal="80" workbookViewId="0">
      <pane ySplit="3" topLeftCell="A4" activePane="bottomLeft" state="frozen"/>
      <selection pane="bottomLeft"/>
    </sheetView>
  </sheetViews>
  <sheetFormatPr defaultColWidth="0" defaultRowHeight="14.4" x14ac:dyDescent="0.3"/>
  <cols>
    <col min="1" max="5" width="2.5546875" customWidth="1"/>
    <col min="6" max="6" width="59.5546875" customWidth="1"/>
    <col min="7" max="7" width="90.44140625" customWidth="1"/>
    <col min="8" max="8" width="20.5546875" customWidth="1"/>
    <col min="9" max="9" width="2.5546875" customWidth="1"/>
    <col min="10" max="16" width="15.44140625" hidden="1" customWidth="1"/>
    <col min="17" max="17" width="2.5546875" hidden="1" customWidth="1"/>
    <col min="18" max="30" width="0" hidden="1" customWidth="1"/>
    <col min="31" max="16384" width="9.21875" hidden="1"/>
  </cols>
  <sheetData>
    <row r="1" spans="1:8" s="1" customFormat="1" x14ac:dyDescent="0.3">
      <c r="A1" s="1" t="str">
        <f ca="1">MID(CELL("filename",A1),FIND("]",CELL("filename",A1))+1,255)</f>
        <v>Named ranges</v>
      </c>
    </row>
    <row r="2" spans="1:8" s="1" customFormat="1" x14ac:dyDescent="0.3">
      <c r="A2" s="1" t="str">
        <f>Cover!D21&amp;" - "&amp;Cover!D23</f>
        <v>WPD Mid West - April 22 Pricing</v>
      </c>
    </row>
    <row r="3" spans="1:8" s="5" customFormat="1" x14ac:dyDescent="0.3">
      <c r="A3" s="5" t="str">
        <f>Cover!D2&amp;" - "&amp;Cover!D8&amp;" v"&amp;Cover!D10&amp;" - "&amp;Cover!D19</f>
        <v>CDCM charging model - Release for charge setting v7 - 2022/23</v>
      </c>
    </row>
    <row r="5" spans="1:8" x14ac:dyDescent="0.3">
      <c r="B5" s="41" t="s">
        <v>121</v>
      </c>
      <c r="C5" s="41"/>
      <c r="D5" s="41"/>
      <c r="E5" s="41"/>
      <c r="F5" s="42"/>
      <c r="G5" s="42"/>
      <c r="H5" s="42"/>
    </row>
    <row r="6" spans="1:8" x14ac:dyDescent="0.3">
      <c r="B6" s="40"/>
      <c r="C6" s="40"/>
      <c r="D6" s="40"/>
      <c r="E6" s="40"/>
      <c r="F6" s="43"/>
      <c r="G6" s="40"/>
      <c r="H6" s="40"/>
    </row>
    <row r="7" spans="1:8" x14ac:dyDescent="0.3">
      <c r="F7" s="58" t="s">
        <v>122</v>
      </c>
      <c r="G7" t="s">
        <v>123</v>
      </c>
      <c r="H7" t="s">
        <v>114</v>
      </c>
    </row>
    <row r="8" spans="1:8" x14ac:dyDescent="0.3">
      <c r="F8" s="58" t="s">
        <v>124</v>
      </c>
      <c r="G8" t="s">
        <v>125</v>
      </c>
      <c r="H8" t="s">
        <v>53</v>
      </c>
    </row>
    <row r="9" spans="1:8" x14ac:dyDescent="0.3">
      <c r="F9" s="58" t="s">
        <v>126</v>
      </c>
      <c r="G9" t="s">
        <v>127</v>
      </c>
      <c r="H9" t="s">
        <v>60</v>
      </c>
    </row>
    <row r="10" spans="1:8" x14ac:dyDescent="0.3">
      <c r="F10" s="58" t="s">
        <v>128</v>
      </c>
      <c r="G10" t="s">
        <v>129</v>
      </c>
      <c r="H10" t="s">
        <v>114</v>
      </c>
    </row>
    <row r="11" spans="1:8" x14ac:dyDescent="0.3">
      <c r="F11" s="58" t="s">
        <v>130</v>
      </c>
      <c r="G11" t="s">
        <v>131</v>
      </c>
      <c r="H11" t="s">
        <v>53</v>
      </c>
    </row>
    <row r="12" spans="1:8" x14ac:dyDescent="0.3">
      <c r="F12" s="58" t="s">
        <v>132</v>
      </c>
      <c r="G12" t="s">
        <v>133</v>
      </c>
      <c r="H12" t="s">
        <v>60</v>
      </c>
    </row>
    <row r="13" spans="1:8" x14ac:dyDescent="0.3">
      <c r="F13" s="58" t="s">
        <v>134</v>
      </c>
      <c r="G13" t="s">
        <v>135</v>
      </c>
      <c r="H13" t="s">
        <v>53</v>
      </c>
    </row>
    <row r="14" spans="1:8" x14ac:dyDescent="0.3">
      <c r="F14" s="58" t="s">
        <v>136</v>
      </c>
      <c r="G14" t="s">
        <v>137</v>
      </c>
      <c r="H14" t="s">
        <v>53</v>
      </c>
    </row>
    <row r="15" spans="1:8" x14ac:dyDescent="0.3">
      <c r="F15" s="58" t="s">
        <v>138</v>
      </c>
      <c r="G15" t="s">
        <v>139</v>
      </c>
      <c r="H15" t="s">
        <v>53</v>
      </c>
    </row>
    <row r="16" spans="1:8" x14ac:dyDescent="0.3">
      <c r="F16" s="58" t="s">
        <v>140</v>
      </c>
      <c r="G16" t="s">
        <v>141</v>
      </c>
      <c r="H16" t="s">
        <v>53</v>
      </c>
    </row>
    <row r="17" spans="2:8" x14ac:dyDescent="0.3">
      <c r="F17" s="58"/>
    </row>
    <row r="18" spans="2:8" x14ac:dyDescent="0.3">
      <c r="B18" s="41" t="s">
        <v>106</v>
      </c>
      <c r="C18" s="41"/>
      <c r="D18" s="41"/>
      <c r="E18" s="41"/>
      <c r="F18" s="42"/>
      <c r="G18" s="42"/>
      <c r="H18" s="42"/>
    </row>
  </sheetData>
  <sheetProtection sheet="1" objects="1" formatCells="0" formatColumns="0" formatRows="0" sort="0" autoFilter="0"/>
  <hyperlinks>
    <hyperlink ref="F7" location="Cover!$D$19" display="charging_year"/>
    <hyperlink ref="F8" location="'Fixed inputs'!H154"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Fixed inputs'!$H$37" display="PowerFactor"/>
    <hyperlink ref="F15" location="'Fixed inputs'!$H$16" display="ten"/>
    <hyperlink ref="F16" location="'Fixed inputs'!$H$18" display="thousan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BI20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16384" width="9.21875" hidden="1"/>
  </cols>
  <sheetData>
    <row r="1" spans="1:43" s="1" customFormat="1" x14ac:dyDescent="0.3">
      <c r="A1" s="1" t="str">
        <f ca="1">MID(CELL("filename",A1),FIND("]",CELL("filename",A1))+1,255)</f>
        <v>Fixed inputs</v>
      </c>
    </row>
    <row r="2" spans="1:43" s="1" customFormat="1" x14ac:dyDescent="0.3">
      <c r="A2" s="1" t="str">
        <f>Cover!D21&amp;" - "&amp;Cover!D23</f>
        <v>WPD Mid West - April 22 Pricing</v>
      </c>
    </row>
    <row r="3" spans="1:43" s="5" customFormat="1" x14ac:dyDescent="0.3">
      <c r="A3" s="5" t="str">
        <f>Cover!D2&amp;" - "&amp;Cover!D8&amp;" v"&amp;Cover!D10&amp;" - "&amp;Cover!D19</f>
        <v>CDCM charging model - Release for charge setting v7 - 2022/23</v>
      </c>
    </row>
    <row r="4" spans="1:43" x14ac:dyDescent="0.3">
      <c r="A4" s="12" t="str">
        <f>H196 &amp; IF(H196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Q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row>
    <row r="9" spans="1:43" x14ac:dyDescent="0.3">
      <c r="C9" s="29" t="s">
        <v>146</v>
      </c>
    </row>
    <row r="11" spans="1:43" x14ac:dyDescent="0.3">
      <c r="B11" s="30" t="s">
        <v>53</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row>
    <row r="13" spans="1:43" x14ac:dyDescent="0.3">
      <c r="C13" s="31" t="str">
        <f ca="1">INDEX('Version control'!$H$34:$H$57,MATCH($A$1,'Version control'!$F$34:$F$57,0),1)&amp;"-A: Conversions and time"</f>
        <v>Input 101-A: Conversions and time</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row>
    <row r="15" spans="1:43" x14ac:dyDescent="0.3">
      <c r="E15" s="28" t="s">
        <v>131</v>
      </c>
      <c r="G15" t="s">
        <v>147</v>
      </c>
      <c r="H15" s="242">
        <v>24</v>
      </c>
    </row>
    <row r="16" spans="1:43" x14ac:dyDescent="0.3">
      <c r="E16" s="28" t="s">
        <v>148</v>
      </c>
      <c r="G16" t="s">
        <v>149</v>
      </c>
      <c r="H16" s="242">
        <v>10</v>
      </c>
    </row>
    <row r="17" spans="3:43" x14ac:dyDescent="0.3">
      <c r="E17" s="28" t="s">
        <v>150</v>
      </c>
      <c r="G17" t="s">
        <v>149</v>
      </c>
      <c r="H17" s="242">
        <v>100</v>
      </c>
    </row>
    <row r="18" spans="3:43" x14ac:dyDescent="0.3">
      <c r="E18" s="28" t="s">
        <v>151</v>
      </c>
      <c r="G18" t="s">
        <v>149</v>
      </c>
      <c r="H18" s="242">
        <v>1000</v>
      </c>
    </row>
    <row r="20" spans="3:43" x14ac:dyDescent="0.3">
      <c r="C20" s="31" t="str">
        <f ca="1">INDEX('Version control'!$H$34:$H$57,MATCH($A$1,'Version control'!$F$34:$F$57,0),1)&amp;"-B: Input 101-B: Rounding"</f>
        <v>Input 101-B: Input 101-B: Rounding</v>
      </c>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row>
    <row r="22" spans="3:43" x14ac:dyDescent="0.3">
      <c r="D22" s="29" t="s">
        <v>152</v>
      </c>
    </row>
    <row r="23" spans="3:43" x14ac:dyDescent="0.3">
      <c r="E23" s="32"/>
    </row>
    <row r="24" spans="3:43" x14ac:dyDescent="0.3">
      <c r="E24" s="32" t="s">
        <v>153</v>
      </c>
      <c r="F24" s="29"/>
      <c r="I24" t="s">
        <v>154</v>
      </c>
      <c r="AQ24" t="s">
        <v>155</v>
      </c>
    </row>
    <row r="25" spans="3:43" x14ac:dyDescent="0.3">
      <c r="F25" s="23" t="s">
        <v>156</v>
      </c>
      <c r="G25" s="23" t="s">
        <v>149</v>
      </c>
      <c r="H25" s="246">
        <v>3</v>
      </c>
    </row>
    <row r="26" spans="3:43" x14ac:dyDescent="0.3">
      <c r="F26" t="s">
        <v>157</v>
      </c>
      <c r="G26" t="s">
        <v>149</v>
      </c>
      <c r="H26" s="242">
        <v>3</v>
      </c>
    </row>
    <row r="27" spans="3:43" x14ac:dyDescent="0.3">
      <c r="F27" t="s">
        <v>158</v>
      </c>
      <c r="G27" t="s">
        <v>149</v>
      </c>
      <c r="H27" s="242">
        <v>3</v>
      </c>
    </row>
    <row r="28" spans="3:43" x14ac:dyDescent="0.3">
      <c r="F28" t="s">
        <v>159</v>
      </c>
      <c r="G28" t="s">
        <v>149</v>
      </c>
      <c r="H28" s="242">
        <v>2</v>
      </c>
    </row>
    <row r="29" spans="3:43" x14ac:dyDescent="0.3">
      <c r="F29" t="s">
        <v>160</v>
      </c>
      <c r="G29" t="s">
        <v>149</v>
      </c>
      <c r="H29" s="242">
        <v>2</v>
      </c>
    </row>
    <row r="30" spans="3:43" x14ac:dyDescent="0.3">
      <c r="F30" t="s">
        <v>161</v>
      </c>
      <c r="G30" t="s">
        <v>149</v>
      </c>
      <c r="H30" s="242">
        <v>2</v>
      </c>
    </row>
    <row r="31" spans="3:43" x14ac:dyDescent="0.3">
      <c r="F31" s="37" t="s">
        <v>162</v>
      </c>
      <c r="G31" s="37" t="s">
        <v>149</v>
      </c>
      <c r="H31" s="247">
        <v>3</v>
      </c>
    </row>
    <row r="33" spans="3:43" x14ac:dyDescent="0.3">
      <c r="C33" s="31" t="str">
        <f ca="1">INDEX('Version control'!$H$34:$H$57,MATCH($A$1,'Version control'!$F$34:$F$57,0),1)&amp;"-C: Financial and general assumptions"</f>
        <v>Input 101-C: Financial and general assumptions</v>
      </c>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row>
    <row r="35" spans="3:43" x14ac:dyDescent="0.3">
      <c r="E35" s="28" t="s">
        <v>163</v>
      </c>
      <c r="G35" t="s">
        <v>164</v>
      </c>
      <c r="H35" s="242">
        <v>40</v>
      </c>
      <c r="I35" t="s">
        <v>154</v>
      </c>
      <c r="AQ35" s="3" t="s">
        <v>165</v>
      </c>
    </row>
    <row r="37" spans="3:43" x14ac:dyDescent="0.3">
      <c r="E37" s="28" t="s">
        <v>166</v>
      </c>
      <c r="G37" t="s">
        <v>167</v>
      </c>
      <c r="H37" s="242">
        <v>0.95</v>
      </c>
      <c r="I37" t="s">
        <v>154</v>
      </c>
      <c r="AQ37" t="s">
        <v>168</v>
      </c>
    </row>
    <row r="39" spans="3:43" x14ac:dyDescent="0.3">
      <c r="E39" s="28" t="s">
        <v>169</v>
      </c>
      <c r="G39" t="s">
        <v>167</v>
      </c>
      <c r="H39" s="248">
        <v>0.6</v>
      </c>
      <c r="I39" t="s">
        <v>154</v>
      </c>
      <c r="AQ39" s="3" t="s">
        <v>170</v>
      </c>
    </row>
    <row r="41" spans="3:43" x14ac:dyDescent="0.3">
      <c r="E41" s="28" t="s">
        <v>171</v>
      </c>
      <c r="G41" s="28" t="s">
        <v>172</v>
      </c>
      <c r="H41" s="242">
        <v>500</v>
      </c>
      <c r="I41" t="s">
        <v>154</v>
      </c>
      <c r="AQ41" s="63" t="s">
        <v>173</v>
      </c>
    </row>
    <row r="43" spans="3:43" x14ac:dyDescent="0.3">
      <c r="C43" s="31" t="str">
        <f ca="1">INDEX('Version control'!$H$34:$H$57,MATCH($A$1,'Version control'!$F$34:$F$57,0),1)&amp;"-D: Mappings"</f>
        <v>Input 101-D: Mappings</v>
      </c>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row>
    <row r="45" spans="3:43" x14ac:dyDescent="0.3">
      <c r="E45" s="32" t="s">
        <v>174</v>
      </c>
    </row>
    <row r="46" spans="3:43" x14ac:dyDescent="0.3">
      <c r="F46" s="64" t="s">
        <v>175</v>
      </c>
      <c r="G46" s="23" t="s">
        <v>176</v>
      </c>
      <c r="H46" s="23"/>
      <c r="I46" s="23"/>
      <c r="J46" s="246">
        <v>1</v>
      </c>
      <c r="K46" s="246">
        <v>1</v>
      </c>
      <c r="L46" s="246">
        <v>1</v>
      </c>
      <c r="M46" s="246">
        <v>1</v>
      </c>
      <c r="N46" s="246">
        <v>1</v>
      </c>
      <c r="O46" s="246">
        <v>0</v>
      </c>
      <c r="P46" s="246">
        <v>0</v>
      </c>
      <c r="Q46" s="246">
        <v>1</v>
      </c>
      <c r="R46" s="65"/>
      <c r="S46" s="65"/>
      <c r="T46" s="65"/>
      <c r="U46" s="65"/>
      <c r="V46" s="65"/>
      <c r="W46" s="65"/>
      <c r="X46" s="65"/>
      <c r="Y46" s="65"/>
    </row>
    <row r="47" spans="3:43" x14ac:dyDescent="0.3">
      <c r="F47" s="28" t="s">
        <v>177</v>
      </c>
      <c r="G47" t="s">
        <v>176</v>
      </c>
      <c r="J47" s="242">
        <v>1</v>
      </c>
      <c r="K47" s="242">
        <v>1</v>
      </c>
      <c r="L47" s="242">
        <v>1</v>
      </c>
      <c r="M47" s="242">
        <v>1</v>
      </c>
      <c r="N47" s="242">
        <v>1</v>
      </c>
      <c r="O47" s="242">
        <v>0</v>
      </c>
      <c r="P47" s="242">
        <v>0</v>
      </c>
      <c r="Q47" s="242">
        <v>1</v>
      </c>
      <c r="R47" s="66"/>
      <c r="S47" s="66"/>
      <c r="T47" s="66"/>
      <c r="U47" s="66"/>
      <c r="V47" s="66"/>
      <c r="W47" s="66"/>
      <c r="X47" s="66"/>
      <c r="Y47" s="66"/>
    </row>
    <row r="48" spans="3:43" x14ac:dyDescent="0.3">
      <c r="F48" s="28" t="s">
        <v>178</v>
      </c>
      <c r="G48" t="s">
        <v>176</v>
      </c>
      <c r="J48" s="242">
        <v>0</v>
      </c>
      <c r="K48" s="242">
        <v>0</v>
      </c>
      <c r="L48" s="242">
        <v>0</v>
      </c>
      <c r="M48" s="242">
        <v>0</v>
      </c>
      <c r="N48" s="242">
        <v>0</v>
      </c>
      <c r="O48" s="242">
        <v>1</v>
      </c>
      <c r="P48" s="242">
        <v>0</v>
      </c>
      <c r="Q48" s="242">
        <v>0</v>
      </c>
      <c r="R48" s="66"/>
      <c r="S48" s="66"/>
      <c r="T48" s="66"/>
      <c r="U48" s="66"/>
      <c r="V48" s="66"/>
      <c r="W48" s="66"/>
      <c r="X48" s="66"/>
      <c r="Y48" s="66"/>
    </row>
    <row r="49" spans="5:43" x14ac:dyDescent="0.3">
      <c r="F49" s="67" t="s">
        <v>179</v>
      </c>
      <c r="G49" s="37" t="s">
        <v>176</v>
      </c>
      <c r="H49" s="37"/>
      <c r="I49" s="37"/>
      <c r="J49" s="247">
        <v>0</v>
      </c>
      <c r="K49" s="247">
        <v>0</v>
      </c>
      <c r="L49" s="247">
        <v>0</v>
      </c>
      <c r="M49" s="247">
        <v>0</v>
      </c>
      <c r="N49" s="247">
        <v>0</v>
      </c>
      <c r="O49" s="247">
        <v>0</v>
      </c>
      <c r="P49" s="247">
        <v>1</v>
      </c>
      <c r="Q49" s="247">
        <v>0</v>
      </c>
      <c r="R49" s="68"/>
      <c r="S49" s="68"/>
      <c r="T49" s="68"/>
      <c r="U49" s="68"/>
      <c r="V49" s="68"/>
      <c r="W49" s="68"/>
      <c r="X49" s="68"/>
      <c r="Y49" s="68"/>
    </row>
    <row r="51" spans="5:43" x14ac:dyDescent="0.3">
      <c r="E51" s="32" t="s">
        <v>180</v>
      </c>
      <c r="I51" t="s">
        <v>154</v>
      </c>
      <c r="AQ51" s="3" t="s">
        <v>181</v>
      </c>
    </row>
    <row r="52" spans="5:43" x14ac:dyDescent="0.3">
      <c r="E52" s="29" t="s">
        <v>182</v>
      </c>
    </row>
    <row r="53" spans="5:43" x14ac:dyDescent="0.3">
      <c r="F53" s="64" t="s">
        <v>183</v>
      </c>
      <c r="G53" s="23" t="s">
        <v>176</v>
      </c>
      <c r="H53" s="69"/>
      <c r="I53" s="69"/>
      <c r="J53" s="246">
        <v>0</v>
      </c>
      <c r="K53" s="246">
        <v>0</v>
      </c>
      <c r="L53" s="246">
        <v>0</v>
      </c>
      <c r="M53" s="246">
        <v>0</v>
      </c>
      <c r="N53" s="246">
        <v>0</v>
      </c>
      <c r="O53" s="246">
        <v>0</v>
      </c>
      <c r="P53" s="246">
        <v>0</v>
      </c>
      <c r="Q53" s="246">
        <v>0</v>
      </c>
      <c r="R53" s="246">
        <v>0</v>
      </c>
      <c r="S53" s="246">
        <v>0</v>
      </c>
      <c r="T53" s="246">
        <v>0</v>
      </c>
      <c r="U53" s="246">
        <v>0</v>
      </c>
      <c r="V53" s="246">
        <v>0</v>
      </c>
      <c r="W53" s="246">
        <v>0</v>
      </c>
      <c r="X53" s="246">
        <v>0</v>
      </c>
      <c r="Y53" s="246">
        <v>0</v>
      </c>
    </row>
    <row r="54" spans="5:43" x14ac:dyDescent="0.3">
      <c r="F54" s="28" t="s">
        <v>184</v>
      </c>
      <c r="G54" t="s">
        <v>176</v>
      </c>
      <c r="J54" s="242">
        <v>0</v>
      </c>
      <c r="K54" s="242">
        <v>0</v>
      </c>
      <c r="L54" s="242">
        <v>0</v>
      </c>
      <c r="M54" s="242">
        <v>0</v>
      </c>
      <c r="N54" s="242">
        <v>0</v>
      </c>
      <c r="O54" s="242">
        <v>0</v>
      </c>
      <c r="P54" s="242">
        <v>1</v>
      </c>
      <c r="Q54" s="242">
        <v>0</v>
      </c>
      <c r="R54" s="242">
        <v>0</v>
      </c>
      <c r="S54" s="242">
        <v>0</v>
      </c>
      <c r="T54" s="242">
        <v>0</v>
      </c>
      <c r="U54" s="242">
        <v>0</v>
      </c>
      <c r="V54" s="242">
        <v>0</v>
      </c>
      <c r="W54" s="242">
        <v>0</v>
      </c>
      <c r="X54" s="242">
        <v>1</v>
      </c>
      <c r="Y54" s="242">
        <v>1</v>
      </c>
    </row>
    <row r="55" spans="5:43" x14ac:dyDescent="0.3">
      <c r="F55" s="28" t="s">
        <v>185</v>
      </c>
      <c r="G55" t="s">
        <v>176</v>
      </c>
      <c r="J55" s="242">
        <v>0</v>
      </c>
      <c r="K55" s="242">
        <v>0</v>
      </c>
      <c r="L55" s="242">
        <v>0</v>
      </c>
      <c r="M55" s="242">
        <v>0</v>
      </c>
      <c r="N55" s="242">
        <v>0</v>
      </c>
      <c r="O55" s="242">
        <v>1</v>
      </c>
      <c r="P55" s="242">
        <v>0</v>
      </c>
      <c r="Q55" s="242">
        <v>0</v>
      </c>
      <c r="R55" s="242">
        <v>0</v>
      </c>
      <c r="S55" s="242">
        <v>1</v>
      </c>
      <c r="T55" s="242">
        <v>0</v>
      </c>
      <c r="U55" s="242">
        <v>0</v>
      </c>
      <c r="V55" s="242">
        <v>1</v>
      </c>
      <c r="W55" s="242">
        <v>1</v>
      </c>
      <c r="X55" s="242">
        <v>0</v>
      </c>
      <c r="Y55" s="242">
        <v>0</v>
      </c>
    </row>
    <row r="56" spans="5:43" x14ac:dyDescent="0.3">
      <c r="F56" s="67" t="s">
        <v>186</v>
      </c>
      <c r="G56" s="37" t="s">
        <v>176</v>
      </c>
      <c r="H56" s="37"/>
      <c r="I56" s="37"/>
      <c r="J56" s="247">
        <v>1</v>
      </c>
      <c r="K56" s="247">
        <v>1</v>
      </c>
      <c r="L56" s="247">
        <v>1</v>
      </c>
      <c r="M56" s="247">
        <v>1</v>
      </c>
      <c r="N56" s="247">
        <v>1</v>
      </c>
      <c r="O56" s="247">
        <v>0</v>
      </c>
      <c r="P56" s="247">
        <v>0</v>
      </c>
      <c r="Q56" s="247">
        <v>1</v>
      </c>
      <c r="R56" s="247">
        <v>1</v>
      </c>
      <c r="S56" s="247">
        <v>0</v>
      </c>
      <c r="T56" s="247">
        <v>1</v>
      </c>
      <c r="U56" s="247">
        <v>1</v>
      </c>
      <c r="V56" s="247">
        <v>0</v>
      </c>
      <c r="W56" s="247">
        <v>0</v>
      </c>
      <c r="X56" s="247">
        <v>0</v>
      </c>
      <c r="Y56" s="247">
        <v>0</v>
      </c>
    </row>
    <row r="57" spans="5:43" x14ac:dyDescent="0.3">
      <c r="H57" s="3"/>
      <c r="I57" s="3"/>
    </row>
    <row r="58" spans="5:43" x14ac:dyDescent="0.3">
      <c r="E58" s="32" t="s">
        <v>187</v>
      </c>
    </row>
    <row r="59" spans="5:43" x14ac:dyDescent="0.3">
      <c r="E59" s="29" t="s">
        <v>188</v>
      </c>
    </row>
    <row r="60" spans="5:43" x14ac:dyDescent="0.3">
      <c r="F60" s="23" t="s">
        <v>189</v>
      </c>
      <c r="G60" s="23" t="s">
        <v>190</v>
      </c>
      <c r="H60" s="23"/>
      <c r="I60" s="23"/>
      <c r="J60" s="246">
        <v>1</v>
      </c>
      <c r="K60" s="246">
        <v>1</v>
      </c>
      <c r="L60" s="246">
        <v>1</v>
      </c>
      <c r="M60" s="246">
        <v>1</v>
      </c>
      <c r="N60" s="246">
        <v>1</v>
      </c>
      <c r="O60" s="246">
        <v>1</v>
      </c>
      <c r="P60" s="246">
        <v>1</v>
      </c>
      <c r="Q60" s="246">
        <v>1</v>
      </c>
      <c r="R60" s="246">
        <v>-1</v>
      </c>
      <c r="S60" s="246">
        <v>-1</v>
      </c>
      <c r="T60" s="246">
        <v>-1</v>
      </c>
      <c r="U60" s="246">
        <v>-1</v>
      </c>
      <c r="V60" s="246">
        <v>-1</v>
      </c>
      <c r="W60" s="246">
        <v>-1</v>
      </c>
      <c r="X60" s="246">
        <v>-1</v>
      </c>
      <c r="Y60" s="246">
        <v>-1</v>
      </c>
    </row>
    <row r="61" spans="5:43" x14ac:dyDescent="0.3">
      <c r="F61" t="s">
        <v>191</v>
      </c>
      <c r="G61" t="s">
        <v>190</v>
      </c>
      <c r="J61" s="242">
        <v>1</v>
      </c>
      <c r="K61" s="242">
        <v>1</v>
      </c>
      <c r="L61" s="242">
        <v>1</v>
      </c>
      <c r="M61" s="242">
        <v>1</v>
      </c>
      <c r="N61" s="242">
        <v>1</v>
      </c>
      <c r="O61" s="242">
        <v>1</v>
      </c>
      <c r="P61" s="242">
        <v>1</v>
      </c>
      <c r="Q61" s="242">
        <v>1</v>
      </c>
      <c r="R61" s="242">
        <v>-1</v>
      </c>
      <c r="S61" s="242">
        <v>-1</v>
      </c>
      <c r="T61" s="242">
        <v>-1</v>
      </c>
      <c r="U61" s="242">
        <v>-1</v>
      </c>
      <c r="V61" s="242">
        <v>-1</v>
      </c>
      <c r="W61" s="242">
        <v>-1</v>
      </c>
      <c r="X61" s="242">
        <v>-1</v>
      </c>
      <c r="Y61" s="242">
        <v>-1</v>
      </c>
    </row>
    <row r="62" spans="5:43" x14ac:dyDescent="0.3">
      <c r="F62" t="s">
        <v>192</v>
      </c>
      <c r="G62" t="s">
        <v>190</v>
      </c>
      <c r="J62" s="242">
        <v>1</v>
      </c>
      <c r="K62" s="242">
        <v>1</v>
      </c>
      <c r="L62" s="242">
        <v>1</v>
      </c>
      <c r="M62" s="242">
        <v>1</v>
      </c>
      <c r="N62" s="242">
        <v>1</v>
      </c>
      <c r="O62" s="242">
        <v>1</v>
      </c>
      <c r="P62" s="242">
        <v>1</v>
      </c>
      <c r="Q62" s="242">
        <v>1</v>
      </c>
      <c r="R62" s="242">
        <v>-1</v>
      </c>
      <c r="S62" s="242">
        <v>-1</v>
      </c>
      <c r="T62" s="242">
        <v>-1</v>
      </c>
      <c r="U62" s="242">
        <v>-1</v>
      </c>
      <c r="V62" s="242">
        <v>-1</v>
      </c>
      <c r="W62" s="242">
        <v>-1</v>
      </c>
      <c r="X62" s="242">
        <v>-1</v>
      </c>
      <c r="Y62" s="242">
        <v>-1</v>
      </c>
    </row>
    <row r="63" spans="5:43" x14ac:dyDescent="0.3">
      <c r="F63" t="s">
        <v>193</v>
      </c>
      <c r="G63" t="s">
        <v>190</v>
      </c>
      <c r="J63" s="242">
        <v>1</v>
      </c>
      <c r="K63" s="242">
        <v>1</v>
      </c>
      <c r="L63" s="242">
        <v>1</v>
      </c>
      <c r="M63" s="242">
        <v>1</v>
      </c>
      <c r="N63" s="242">
        <v>1</v>
      </c>
      <c r="O63" s="242">
        <v>1</v>
      </c>
      <c r="P63" s="242">
        <v>1</v>
      </c>
      <c r="Q63" s="242">
        <v>1</v>
      </c>
      <c r="R63" s="242">
        <v>-1</v>
      </c>
      <c r="S63" s="242">
        <v>-1</v>
      </c>
      <c r="T63" s="242">
        <v>-1</v>
      </c>
      <c r="U63" s="242">
        <v>-1</v>
      </c>
      <c r="V63" s="242">
        <v>-1</v>
      </c>
      <c r="W63" s="242">
        <v>-1</v>
      </c>
      <c r="X63" s="242">
        <v>-1</v>
      </c>
      <c r="Y63" s="242">
        <v>-1</v>
      </c>
    </row>
    <row r="64" spans="5:43" x14ac:dyDescent="0.3">
      <c r="F64" t="s">
        <v>194</v>
      </c>
      <c r="G64" t="s">
        <v>190</v>
      </c>
      <c r="J64" s="242">
        <v>1</v>
      </c>
      <c r="K64" s="242">
        <v>1</v>
      </c>
      <c r="L64" s="242">
        <v>1</v>
      </c>
      <c r="M64" s="242">
        <v>1</v>
      </c>
      <c r="N64" s="242">
        <v>1</v>
      </c>
      <c r="O64" s="242">
        <v>1</v>
      </c>
      <c r="P64" s="242">
        <v>1</v>
      </c>
      <c r="Q64" s="242">
        <v>1</v>
      </c>
      <c r="R64" s="242">
        <v>-1</v>
      </c>
      <c r="S64" s="242">
        <v>-1</v>
      </c>
      <c r="T64" s="242">
        <v>-1</v>
      </c>
      <c r="U64" s="242">
        <v>-1</v>
      </c>
      <c r="V64" s="242">
        <v>-1</v>
      </c>
      <c r="W64" s="242">
        <v>-1</v>
      </c>
      <c r="X64" s="242">
        <v>-1</v>
      </c>
      <c r="Y64" s="242">
        <v>-1</v>
      </c>
    </row>
    <row r="65" spans="5:43" x14ac:dyDescent="0.3">
      <c r="F65" t="s">
        <v>195</v>
      </c>
      <c r="G65" t="s">
        <v>190</v>
      </c>
      <c r="J65" s="242">
        <v>1</v>
      </c>
      <c r="K65" s="242">
        <v>1</v>
      </c>
      <c r="L65" s="242">
        <v>1</v>
      </c>
      <c r="M65" s="242">
        <v>1</v>
      </c>
      <c r="N65" s="242">
        <v>1</v>
      </c>
      <c r="O65" s="242">
        <v>1</v>
      </c>
      <c r="P65" s="242">
        <v>1</v>
      </c>
      <c r="Q65" s="242">
        <v>1</v>
      </c>
      <c r="R65" s="242">
        <v>-1</v>
      </c>
      <c r="S65" s="242">
        <v>-1</v>
      </c>
      <c r="T65" s="242">
        <v>-1</v>
      </c>
      <c r="U65" s="242">
        <v>-1</v>
      </c>
      <c r="V65" s="242">
        <v>-1</v>
      </c>
      <c r="W65" s="242">
        <v>-1</v>
      </c>
      <c r="X65" s="242">
        <v>-1</v>
      </c>
      <c r="Y65" s="242">
        <v>-1</v>
      </c>
    </row>
    <row r="66" spans="5:43" x14ac:dyDescent="0.3">
      <c r="F66" t="s">
        <v>196</v>
      </c>
      <c r="G66" t="s">
        <v>190</v>
      </c>
      <c r="J66" s="242">
        <v>1</v>
      </c>
      <c r="K66" s="242">
        <v>1</v>
      </c>
      <c r="L66" s="242">
        <v>1</v>
      </c>
      <c r="M66" s="242">
        <v>1</v>
      </c>
      <c r="N66" s="242">
        <v>1</v>
      </c>
      <c r="O66" s="242">
        <v>1</v>
      </c>
      <c r="P66" s="242">
        <v>1</v>
      </c>
      <c r="Q66" s="242">
        <v>1</v>
      </c>
      <c r="R66" s="242">
        <v>-1</v>
      </c>
      <c r="S66" s="242">
        <v>-1</v>
      </c>
      <c r="T66" s="242">
        <v>-1</v>
      </c>
      <c r="U66" s="242">
        <v>-1</v>
      </c>
      <c r="V66" s="242">
        <v>-1</v>
      </c>
      <c r="W66" s="242">
        <v>-1</v>
      </c>
      <c r="X66" s="242">
        <v>-1</v>
      </c>
      <c r="Y66" s="242">
        <v>-1</v>
      </c>
    </row>
    <row r="67" spans="5:43" x14ac:dyDescent="0.3">
      <c r="F67" t="s">
        <v>197</v>
      </c>
      <c r="G67" t="s">
        <v>190</v>
      </c>
      <c r="J67" s="242">
        <v>1</v>
      </c>
      <c r="K67" s="242">
        <v>1</v>
      </c>
      <c r="L67" s="242">
        <v>1</v>
      </c>
      <c r="M67" s="242">
        <v>1</v>
      </c>
      <c r="N67" s="242">
        <v>1</v>
      </c>
      <c r="O67" s="242">
        <v>1</v>
      </c>
      <c r="P67" s="242">
        <v>1</v>
      </c>
      <c r="Q67" s="242">
        <v>1</v>
      </c>
      <c r="R67" s="242">
        <v>-1</v>
      </c>
      <c r="S67" s="242">
        <v>-1</v>
      </c>
      <c r="T67" s="242">
        <v>-1</v>
      </c>
      <c r="U67" s="242">
        <v>-1</v>
      </c>
      <c r="V67" s="242">
        <v>-1</v>
      </c>
      <c r="W67" s="242">
        <v>-1</v>
      </c>
      <c r="X67" s="242">
        <v>-1</v>
      </c>
      <c r="Y67" s="242">
        <v>-1</v>
      </c>
    </row>
    <row r="68" spans="5:43" x14ac:dyDescent="0.3">
      <c r="F68" t="s">
        <v>198</v>
      </c>
      <c r="G68" t="s">
        <v>190</v>
      </c>
      <c r="J68" s="242">
        <v>1</v>
      </c>
      <c r="K68" s="242">
        <v>1</v>
      </c>
      <c r="L68" s="242">
        <v>1</v>
      </c>
      <c r="M68" s="242">
        <v>1</v>
      </c>
      <c r="N68" s="242">
        <v>1</v>
      </c>
      <c r="O68" s="242">
        <v>1</v>
      </c>
      <c r="P68" s="242">
        <v>0</v>
      </c>
      <c r="Q68" s="242">
        <v>1</v>
      </c>
      <c r="R68" s="242">
        <v>-1</v>
      </c>
      <c r="S68" s="242">
        <v>-1</v>
      </c>
      <c r="T68" s="242">
        <v>-1</v>
      </c>
      <c r="U68" s="242">
        <v>-1</v>
      </c>
      <c r="V68" s="242">
        <v>-1</v>
      </c>
      <c r="W68" s="242">
        <v>-1</v>
      </c>
      <c r="X68" s="242">
        <v>0</v>
      </c>
      <c r="Y68" s="242">
        <v>0</v>
      </c>
    </row>
    <row r="69" spans="5:43" x14ac:dyDescent="0.3">
      <c r="F69" s="37" t="s">
        <v>199</v>
      </c>
      <c r="G69" s="37" t="s">
        <v>190</v>
      </c>
      <c r="H69" s="37"/>
      <c r="I69" s="37"/>
      <c r="J69" s="247">
        <v>1</v>
      </c>
      <c r="K69" s="247">
        <v>1</v>
      </c>
      <c r="L69" s="247">
        <v>1</v>
      </c>
      <c r="M69" s="247">
        <v>1</v>
      </c>
      <c r="N69" s="247">
        <v>1</v>
      </c>
      <c r="O69" s="247">
        <v>0</v>
      </c>
      <c r="P69" s="247">
        <v>0</v>
      </c>
      <c r="Q69" s="247">
        <v>1</v>
      </c>
      <c r="R69" s="247">
        <v>-1</v>
      </c>
      <c r="S69" s="247">
        <v>0</v>
      </c>
      <c r="T69" s="247">
        <v>-1</v>
      </c>
      <c r="U69" s="247">
        <v>-1</v>
      </c>
      <c r="V69" s="247">
        <v>0</v>
      </c>
      <c r="W69" s="247">
        <v>0</v>
      </c>
      <c r="X69" s="247">
        <v>0</v>
      </c>
      <c r="Y69" s="247">
        <v>0</v>
      </c>
    </row>
    <row r="71" spans="5:43" x14ac:dyDescent="0.3">
      <c r="E71" s="32" t="s">
        <v>200</v>
      </c>
      <c r="I71" t="s">
        <v>154</v>
      </c>
      <c r="AQ71" s="3" t="s">
        <v>201</v>
      </c>
    </row>
    <row r="72" spans="5:43" x14ac:dyDescent="0.3">
      <c r="E72" s="29" t="s">
        <v>202</v>
      </c>
    </row>
    <row r="73" spans="5:43" x14ac:dyDescent="0.3">
      <c r="E73" s="29"/>
      <c r="F73" s="23" t="s">
        <v>189</v>
      </c>
      <c r="G73" s="23" t="s">
        <v>190</v>
      </c>
      <c r="H73" s="23"/>
      <c r="I73" s="23"/>
      <c r="J73" s="246">
        <v>1</v>
      </c>
      <c r="K73" s="246">
        <v>1</v>
      </c>
      <c r="L73" s="246">
        <v>1</v>
      </c>
      <c r="M73" s="246">
        <v>1</v>
      </c>
      <c r="N73" s="246">
        <v>1</v>
      </c>
      <c r="O73" s="246">
        <v>1</v>
      </c>
      <c r="P73" s="246">
        <v>1</v>
      </c>
      <c r="Q73" s="246">
        <v>1</v>
      </c>
      <c r="R73" s="246">
        <v>-1</v>
      </c>
      <c r="S73" s="246">
        <v>-1</v>
      </c>
      <c r="T73" s="246">
        <v>-1</v>
      </c>
      <c r="U73" s="246">
        <v>-1</v>
      </c>
      <c r="V73" s="246">
        <v>-1</v>
      </c>
      <c r="W73" s="246">
        <v>-1</v>
      </c>
      <c r="X73" s="246">
        <v>-1</v>
      </c>
      <c r="Y73" s="246">
        <v>-1</v>
      </c>
    </row>
    <row r="74" spans="5:43" x14ac:dyDescent="0.3">
      <c r="E74" s="29"/>
      <c r="F74" t="s">
        <v>191</v>
      </c>
      <c r="G74" t="s">
        <v>190</v>
      </c>
      <c r="J74" s="242">
        <v>1</v>
      </c>
      <c r="K74" s="242">
        <v>1</v>
      </c>
      <c r="L74" s="242">
        <v>1</v>
      </c>
      <c r="M74" s="242">
        <v>1</v>
      </c>
      <c r="N74" s="242">
        <v>1</v>
      </c>
      <c r="O74" s="242">
        <v>1</v>
      </c>
      <c r="P74" s="242">
        <v>1</v>
      </c>
      <c r="Q74" s="242">
        <v>1</v>
      </c>
      <c r="R74" s="242">
        <v>-1</v>
      </c>
      <c r="S74" s="242">
        <v>-1</v>
      </c>
      <c r="T74" s="242">
        <v>-1</v>
      </c>
      <c r="U74" s="242">
        <v>-1</v>
      </c>
      <c r="V74" s="242">
        <v>-1</v>
      </c>
      <c r="W74" s="242">
        <v>-1</v>
      </c>
      <c r="X74" s="242">
        <v>-1</v>
      </c>
      <c r="Y74" s="242">
        <v>-1</v>
      </c>
    </row>
    <row r="75" spans="5:43" x14ac:dyDescent="0.3">
      <c r="E75" s="29"/>
      <c r="F75" t="s">
        <v>192</v>
      </c>
      <c r="G75" t="s">
        <v>190</v>
      </c>
      <c r="J75" s="242">
        <v>1</v>
      </c>
      <c r="K75" s="242">
        <v>1</v>
      </c>
      <c r="L75" s="242">
        <v>1</v>
      </c>
      <c r="M75" s="242">
        <v>1</v>
      </c>
      <c r="N75" s="242">
        <v>1</v>
      </c>
      <c r="O75" s="242">
        <v>1</v>
      </c>
      <c r="P75" s="242">
        <v>1</v>
      </c>
      <c r="Q75" s="242">
        <v>1</v>
      </c>
      <c r="R75" s="242">
        <v>-1</v>
      </c>
      <c r="S75" s="242">
        <v>-1</v>
      </c>
      <c r="T75" s="242">
        <v>-1</v>
      </c>
      <c r="U75" s="242">
        <v>-1</v>
      </c>
      <c r="V75" s="242">
        <v>-1</v>
      </c>
      <c r="W75" s="242">
        <v>-1</v>
      </c>
      <c r="X75" s="242">
        <v>-1</v>
      </c>
      <c r="Y75" s="242">
        <v>-1</v>
      </c>
    </row>
    <row r="76" spans="5:43" x14ac:dyDescent="0.3">
      <c r="E76" s="29"/>
      <c r="F76" t="s">
        <v>193</v>
      </c>
      <c r="G76" t="s">
        <v>190</v>
      </c>
      <c r="J76" s="242">
        <v>1</v>
      </c>
      <c r="K76" s="242">
        <v>1</v>
      </c>
      <c r="L76" s="242">
        <v>1</v>
      </c>
      <c r="M76" s="242">
        <v>1</v>
      </c>
      <c r="N76" s="242">
        <v>1</v>
      </c>
      <c r="O76" s="242">
        <v>1</v>
      </c>
      <c r="P76" s="242">
        <v>1</v>
      </c>
      <c r="Q76" s="242">
        <v>1</v>
      </c>
      <c r="R76" s="242">
        <v>-1</v>
      </c>
      <c r="S76" s="242">
        <v>-1</v>
      </c>
      <c r="T76" s="242">
        <v>-1</v>
      </c>
      <c r="U76" s="242">
        <v>-1</v>
      </c>
      <c r="V76" s="242">
        <v>-1</v>
      </c>
      <c r="W76" s="242">
        <v>-1</v>
      </c>
      <c r="X76" s="242">
        <v>-1</v>
      </c>
      <c r="Y76" s="242">
        <v>-1</v>
      </c>
    </row>
    <row r="77" spans="5:43" x14ac:dyDescent="0.3">
      <c r="E77" s="29"/>
      <c r="F77" t="s">
        <v>194</v>
      </c>
      <c r="G77" t="s">
        <v>190</v>
      </c>
      <c r="J77" s="242">
        <v>1</v>
      </c>
      <c r="K77" s="242">
        <v>1</v>
      </c>
      <c r="L77" s="242">
        <v>1</v>
      </c>
      <c r="M77" s="242">
        <v>1</v>
      </c>
      <c r="N77" s="242">
        <v>1</v>
      </c>
      <c r="O77" s="242">
        <v>1</v>
      </c>
      <c r="P77" s="242">
        <v>1</v>
      </c>
      <c r="Q77" s="242">
        <v>1</v>
      </c>
      <c r="R77" s="242">
        <v>-1</v>
      </c>
      <c r="S77" s="242">
        <v>-1</v>
      </c>
      <c r="T77" s="242">
        <v>-1</v>
      </c>
      <c r="U77" s="242">
        <v>-1</v>
      </c>
      <c r="V77" s="242">
        <v>-1</v>
      </c>
      <c r="W77" s="242">
        <v>-1</v>
      </c>
      <c r="X77" s="242">
        <v>-1</v>
      </c>
      <c r="Y77" s="242">
        <v>-1</v>
      </c>
    </row>
    <row r="78" spans="5:43" x14ac:dyDescent="0.3">
      <c r="E78" s="29"/>
      <c r="F78" t="s">
        <v>195</v>
      </c>
      <c r="G78" t="s">
        <v>190</v>
      </c>
      <c r="J78" s="242">
        <v>1</v>
      </c>
      <c r="K78" s="242">
        <v>1</v>
      </c>
      <c r="L78" s="242">
        <v>1</v>
      </c>
      <c r="M78" s="242">
        <v>1</v>
      </c>
      <c r="N78" s="242">
        <v>1</v>
      </c>
      <c r="O78" s="242">
        <v>1</v>
      </c>
      <c r="P78" s="242">
        <v>1</v>
      </c>
      <c r="Q78" s="242">
        <v>1</v>
      </c>
      <c r="R78" s="242">
        <v>-1</v>
      </c>
      <c r="S78" s="242">
        <v>-1</v>
      </c>
      <c r="T78" s="242">
        <v>-1</v>
      </c>
      <c r="U78" s="242">
        <v>-1</v>
      </c>
      <c r="V78" s="242">
        <v>-1</v>
      </c>
      <c r="W78" s="242">
        <v>-1</v>
      </c>
      <c r="X78" s="242">
        <v>-1</v>
      </c>
      <c r="Y78" s="242">
        <v>-1</v>
      </c>
    </row>
    <row r="79" spans="5:43" x14ac:dyDescent="0.3">
      <c r="E79" s="29"/>
      <c r="F79" t="s">
        <v>196</v>
      </c>
      <c r="G79" t="s">
        <v>190</v>
      </c>
      <c r="J79" s="242">
        <v>1</v>
      </c>
      <c r="K79" s="242">
        <v>1</v>
      </c>
      <c r="L79" s="242">
        <v>1</v>
      </c>
      <c r="M79" s="242">
        <v>1</v>
      </c>
      <c r="N79" s="242">
        <v>1</v>
      </c>
      <c r="O79" s="242">
        <v>1</v>
      </c>
      <c r="P79" s="242">
        <v>1</v>
      </c>
      <c r="Q79" s="242">
        <v>1</v>
      </c>
      <c r="R79" s="242">
        <v>-1</v>
      </c>
      <c r="S79" s="242">
        <v>-1</v>
      </c>
      <c r="T79" s="242">
        <v>-1</v>
      </c>
      <c r="U79" s="242">
        <v>-1</v>
      </c>
      <c r="V79" s="242">
        <v>-1</v>
      </c>
      <c r="W79" s="242">
        <v>-1</v>
      </c>
      <c r="X79" s="242">
        <v>-1</v>
      </c>
      <c r="Y79" s="242">
        <v>-1</v>
      </c>
    </row>
    <row r="80" spans="5:43" x14ac:dyDescent="0.3">
      <c r="E80" s="29"/>
      <c r="F80" t="s">
        <v>197</v>
      </c>
      <c r="G80" t="s">
        <v>190</v>
      </c>
      <c r="J80" s="242">
        <v>1</v>
      </c>
      <c r="K80" s="242">
        <v>1</v>
      </c>
      <c r="L80" s="242">
        <v>1</v>
      </c>
      <c r="M80" s="242">
        <v>1</v>
      </c>
      <c r="N80" s="242">
        <v>1</v>
      </c>
      <c r="O80" s="242">
        <v>1</v>
      </c>
      <c r="P80" s="242">
        <v>1</v>
      </c>
      <c r="Q80" s="242">
        <v>1</v>
      </c>
      <c r="R80" s="242">
        <v>-1</v>
      </c>
      <c r="S80" s="242">
        <v>-1</v>
      </c>
      <c r="T80" s="242">
        <v>-1</v>
      </c>
      <c r="U80" s="242">
        <v>-1</v>
      </c>
      <c r="V80" s="242">
        <v>-1</v>
      </c>
      <c r="W80" s="242">
        <v>-1</v>
      </c>
      <c r="X80" s="242">
        <v>0</v>
      </c>
      <c r="Y80" s="242">
        <v>0</v>
      </c>
    </row>
    <row r="81" spans="3:43" x14ac:dyDescent="0.3">
      <c r="E81" s="29"/>
      <c r="F81" t="s">
        <v>198</v>
      </c>
      <c r="G81" t="s">
        <v>190</v>
      </c>
      <c r="J81" s="242">
        <v>1</v>
      </c>
      <c r="K81" s="242">
        <v>1</v>
      </c>
      <c r="L81" s="242">
        <v>1</v>
      </c>
      <c r="M81" s="242">
        <v>1</v>
      </c>
      <c r="N81" s="242">
        <v>1</v>
      </c>
      <c r="O81" s="242">
        <v>1</v>
      </c>
      <c r="P81" s="242">
        <v>0</v>
      </c>
      <c r="Q81" s="242">
        <v>1</v>
      </c>
      <c r="R81" s="242">
        <v>-1</v>
      </c>
      <c r="S81" s="242">
        <v>0</v>
      </c>
      <c r="T81" s="242">
        <v>-1</v>
      </c>
      <c r="U81" s="242">
        <v>-1</v>
      </c>
      <c r="V81" s="242">
        <v>0</v>
      </c>
      <c r="W81" s="242">
        <v>0</v>
      </c>
      <c r="X81" s="242">
        <v>0</v>
      </c>
      <c r="Y81" s="242">
        <v>0</v>
      </c>
    </row>
    <row r="82" spans="3:43" x14ac:dyDescent="0.3">
      <c r="E82" s="29"/>
      <c r="F82" s="37" t="s">
        <v>199</v>
      </c>
      <c r="G82" s="37" t="s">
        <v>190</v>
      </c>
      <c r="H82" s="37"/>
      <c r="I82" s="37"/>
      <c r="J82" s="247">
        <v>1</v>
      </c>
      <c r="K82" s="247">
        <v>1</v>
      </c>
      <c r="L82" s="247">
        <v>1</v>
      </c>
      <c r="M82" s="247">
        <v>1</v>
      </c>
      <c r="N82" s="247">
        <v>1</v>
      </c>
      <c r="O82" s="247">
        <v>0</v>
      </c>
      <c r="P82" s="247">
        <v>0</v>
      </c>
      <c r="Q82" s="247">
        <v>1</v>
      </c>
      <c r="R82" s="247">
        <v>0</v>
      </c>
      <c r="S82" s="247">
        <v>0</v>
      </c>
      <c r="T82" s="247">
        <v>0</v>
      </c>
      <c r="U82" s="247">
        <v>0</v>
      </c>
      <c r="V82" s="247">
        <v>0</v>
      </c>
      <c r="W82" s="247">
        <v>0</v>
      </c>
      <c r="X82" s="247">
        <v>0</v>
      </c>
      <c r="Y82" s="247">
        <v>0</v>
      </c>
    </row>
    <row r="84" spans="3:43" x14ac:dyDescent="0.3">
      <c r="C84" s="31" t="str">
        <f ca="1">INDEX('Version control'!$H$34:$H$57,MATCH($A$1,'Version control'!$F$34:$F$57,0),1)&amp;"-E: Standing charge factors"</f>
        <v>Input 101-E: Standing charge factors</v>
      </c>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row>
    <row r="86" spans="3:43" x14ac:dyDescent="0.3">
      <c r="E86" s="32" t="s">
        <v>120</v>
      </c>
      <c r="F86" s="32"/>
      <c r="I86" t="s">
        <v>154</v>
      </c>
      <c r="AQ86" t="s">
        <v>203</v>
      </c>
    </row>
    <row r="87" spans="3:43" x14ac:dyDescent="0.3">
      <c r="E87" s="29" t="s">
        <v>863</v>
      </c>
      <c r="F87" s="29"/>
    </row>
    <row r="88" spans="3:43" x14ac:dyDescent="0.3">
      <c r="E88" s="29"/>
      <c r="F88" s="23" t="s">
        <v>189</v>
      </c>
      <c r="G88" s="23" t="s">
        <v>167</v>
      </c>
      <c r="H88" s="23"/>
      <c r="I88" s="23"/>
      <c r="J88" s="65"/>
      <c r="K88" s="65"/>
      <c r="L88" s="65"/>
      <c r="M88" s="65"/>
      <c r="N88" s="65"/>
      <c r="O88" s="65"/>
      <c r="P88" s="65"/>
      <c r="Q88" s="65"/>
      <c r="R88" s="65"/>
      <c r="S88" s="65"/>
      <c r="T88" s="65"/>
      <c r="U88" s="65"/>
      <c r="V88" s="65"/>
      <c r="W88" s="65"/>
      <c r="X88" s="65"/>
      <c r="Y88" s="65"/>
    </row>
    <row r="89" spans="3:43" x14ac:dyDescent="0.3">
      <c r="E89" s="29"/>
      <c r="F89" t="s">
        <v>191</v>
      </c>
      <c r="G89" t="s">
        <v>167</v>
      </c>
      <c r="J89" s="66"/>
      <c r="K89" s="66"/>
      <c r="L89" s="66"/>
      <c r="M89" s="66"/>
      <c r="N89" s="66"/>
      <c r="O89" s="66"/>
      <c r="P89" s="66"/>
      <c r="Q89" s="66"/>
      <c r="R89" s="66"/>
      <c r="S89" s="66"/>
      <c r="T89" s="66"/>
      <c r="U89" s="66"/>
      <c r="V89" s="66"/>
      <c r="W89" s="66"/>
      <c r="X89" s="66"/>
      <c r="Y89" s="66"/>
    </row>
    <row r="90" spans="3:43" x14ac:dyDescent="0.3">
      <c r="E90" s="29"/>
      <c r="F90" t="s">
        <v>192</v>
      </c>
      <c r="G90" t="s">
        <v>167</v>
      </c>
      <c r="J90" s="70"/>
      <c r="K90" s="70"/>
      <c r="L90" s="70"/>
      <c r="M90" s="70"/>
      <c r="N90" s="70"/>
      <c r="O90" s="70"/>
      <c r="P90" s="70"/>
      <c r="Q90" s="70"/>
      <c r="R90" s="66"/>
      <c r="S90" s="66"/>
      <c r="T90" s="66"/>
      <c r="U90" s="66"/>
      <c r="V90" s="66"/>
      <c r="W90" s="66"/>
      <c r="X90" s="66"/>
      <c r="Y90" s="66"/>
    </row>
    <row r="91" spans="3:43" x14ac:dyDescent="0.3">
      <c r="E91" s="29"/>
      <c r="F91" t="s">
        <v>193</v>
      </c>
      <c r="G91" t="s">
        <v>167</v>
      </c>
      <c r="J91" s="70"/>
      <c r="K91" s="70"/>
      <c r="L91" s="70"/>
      <c r="M91" s="70"/>
      <c r="N91" s="70"/>
      <c r="O91" s="70"/>
      <c r="P91" s="70"/>
      <c r="Q91" s="70"/>
      <c r="R91" s="66"/>
      <c r="S91" s="66"/>
      <c r="T91" s="66"/>
      <c r="U91" s="66"/>
      <c r="V91" s="66"/>
      <c r="W91" s="66"/>
      <c r="X91" s="66"/>
      <c r="Y91" s="66"/>
    </row>
    <row r="92" spans="3:43" x14ac:dyDescent="0.3">
      <c r="E92" s="29"/>
      <c r="F92" t="s">
        <v>194</v>
      </c>
      <c r="G92" t="s">
        <v>167</v>
      </c>
      <c r="J92" s="70"/>
      <c r="K92" s="70"/>
      <c r="L92" s="70"/>
      <c r="M92" s="70"/>
      <c r="N92" s="70"/>
      <c r="O92" s="70"/>
      <c r="P92" s="248">
        <v>0.2</v>
      </c>
      <c r="Q92" s="70"/>
      <c r="R92" s="66"/>
      <c r="S92" s="66"/>
      <c r="T92" s="66"/>
      <c r="U92" s="66"/>
      <c r="V92" s="66"/>
      <c r="W92" s="66"/>
      <c r="X92" s="66"/>
      <c r="Y92" s="66"/>
    </row>
    <row r="93" spans="3:43" x14ac:dyDescent="0.3">
      <c r="E93" s="29"/>
      <c r="F93" t="s">
        <v>195</v>
      </c>
      <c r="G93" t="s">
        <v>167</v>
      </c>
      <c r="J93" s="70"/>
      <c r="K93" s="70"/>
      <c r="L93" s="70"/>
      <c r="M93" s="70"/>
      <c r="N93" s="70"/>
      <c r="O93" s="70"/>
      <c r="P93" s="248">
        <v>1</v>
      </c>
      <c r="Q93" s="70"/>
      <c r="R93" s="66"/>
      <c r="S93" s="66"/>
      <c r="T93" s="66"/>
      <c r="U93" s="66"/>
      <c r="V93" s="66"/>
      <c r="W93" s="66"/>
      <c r="X93" s="66"/>
      <c r="Y93" s="66"/>
    </row>
    <row r="94" spans="3:43" x14ac:dyDescent="0.3">
      <c r="E94" s="29"/>
      <c r="F94" t="s">
        <v>196</v>
      </c>
      <c r="G94" t="s">
        <v>167</v>
      </c>
      <c r="J94" s="70"/>
      <c r="K94" s="70"/>
      <c r="L94" s="70"/>
      <c r="M94" s="70"/>
      <c r="N94" s="70"/>
      <c r="O94" s="70"/>
      <c r="P94" s="70"/>
      <c r="Q94" s="70"/>
      <c r="R94" s="66"/>
      <c r="S94" s="66"/>
      <c r="T94" s="66"/>
      <c r="U94" s="66"/>
      <c r="V94" s="66"/>
      <c r="W94" s="66"/>
      <c r="X94" s="66"/>
      <c r="Y94" s="66"/>
    </row>
    <row r="95" spans="3:43" x14ac:dyDescent="0.3">
      <c r="E95" s="29"/>
      <c r="F95" t="s">
        <v>197</v>
      </c>
      <c r="G95" t="s">
        <v>167</v>
      </c>
      <c r="J95" s="70"/>
      <c r="K95" s="70"/>
      <c r="L95" s="70"/>
      <c r="M95" s="70"/>
      <c r="N95" s="248">
        <v>0.2</v>
      </c>
      <c r="O95" s="248">
        <v>1</v>
      </c>
      <c r="P95" s="248">
        <v>1</v>
      </c>
      <c r="Q95" s="70"/>
      <c r="R95" s="66"/>
      <c r="S95" s="66"/>
      <c r="T95" s="66"/>
      <c r="U95" s="66"/>
      <c r="V95" s="66"/>
      <c r="W95" s="66"/>
      <c r="X95" s="66"/>
      <c r="Y95" s="66"/>
    </row>
    <row r="96" spans="3:43" x14ac:dyDescent="0.3">
      <c r="E96" s="29"/>
      <c r="F96" t="s">
        <v>198</v>
      </c>
      <c r="G96" t="s">
        <v>167</v>
      </c>
      <c r="J96" s="70"/>
      <c r="K96" s="70"/>
      <c r="L96" s="70"/>
      <c r="M96" s="70"/>
      <c r="N96" s="248">
        <v>1</v>
      </c>
      <c r="O96" s="248">
        <v>1</v>
      </c>
      <c r="P96" s="70"/>
      <c r="Q96" s="70"/>
      <c r="R96" s="66"/>
      <c r="S96" s="66"/>
      <c r="T96" s="66"/>
      <c r="U96" s="66"/>
      <c r="V96" s="66"/>
      <c r="W96" s="66"/>
      <c r="X96" s="66"/>
      <c r="Y96" s="66"/>
    </row>
    <row r="97" spans="3:43" x14ac:dyDescent="0.3">
      <c r="E97" s="29"/>
      <c r="F97" s="37" t="s">
        <v>199</v>
      </c>
      <c r="G97" s="37" t="s">
        <v>167</v>
      </c>
      <c r="H97" s="37"/>
      <c r="I97" s="37"/>
      <c r="J97" s="249">
        <v>1</v>
      </c>
      <c r="K97" s="249">
        <v>1</v>
      </c>
      <c r="L97" s="249">
        <v>1</v>
      </c>
      <c r="M97" s="249">
        <v>1</v>
      </c>
      <c r="N97" s="249">
        <v>1</v>
      </c>
      <c r="O97" s="71"/>
      <c r="P97" s="71"/>
      <c r="Q97" s="249">
        <v>0</v>
      </c>
      <c r="R97" s="68"/>
      <c r="S97" s="68"/>
      <c r="T97" s="68"/>
      <c r="U97" s="68"/>
      <c r="V97" s="68"/>
      <c r="W97" s="68"/>
      <c r="X97" s="68"/>
      <c r="Y97" s="68"/>
    </row>
    <row r="99" spans="3:43" x14ac:dyDescent="0.3">
      <c r="C99" s="31" t="str">
        <f ca="1">INDEX('Version control'!$H$34:$H$57,MATCH($A$1,'Version control'!$F$34:$F$57,0),1)&amp;"-F: Flags"</f>
        <v>Input 101-F: Flags</v>
      </c>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1"/>
      <c r="AM99" s="31"/>
      <c r="AN99" s="31"/>
      <c r="AO99" s="31"/>
      <c r="AP99" s="31"/>
      <c r="AQ99" s="31"/>
    </row>
    <row r="101" spans="3:43" x14ac:dyDescent="0.3">
      <c r="D101" s="32" t="s">
        <v>204</v>
      </c>
      <c r="E101" s="32"/>
    </row>
    <row r="102" spans="3:43" x14ac:dyDescent="0.3">
      <c r="D102" s="29" t="s">
        <v>205</v>
      </c>
      <c r="E102" s="29"/>
    </row>
    <row r="103" spans="3:43" x14ac:dyDescent="0.3">
      <c r="D103" s="29" t="s">
        <v>206</v>
      </c>
      <c r="E103" s="29"/>
    </row>
    <row r="104" spans="3:43" x14ac:dyDescent="0.3">
      <c r="D104" s="29"/>
      <c r="E104" s="32" t="s">
        <v>207</v>
      </c>
    </row>
    <row r="105" spans="3:43" x14ac:dyDescent="0.3">
      <c r="D105" s="29"/>
      <c r="F105" s="28" t="s">
        <v>208</v>
      </c>
      <c r="G105" t="s">
        <v>209</v>
      </c>
      <c r="I105" t="s">
        <v>154</v>
      </c>
      <c r="J105" s="250" t="b">
        <v>0</v>
      </c>
      <c r="K105" s="250" t="b">
        <v>0</v>
      </c>
      <c r="L105" s="250" t="b">
        <v>0</v>
      </c>
      <c r="M105" s="250" t="b">
        <v>0</v>
      </c>
      <c r="N105" s="250" t="b">
        <v>0</v>
      </c>
      <c r="O105" s="250" t="b">
        <v>0</v>
      </c>
      <c r="P105" s="250" t="b">
        <v>0</v>
      </c>
      <c r="Q105" s="250" t="b">
        <v>0</v>
      </c>
      <c r="R105" s="250" t="b">
        <v>1</v>
      </c>
      <c r="S105" s="250" t="b">
        <v>1</v>
      </c>
      <c r="T105" s="250" t="b">
        <v>1</v>
      </c>
      <c r="U105" s="250" t="b">
        <v>1</v>
      </c>
      <c r="V105" s="250" t="b">
        <v>1</v>
      </c>
      <c r="W105" s="250" t="b">
        <v>1</v>
      </c>
      <c r="X105" s="250" t="b">
        <v>1</v>
      </c>
      <c r="Y105" s="250" t="b">
        <v>1</v>
      </c>
      <c r="AQ105" t="s">
        <v>210</v>
      </c>
    </row>
    <row r="106" spans="3:43" x14ac:dyDescent="0.3">
      <c r="D106" s="29"/>
      <c r="E106" s="28"/>
      <c r="F106" s="28" t="s">
        <v>211</v>
      </c>
      <c r="G106" t="s">
        <v>167</v>
      </c>
      <c r="J106" s="70"/>
      <c r="K106" s="70"/>
      <c r="L106" s="70"/>
      <c r="M106" s="70"/>
      <c r="N106" s="70"/>
      <c r="O106" s="70"/>
      <c r="P106" s="70"/>
      <c r="Q106" s="70"/>
      <c r="R106" s="251">
        <v>0</v>
      </c>
      <c r="S106" s="251">
        <v>0</v>
      </c>
      <c r="T106" s="251">
        <v>0</v>
      </c>
      <c r="U106" s="251">
        <v>0</v>
      </c>
      <c r="V106" s="251">
        <v>0</v>
      </c>
      <c r="W106" s="251">
        <v>0</v>
      </c>
      <c r="X106" s="251">
        <v>0</v>
      </c>
      <c r="Y106" s="251">
        <v>0</v>
      </c>
    </row>
    <row r="107" spans="3:43" x14ac:dyDescent="0.3">
      <c r="D107" s="29"/>
      <c r="E107" s="28"/>
      <c r="F107" s="28"/>
      <c r="J107" s="14"/>
      <c r="K107" s="14"/>
      <c r="L107" s="14"/>
      <c r="M107" s="14"/>
      <c r="N107" s="14"/>
      <c r="O107" s="14"/>
      <c r="P107" s="14"/>
      <c r="Q107" s="14"/>
      <c r="R107" s="14"/>
      <c r="S107" s="14"/>
      <c r="T107" s="14"/>
      <c r="U107" s="14"/>
      <c r="V107" s="14"/>
      <c r="W107" s="14"/>
      <c r="X107" s="14"/>
      <c r="Y107" s="14"/>
    </row>
    <row r="108" spans="3:43" x14ac:dyDescent="0.3">
      <c r="D108" s="29"/>
      <c r="E108" s="32" t="s">
        <v>212</v>
      </c>
      <c r="F108" s="28"/>
      <c r="J108" s="14"/>
      <c r="K108" s="14"/>
      <c r="L108" s="14"/>
      <c r="M108" s="14"/>
      <c r="N108" s="14"/>
      <c r="O108" s="14"/>
      <c r="P108" s="14"/>
      <c r="Q108" s="14"/>
      <c r="R108" s="14"/>
      <c r="S108" s="14"/>
      <c r="T108" s="14"/>
      <c r="U108" s="14"/>
      <c r="V108" s="14"/>
      <c r="W108" s="14"/>
      <c r="X108" s="14"/>
      <c r="Y108" s="14"/>
    </row>
    <row r="109" spans="3:43" x14ac:dyDescent="0.3">
      <c r="D109" s="29"/>
      <c r="F109" s="28" t="s">
        <v>208</v>
      </c>
      <c r="G109" t="s">
        <v>209</v>
      </c>
      <c r="J109" s="250" t="b">
        <v>0</v>
      </c>
      <c r="K109" s="250" t="b">
        <v>0</v>
      </c>
      <c r="L109" s="250" t="b">
        <v>0</v>
      </c>
      <c r="M109" s="250" t="b">
        <v>0</v>
      </c>
      <c r="N109" s="250" t="b">
        <v>0</v>
      </c>
      <c r="O109" s="250" t="b">
        <v>0</v>
      </c>
      <c r="P109" s="250" t="b">
        <v>0</v>
      </c>
      <c r="Q109" s="250" t="b">
        <v>0</v>
      </c>
      <c r="R109" s="250" t="b">
        <v>1</v>
      </c>
      <c r="S109" s="250" t="b">
        <v>1</v>
      </c>
      <c r="T109" s="250" t="b">
        <v>1</v>
      </c>
      <c r="U109" s="250" t="b">
        <v>1</v>
      </c>
      <c r="V109" s="250" t="b">
        <v>1</v>
      </c>
      <c r="W109" s="250" t="b">
        <v>1</v>
      </c>
      <c r="X109" s="250" t="b">
        <v>1</v>
      </c>
      <c r="Y109" s="250" t="b">
        <v>1</v>
      </c>
    </row>
    <row r="110" spans="3:43" x14ac:dyDescent="0.3">
      <c r="D110" s="29"/>
      <c r="E110" s="28"/>
      <c r="F110" s="28" t="s">
        <v>211</v>
      </c>
      <c r="G110" t="s">
        <v>167</v>
      </c>
      <c r="J110" s="70"/>
      <c r="K110" s="70"/>
      <c r="L110" s="70"/>
      <c r="M110" s="70"/>
      <c r="N110" s="70"/>
      <c r="O110" s="70"/>
      <c r="P110" s="70"/>
      <c r="Q110" s="70"/>
      <c r="R110" s="251">
        <v>1</v>
      </c>
      <c r="S110" s="251">
        <v>1</v>
      </c>
      <c r="T110" s="251">
        <v>1</v>
      </c>
      <c r="U110" s="251">
        <v>1</v>
      </c>
      <c r="V110" s="251">
        <v>1</v>
      </c>
      <c r="W110" s="251">
        <v>1</v>
      </c>
      <c r="X110" s="251">
        <v>1</v>
      </c>
      <c r="Y110" s="251">
        <v>1</v>
      </c>
    </row>
    <row r="111" spans="3:43" x14ac:dyDescent="0.3">
      <c r="D111" s="29"/>
      <c r="E111" s="28"/>
      <c r="F111" s="28"/>
      <c r="J111" s="14"/>
      <c r="K111" s="14"/>
      <c r="L111" s="14"/>
      <c r="M111" s="14"/>
      <c r="N111" s="14"/>
      <c r="O111" s="14"/>
      <c r="P111" s="14"/>
      <c r="Q111" s="14"/>
      <c r="R111" s="14"/>
      <c r="S111" s="14"/>
      <c r="T111" s="14"/>
      <c r="U111" s="14"/>
      <c r="V111" s="14"/>
      <c r="W111" s="14"/>
      <c r="X111" s="14"/>
      <c r="Y111" s="14"/>
    </row>
    <row r="112" spans="3:43" x14ac:dyDescent="0.3">
      <c r="D112" s="29"/>
      <c r="E112" s="32" t="s">
        <v>213</v>
      </c>
      <c r="F112" s="28"/>
      <c r="J112" s="14"/>
      <c r="K112" s="14"/>
      <c r="L112" s="14"/>
      <c r="M112" s="14"/>
      <c r="N112" s="14"/>
      <c r="O112" s="14"/>
      <c r="P112" s="14"/>
      <c r="Q112" s="14"/>
      <c r="R112" s="14"/>
      <c r="S112" s="14"/>
      <c r="T112" s="14"/>
      <c r="U112" s="14"/>
      <c r="V112" s="14"/>
      <c r="W112" s="14"/>
      <c r="X112" s="14"/>
      <c r="Y112" s="14"/>
    </row>
    <row r="113" spans="4:25" x14ac:dyDescent="0.3">
      <c r="D113" s="29"/>
      <c r="F113" s="28" t="s">
        <v>208</v>
      </c>
      <c r="G113" t="s">
        <v>209</v>
      </c>
      <c r="J113" s="250" t="b">
        <v>0</v>
      </c>
      <c r="K113" s="250" t="b">
        <v>0</v>
      </c>
      <c r="L113" s="250" t="b">
        <v>0</v>
      </c>
      <c r="M113" s="250" t="b">
        <v>0</v>
      </c>
      <c r="N113" s="250" t="b">
        <v>0</v>
      </c>
      <c r="O113" s="250" t="b">
        <v>0</v>
      </c>
      <c r="P113" s="250" t="b">
        <v>0</v>
      </c>
      <c r="Q113" s="250" t="b">
        <v>0</v>
      </c>
      <c r="R113" s="250" t="b">
        <v>1</v>
      </c>
      <c r="S113" s="250" t="b">
        <v>1</v>
      </c>
      <c r="T113" s="250" t="b">
        <v>1</v>
      </c>
      <c r="U113" s="250" t="b">
        <v>1</v>
      </c>
      <c r="V113" s="250" t="b">
        <v>1</v>
      </c>
      <c r="W113" s="250" t="b">
        <v>1</v>
      </c>
      <c r="X113" s="250" t="b">
        <v>1</v>
      </c>
      <c r="Y113" s="250" t="b">
        <v>1</v>
      </c>
    </row>
    <row r="114" spans="4:25" x14ac:dyDescent="0.3">
      <c r="D114" s="29"/>
      <c r="E114" s="28"/>
      <c r="F114" s="28" t="s">
        <v>211</v>
      </c>
      <c r="G114" t="s">
        <v>167</v>
      </c>
      <c r="J114" s="70"/>
      <c r="K114" s="70"/>
      <c r="L114" s="70"/>
      <c r="M114" s="70"/>
      <c r="N114" s="70"/>
      <c r="O114" s="70"/>
      <c r="P114" s="70"/>
      <c r="Q114" s="70"/>
      <c r="R114" s="251">
        <v>0</v>
      </c>
      <c r="S114" s="251">
        <v>0</v>
      </c>
      <c r="T114" s="251">
        <v>0</v>
      </c>
      <c r="U114" s="251">
        <v>0</v>
      </c>
      <c r="V114" s="251">
        <v>0</v>
      </c>
      <c r="W114" s="251">
        <v>0</v>
      </c>
      <c r="X114" s="251">
        <v>0</v>
      </c>
      <c r="Y114" s="251">
        <v>0</v>
      </c>
    </row>
    <row r="115" spans="4:25" x14ac:dyDescent="0.3">
      <c r="D115" s="29"/>
      <c r="E115" s="28"/>
      <c r="F115" s="28"/>
      <c r="J115" s="14"/>
      <c r="K115" s="14"/>
      <c r="L115" s="14"/>
      <c r="M115" s="14"/>
      <c r="N115" s="14"/>
      <c r="O115" s="14"/>
      <c r="P115" s="14"/>
      <c r="Q115" s="14"/>
      <c r="R115" s="14"/>
      <c r="S115" s="14"/>
      <c r="T115" s="14"/>
      <c r="U115" s="14"/>
      <c r="V115" s="14"/>
      <c r="W115" s="14"/>
      <c r="X115" s="14"/>
      <c r="Y115" s="14"/>
    </row>
    <row r="116" spans="4:25" x14ac:dyDescent="0.3">
      <c r="D116" s="29"/>
      <c r="E116" s="32" t="s">
        <v>214</v>
      </c>
      <c r="F116" s="28"/>
      <c r="J116" s="14"/>
      <c r="K116" s="14"/>
      <c r="L116" s="14"/>
      <c r="M116" s="14"/>
      <c r="N116" s="14"/>
      <c r="O116" s="14"/>
      <c r="P116" s="14"/>
      <c r="Q116" s="14"/>
      <c r="R116" s="14"/>
      <c r="S116" s="14"/>
      <c r="T116" s="14"/>
      <c r="U116" s="14"/>
      <c r="V116" s="14"/>
      <c r="W116" s="14"/>
      <c r="X116" s="14"/>
      <c r="Y116" s="14"/>
    </row>
    <row r="117" spans="4:25" x14ac:dyDescent="0.3">
      <c r="D117" s="29"/>
      <c r="F117" s="28" t="s">
        <v>208</v>
      </c>
      <c r="G117" t="s">
        <v>209</v>
      </c>
      <c r="J117" s="250" t="b">
        <v>0</v>
      </c>
      <c r="K117" s="250" t="b">
        <v>0</v>
      </c>
      <c r="L117" s="250" t="b">
        <v>0</v>
      </c>
      <c r="M117" s="250" t="b">
        <v>0</v>
      </c>
      <c r="N117" s="250" t="b">
        <v>0</v>
      </c>
      <c r="O117" s="250" t="b">
        <v>0</v>
      </c>
      <c r="P117" s="250" t="b">
        <v>0</v>
      </c>
      <c r="Q117" s="250" t="b">
        <v>0</v>
      </c>
      <c r="R117" s="250" t="b">
        <v>1</v>
      </c>
      <c r="S117" s="250" t="b">
        <v>1</v>
      </c>
      <c r="T117" s="250" t="b">
        <v>1</v>
      </c>
      <c r="U117" s="250" t="b">
        <v>1</v>
      </c>
      <c r="V117" s="250" t="b">
        <v>1</v>
      </c>
      <c r="W117" s="250" t="b">
        <v>1</v>
      </c>
      <c r="X117" s="250" t="b">
        <v>1</v>
      </c>
      <c r="Y117" s="250" t="b">
        <v>1</v>
      </c>
    </row>
    <row r="118" spans="4:25" x14ac:dyDescent="0.3">
      <c r="D118" s="29"/>
      <c r="E118" s="28"/>
      <c r="F118" s="28" t="s">
        <v>211</v>
      </c>
      <c r="G118" t="s">
        <v>167</v>
      </c>
      <c r="J118" s="70"/>
      <c r="K118" s="70"/>
      <c r="L118" s="70"/>
      <c r="M118" s="70"/>
      <c r="N118" s="70"/>
      <c r="O118" s="70"/>
      <c r="P118" s="70"/>
      <c r="Q118" s="70"/>
      <c r="R118" s="251">
        <v>0</v>
      </c>
      <c r="S118" s="251">
        <v>0</v>
      </c>
      <c r="T118" s="251">
        <v>0</v>
      </c>
      <c r="U118" s="251">
        <v>0</v>
      </c>
      <c r="V118" s="251">
        <v>0</v>
      </c>
      <c r="W118" s="251">
        <v>0</v>
      </c>
      <c r="X118" s="251">
        <v>0</v>
      </c>
      <c r="Y118" s="251">
        <v>0</v>
      </c>
    </row>
    <row r="119" spans="4:25" x14ac:dyDescent="0.3">
      <c r="D119" s="29"/>
      <c r="E119" s="28"/>
      <c r="F119" s="28"/>
      <c r="J119" s="14"/>
      <c r="K119" s="14"/>
      <c r="L119" s="14"/>
      <c r="M119" s="14"/>
      <c r="N119" s="14"/>
      <c r="O119" s="14"/>
      <c r="P119" s="14"/>
      <c r="Q119" s="14"/>
      <c r="R119" s="14"/>
      <c r="S119" s="14"/>
      <c r="T119" s="14"/>
      <c r="U119" s="14"/>
      <c r="V119" s="14"/>
      <c r="W119" s="14"/>
      <c r="X119" s="14"/>
      <c r="Y119" s="14"/>
    </row>
    <row r="120" spans="4:25" x14ac:dyDescent="0.3">
      <c r="D120" s="29"/>
      <c r="E120" s="32" t="s">
        <v>215</v>
      </c>
      <c r="F120" s="28"/>
      <c r="J120" s="14"/>
      <c r="K120" s="14"/>
      <c r="L120" s="14"/>
      <c r="M120" s="14"/>
      <c r="N120" s="14"/>
      <c r="O120" s="14"/>
      <c r="P120" s="14"/>
      <c r="Q120" s="14"/>
      <c r="R120" s="14"/>
      <c r="S120" s="14"/>
      <c r="T120" s="14"/>
      <c r="U120" s="14"/>
      <c r="V120" s="14"/>
      <c r="W120" s="14"/>
      <c r="X120" s="14"/>
      <c r="Y120" s="14"/>
    </row>
    <row r="121" spans="4:25" x14ac:dyDescent="0.3">
      <c r="D121" s="29"/>
      <c r="F121" s="28" t="s">
        <v>208</v>
      </c>
      <c r="G121" t="s">
        <v>209</v>
      </c>
      <c r="J121" s="250" t="b">
        <v>0</v>
      </c>
      <c r="K121" s="250" t="b">
        <v>0</v>
      </c>
      <c r="L121" s="250" t="b">
        <v>0</v>
      </c>
      <c r="M121" s="250" t="b">
        <v>0</v>
      </c>
      <c r="N121" s="250" t="b">
        <v>0</v>
      </c>
      <c r="O121" s="250" t="b">
        <v>0</v>
      </c>
      <c r="P121" s="250" t="b">
        <v>0</v>
      </c>
      <c r="Q121" s="250" t="b">
        <v>0</v>
      </c>
      <c r="R121" s="250" t="b">
        <v>1</v>
      </c>
      <c r="S121" s="250" t="b">
        <v>1</v>
      </c>
      <c r="T121" s="250" t="b">
        <v>1</v>
      </c>
      <c r="U121" s="250" t="b">
        <v>1</v>
      </c>
      <c r="V121" s="250" t="b">
        <v>1</v>
      </c>
      <c r="W121" s="250" t="b">
        <v>1</v>
      </c>
      <c r="X121" s="250" t="b">
        <v>1</v>
      </c>
      <c r="Y121" s="250" t="b">
        <v>1</v>
      </c>
    </row>
    <row r="122" spans="4:25" x14ac:dyDescent="0.3">
      <c r="D122" s="29"/>
      <c r="E122" s="28"/>
      <c r="F122" s="28" t="s">
        <v>211</v>
      </c>
      <c r="G122" t="s">
        <v>167</v>
      </c>
      <c r="J122" s="70"/>
      <c r="K122" s="70"/>
      <c r="L122" s="70"/>
      <c r="M122" s="70"/>
      <c r="N122" s="70"/>
      <c r="O122" s="70"/>
      <c r="P122" s="70"/>
      <c r="Q122" s="70"/>
      <c r="R122" s="251">
        <v>0</v>
      </c>
      <c r="S122" s="251">
        <v>0</v>
      </c>
      <c r="T122" s="251">
        <v>0</v>
      </c>
      <c r="U122" s="251">
        <v>0</v>
      </c>
      <c r="V122" s="251">
        <v>0</v>
      </c>
      <c r="W122" s="251">
        <v>0</v>
      </c>
      <c r="X122" s="251">
        <v>0</v>
      </c>
      <c r="Y122" s="251">
        <v>0</v>
      </c>
    </row>
    <row r="123" spans="4:25" x14ac:dyDescent="0.3">
      <c r="D123" s="29"/>
      <c r="E123" s="29"/>
      <c r="J123" s="14"/>
      <c r="K123" s="14"/>
      <c r="L123" s="14"/>
      <c r="M123" s="14"/>
      <c r="N123" s="14"/>
      <c r="O123" s="14"/>
      <c r="P123" s="14"/>
      <c r="Q123" s="14"/>
      <c r="R123" s="14"/>
      <c r="S123" s="14"/>
      <c r="T123" s="14"/>
      <c r="U123" s="14"/>
      <c r="V123" s="14"/>
      <c r="W123" s="14"/>
      <c r="X123" s="14"/>
      <c r="Y123" s="14"/>
    </row>
    <row r="124" spans="4:25" x14ac:dyDescent="0.3">
      <c r="E124" s="32" t="s">
        <v>216</v>
      </c>
      <c r="J124" s="14"/>
      <c r="K124" s="14"/>
      <c r="L124" s="14"/>
      <c r="M124" s="14"/>
      <c r="N124" s="14"/>
      <c r="O124" s="14"/>
      <c r="P124" s="14"/>
      <c r="Q124" s="14"/>
      <c r="R124" s="14"/>
      <c r="S124" s="14"/>
      <c r="T124" s="14"/>
      <c r="U124" s="14"/>
      <c r="V124" s="14"/>
      <c r="W124" s="14"/>
      <c r="X124" s="14"/>
      <c r="Y124" s="14"/>
    </row>
    <row r="125" spans="4:25" x14ac:dyDescent="0.3">
      <c r="E125" s="29" t="s">
        <v>217</v>
      </c>
      <c r="J125" s="14"/>
      <c r="K125" s="14"/>
      <c r="L125" s="14"/>
      <c r="M125" s="14"/>
      <c r="N125" s="14"/>
      <c r="O125" s="14"/>
      <c r="P125" s="14"/>
      <c r="Q125" s="14"/>
      <c r="R125" s="14"/>
      <c r="S125" s="14"/>
      <c r="T125" s="14"/>
      <c r="U125" s="14"/>
      <c r="V125" s="14"/>
      <c r="W125" s="14"/>
      <c r="X125" s="14"/>
      <c r="Y125" s="14"/>
    </row>
    <row r="126" spans="4:25" x14ac:dyDescent="0.3">
      <c r="E126" s="29" t="s">
        <v>218</v>
      </c>
      <c r="J126" s="14"/>
      <c r="K126" s="14"/>
      <c r="L126" s="14"/>
      <c r="M126" s="14"/>
      <c r="N126" s="14"/>
      <c r="O126" s="14"/>
      <c r="P126" s="14"/>
      <c r="Q126" s="14"/>
      <c r="R126" s="14"/>
      <c r="S126" s="14"/>
      <c r="T126" s="14"/>
      <c r="U126" s="14"/>
      <c r="V126" s="14"/>
      <c r="W126" s="14"/>
      <c r="X126" s="14"/>
      <c r="Y126" s="14"/>
    </row>
    <row r="127" spans="4:25" x14ac:dyDescent="0.3">
      <c r="E127" s="29"/>
      <c r="F127" t="s">
        <v>216</v>
      </c>
      <c r="G127" t="s">
        <v>209</v>
      </c>
      <c r="J127" s="250" t="b">
        <v>0</v>
      </c>
      <c r="K127" s="250" t="b">
        <v>0</v>
      </c>
      <c r="L127" s="250" t="b">
        <v>0</v>
      </c>
      <c r="M127" s="250" t="b">
        <v>0</v>
      </c>
      <c r="N127" s="250" t="b">
        <v>0</v>
      </c>
      <c r="O127" s="250" t="b">
        <v>0</v>
      </c>
      <c r="P127" s="250" t="b">
        <v>0</v>
      </c>
      <c r="Q127" s="250" t="b">
        <v>1</v>
      </c>
      <c r="R127" s="250" t="b">
        <v>0</v>
      </c>
      <c r="S127" s="250" t="b">
        <v>0</v>
      </c>
      <c r="T127" s="250" t="b">
        <v>0</v>
      </c>
      <c r="U127" s="250" t="b">
        <v>0</v>
      </c>
      <c r="V127" s="250" t="b">
        <v>0</v>
      </c>
      <c r="W127" s="250" t="b">
        <v>0</v>
      </c>
      <c r="X127" s="250" t="b">
        <v>0</v>
      </c>
      <c r="Y127" s="250" t="b">
        <v>0</v>
      </c>
    </row>
    <row r="128" spans="4:25" x14ac:dyDescent="0.3">
      <c r="E128" s="29"/>
      <c r="J128" s="14"/>
      <c r="K128" s="14"/>
      <c r="L128" s="14"/>
      <c r="M128" s="14"/>
      <c r="N128" s="14"/>
      <c r="O128" s="14"/>
      <c r="P128" s="14"/>
      <c r="Q128" s="14"/>
      <c r="R128" s="14"/>
      <c r="S128" s="14"/>
      <c r="T128" s="14"/>
      <c r="U128" s="14"/>
      <c r="V128" s="14"/>
      <c r="W128" s="14"/>
      <c r="X128" s="14"/>
      <c r="Y128" s="14"/>
    </row>
    <row r="129" spans="3:43" x14ac:dyDescent="0.3">
      <c r="E129" s="32" t="s">
        <v>219</v>
      </c>
      <c r="J129" s="14"/>
      <c r="K129" s="14"/>
      <c r="L129" s="14"/>
      <c r="M129" s="14"/>
      <c r="N129" s="14"/>
      <c r="O129" s="14"/>
      <c r="P129" s="14"/>
      <c r="Q129" s="14"/>
      <c r="R129" s="14"/>
      <c r="S129" s="14"/>
      <c r="T129" s="14"/>
      <c r="U129" s="14"/>
      <c r="V129" s="14"/>
      <c r="W129" s="14"/>
      <c r="X129" s="14"/>
      <c r="Y129" s="14"/>
    </row>
    <row r="130" spans="3:43" x14ac:dyDescent="0.3">
      <c r="E130" s="29" t="s">
        <v>220</v>
      </c>
      <c r="J130" s="14"/>
      <c r="K130" s="14"/>
      <c r="L130" s="14"/>
      <c r="M130" s="14"/>
      <c r="N130" s="14"/>
      <c r="O130" s="14"/>
      <c r="P130" s="14"/>
      <c r="Q130" s="14"/>
      <c r="R130" s="14"/>
      <c r="S130" s="14"/>
      <c r="T130" s="14"/>
      <c r="U130" s="14"/>
      <c r="V130" s="14"/>
      <c r="W130" s="14"/>
      <c r="X130" s="14"/>
      <c r="Y130" s="14"/>
    </row>
    <row r="131" spans="3:43" x14ac:dyDescent="0.3">
      <c r="E131" s="29"/>
      <c r="F131" t="s">
        <v>221</v>
      </c>
      <c r="G131" t="s">
        <v>209</v>
      </c>
      <c r="J131" s="250" t="b">
        <v>1</v>
      </c>
      <c r="K131" s="250" t="b">
        <v>0</v>
      </c>
      <c r="L131" s="250" t="b">
        <v>1</v>
      </c>
      <c r="M131" s="250" t="b">
        <v>0</v>
      </c>
      <c r="N131" s="250" t="b">
        <v>1</v>
      </c>
      <c r="O131" s="250" t="b">
        <v>1</v>
      </c>
      <c r="P131" s="250" t="b">
        <v>1</v>
      </c>
      <c r="Q131" s="250" t="b">
        <v>1</v>
      </c>
      <c r="R131" s="250" t="b">
        <v>1</v>
      </c>
      <c r="S131" s="250" t="b">
        <v>1</v>
      </c>
      <c r="T131" s="250" t="b">
        <v>1</v>
      </c>
      <c r="U131" s="250" t="b">
        <v>1</v>
      </c>
      <c r="V131" s="250" t="b">
        <v>1</v>
      </c>
      <c r="W131" s="250" t="b">
        <v>1</v>
      </c>
      <c r="X131" s="250" t="b">
        <v>1</v>
      </c>
      <c r="Y131" s="250" t="b">
        <v>1</v>
      </c>
    </row>
    <row r="132" spans="3:43" x14ac:dyDescent="0.3">
      <c r="D132" s="29"/>
      <c r="J132" s="14"/>
      <c r="K132" s="14"/>
      <c r="L132" s="14"/>
      <c r="M132" s="14"/>
      <c r="N132" s="14"/>
      <c r="O132" s="14"/>
      <c r="P132" s="14"/>
      <c r="Q132" s="14"/>
      <c r="R132" s="14"/>
      <c r="S132" s="14"/>
      <c r="T132" s="14"/>
      <c r="U132" s="14"/>
      <c r="V132" s="14"/>
      <c r="W132" s="14"/>
      <c r="X132" s="14"/>
      <c r="Y132" s="14"/>
    </row>
    <row r="133" spans="3:43" x14ac:dyDescent="0.3">
      <c r="E133" s="32" t="s">
        <v>222</v>
      </c>
      <c r="I133" t="s">
        <v>154</v>
      </c>
      <c r="J133" s="14"/>
      <c r="K133" s="14"/>
      <c r="L133" s="14"/>
      <c r="M133" s="14"/>
      <c r="N133" s="14"/>
      <c r="O133" s="14"/>
      <c r="P133" s="14"/>
      <c r="Q133" s="14"/>
      <c r="R133" s="14"/>
      <c r="S133" s="14"/>
      <c r="T133" s="14"/>
      <c r="U133" s="14"/>
      <c r="V133" s="14"/>
      <c r="W133" s="14"/>
      <c r="X133" s="14"/>
      <c r="Y133" s="14"/>
      <c r="AQ133" t="s">
        <v>223</v>
      </c>
    </row>
    <row r="134" spans="3:43" x14ac:dyDescent="0.3">
      <c r="E134" s="29" t="s">
        <v>224</v>
      </c>
      <c r="J134" s="14"/>
      <c r="K134" s="14"/>
      <c r="L134" s="14"/>
      <c r="M134" s="14"/>
      <c r="N134" s="14"/>
      <c r="O134" s="14"/>
      <c r="P134" s="14"/>
      <c r="Q134" s="14"/>
      <c r="R134" s="14"/>
      <c r="S134" s="14"/>
      <c r="T134" s="14"/>
      <c r="U134" s="14"/>
      <c r="V134" s="14"/>
      <c r="W134" s="14"/>
      <c r="X134" s="14"/>
      <c r="Y134" s="14"/>
    </row>
    <row r="135" spans="3:43" x14ac:dyDescent="0.3">
      <c r="E135" s="29" t="s">
        <v>225</v>
      </c>
      <c r="J135" s="14"/>
      <c r="K135" s="14"/>
      <c r="L135" s="14"/>
      <c r="M135" s="14"/>
      <c r="N135" s="14"/>
      <c r="O135" s="14"/>
      <c r="P135" s="14"/>
      <c r="Q135" s="14"/>
      <c r="R135" s="14"/>
      <c r="S135" s="14"/>
      <c r="T135" s="14"/>
      <c r="U135" s="14"/>
      <c r="V135" s="14"/>
      <c r="W135" s="14"/>
      <c r="X135" s="14"/>
      <c r="Y135" s="14"/>
    </row>
    <row r="136" spans="3:43" x14ac:dyDescent="0.3">
      <c r="E136" s="29"/>
      <c r="F136" t="s">
        <v>160</v>
      </c>
      <c r="G136" t="s">
        <v>176</v>
      </c>
      <c r="J136" s="250">
        <v>0</v>
      </c>
      <c r="K136" s="250">
        <v>0</v>
      </c>
      <c r="L136" s="250">
        <v>0</v>
      </c>
      <c r="M136" s="250">
        <v>0</v>
      </c>
      <c r="N136" s="250">
        <v>1</v>
      </c>
      <c r="O136" s="250">
        <v>1</v>
      </c>
      <c r="P136" s="250">
        <v>1</v>
      </c>
      <c r="Q136" s="250">
        <v>0</v>
      </c>
      <c r="R136" s="250">
        <v>0</v>
      </c>
      <c r="S136" s="250">
        <v>0</v>
      </c>
      <c r="T136" s="250">
        <v>0</v>
      </c>
      <c r="U136" s="250">
        <v>0</v>
      </c>
      <c r="V136" s="250">
        <v>0</v>
      </c>
      <c r="W136" s="250">
        <v>0</v>
      </c>
      <c r="X136" s="250">
        <v>0</v>
      </c>
      <c r="Y136" s="250">
        <v>0</v>
      </c>
    </row>
    <row r="137" spans="3:43" x14ac:dyDescent="0.3">
      <c r="E137" s="29"/>
      <c r="F137" t="s">
        <v>161</v>
      </c>
      <c r="G137" t="s">
        <v>176</v>
      </c>
      <c r="J137" s="250">
        <v>0</v>
      </c>
      <c r="K137" s="250">
        <v>0</v>
      </c>
      <c r="L137" s="250">
        <v>0</v>
      </c>
      <c r="M137" s="250">
        <v>0</v>
      </c>
      <c r="N137" s="250">
        <v>1</v>
      </c>
      <c r="O137" s="250">
        <v>1</v>
      </c>
      <c r="P137" s="250">
        <v>1</v>
      </c>
      <c r="Q137" s="250">
        <v>0</v>
      </c>
      <c r="R137" s="250">
        <v>0</v>
      </c>
      <c r="S137" s="250">
        <v>0</v>
      </c>
      <c r="T137" s="250">
        <v>0</v>
      </c>
      <c r="U137" s="250">
        <v>0</v>
      </c>
      <c r="V137" s="250">
        <v>0</v>
      </c>
      <c r="W137" s="250">
        <v>0</v>
      </c>
      <c r="X137" s="250">
        <v>0</v>
      </c>
      <c r="Y137" s="250">
        <v>0</v>
      </c>
    </row>
    <row r="138" spans="3:43" x14ac:dyDescent="0.3">
      <c r="E138" s="29"/>
      <c r="F138" t="s">
        <v>226</v>
      </c>
      <c r="G138" t="s">
        <v>176</v>
      </c>
      <c r="J138" s="250">
        <v>0</v>
      </c>
      <c r="K138" s="250">
        <v>0</v>
      </c>
      <c r="L138" s="250">
        <v>0</v>
      </c>
      <c r="M138" s="250">
        <v>0</v>
      </c>
      <c r="N138" s="250">
        <v>1</v>
      </c>
      <c r="O138" s="250">
        <v>1</v>
      </c>
      <c r="P138" s="250">
        <v>1</v>
      </c>
      <c r="Q138" s="250">
        <v>0</v>
      </c>
      <c r="R138" s="250">
        <v>0</v>
      </c>
      <c r="S138" s="250">
        <v>0</v>
      </c>
      <c r="T138" s="250">
        <v>1</v>
      </c>
      <c r="U138" s="250">
        <v>0</v>
      </c>
      <c r="V138" s="250">
        <v>1</v>
      </c>
      <c r="W138" s="250">
        <v>0</v>
      </c>
      <c r="X138" s="250">
        <v>1</v>
      </c>
      <c r="Y138" s="250">
        <v>0</v>
      </c>
    </row>
    <row r="139" spans="3:43" x14ac:dyDescent="0.3">
      <c r="E139" s="29"/>
      <c r="F139" t="s">
        <v>227</v>
      </c>
      <c r="G139" t="s">
        <v>176</v>
      </c>
      <c r="J139" s="250">
        <v>1</v>
      </c>
      <c r="K139" s="250">
        <v>0</v>
      </c>
      <c r="L139" s="250">
        <v>1</v>
      </c>
      <c r="M139" s="250">
        <v>0</v>
      </c>
      <c r="N139" s="250">
        <v>0</v>
      </c>
      <c r="O139" s="250">
        <v>0</v>
      </c>
      <c r="P139" s="250">
        <v>0</v>
      </c>
      <c r="Q139" s="250">
        <v>0</v>
      </c>
      <c r="R139" s="250">
        <v>0</v>
      </c>
      <c r="S139" s="250">
        <v>0</v>
      </c>
      <c r="T139" s="250">
        <v>0</v>
      </c>
      <c r="U139" s="250">
        <v>0</v>
      </c>
      <c r="V139" s="250">
        <v>0</v>
      </c>
      <c r="W139" s="250">
        <v>0</v>
      </c>
      <c r="X139" s="250">
        <v>0</v>
      </c>
      <c r="Y139" s="250">
        <v>0</v>
      </c>
    </row>
    <row r="140" spans="3:43" x14ac:dyDescent="0.3">
      <c r="D140" s="29"/>
      <c r="J140" s="14"/>
      <c r="K140" s="14"/>
      <c r="L140" s="14"/>
      <c r="M140" s="14"/>
      <c r="N140" s="14"/>
      <c r="O140" s="14"/>
      <c r="P140" s="14"/>
      <c r="Q140" s="14"/>
      <c r="R140" s="14"/>
      <c r="S140" s="14"/>
      <c r="T140" s="14"/>
      <c r="U140" s="14"/>
      <c r="V140" s="14"/>
      <c r="W140" s="14"/>
      <c r="X140" s="14"/>
      <c r="Y140" s="14"/>
    </row>
    <row r="141" spans="3:43" x14ac:dyDescent="0.3">
      <c r="C141" s="31" t="str">
        <f ca="1">INDEX('Version control'!$H$34:$H$57,MATCH($A$1,'Version control'!$F$34:$F$57,0),1)&amp;"-G: Identifiers for customer groupings"</f>
        <v>Input 101-G: Identifiers for customer groupings</v>
      </c>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c r="AC141" s="31"/>
      <c r="AD141" s="31"/>
      <c r="AE141" s="31"/>
      <c r="AF141" s="31"/>
      <c r="AG141" s="31"/>
      <c r="AH141" s="31"/>
      <c r="AI141" s="31"/>
      <c r="AJ141" s="31"/>
      <c r="AK141" s="31"/>
      <c r="AL141" s="31"/>
      <c r="AM141" s="31"/>
      <c r="AN141" s="31"/>
      <c r="AO141" s="31"/>
      <c r="AP141" s="31"/>
      <c r="AQ141" s="31"/>
    </row>
    <row r="143" spans="3:43" x14ac:dyDescent="0.3">
      <c r="E143" s="32" t="s">
        <v>228</v>
      </c>
      <c r="F143" s="32"/>
    </row>
    <row r="144" spans="3:43" x14ac:dyDescent="0.3">
      <c r="E144" s="29" t="s">
        <v>229</v>
      </c>
      <c r="F144" s="29"/>
      <c r="I144" t="s">
        <v>154</v>
      </c>
      <c r="AQ144" t="s">
        <v>902</v>
      </c>
    </row>
    <row r="145" spans="3:61" x14ac:dyDescent="0.3">
      <c r="E145" s="29"/>
      <c r="F145" s="28" t="s">
        <v>228</v>
      </c>
      <c r="G145" t="s">
        <v>149</v>
      </c>
      <c r="J145" s="242">
        <v>1</v>
      </c>
      <c r="K145" s="70"/>
      <c r="L145" s="242">
        <v>1</v>
      </c>
      <c r="M145" s="70"/>
      <c r="N145" s="70"/>
      <c r="O145" s="70"/>
      <c r="P145" s="70"/>
      <c r="Q145" s="70"/>
      <c r="R145" s="70"/>
      <c r="S145" s="70"/>
      <c r="T145" s="70"/>
      <c r="U145" s="70"/>
      <c r="V145" s="70"/>
      <c r="W145" s="70"/>
      <c r="X145" s="70"/>
      <c r="Y145" s="70"/>
    </row>
    <row r="146" spans="3:61" x14ac:dyDescent="0.3">
      <c r="E146" s="29"/>
      <c r="F146" s="29"/>
    </row>
    <row r="147" spans="3:61" x14ac:dyDescent="0.3">
      <c r="E147" s="32" t="s">
        <v>846</v>
      </c>
      <c r="F147" s="32"/>
      <c r="I147" t="s">
        <v>154</v>
      </c>
      <c r="AQ147" t="s">
        <v>859</v>
      </c>
    </row>
    <row r="148" spans="3:61" x14ac:dyDescent="0.3">
      <c r="E148" s="29" t="s">
        <v>847</v>
      </c>
      <c r="F148" s="29"/>
    </row>
    <row r="149" spans="3:61" x14ac:dyDescent="0.3">
      <c r="E149" s="29"/>
      <c r="F149" s="28" t="s">
        <v>848</v>
      </c>
      <c r="G149" t="s">
        <v>149</v>
      </c>
      <c r="J149" s="242">
        <v>1</v>
      </c>
      <c r="K149" s="242">
        <v>1</v>
      </c>
      <c r="L149" s="242">
        <v>2</v>
      </c>
      <c r="M149" s="242">
        <v>2</v>
      </c>
      <c r="N149" s="242">
        <v>3</v>
      </c>
      <c r="O149" s="242">
        <v>4</v>
      </c>
      <c r="P149" s="242">
        <v>5</v>
      </c>
      <c r="Q149" s="70"/>
      <c r="R149" s="70"/>
      <c r="S149" s="70"/>
      <c r="T149" s="70"/>
      <c r="U149" s="70"/>
      <c r="V149" s="70"/>
      <c r="W149" s="70"/>
      <c r="X149" s="70"/>
      <c r="Y149" s="70"/>
    </row>
    <row r="150" spans="3:61" x14ac:dyDescent="0.3">
      <c r="E150" s="29"/>
      <c r="F150" s="29"/>
    </row>
    <row r="151" spans="3:61" x14ac:dyDescent="0.3">
      <c r="C151" s="31" t="str">
        <f ca="1">INDEX('Version control'!$H$34:$H$57,MATCH($A$1,'Version control'!$F$34:$F$57,0),1)&amp;"-H: Decimal places for error checks"</f>
        <v>Input 101-H: Decimal places for error checks</v>
      </c>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1"/>
      <c r="AM151" s="31"/>
      <c r="AN151" s="31"/>
      <c r="AO151" s="31"/>
      <c r="AP151" s="31"/>
      <c r="AQ151" s="31"/>
    </row>
    <row r="153" spans="3:61" x14ac:dyDescent="0.3">
      <c r="E153" t="s">
        <v>230</v>
      </c>
      <c r="G153" t="s">
        <v>149</v>
      </c>
      <c r="H153" s="242">
        <v>3</v>
      </c>
    </row>
    <row r="155" spans="3:61" x14ac:dyDescent="0.3">
      <c r="C155" s="31" t="str">
        <f ca="1">INDEX('Version control'!$H$34:$H$57,MATCH($A$1,'Version control'!$F$34:$F$57,0),1)&amp;"-I: Map of applicable MPANs"</f>
        <v>Input 101-I: Map of applicable MPANs</v>
      </c>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c r="AK155" s="31"/>
      <c r="AL155" s="31"/>
      <c r="AM155" s="31"/>
      <c r="AN155" s="31"/>
      <c r="AO155" s="31"/>
      <c r="AP155" s="31"/>
      <c r="AQ155" s="31"/>
      <c r="AR155" s="31"/>
    </row>
    <row r="157" spans="3:61" x14ac:dyDescent="0.3">
      <c r="C157" s="88"/>
      <c r="D157" s="2"/>
      <c r="E157" s="32" t="s">
        <v>872</v>
      </c>
      <c r="I157" t="s">
        <v>154</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t="s">
        <v>897</v>
      </c>
      <c r="AR157" s="89"/>
    </row>
    <row r="158" spans="3:61" x14ac:dyDescent="0.3">
      <c r="C158" s="88"/>
      <c r="D158" s="2"/>
      <c r="F158" s="23" t="s">
        <v>873</v>
      </c>
      <c r="G158" s="23" t="s">
        <v>176</v>
      </c>
      <c r="H158" s="23"/>
      <c r="I158" s="23"/>
      <c r="J158" s="325">
        <v>1</v>
      </c>
      <c r="K158" s="325">
        <v>0</v>
      </c>
      <c r="L158" s="325">
        <v>0</v>
      </c>
      <c r="M158" s="325">
        <v>0</v>
      </c>
      <c r="N158" s="325">
        <v>0</v>
      </c>
      <c r="O158" s="325">
        <v>0</v>
      </c>
      <c r="P158" s="325">
        <v>0</v>
      </c>
      <c r="Q158" s="325">
        <v>0</v>
      </c>
      <c r="R158" s="325">
        <v>0</v>
      </c>
      <c r="S158" s="325">
        <v>0</v>
      </c>
      <c r="T158" s="325">
        <v>0</v>
      </c>
      <c r="U158" s="325">
        <v>0</v>
      </c>
      <c r="V158" s="325">
        <v>0</v>
      </c>
      <c r="W158" s="325">
        <v>0</v>
      </c>
      <c r="X158" s="325">
        <v>0</v>
      </c>
      <c r="Y158" s="325">
        <v>0</v>
      </c>
      <c r="Z158" s="89"/>
      <c r="AA158" s="89"/>
      <c r="AB158" s="89"/>
      <c r="AC158" s="89"/>
      <c r="AD158" s="89"/>
      <c r="AE158" s="89"/>
      <c r="AF158" s="89"/>
      <c r="AG158" s="89"/>
      <c r="AH158" s="89"/>
      <c r="AI158" s="89"/>
      <c r="AJ158" s="89"/>
      <c r="AK158" s="89"/>
      <c r="AL158" s="89"/>
      <c r="AM158" s="89"/>
      <c r="AN158" s="89"/>
      <c r="AO158" s="89"/>
      <c r="AP158" s="89"/>
      <c r="AQ158" s="89"/>
      <c r="AR158" s="89"/>
    </row>
    <row r="159" spans="3:61" x14ac:dyDescent="0.3">
      <c r="C159" s="88"/>
      <c r="D159" s="2"/>
      <c r="F159" s="37" t="s">
        <v>874</v>
      </c>
      <c r="G159" s="37" t="s">
        <v>176</v>
      </c>
      <c r="H159" s="37"/>
      <c r="I159" s="37"/>
      <c r="J159" s="326">
        <v>1</v>
      </c>
      <c r="K159" s="326">
        <v>0</v>
      </c>
      <c r="L159" s="326">
        <v>1</v>
      </c>
      <c r="M159" s="326">
        <v>0</v>
      </c>
      <c r="N159" s="326">
        <v>1</v>
      </c>
      <c r="O159" s="326">
        <v>1</v>
      </c>
      <c r="P159" s="326">
        <v>1</v>
      </c>
      <c r="Q159" s="326">
        <v>0</v>
      </c>
      <c r="R159" s="326">
        <v>0</v>
      </c>
      <c r="S159" s="326">
        <v>0</v>
      </c>
      <c r="T159" s="326">
        <v>0</v>
      </c>
      <c r="U159" s="326">
        <v>0</v>
      </c>
      <c r="V159" s="326">
        <v>0</v>
      </c>
      <c r="W159" s="326">
        <v>0</v>
      </c>
      <c r="X159" s="326">
        <v>0</v>
      </c>
      <c r="Y159" s="326">
        <v>0</v>
      </c>
      <c r="Z159" s="89"/>
      <c r="AA159" s="89"/>
      <c r="AB159" s="89"/>
      <c r="AC159" s="89"/>
      <c r="AD159" s="89"/>
      <c r="AE159" s="89"/>
      <c r="AF159" s="89"/>
      <c r="AG159" s="89"/>
      <c r="AH159" s="89"/>
      <c r="AI159" s="89"/>
      <c r="AJ159" s="89"/>
      <c r="AK159" s="89"/>
      <c r="AL159" s="89"/>
      <c r="AM159" s="89"/>
      <c r="AN159" s="89"/>
      <c r="AO159" s="89"/>
      <c r="AP159" s="89"/>
      <c r="AQ159" s="89"/>
      <c r="AR159" s="89"/>
    </row>
    <row r="160" spans="3:61" x14ac:dyDescent="0.3">
      <c r="C160" s="88"/>
      <c r="D160" s="2"/>
      <c r="F160" s="311"/>
      <c r="G160" s="311"/>
      <c r="H160" s="311"/>
      <c r="I160" s="311"/>
      <c r="J160" s="311"/>
      <c r="K160" s="311"/>
      <c r="L160" s="311"/>
      <c r="M160" s="311"/>
      <c r="N160" s="311"/>
      <c r="O160" s="311"/>
      <c r="P160" s="311"/>
      <c r="Q160" s="311"/>
      <c r="R160" s="311"/>
      <c r="S160" s="311"/>
      <c r="T160" s="311"/>
      <c r="U160" s="311"/>
      <c r="V160" s="311"/>
      <c r="W160" s="311"/>
      <c r="X160" s="311"/>
      <c r="Y160" s="311"/>
      <c r="Z160" s="311"/>
      <c r="AA160" s="311"/>
      <c r="AB160" s="311"/>
      <c r="AC160" s="311"/>
      <c r="AD160" s="311"/>
      <c r="AE160" s="311"/>
      <c r="AF160" s="311"/>
      <c r="AG160" s="311"/>
      <c r="AH160" s="311"/>
      <c r="AI160" s="311"/>
      <c r="AJ160" s="311"/>
      <c r="AK160" s="311"/>
      <c r="AL160" s="311"/>
      <c r="AM160" s="311"/>
      <c r="AN160" s="311"/>
      <c r="AO160" s="311"/>
      <c r="AP160" s="311"/>
      <c r="AQ160" s="311"/>
      <c r="AR160" s="89"/>
      <c r="AS160" s="311"/>
      <c r="AT160" s="311"/>
      <c r="AU160" s="311"/>
      <c r="AV160" s="311"/>
      <c r="AW160" s="311"/>
      <c r="AX160" s="311"/>
      <c r="AY160" s="311"/>
      <c r="AZ160" s="311"/>
      <c r="BA160" s="311"/>
      <c r="BB160" s="311"/>
      <c r="BC160" s="311"/>
      <c r="BD160" s="311"/>
      <c r="BE160" s="311"/>
      <c r="BF160" s="311"/>
      <c r="BG160" s="311"/>
      <c r="BH160" s="311"/>
      <c r="BI160" s="311"/>
    </row>
    <row r="161" spans="3:61" x14ac:dyDescent="0.3">
      <c r="C161" s="31" t="str">
        <f ca="1">INDEX('Version control'!$H$34:$H$57,MATCH($A$1,'Version control'!$F$34:$F$57,0),1)&amp;"-J: Revenue matching inputs"</f>
        <v>Input 101-J: Revenue matching inputs</v>
      </c>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c r="AB161" s="31"/>
      <c r="AC161" s="31"/>
      <c r="AD161" s="31"/>
      <c r="AE161" s="31"/>
      <c r="AF161" s="31"/>
      <c r="AG161" s="31"/>
      <c r="AH161" s="31"/>
      <c r="AI161" s="31"/>
      <c r="AJ161" s="31"/>
      <c r="AK161" s="31"/>
      <c r="AL161" s="31"/>
      <c r="AM161" s="31"/>
      <c r="AN161" s="31"/>
      <c r="AO161" s="31"/>
      <c r="AP161" s="31"/>
      <c r="AQ161" s="31"/>
      <c r="AR161" s="31"/>
      <c r="AS161" s="311"/>
      <c r="AT161" s="311"/>
      <c r="AU161" s="311"/>
      <c r="AV161" s="311"/>
      <c r="AW161" s="311"/>
      <c r="AX161" s="311"/>
      <c r="AY161" s="311"/>
      <c r="AZ161" s="311"/>
      <c r="BA161" s="311"/>
      <c r="BB161" s="311"/>
      <c r="BC161" s="311"/>
      <c r="BD161" s="311"/>
      <c r="BE161" s="311"/>
      <c r="BF161" s="311"/>
      <c r="BG161" s="311"/>
      <c r="BH161" s="311"/>
      <c r="BI161" s="311"/>
    </row>
    <row r="162" spans="3:61" x14ac:dyDescent="0.3">
      <c r="C162" s="88"/>
      <c r="D162" s="2"/>
      <c r="F162" s="311"/>
      <c r="G162" s="311"/>
      <c r="H162" s="311"/>
      <c r="I162" s="311"/>
      <c r="J162" s="311"/>
      <c r="K162" s="311"/>
      <c r="L162" s="311"/>
      <c r="M162" s="311"/>
      <c r="N162" s="311"/>
      <c r="O162" s="311"/>
      <c r="P162" s="311"/>
      <c r="Q162" s="311"/>
      <c r="R162" s="311"/>
      <c r="S162" s="311"/>
      <c r="T162" s="311"/>
      <c r="U162" s="311"/>
      <c r="V162" s="311"/>
      <c r="W162" s="311"/>
      <c r="X162" s="311"/>
      <c r="Y162" s="311"/>
      <c r="Z162" s="311"/>
      <c r="AA162" s="311"/>
      <c r="AB162" s="311"/>
      <c r="AC162" s="311"/>
      <c r="AD162" s="311"/>
      <c r="AE162" s="311"/>
      <c r="AF162" s="311"/>
      <c r="AG162" s="311"/>
      <c r="AH162" s="311"/>
      <c r="AI162" s="311"/>
      <c r="AJ162" s="311"/>
      <c r="AK162" s="311"/>
      <c r="AL162" s="311"/>
      <c r="AM162" s="311"/>
      <c r="AN162" s="311"/>
      <c r="AO162" s="311"/>
      <c r="AP162" s="311"/>
      <c r="AQ162" s="311"/>
      <c r="AR162" s="89"/>
      <c r="AS162" s="311"/>
      <c r="AT162" s="311"/>
      <c r="AU162" s="311"/>
      <c r="AV162" s="311"/>
      <c r="AW162" s="311"/>
      <c r="AX162" s="311"/>
      <c r="AY162" s="311"/>
      <c r="AZ162" s="311"/>
      <c r="BA162" s="311"/>
      <c r="BB162" s="311"/>
      <c r="BC162" s="311"/>
      <c r="BD162" s="311"/>
      <c r="BE162" s="311"/>
      <c r="BF162" s="311"/>
      <c r="BG162" s="311"/>
      <c r="BH162" s="311"/>
      <c r="BI162" s="311"/>
    </row>
    <row r="163" spans="3:61" ht="43.2" x14ac:dyDescent="0.3">
      <c r="C163" s="88"/>
      <c r="D163" s="2"/>
      <c r="E163" s="32" t="s">
        <v>1012</v>
      </c>
      <c r="F163" s="311"/>
      <c r="G163" s="311"/>
      <c r="H163" s="311"/>
      <c r="I163" s="311"/>
      <c r="J163" s="114" t="s">
        <v>913</v>
      </c>
      <c r="K163" s="114" t="s">
        <v>831</v>
      </c>
      <c r="L163" s="114" t="s">
        <v>914</v>
      </c>
      <c r="M163" s="114" t="s">
        <v>915</v>
      </c>
      <c r="N163" s="114" t="s">
        <v>916</v>
      </c>
      <c r="O163" s="114" t="s">
        <v>917</v>
      </c>
      <c r="P163" s="114" t="s">
        <v>918</v>
      </c>
      <c r="Q163" s="114" t="s">
        <v>832</v>
      </c>
      <c r="R163" s="114" t="s">
        <v>919</v>
      </c>
      <c r="S163" s="114" t="s">
        <v>920</v>
      </c>
      <c r="T163" s="114" t="s">
        <v>921</v>
      </c>
      <c r="U163" s="114" t="s">
        <v>922</v>
      </c>
      <c r="V163" s="114" t="s">
        <v>923</v>
      </c>
      <c r="W163" s="114" t="s">
        <v>924</v>
      </c>
      <c r="X163" s="114" t="s">
        <v>925</v>
      </c>
      <c r="Y163" s="114" t="s">
        <v>926</v>
      </c>
      <c r="Z163" s="114" t="s">
        <v>927</v>
      </c>
      <c r="AA163" s="114" t="s">
        <v>928</v>
      </c>
      <c r="AB163" s="114" t="s">
        <v>929</v>
      </c>
      <c r="AC163" s="114" t="s">
        <v>930</v>
      </c>
      <c r="AD163" s="114" t="s">
        <v>931</v>
      </c>
      <c r="AE163" s="114" t="s">
        <v>932</v>
      </c>
      <c r="AF163" s="114" t="s">
        <v>933</v>
      </c>
      <c r="AG163" s="114" t="s">
        <v>841</v>
      </c>
      <c r="AH163" s="114" t="s">
        <v>833</v>
      </c>
      <c r="AI163" s="114" t="s">
        <v>834</v>
      </c>
      <c r="AJ163" s="114" t="s">
        <v>835</v>
      </c>
      <c r="AK163" s="114" t="s">
        <v>844</v>
      </c>
      <c r="AL163" s="114" t="s">
        <v>836</v>
      </c>
      <c r="AM163" s="114" t="s">
        <v>843</v>
      </c>
      <c r="AN163" s="114" t="s">
        <v>837</v>
      </c>
      <c r="AO163" s="114" t="s">
        <v>842</v>
      </c>
      <c r="AP163" s="311"/>
      <c r="AQ163" s="311"/>
      <c r="AR163" s="89"/>
      <c r="AS163" s="311"/>
      <c r="AT163" s="311"/>
      <c r="AU163" s="311"/>
      <c r="AV163" s="311"/>
      <c r="AW163" s="311"/>
      <c r="AX163" s="311"/>
      <c r="AY163" s="311"/>
      <c r="AZ163" s="311"/>
      <c r="BA163" s="311"/>
      <c r="BB163" s="311"/>
      <c r="BC163" s="311"/>
      <c r="BD163" s="311"/>
      <c r="BE163" s="311"/>
      <c r="BF163" s="311"/>
      <c r="BG163" s="311"/>
      <c r="BH163" s="311"/>
      <c r="BI163" s="311"/>
    </row>
    <row r="164" spans="3:61" x14ac:dyDescent="0.3">
      <c r="C164" s="88"/>
      <c r="D164" s="2"/>
      <c r="F164" s="23" t="s">
        <v>1011</v>
      </c>
      <c r="G164" s="23" t="s">
        <v>912</v>
      </c>
      <c r="H164" s="23"/>
      <c r="I164" s="23"/>
      <c r="J164" s="375" t="b">
        <v>1</v>
      </c>
      <c r="K164" s="375" t="b">
        <v>0</v>
      </c>
      <c r="L164" s="375" t="b">
        <v>0</v>
      </c>
      <c r="M164" s="375" t="b">
        <v>1</v>
      </c>
      <c r="N164" s="375" t="b">
        <v>1</v>
      </c>
      <c r="O164" s="375" t="b">
        <v>1</v>
      </c>
      <c r="P164" s="375" t="b">
        <v>1</v>
      </c>
      <c r="Q164" s="375" t="b">
        <v>0</v>
      </c>
      <c r="R164" s="375" t="b">
        <v>0</v>
      </c>
      <c r="S164" s="375" t="b">
        <v>1</v>
      </c>
      <c r="T164" s="375" t="b">
        <v>1</v>
      </c>
      <c r="U164" s="375" t="b">
        <v>1</v>
      </c>
      <c r="V164" s="375" t="b">
        <v>1</v>
      </c>
      <c r="W164" s="375" t="b">
        <v>0</v>
      </c>
      <c r="X164" s="375" t="b">
        <v>1</v>
      </c>
      <c r="Y164" s="375" t="b">
        <v>1</v>
      </c>
      <c r="Z164" s="375" t="b">
        <v>1</v>
      </c>
      <c r="AA164" s="375" t="b">
        <v>1</v>
      </c>
      <c r="AB164" s="375" t="b">
        <v>0</v>
      </c>
      <c r="AC164" s="375" t="b">
        <v>1</v>
      </c>
      <c r="AD164" s="375" t="b">
        <v>1</v>
      </c>
      <c r="AE164" s="375" t="b">
        <v>1</v>
      </c>
      <c r="AF164" s="375" t="b">
        <v>1</v>
      </c>
      <c r="AG164" s="375" t="b">
        <v>1</v>
      </c>
      <c r="AH164" s="375" t="b">
        <v>0</v>
      </c>
      <c r="AI164" s="375" t="b">
        <v>0</v>
      </c>
      <c r="AJ164" s="375" t="b">
        <v>0</v>
      </c>
      <c r="AK164" s="375" t="b">
        <v>0</v>
      </c>
      <c r="AL164" s="375" t="b">
        <v>0</v>
      </c>
      <c r="AM164" s="375" t="b">
        <v>0</v>
      </c>
      <c r="AN164" s="375" t="b">
        <v>0</v>
      </c>
      <c r="AO164" s="375" t="b">
        <v>0</v>
      </c>
      <c r="AP164" s="311"/>
      <c r="AQ164" s="311"/>
      <c r="AR164" s="89"/>
      <c r="AS164" s="311"/>
      <c r="AT164" s="311"/>
      <c r="AU164" s="311"/>
      <c r="AV164" s="311"/>
      <c r="AW164" s="311"/>
      <c r="AX164" s="311"/>
      <c r="AY164" s="311"/>
      <c r="AZ164" s="311"/>
      <c r="BA164" s="311"/>
      <c r="BB164" s="311"/>
      <c r="BC164" s="311"/>
      <c r="BD164" s="311"/>
      <c r="BE164" s="311"/>
      <c r="BF164" s="311"/>
      <c r="BG164" s="311"/>
      <c r="BH164" s="311"/>
      <c r="BI164" s="311"/>
    </row>
    <row r="165" spans="3:61" x14ac:dyDescent="0.3">
      <c r="C165" s="88"/>
      <c r="D165" s="2"/>
      <c r="F165" s="311" t="s">
        <v>938</v>
      </c>
      <c r="G165" s="311" t="s">
        <v>912</v>
      </c>
      <c r="H165" s="311"/>
      <c r="I165" s="311"/>
      <c r="J165" s="372" t="b">
        <v>1</v>
      </c>
      <c r="K165" s="371"/>
      <c r="L165" s="371"/>
      <c r="M165" s="372" t="b">
        <v>1</v>
      </c>
      <c r="N165" s="372" t="b">
        <v>1</v>
      </c>
      <c r="O165" s="372" t="b">
        <v>1</v>
      </c>
      <c r="P165" s="372" t="b">
        <v>1</v>
      </c>
      <c r="Q165" s="371"/>
      <c r="R165" s="371"/>
      <c r="S165" s="372" t="b">
        <v>1</v>
      </c>
      <c r="T165" s="372" t="b">
        <v>1</v>
      </c>
      <c r="U165" s="372" t="b">
        <v>1</v>
      </c>
      <c r="V165" s="372" t="b">
        <v>1</v>
      </c>
      <c r="W165" s="371"/>
      <c r="X165" s="372" t="b">
        <v>1</v>
      </c>
      <c r="Y165" s="372" t="b">
        <v>1</v>
      </c>
      <c r="Z165" s="372" t="b">
        <v>1</v>
      </c>
      <c r="AA165" s="372" t="b">
        <v>1</v>
      </c>
      <c r="AB165" s="371"/>
      <c r="AC165" s="372" t="b">
        <v>1</v>
      </c>
      <c r="AD165" s="372" t="b">
        <v>1</v>
      </c>
      <c r="AE165" s="372" t="b">
        <v>1</v>
      </c>
      <c r="AF165" s="372" t="b">
        <v>1</v>
      </c>
      <c r="AG165" s="372" t="b">
        <v>0</v>
      </c>
      <c r="AH165" s="371"/>
      <c r="AI165" s="371"/>
      <c r="AJ165" s="371"/>
      <c r="AK165" s="371"/>
      <c r="AL165" s="371"/>
      <c r="AM165" s="371"/>
      <c r="AN165" s="371"/>
      <c r="AO165" s="371"/>
      <c r="AP165" s="311"/>
      <c r="AQ165" s="311"/>
      <c r="AR165" s="89"/>
      <c r="AS165" s="311"/>
      <c r="AT165" s="311"/>
      <c r="AU165" s="311"/>
      <c r="AV165" s="311"/>
      <c r="AW165" s="311"/>
      <c r="AX165" s="311"/>
      <c r="AY165" s="311"/>
      <c r="AZ165" s="311"/>
      <c r="BA165" s="311"/>
      <c r="BB165" s="311"/>
      <c r="BC165" s="311"/>
      <c r="BD165" s="311"/>
      <c r="BE165" s="311"/>
      <c r="BF165" s="311"/>
      <c r="BG165" s="311"/>
      <c r="BH165" s="311"/>
      <c r="BI165" s="311"/>
    </row>
    <row r="166" spans="3:61" x14ac:dyDescent="0.3">
      <c r="C166" s="88"/>
      <c r="D166" s="2"/>
      <c r="F166" s="311" t="s">
        <v>1009</v>
      </c>
      <c r="G166" s="311" t="s">
        <v>912</v>
      </c>
      <c r="H166" s="311"/>
      <c r="I166" s="311"/>
      <c r="J166" s="372" t="b">
        <v>0</v>
      </c>
      <c r="K166" s="371"/>
      <c r="L166" s="371"/>
      <c r="M166" s="372" t="b">
        <v>0</v>
      </c>
      <c r="N166" s="372" t="b">
        <v>0</v>
      </c>
      <c r="O166" s="372" t="b">
        <v>0</v>
      </c>
      <c r="P166" s="372" t="b">
        <v>0</v>
      </c>
      <c r="Q166" s="371"/>
      <c r="R166" s="371"/>
      <c r="S166" s="372" t="b">
        <v>0</v>
      </c>
      <c r="T166" s="372" t="b">
        <v>0</v>
      </c>
      <c r="U166" s="372" t="b">
        <v>0</v>
      </c>
      <c r="V166" s="372" t="b">
        <v>0</v>
      </c>
      <c r="W166" s="371"/>
      <c r="X166" s="372" t="b">
        <v>0</v>
      </c>
      <c r="Y166" s="372" t="b">
        <v>0</v>
      </c>
      <c r="Z166" s="372" t="b">
        <v>0</v>
      </c>
      <c r="AA166" s="372" t="b">
        <v>0</v>
      </c>
      <c r="AB166" s="371"/>
      <c r="AC166" s="372" t="b">
        <v>0</v>
      </c>
      <c r="AD166" s="372" t="b">
        <v>0</v>
      </c>
      <c r="AE166" s="372" t="b">
        <v>0</v>
      </c>
      <c r="AF166" s="372" t="b">
        <v>0</v>
      </c>
      <c r="AG166" s="372" t="b">
        <v>1</v>
      </c>
      <c r="AH166" s="371"/>
      <c r="AI166" s="371"/>
      <c r="AJ166" s="371"/>
      <c r="AK166" s="371"/>
      <c r="AL166" s="371"/>
      <c r="AM166" s="371"/>
      <c r="AN166" s="371"/>
      <c r="AO166" s="371"/>
      <c r="AP166" s="311"/>
      <c r="AQ166" s="311"/>
      <c r="AR166" s="89"/>
      <c r="AS166" s="311"/>
      <c r="AT166" s="311"/>
      <c r="AU166" s="311"/>
      <c r="AV166" s="311"/>
      <c r="AW166" s="311"/>
      <c r="AX166" s="311"/>
      <c r="AY166" s="311"/>
      <c r="AZ166" s="311"/>
      <c r="BA166" s="311"/>
      <c r="BB166" s="311"/>
      <c r="BC166" s="311"/>
      <c r="BD166" s="311"/>
      <c r="BE166" s="311"/>
      <c r="BF166" s="311"/>
      <c r="BG166" s="311"/>
      <c r="BH166" s="311"/>
      <c r="BI166" s="311"/>
    </row>
    <row r="167" spans="3:61" x14ac:dyDescent="0.3">
      <c r="C167" s="88"/>
      <c r="D167" s="2"/>
      <c r="F167" s="311" t="s">
        <v>945</v>
      </c>
      <c r="G167" s="370" t="s">
        <v>149</v>
      </c>
      <c r="H167" s="311"/>
      <c r="I167" s="311"/>
      <c r="J167" s="372">
        <v>1</v>
      </c>
      <c r="K167" s="371"/>
      <c r="L167" s="371"/>
      <c r="M167" s="372">
        <v>2</v>
      </c>
      <c r="N167" s="372">
        <v>2</v>
      </c>
      <c r="O167" s="372">
        <v>2</v>
      </c>
      <c r="P167" s="372">
        <v>2</v>
      </c>
      <c r="Q167" s="371"/>
      <c r="R167" s="371"/>
      <c r="S167" s="372">
        <v>3</v>
      </c>
      <c r="T167" s="372">
        <v>3</v>
      </c>
      <c r="U167" s="372">
        <v>3</v>
      </c>
      <c r="V167" s="372">
        <v>3</v>
      </c>
      <c r="W167" s="371"/>
      <c r="X167" s="372">
        <v>3</v>
      </c>
      <c r="Y167" s="372">
        <v>3</v>
      </c>
      <c r="Z167" s="372">
        <v>3</v>
      </c>
      <c r="AA167" s="372">
        <v>3</v>
      </c>
      <c r="AB167" s="371"/>
      <c r="AC167" s="372">
        <v>4</v>
      </c>
      <c r="AD167" s="372">
        <v>4</v>
      </c>
      <c r="AE167" s="372">
        <v>4</v>
      </c>
      <c r="AF167" s="372">
        <v>4</v>
      </c>
      <c r="AG167" s="372">
        <v>5</v>
      </c>
      <c r="AH167" s="371"/>
      <c r="AI167" s="371"/>
      <c r="AJ167" s="371"/>
      <c r="AK167" s="371"/>
      <c r="AL167" s="371"/>
      <c r="AM167" s="371"/>
      <c r="AN167" s="371"/>
      <c r="AO167" s="371"/>
      <c r="AP167" s="311"/>
      <c r="AQ167" s="311"/>
      <c r="AR167" s="89"/>
      <c r="AS167" s="311"/>
      <c r="AT167" s="311"/>
      <c r="AU167" s="311"/>
      <c r="AV167" s="311"/>
      <c r="AW167" s="311"/>
      <c r="AX167" s="311"/>
      <c r="AY167" s="311"/>
      <c r="AZ167" s="311"/>
      <c r="BA167" s="311"/>
      <c r="BB167" s="311"/>
      <c r="BC167" s="311"/>
      <c r="BD167" s="311"/>
      <c r="BE167" s="311"/>
      <c r="BF167" s="311"/>
      <c r="BG167" s="311"/>
      <c r="BH167" s="311"/>
      <c r="BI167" s="311"/>
    </row>
    <row r="168" spans="3:61" x14ac:dyDescent="0.3">
      <c r="C168" s="88"/>
      <c r="D168" s="2"/>
      <c r="F168" s="311" t="s">
        <v>944</v>
      </c>
      <c r="G168" s="370" t="s">
        <v>149</v>
      </c>
      <c r="H168" s="311"/>
      <c r="I168" s="311"/>
      <c r="J168" s="372">
        <v>1</v>
      </c>
      <c r="K168" s="371"/>
      <c r="L168" s="371"/>
      <c r="M168" s="372">
        <v>1</v>
      </c>
      <c r="N168" s="372">
        <v>2</v>
      </c>
      <c r="O168" s="372">
        <v>3</v>
      </c>
      <c r="P168" s="372">
        <v>4</v>
      </c>
      <c r="Q168" s="371"/>
      <c r="R168" s="371"/>
      <c r="S168" s="372">
        <v>1</v>
      </c>
      <c r="T168" s="372">
        <v>2</v>
      </c>
      <c r="U168" s="372">
        <v>3</v>
      </c>
      <c r="V168" s="372">
        <v>4</v>
      </c>
      <c r="W168" s="371"/>
      <c r="X168" s="372">
        <v>1</v>
      </c>
      <c r="Y168" s="372">
        <v>2</v>
      </c>
      <c r="Z168" s="372">
        <v>3</v>
      </c>
      <c r="AA168" s="372">
        <v>4</v>
      </c>
      <c r="AB168" s="371"/>
      <c r="AC168" s="372">
        <v>1</v>
      </c>
      <c r="AD168" s="372">
        <v>2</v>
      </c>
      <c r="AE168" s="372">
        <v>3</v>
      </c>
      <c r="AF168" s="372">
        <v>4</v>
      </c>
      <c r="AG168" s="372">
        <v>1</v>
      </c>
      <c r="AH168" s="371"/>
      <c r="AI168" s="371"/>
      <c r="AJ168" s="371"/>
      <c r="AK168" s="371"/>
      <c r="AL168" s="371"/>
      <c r="AM168" s="371"/>
      <c r="AN168" s="371"/>
      <c r="AO168" s="371"/>
      <c r="AP168" s="311"/>
      <c r="AQ168" s="311"/>
      <c r="AR168" s="89"/>
      <c r="AS168" s="311"/>
      <c r="AT168" s="311"/>
      <c r="AU168" s="311"/>
      <c r="AV168" s="311"/>
      <c r="AW168" s="311"/>
      <c r="AX168" s="311"/>
      <c r="AY168" s="311"/>
      <c r="AZ168" s="311"/>
      <c r="BA168" s="311"/>
      <c r="BB168" s="311"/>
      <c r="BC168" s="311"/>
      <c r="BD168" s="311"/>
      <c r="BE168" s="311"/>
      <c r="BF168" s="311"/>
      <c r="BG168" s="311"/>
      <c r="BH168" s="311"/>
      <c r="BI168" s="311"/>
    </row>
    <row r="169" spans="3:61" x14ac:dyDescent="0.3">
      <c r="C169" s="88"/>
      <c r="D169" s="2"/>
      <c r="F169" s="37" t="s">
        <v>1010</v>
      </c>
      <c r="G169" s="373" t="s">
        <v>149</v>
      </c>
      <c r="H169" s="37"/>
      <c r="I169" s="37"/>
      <c r="J169" s="374">
        <v>1</v>
      </c>
      <c r="K169" s="374">
        <v>2</v>
      </c>
      <c r="L169" s="374">
        <v>3</v>
      </c>
      <c r="M169" s="374">
        <v>3</v>
      </c>
      <c r="N169" s="374">
        <v>3</v>
      </c>
      <c r="O169" s="374">
        <v>3</v>
      </c>
      <c r="P169" s="374">
        <v>3</v>
      </c>
      <c r="Q169" s="374">
        <v>4</v>
      </c>
      <c r="R169" s="374">
        <v>5</v>
      </c>
      <c r="S169" s="374">
        <v>5</v>
      </c>
      <c r="T169" s="374">
        <v>5</v>
      </c>
      <c r="U169" s="374">
        <v>5</v>
      </c>
      <c r="V169" s="374">
        <v>5</v>
      </c>
      <c r="W169" s="374">
        <v>6</v>
      </c>
      <c r="X169" s="374">
        <v>6</v>
      </c>
      <c r="Y169" s="374">
        <v>6</v>
      </c>
      <c r="Z169" s="374">
        <v>6</v>
      </c>
      <c r="AA169" s="374">
        <v>6</v>
      </c>
      <c r="AB169" s="374">
        <v>7</v>
      </c>
      <c r="AC169" s="374">
        <v>7</v>
      </c>
      <c r="AD169" s="374">
        <v>7</v>
      </c>
      <c r="AE169" s="374">
        <v>7</v>
      </c>
      <c r="AF169" s="374">
        <v>7</v>
      </c>
      <c r="AG169" s="374">
        <v>8</v>
      </c>
      <c r="AH169" s="374">
        <v>9</v>
      </c>
      <c r="AI169" s="374">
        <v>10</v>
      </c>
      <c r="AJ169" s="374">
        <v>11</v>
      </c>
      <c r="AK169" s="374">
        <v>12</v>
      </c>
      <c r="AL169" s="374">
        <v>13</v>
      </c>
      <c r="AM169" s="374">
        <v>14</v>
      </c>
      <c r="AN169" s="374">
        <v>15</v>
      </c>
      <c r="AO169" s="374">
        <v>16</v>
      </c>
      <c r="AP169" s="311"/>
      <c r="AQ169" s="311"/>
      <c r="AR169" s="89"/>
      <c r="AS169" s="311"/>
      <c r="AT169" s="311"/>
      <c r="AU169" s="311"/>
      <c r="AV169" s="311"/>
      <c r="AW169" s="311"/>
      <c r="AX169" s="311"/>
      <c r="AY169" s="311"/>
      <c r="AZ169" s="311"/>
      <c r="BA169" s="311"/>
      <c r="BB169" s="311"/>
      <c r="BC169" s="311"/>
      <c r="BD169" s="311"/>
      <c r="BE169" s="311"/>
      <c r="BF169" s="311"/>
      <c r="BG169" s="311"/>
      <c r="BH169" s="311"/>
      <c r="BI169" s="311"/>
    </row>
    <row r="170" spans="3:61" x14ac:dyDescent="0.3">
      <c r="C170" s="88"/>
      <c r="D170" s="2"/>
      <c r="F170" s="311"/>
      <c r="G170" s="311"/>
      <c r="H170" s="311"/>
      <c r="I170" s="311"/>
      <c r="J170" s="311"/>
      <c r="K170" s="311"/>
      <c r="L170" s="311"/>
      <c r="M170" s="311"/>
      <c r="N170" s="311"/>
      <c r="O170" s="311"/>
      <c r="P170" s="311"/>
      <c r="Q170" s="311"/>
      <c r="R170" s="311"/>
      <c r="S170" s="311"/>
      <c r="T170" s="311"/>
      <c r="U170" s="311"/>
      <c r="V170" s="311"/>
      <c r="W170" s="311"/>
      <c r="X170" s="311"/>
      <c r="Y170" s="311"/>
      <c r="Z170" s="311"/>
      <c r="AA170" s="311"/>
      <c r="AB170" s="311"/>
      <c r="AC170" s="311"/>
      <c r="AD170" s="311"/>
      <c r="AE170" s="311"/>
      <c r="AF170" s="311"/>
      <c r="AG170" s="311"/>
      <c r="AH170" s="311"/>
      <c r="AI170" s="311"/>
      <c r="AJ170" s="311"/>
      <c r="AK170" s="311"/>
      <c r="AL170" s="311"/>
      <c r="AM170" s="311"/>
      <c r="AN170" s="311"/>
      <c r="AO170" s="311"/>
      <c r="AP170" s="311"/>
      <c r="AQ170" s="311"/>
      <c r="AR170" s="89"/>
      <c r="AS170" s="311"/>
      <c r="AT170" s="311"/>
      <c r="AU170" s="311"/>
      <c r="AV170" s="311"/>
      <c r="AW170" s="311"/>
      <c r="AX170" s="311"/>
      <c r="AY170" s="311"/>
      <c r="AZ170" s="311"/>
      <c r="BA170" s="311"/>
      <c r="BB170" s="311"/>
      <c r="BC170" s="311"/>
      <c r="BD170" s="311"/>
      <c r="BE170" s="311"/>
      <c r="BF170" s="311"/>
      <c r="BG170" s="311"/>
      <c r="BH170" s="311"/>
      <c r="BI170" s="311"/>
    </row>
    <row r="171" spans="3:61" x14ac:dyDescent="0.3">
      <c r="C171" s="88"/>
      <c r="D171" s="2"/>
      <c r="E171" t="s">
        <v>1013</v>
      </c>
      <c r="F171" s="311"/>
      <c r="G171" s="370" t="s">
        <v>149</v>
      </c>
      <c r="H171" s="337">
        <v>2</v>
      </c>
      <c r="I171" s="311"/>
      <c r="J171" s="311"/>
      <c r="K171" s="311"/>
      <c r="L171" s="311"/>
      <c r="M171" s="311"/>
      <c r="N171" s="311"/>
      <c r="O171" s="311"/>
      <c r="P171" s="311"/>
      <c r="Q171" s="311"/>
      <c r="R171" s="311"/>
      <c r="S171" s="311"/>
      <c r="T171" s="311"/>
      <c r="U171" s="311"/>
      <c r="V171" s="311"/>
      <c r="W171" s="311"/>
      <c r="X171" s="311"/>
      <c r="Y171" s="311"/>
      <c r="Z171" s="311"/>
      <c r="AA171" s="311"/>
      <c r="AB171" s="311"/>
      <c r="AC171" s="311"/>
      <c r="AD171" s="311"/>
      <c r="AE171" s="311"/>
      <c r="AF171" s="311"/>
      <c r="AG171" s="311"/>
      <c r="AH171" s="311"/>
      <c r="AI171" s="311"/>
      <c r="AJ171" s="311"/>
      <c r="AK171" s="311"/>
      <c r="AL171" s="311"/>
      <c r="AM171" s="311"/>
      <c r="AN171" s="311"/>
      <c r="AO171" s="311"/>
      <c r="AP171" s="311"/>
      <c r="AQ171" s="311"/>
      <c r="AR171" s="89"/>
      <c r="AS171" s="311"/>
      <c r="AT171" s="311"/>
      <c r="AU171" s="311"/>
      <c r="AV171" s="311"/>
      <c r="AW171" s="311"/>
      <c r="AX171" s="311"/>
      <c r="AY171" s="311"/>
      <c r="AZ171" s="311"/>
      <c r="BA171" s="311"/>
      <c r="BB171" s="311"/>
      <c r="BC171" s="311"/>
      <c r="BD171" s="311"/>
      <c r="BE171" s="311"/>
      <c r="BF171" s="311"/>
      <c r="BG171" s="311"/>
      <c r="BH171" s="311"/>
      <c r="BI171" s="311"/>
    </row>
    <row r="172" spans="3:61" x14ac:dyDescent="0.3">
      <c r="C172" s="88"/>
      <c r="D172" s="2"/>
      <c r="F172" s="311"/>
      <c r="G172" s="311"/>
      <c r="H172" s="311"/>
      <c r="I172" s="311"/>
      <c r="J172" s="311"/>
      <c r="K172" s="311"/>
      <c r="L172" s="311"/>
      <c r="M172" s="311"/>
      <c r="N172" s="311"/>
      <c r="O172" s="311"/>
      <c r="P172" s="311"/>
      <c r="Q172" s="311"/>
      <c r="R172" s="311"/>
      <c r="S172" s="311"/>
      <c r="T172" s="311"/>
      <c r="U172" s="311"/>
      <c r="V172" s="311"/>
      <c r="W172" s="311"/>
      <c r="X172" s="311"/>
      <c r="Y172" s="311"/>
      <c r="Z172" s="311"/>
      <c r="AA172" s="311"/>
      <c r="AB172" s="311"/>
      <c r="AC172" s="311"/>
      <c r="AD172" s="311"/>
      <c r="AE172" s="311"/>
      <c r="AF172" s="311"/>
      <c r="AG172" s="311"/>
      <c r="AH172" s="311"/>
      <c r="AI172" s="311"/>
      <c r="AJ172" s="311"/>
      <c r="AK172" s="311"/>
      <c r="AL172" s="311"/>
      <c r="AM172" s="311"/>
      <c r="AN172" s="311"/>
      <c r="AO172" s="311"/>
      <c r="AP172" s="311"/>
      <c r="AQ172" s="311"/>
      <c r="AR172" s="89"/>
      <c r="AS172" s="311"/>
      <c r="AT172" s="311"/>
      <c r="AU172" s="311"/>
      <c r="AV172" s="311"/>
      <c r="AW172" s="311"/>
      <c r="AX172" s="311"/>
      <c r="AY172" s="311"/>
      <c r="AZ172" s="311"/>
      <c r="BA172" s="311"/>
      <c r="BB172" s="311"/>
      <c r="BC172" s="311"/>
      <c r="BD172" s="311"/>
      <c r="BE172" s="311"/>
      <c r="BF172" s="311"/>
      <c r="BG172" s="311"/>
      <c r="BH172" s="311"/>
      <c r="BI172" s="311"/>
    </row>
    <row r="173" spans="3:61" x14ac:dyDescent="0.3">
      <c r="C173" s="88"/>
      <c r="D173" s="2"/>
      <c r="E173" s="32" t="s">
        <v>1006</v>
      </c>
      <c r="G173" s="311"/>
      <c r="H173" s="311"/>
      <c r="I173" s="311"/>
      <c r="N173" s="311"/>
      <c r="O173" s="311"/>
      <c r="P173" s="311"/>
      <c r="Q173" s="311"/>
      <c r="R173" s="311"/>
      <c r="S173" s="311"/>
      <c r="T173" s="311"/>
      <c r="U173" s="311"/>
      <c r="V173" s="311"/>
      <c r="W173" s="311"/>
      <c r="X173" s="311"/>
      <c r="Y173" s="311"/>
      <c r="Z173" s="311"/>
      <c r="AA173" s="311"/>
      <c r="AB173" s="311"/>
      <c r="AC173" s="311"/>
      <c r="AD173" s="311"/>
      <c r="AE173" s="311"/>
      <c r="AF173" s="311"/>
      <c r="AG173" s="311"/>
      <c r="AH173" s="311"/>
      <c r="AI173" s="311"/>
      <c r="AJ173" s="311"/>
      <c r="AK173" s="311"/>
      <c r="AL173" s="311"/>
      <c r="AM173" s="311"/>
      <c r="AN173" s="311"/>
      <c r="AO173" s="311"/>
      <c r="AP173" s="311"/>
      <c r="AQ173" s="311"/>
      <c r="AR173" s="89"/>
      <c r="AS173" s="311"/>
      <c r="AT173" s="311"/>
      <c r="AU173" s="311"/>
      <c r="AV173" s="311"/>
      <c r="AW173" s="311"/>
      <c r="AX173" s="311"/>
      <c r="AY173" s="311"/>
      <c r="AZ173" s="311"/>
      <c r="BA173" s="311"/>
      <c r="BB173" s="311"/>
      <c r="BC173" s="311"/>
      <c r="BD173" s="311"/>
      <c r="BE173" s="311"/>
      <c r="BF173" s="311"/>
      <c r="BG173" s="311"/>
      <c r="BH173" s="311"/>
      <c r="BI173" s="311"/>
    </row>
    <row r="174" spans="3:61" x14ac:dyDescent="0.3">
      <c r="C174" s="88"/>
      <c r="D174" s="2"/>
      <c r="E174" s="32"/>
      <c r="F174" s="29" t="s">
        <v>1007</v>
      </c>
      <c r="G174" s="311"/>
      <c r="H174" s="311"/>
      <c r="I174" s="311"/>
      <c r="N174" s="311"/>
      <c r="O174" s="311"/>
      <c r="P174" s="311"/>
      <c r="Q174" s="311"/>
      <c r="R174" s="311"/>
      <c r="S174" s="311"/>
      <c r="T174" s="311"/>
      <c r="U174" s="311"/>
      <c r="V174" s="311"/>
      <c r="W174" s="311"/>
      <c r="X174" s="311"/>
      <c r="Y174" s="311"/>
      <c r="Z174" s="311"/>
      <c r="AA174" s="311"/>
      <c r="AB174" s="311"/>
      <c r="AC174" s="311"/>
      <c r="AD174" s="311"/>
      <c r="AE174" s="311"/>
      <c r="AF174" s="311"/>
      <c r="AG174" s="311"/>
      <c r="AH174" s="311"/>
      <c r="AI174" s="311"/>
      <c r="AJ174" s="311"/>
      <c r="AK174" s="311"/>
      <c r="AL174" s="311"/>
      <c r="AM174" s="311"/>
      <c r="AN174" s="311"/>
      <c r="AO174" s="311"/>
      <c r="AP174" s="311"/>
      <c r="AQ174" s="311"/>
      <c r="AR174" s="89"/>
      <c r="AS174" s="311"/>
      <c r="AT174" s="311"/>
      <c r="AU174" s="311"/>
      <c r="AV174" s="311"/>
      <c r="AW174" s="311"/>
      <c r="AX174" s="311"/>
      <c r="AY174" s="311"/>
      <c r="AZ174" s="311"/>
      <c r="BA174" s="311"/>
      <c r="BB174" s="311"/>
      <c r="BC174" s="311"/>
      <c r="BD174" s="311"/>
      <c r="BE174" s="311"/>
      <c r="BF174" s="311"/>
      <c r="BG174" s="311"/>
      <c r="BH174" s="311"/>
      <c r="BI174" s="311"/>
    </row>
    <row r="175" spans="3:61" ht="43.2" x14ac:dyDescent="0.3">
      <c r="C175" s="88"/>
      <c r="D175" s="2"/>
      <c r="E175" s="32"/>
      <c r="F175" s="382" t="s">
        <v>1008</v>
      </c>
      <c r="G175" s="311"/>
      <c r="H175" s="311"/>
      <c r="I175" s="311"/>
      <c r="J175" s="114" t="s">
        <v>913</v>
      </c>
      <c r="K175" s="114" t="s">
        <v>831</v>
      </c>
      <c r="L175" s="114" t="s">
        <v>914</v>
      </c>
      <c r="M175" s="114" t="s">
        <v>915</v>
      </c>
      <c r="N175" s="114" t="s">
        <v>916</v>
      </c>
      <c r="O175" s="114" t="s">
        <v>917</v>
      </c>
      <c r="P175" s="114" t="s">
        <v>918</v>
      </c>
      <c r="Q175" s="114" t="s">
        <v>832</v>
      </c>
      <c r="R175" s="114" t="s">
        <v>919</v>
      </c>
      <c r="S175" s="114" t="s">
        <v>920</v>
      </c>
      <c r="T175" s="114" t="s">
        <v>921</v>
      </c>
      <c r="U175" s="114" t="s">
        <v>922</v>
      </c>
      <c r="V175" s="114" t="s">
        <v>923</v>
      </c>
      <c r="W175" s="114" t="s">
        <v>924</v>
      </c>
      <c r="X175" s="114" t="s">
        <v>925</v>
      </c>
      <c r="Y175" s="114" t="s">
        <v>926</v>
      </c>
      <c r="Z175" s="114" t="s">
        <v>927</v>
      </c>
      <c r="AA175" s="114" t="s">
        <v>928</v>
      </c>
      <c r="AB175" s="114" t="s">
        <v>929</v>
      </c>
      <c r="AC175" s="114" t="s">
        <v>930</v>
      </c>
      <c r="AD175" s="114" t="s">
        <v>931</v>
      </c>
      <c r="AE175" s="114" t="s">
        <v>932</v>
      </c>
      <c r="AF175" s="114" t="s">
        <v>933</v>
      </c>
      <c r="AG175" s="114" t="s">
        <v>841</v>
      </c>
      <c r="AH175" s="114" t="s">
        <v>833</v>
      </c>
      <c r="AI175" s="114" t="s">
        <v>834</v>
      </c>
      <c r="AJ175" s="114" t="s">
        <v>835</v>
      </c>
      <c r="AK175" s="114" t="s">
        <v>844</v>
      </c>
      <c r="AL175" s="114" t="s">
        <v>836</v>
      </c>
      <c r="AM175" s="114" t="s">
        <v>843</v>
      </c>
      <c r="AN175" s="114" t="s">
        <v>837</v>
      </c>
      <c r="AO175" s="114" t="s">
        <v>842</v>
      </c>
      <c r="AP175" s="311"/>
      <c r="AQ175" s="311"/>
      <c r="AR175" s="89"/>
      <c r="AS175" s="311"/>
      <c r="AT175" s="311"/>
      <c r="AU175" s="311"/>
      <c r="AV175" s="311"/>
      <c r="AW175" s="311"/>
      <c r="AX175" s="311"/>
      <c r="AY175" s="311"/>
      <c r="AZ175" s="311"/>
      <c r="BA175" s="311"/>
      <c r="BB175" s="311"/>
      <c r="BC175" s="311"/>
      <c r="BD175" s="311"/>
      <c r="BE175" s="311"/>
      <c r="BF175" s="311"/>
      <c r="BG175" s="311"/>
      <c r="BH175" s="311"/>
      <c r="BI175" s="311"/>
    </row>
    <row r="176" spans="3:61" x14ac:dyDescent="0.3">
      <c r="C176" s="88"/>
      <c r="D176" s="2"/>
      <c r="F176" s="23" t="s">
        <v>998</v>
      </c>
      <c r="G176" s="23" t="s">
        <v>149</v>
      </c>
      <c r="H176" s="23"/>
      <c r="I176" s="23"/>
      <c r="J176" s="325">
        <v>1</v>
      </c>
      <c r="K176" s="65"/>
      <c r="L176" s="65"/>
      <c r="M176" s="325">
        <v>1</v>
      </c>
      <c r="N176" s="325">
        <v>2</v>
      </c>
      <c r="O176" s="325">
        <v>3</v>
      </c>
      <c r="P176" s="325">
        <v>4</v>
      </c>
      <c r="Q176" s="65"/>
      <c r="R176" s="65"/>
      <c r="S176" s="325">
        <v>1</v>
      </c>
      <c r="T176" s="325">
        <v>2</v>
      </c>
      <c r="U176" s="325">
        <v>3</v>
      </c>
      <c r="V176" s="325">
        <v>4</v>
      </c>
      <c r="W176" s="65"/>
      <c r="X176" s="325">
        <v>1</v>
      </c>
      <c r="Y176" s="325">
        <v>2</v>
      </c>
      <c r="Z176" s="325">
        <v>3</v>
      </c>
      <c r="AA176" s="325">
        <v>4</v>
      </c>
      <c r="AB176" s="65"/>
      <c r="AC176" s="325">
        <v>1</v>
      </c>
      <c r="AD176" s="325">
        <v>2</v>
      </c>
      <c r="AE176" s="325">
        <v>3</v>
      </c>
      <c r="AF176" s="325">
        <v>4</v>
      </c>
      <c r="AG176" s="325">
        <v>1</v>
      </c>
      <c r="AH176" s="65"/>
      <c r="AI176" s="65"/>
      <c r="AJ176" s="65"/>
      <c r="AK176" s="65"/>
      <c r="AL176" s="65"/>
      <c r="AM176" s="65"/>
      <c r="AN176" s="65"/>
      <c r="AO176" s="65"/>
      <c r="AP176" s="311"/>
      <c r="AQ176" s="311"/>
      <c r="AR176" s="89"/>
      <c r="AS176" s="311"/>
      <c r="AT176" s="311"/>
      <c r="AU176" s="311"/>
      <c r="AV176" s="311"/>
      <c r="AW176" s="311"/>
      <c r="AX176" s="311"/>
      <c r="AY176" s="311"/>
      <c r="AZ176" s="311"/>
      <c r="BA176" s="311"/>
      <c r="BB176" s="311"/>
      <c r="BC176" s="311"/>
      <c r="BD176" s="311"/>
      <c r="BE176" s="311"/>
      <c r="BF176" s="311"/>
      <c r="BG176" s="311"/>
      <c r="BH176" s="311"/>
      <c r="BI176" s="311"/>
    </row>
    <row r="177" spans="2:61" x14ac:dyDescent="0.3">
      <c r="C177" s="88"/>
      <c r="D177" s="2"/>
      <c r="F177" s="311" t="s">
        <v>999</v>
      </c>
      <c r="G177" s="311" t="s">
        <v>149</v>
      </c>
      <c r="H177" s="311"/>
      <c r="I177" s="311"/>
      <c r="J177" s="337">
        <v>1</v>
      </c>
      <c r="K177" s="371"/>
      <c r="L177" s="371"/>
      <c r="M177" s="337">
        <v>1</v>
      </c>
      <c r="N177" s="337">
        <v>1</v>
      </c>
      <c r="O177" s="337">
        <v>2</v>
      </c>
      <c r="P177" s="337">
        <v>3</v>
      </c>
      <c r="Q177" s="371"/>
      <c r="R177" s="371"/>
      <c r="S177" s="337">
        <v>1</v>
      </c>
      <c r="T177" s="337">
        <v>1</v>
      </c>
      <c r="U177" s="337">
        <v>2</v>
      </c>
      <c r="V177" s="337">
        <v>3</v>
      </c>
      <c r="W177" s="371"/>
      <c r="X177" s="337">
        <v>1</v>
      </c>
      <c r="Y177" s="337">
        <v>1</v>
      </c>
      <c r="Z177" s="337">
        <v>2</v>
      </c>
      <c r="AA177" s="337">
        <v>3</v>
      </c>
      <c r="AB177" s="371"/>
      <c r="AC177" s="337">
        <v>1</v>
      </c>
      <c r="AD177" s="337">
        <v>1</v>
      </c>
      <c r="AE177" s="337">
        <v>2</v>
      </c>
      <c r="AF177" s="337">
        <v>3</v>
      </c>
      <c r="AG177" s="337">
        <v>1</v>
      </c>
      <c r="AH177" s="371"/>
      <c r="AI177" s="371"/>
      <c r="AJ177" s="371"/>
      <c r="AK177" s="371"/>
      <c r="AL177" s="371"/>
      <c r="AM177" s="371"/>
      <c r="AN177" s="371"/>
      <c r="AO177" s="371"/>
      <c r="AP177" s="311"/>
      <c r="AQ177" s="311"/>
      <c r="AR177" s="89"/>
      <c r="AS177" s="311"/>
      <c r="AT177" s="311"/>
      <c r="AU177" s="311"/>
      <c r="AV177" s="311"/>
      <c r="AW177" s="311"/>
      <c r="AX177" s="311"/>
      <c r="AY177" s="311"/>
      <c r="AZ177" s="311"/>
      <c r="BA177" s="311"/>
      <c r="BB177" s="311"/>
      <c r="BC177" s="311"/>
      <c r="BD177" s="311"/>
      <c r="BE177" s="311"/>
      <c r="BF177" s="311"/>
      <c r="BG177" s="311"/>
      <c r="BH177" s="311"/>
      <c r="BI177" s="311"/>
    </row>
    <row r="178" spans="2:61" x14ac:dyDescent="0.3">
      <c r="C178" s="88"/>
      <c r="D178" s="2"/>
      <c r="F178" s="311" t="s">
        <v>1000</v>
      </c>
      <c r="G178" s="311" t="s">
        <v>149</v>
      </c>
      <c r="H178" s="311"/>
      <c r="I178" s="311"/>
      <c r="J178" s="337">
        <v>1</v>
      </c>
      <c r="K178" s="371"/>
      <c r="L178" s="371"/>
      <c r="M178" s="337">
        <v>1</v>
      </c>
      <c r="N178" s="337">
        <v>2</v>
      </c>
      <c r="O178" s="337">
        <v>2</v>
      </c>
      <c r="P178" s="337">
        <v>3</v>
      </c>
      <c r="Q178" s="371"/>
      <c r="R178" s="371"/>
      <c r="S178" s="337">
        <v>1</v>
      </c>
      <c r="T178" s="337">
        <v>2</v>
      </c>
      <c r="U178" s="337">
        <v>2</v>
      </c>
      <c r="V178" s="337">
        <v>3</v>
      </c>
      <c r="W178" s="371"/>
      <c r="X178" s="337">
        <v>1</v>
      </c>
      <c r="Y178" s="337">
        <v>2</v>
      </c>
      <c r="Z178" s="337">
        <v>2</v>
      </c>
      <c r="AA178" s="337">
        <v>3</v>
      </c>
      <c r="AB178" s="371"/>
      <c r="AC178" s="337">
        <v>1</v>
      </c>
      <c r="AD178" s="337">
        <v>2</v>
      </c>
      <c r="AE178" s="337">
        <v>2</v>
      </c>
      <c r="AF178" s="337">
        <v>3</v>
      </c>
      <c r="AG178" s="337">
        <v>1</v>
      </c>
      <c r="AH178" s="371"/>
      <c r="AI178" s="371"/>
      <c r="AJ178" s="371"/>
      <c r="AK178" s="371"/>
      <c r="AL178" s="371"/>
      <c r="AM178" s="371"/>
      <c r="AN178" s="371"/>
      <c r="AO178" s="371"/>
      <c r="AP178" s="311"/>
      <c r="AQ178" s="311"/>
      <c r="AR178" s="89"/>
      <c r="AS178" s="311"/>
      <c r="AT178" s="311"/>
      <c r="AU178" s="311"/>
      <c r="AV178" s="311"/>
      <c r="AW178" s="311"/>
      <c r="AX178" s="311"/>
      <c r="AY178" s="311"/>
      <c r="AZ178" s="311"/>
      <c r="BA178" s="311"/>
      <c r="BB178" s="311"/>
      <c r="BC178" s="311"/>
      <c r="BD178" s="311"/>
      <c r="BE178" s="311"/>
      <c r="BF178" s="311"/>
      <c r="BG178" s="311"/>
      <c r="BH178" s="311"/>
      <c r="BI178" s="311"/>
    </row>
    <row r="179" spans="2:61" x14ac:dyDescent="0.3">
      <c r="C179" s="88"/>
      <c r="D179" s="2"/>
      <c r="F179" s="311" t="s">
        <v>1001</v>
      </c>
      <c r="G179" s="311" t="s">
        <v>149</v>
      </c>
      <c r="H179" s="311"/>
      <c r="I179" s="311"/>
      <c r="J179" s="337">
        <v>1</v>
      </c>
      <c r="K179" s="371"/>
      <c r="L179" s="371"/>
      <c r="M179" s="337">
        <v>1</v>
      </c>
      <c r="N179" s="337">
        <v>2</v>
      </c>
      <c r="O179" s="337">
        <v>3</v>
      </c>
      <c r="P179" s="337">
        <v>3</v>
      </c>
      <c r="Q179" s="371"/>
      <c r="R179" s="371"/>
      <c r="S179" s="337">
        <v>1</v>
      </c>
      <c r="T179" s="337">
        <v>2</v>
      </c>
      <c r="U179" s="337">
        <v>3</v>
      </c>
      <c r="V179" s="337">
        <v>3</v>
      </c>
      <c r="W179" s="371"/>
      <c r="X179" s="337">
        <v>1</v>
      </c>
      <c r="Y179" s="337">
        <v>2</v>
      </c>
      <c r="Z179" s="337">
        <v>3</v>
      </c>
      <c r="AA179" s="337">
        <v>3</v>
      </c>
      <c r="AB179" s="371"/>
      <c r="AC179" s="337">
        <v>1</v>
      </c>
      <c r="AD179" s="337">
        <v>2</v>
      </c>
      <c r="AE179" s="337">
        <v>3</v>
      </c>
      <c r="AF179" s="337">
        <v>3</v>
      </c>
      <c r="AG179" s="337">
        <v>1</v>
      </c>
      <c r="AH179" s="371"/>
      <c r="AI179" s="371"/>
      <c r="AJ179" s="371"/>
      <c r="AK179" s="371"/>
      <c r="AL179" s="371"/>
      <c r="AM179" s="371"/>
      <c r="AN179" s="371"/>
      <c r="AO179" s="371"/>
      <c r="AP179" s="311"/>
      <c r="AQ179" s="311"/>
      <c r="AR179" s="89"/>
      <c r="AS179" s="311"/>
      <c r="AT179" s="311"/>
      <c r="AU179" s="311"/>
      <c r="AV179" s="311"/>
      <c r="AW179" s="311"/>
      <c r="AX179" s="311"/>
      <c r="AY179" s="311"/>
      <c r="AZ179" s="311"/>
      <c r="BA179" s="311"/>
      <c r="BB179" s="311"/>
      <c r="BC179" s="311"/>
      <c r="BD179" s="311"/>
      <c r="BE179" s="311"/>
      <c r="BF179" s="311"/>
      <c r="BG179" s="311"/>
      <c r="BH179" s="311"/>
      <c r="BI179" s="311"/>
    </row>
    <row r="180" spans="2:61" x14ac:dyDescent="0.3">
      <c r="C180" s="88"/>
      <c r="D180" s="2"/>
      <c r="F180" s="311" t="s">
        <v>1002</v>
      </c>
      <c r="G180" s="311" t="s">
        <v>149</v>
      </c>
      <c r="H180" s="311"/>
      <c r="I180" s="311"/>
      <c r="J180" s="337">
        <v>1</v>
      </c>
      <c r="K180" s="371"/>
      <c r="L180" s="371"/>
      <c r="M180" s="337">
        <v>1</v>
      </c>
      <c r="N180" s="337">
        <v>1</v>
      </c>
      <c r="O180" s="337">
        <v>2</v>
      </c>
      <c r="P180" s="337">
        <v>2</v>
      </c>
      <c r="Q180" s="371"/>
      <c r="R180" s="371"/>
      <c r="S180" s="337">
        <v>1</v>
      </c>
      <c r="T180" s="337">
        <v>1</v>
      </c>
      <c r="U180" s="337">
        <v>2</v>
      </c>
      <c r="V180" s="337">
        <v>2</v>
      </c>
      <c r="W180" s="371"/>
      <c r="X180" s="337">
        <v>1</v>
      </c>
      <c r="Y180" s="337">
        <v>1</v>
      </c>
      <c r="Z180" s="337">
        <v>2</v>
      </c>
      <c r="AA180" s="337">
        <v>2</v>
      </c>
      <c r="AB180" s="371"/>
      <c r="AC180" s="337">
        <v>1</v>
      </c>
      <c r="AD180" s="337">
        <v>1</v>
      </c>
      <c r="AE180" s="337">
        <v>2</v>
      </c>
      <c r="AF180" s="337">
        <v>2</v>
      </c>
      <c r="AG180" s="337">
        <v>1</v>
      </c>
      <c r="AH180" s="371"/>
      <c r="AI180" s="371"/>
      <c r="AJ180" s="371"/>
      <c r="AK180" s="371"/>
      <c r="AL180" s="371"/>
      <c r="AM180" s="371"/>
      <c r="AN180" s="371"/>
      <c r="AO180" s="371"/>
      <c r="AP180" s="311"/>
      <c r="AQ180" s="311"/>
      <c r="AR180" s="89"/>
      <c r="AS180" s="311"/>
      <c r="AT180" s="311"/>
      <c r="AU180" s="311"/>
      <c r="AV180" s="311"/>
      <c r="AW180" s="311"/>
      <c r="AX180" s="311"/>
      <c r="AY180" s="311"/>
      <c r="AZ180" s="311"/>
      <c r="BA180" s="311"/>
      <c r="BB180" s="311"/>
      <c r="BC180" s="311"/>
      <c r="BD180" s="311"/>
      <c r="BE180" s="311"/>
      <c r="BF180" s="311"/>
      <c r="BG180" s="311"/>
      <c r="BH180" s="311"/>
      <c r="BI180" s="311"/>
    </row>
    <row r="181" spans="2:61" x14ac:dyDescent="0.3">
      <c r="C181" s="88"/>
      <c r="D181" s="2"/>
      <c r="F181" s="311" t="s">
        <v>1003</v>
      </c>
      <c r="G181" s="311" t="s">
        <v>149</v>
      </c>
      <c r="H181" s="311"/>
      <c r="I181" s="311"/>
      <c r="J181" s="337">
        <v>1</v>
      </c>
      <c r="K181" s="371"/>
      <c r="L181" s="371"/>
      <c r="M181" s="337">
        <v>1</v>
      </c>
      <c r="N181" s="337">
        <v>1</v>
      </c>
      <c r="O181" s="337">
        <v>1</v>
      </c>
      <c r="P181" s="337">
        <v>2</v>
      </c>
      <c r="Q181" s="371"/>
      <c r="R181" s="371"/>
      <c r="S181" s="337">
        <v>1</v>
      </c>
      <c r="T181" s="337">
        <v>1</v>
      </c>
      <c r="U181" s="337">
        <v>1</v>
      </c>
      <c r="V181" s="337">
        <v>2</v>
      </c>
      <c r="W181" s="371"/>
      <c r="X181" s="337">
        <v>1</v>
      </c>
      <c r="Y181" s="337">
        <v>1</v>
      </c>
      <c r="Z181" s="337">
        <v>1</v>
      </c>
      <c r="AA181" s="337">
        <v>2</v>
      </c>
      <c r="AB181" s="371"/>
      <c r="AC181" s="337">
        <v>1</v>
      </c>
      <c r="AD181" s="337">
        <v>1</v>
      </c>
      <c r="AE181" s="337">
        <v>1</v>
      </c>
      <c r="AF181" s="337">
        <v>2</v>
      </c>
      <c r="AG181" s="337">
        <v>1</v>
      </c>
      <c r="AH181" s="371"/>
      <c r="AI181" s="371"/>
      <c r="AJ181" s="371"/>
      <c r="AK181" s="371"/>
      <c r="AL181" s="371"/>
      <c r="AM181" s="371"/>
      <c r="AN181" s="371"/>
      <c r="AO181" s="371"/>
      <c r="AP181" s="311"/>
      <c r="AQ181" s="311"/>
      <c r="AR181" s="89"/>
      <c r="AS181" s="311"/>
      <c r="AT181" s="311"/>
      <c r="AU181" s="311"/>
      <c r="AV181" s="311"/>
      <c r="AW181" s="311"/>
      <c r="AX181" s="311"/>
      <c r="AY181" s="311"/>
      <c r="AZ181" s="311"/>
      <c r="BA181" s="311"/>
      <c r="BB181" s="311"/>
      <c r="BC181" s="311"/>
      <c r="BD181" s="311"/>
      <c r="BE181" s="311"/>
      <c r="BF181" s="311"/>
      <c r="BG181" s="311"/>
      <c r="BH181" s="311"/>
      <c r="BI181" s="311"/>
    </row>
    <row r="182" spans="2:61" x14ac:dyDescent="0.3">
      <c r="C182" s="88"/>
      <c r="D182" s="2"/>
      <c r="F182" s="311" t="s">
        <v>1004</v>
      </c>
      <c r="G182" s="311" t="s">
        <v>149</v>
      </c>
      <c r="H182" s="311"/>
      <c r="I182" s="311"/>
      <c r="J182" s="337">
        <v>1</v>
      </c>
      <c r="K182" s="371"/>
      <c r="L182" s="371"/>
      <c r="M182" s="337">
        <v>1</v>
      </c>
      <c r="N182" s="337">
        <v>2</v>
      </c>
      <c r="O182" s="337">
        <v>2</v>
      </c>
      <c r="P182" s="337">
        <v>2</v>
      </c>
      <c r="Q182" s="371"/>
      <c r="R182" s="371"/>
      <c r="S182" s="337">
        <v>1</v>
      </c>
      <c r="T182" s="337">
        <v>2</v>
      </c>
      <c r="U182" s="337">
        <v>2</v>
      </c>
      <c r="V182" s="337">
        <v>2</v>
      </c>
      <c r="W182" s="371"/>
      <c r="X182" s="337">
        <v>1</v>
      </c>
      <c r="Y182" s="337">
        <v>2</v>
      </c>
      <c r="Z182" s="337">
        <v>2</v>
      </c>
      <c r="AA182" s="337">
        <v>2</v>
      </c>
      <c r="AB182" s="371"/>
      <c r="AC182" s="337">
        <v>1</v>
      </c>
      <c r="AD182" s="337">
        <v>2</v>
      </c>
      <c r="AE182" s="337">
        <v>2</v>
      </c>
      <c r="AF182" s="337">
        <v>2</v>
      </c>
      <c r="AG182" s="337">
        <v>1</v>
      </c>
      <c r="AH182" s="371"/>
      <c r="AI182" s="371"/>
      <c r="AJ182" s="371"/>
      <c r="AK182" s="371"/>
      <c r="AL182" s="371"/>
      <c r="AM182" s="371"/>
      <c r="AN182" s="371"/>
      <c r="AO182" s="371"/>
      <c r="AP182" s="311"/>
      <c r="AQ182" s="311"/>
      <c r="AR182" s="89"/>
      <c r="AS182" s="311"/>
      <c r="AT182" s="311"/>
      <c r="AU182" s="311"/>
      <c r="AV182" s="311"/>
      <c r="AW182" s="311"/>
      <c r="AX182" s="311"/>
      <c r="AY182" s="311"/>
      <c r="AZ182" s="311"/>
      <c r="BA182" s="311"/>
      <c r="BB182" s="311"/>
      <c r="BC182" s="311"/>
      <c r="BD182" s="311"/>
      <c r="BE182" s="311"/>
      <c r="BF182" s="311"/>
      <c r="BG182" s="311"/>
      <c r="BH182" s="311"/>
      <c r="BI182" s="311"/>
    </row>
    <row r="183" spans="2:61" x14ac:dyDescent="0.3">
      <c r="C183" s="88"/>
      <c r="D183" s="2"/>
      <c r="F183" s="37" t="s">
        <v>1005</v>
      </c>
      <c r="G183" s="37" t="s">
        <v>149</v>
      </c>
      <c r="H183" s="37"/>
      <c r="I183" s="37"/>
      <c r="J183" s="326">
        <v>1</v>
      </c>
      <c r="K183" s="68"/>
      <c r="L183" s="68"/>
      <c r="M183" s="326">
        <v>1</v>
      </c>
      <c r="N183" s="326">
        <v>1</v>
      </c>
      <c r="O183" s="326">
        <v>1</v>
      </c>
      <c r="P183" s="326">
        <v>1</v>
      </c>
      <c r="Q183" s="68"/>
      <c r="R183" s="68"/>
      <c r="S183" s="326">
        <v>1</v>
      </c>
      <c r="T183" s="326">
        <v>1</v>
      </c>
      <c r="U183" s="326">
        <v>1</v>
      </c>
      <c r="V183" s="326">
        <v>1</v>
      </c>
      <c r="W183" s="68"/>
      <c r="X183" s="326">
        <v>1</v>
      </c>
      <c r="Y183" s="326">
        <v>1</v>
      </c>
      <c r="Z183" s="326">
        <v>1</v>
      </c>
      <c r="AA183" s="326">
        <v>1</v>
      </c>
      <c r="AB183" s="68"/>
      <c r="AC183" s="326">
        <v>1</v>
      </c>
      <c r="AD183" s="326">
        <v>1</v>
      </c>
      <c r="AE183" s="326">
        <v>1</v>
      </c>
      <c r="AF183" s="326">
        <v>1</v>
      </c>
      <c r="AG183" s="326">
        <v>1</v>
      </c>
      <c r="AH183" s="68"/>
      <c r="AI183" s="68"/>
      <c r="AJ183" s="68"/>
      <c r="AK183" s="68"/>
      <c r="AL183" s="68"/>
      <c r="AM183" s="68"/>
      <c r="AN183" s="68"/>
      <c r="AO183" s="68"/>
      <c r="AP183" s="311"/>
      <c r="AQ183" s="311"/>
      <c r="AR183" s="89"/>
      <c r="AS183" s="311"/>
      <c r="AT183" s="311"/>
      <c r="AU183" s="311"/>
      <c r="AV183" s="311"/>
      <c r="AW183" s="311"/>
      <c r="AX183" s="311"/>
      <c r="AY183" s="311"/>
      <c r="AZ183" s="311"/>
      <c r="BA183" s="311"/>
      <c r="BB183" s="311"/>
      <c r="BC183" s="311"/>
      <c r="BD183" s="311"/>
      <c r="BE183" s="311"/>
      <c r="BF183" s="311"/>
      <c r="BG183" s="311"/>
      <c r="BH183" s="311"/>
      <c r="BI183" s="311"/>
    </row>
    <row r="184" spans="2:61" x14ac:dyDescent="0.3">
      <c r="C184" s="88"/>
      <c r="D184" s="2"/>
      <c r="E184" s="32"/>
      <c r="G184" s="311"/>
      <c r="H184" s="311"/>
      <c r="I184" s="311"/>
      <c r="J184" s="311"/>
      <c r="K184" s="311"/>
      <c r="L184" s="311"/>
      <c r="M184" s="311"/>
      <c r="N184" s="311"/>
      <c r="O184" s="311"/>
      <c r="P184" s="311"/>
      <c r="Q184" s="311"/>
      <c r="R184" s="311"/>
      <c r="S184" s="311"/>
      <c r="T184" s="311"/>
      <c r="U184" s="311"/>
      <c r="V184" s="311"/>
      <c r="W184" s="311"/>
      <c r="X184" s="311"/>
      <c r="Y184" s="311"/>
      <c r="Z184" s="311"/>
      <c r="AA184" s="311"/>
      <c r="AB184" s="311"/>
      <c r="AC184" s="311"/>
      <c r="AD184" s="311"/>
      <c r="AE184" s="311"/>
      <c r="AF184" s="311"/>
      <c r="AG184" s="311"/>
      <c r="AH184" s="311"/>
      <c r="AI184" s="311"/>
      <c r="AJ184" s="311"/>
      <c r="AK184" s="311"/>
      <c r="AL184" s="311"/>
      <c r="AM184" s="311"/>
      <c r="AN184" s="311"/>
      <c r="AO184" s="311"/>
      <c r="AP184" s="311"/>
      <c r="AQ184" s="311"/>
      <c r="AR184" s="89"/>
      <c r="AS184" s="311"/>
      <c r="AT184" s="311"/>
      <c r="AU184" s="311"/>
      <c r="AV184" s="311"/>
      <c r="AW184" s="311"/>
      <c r="AX184" s="311"/>
      <c r="AY184" s="311"/>
      <c r="AZ184" s="311"/>
      <c r="BA184" s="311"/>
      <c r="BB184" s="311"/>
      <c r="BC184" s="311"/>
      <c r="BD184" s="311"/>
      <c r="BE184" s="311"/>
      <c r="BF184" s="311"/>
      <c r="BG184" s="311"/>
      <c r="BH184" s="311"/>
      <c r="BI184" s="311"/>
    </row>
    <row r="185" spans="2:61" x14ac:dyDescent="0.3">
      <c r="B185" s="30" t="s">
        <v>231</v>
      </c>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row>
    <row r="186" spans="2:61" x14ac:dyDescent="0.3">
      <c r="F186" s="3"/>
      <c r="G186" s="3"/>
      <c r="H186" s="3"/>
      <c r="I186" s="3"/>
    </row>
    <row r="187" spans="2:61" x14ac:dyDescent="0.3">
      <c r="E187" t="s">
        <v>232</v>
      </c>
      <c r="G187" s="6" t="s">
        <v>55</v>
      </c>
      <c r="H187" s="24">
        <f t="array" ref="H187">SUM(IF(ISERROR(H15:Y146), 1))</f>
        <v>0</v>
      </c>
      <c r="I187" s="3"/>
    </row>
    <row r="188" spans="2:61" x14ac:dyDescent="0.3">
      <c r="I188" s="3"/>
    </row>
    <row r="189" spans="2:61" x14ac:dyDescent="0.3">
      <c r="E189" s="32" t="s">
        <v>233</v>
      </c>
      <c r="I189" s="3"/>
    </row>
    <row r="190" spans="2:61" x14ac:dyDescent="0.3">
      <c r="F190" s="23" t="s">
        <v>234</v>
      </c>
      <c r="G190" s="73" t="s">
        <v>55</v>
      </c>
      <c r="H190" s="74">
        <f>SUM(J190:Y190)</f>
        <v>0</v>
      </c>
      <c r="I190" s="69"/>
      <c r="J190" s="74">
        <f t="shared" ref="J190:K190" si="0">IF( OR( AND(J105 = TRUE, NOT(ISBLANK(J106))), AND(J105 = FALSE, J106 = 0)), 0, 1)</f>
        <v>0</v>
      </c>
      <c r="K190" s="74">
        <f t="shared" si="0"/>
        <v>0</v>
      </c>
      <c r="L190" s="74">
        <f t="shared" ref="L190:M190" si="1">IF( OR( AND(L105 = TRUE, NOT(ISBLANK(L106))), AND(L105 = FALSE, L106 = 0)), 0, 1)</f>
        <v>0</v>
      </c>
      <c r="M190" s="74">
        <f t="shared" si="1"/>
        <v>0</v>
      </c>
      <c r="N190" s="74">
        <f t="shared" ref="N190:P190" si="2">IF( OR( AND(N105 = TRUE, NOT(ISBLANK(N106))), AND(N105 = FALSE, N106 = 0)), 0, 1)</f>
        <v>0</v>
      </c>
      <c r="O190" s="74">
        <f t="shared" si="2"/>
        <v>0</v>
      </c>
      <c r="P190" s="74">
        <f t="shared" si="2"/>
        <v>0</v>
      </c>
      <c r="Q190" s="74">
        <f t="shared" ref="Q190:S190" si="3">IF( OR( AND(Q105 = TRUE, NOT(ISBLANK(Q106))), AND(Q105 = FALSE, Q106 = 0)), 0, 1)</f>
        <v>0</v>
      </c>
      <c r="R190" s="74">
        <f t="shared" si="3"/>
        <v>0</v>
      </c>
      <c r="S190" s="74">
        <f t="shared" si="3"/>
        <v>0</v>
      </c>
      <c r="T190" s="74">
        <f t="shared" ref="T190:U190" si="4">IF( OR( AND(T105 = TRUE, NOT(ISBLANK(T106))), AND(T105 = FALSE, T106 = 0)), 0, 1)</f>
        <v>0</v>
      </c>
      <c r="U190" s="74">
        <f t="shared" si="4"/>
        <v>0</v>
      </c>
      <c r="V190" s="74">
        <f t="shared" ref="V190:W190" si="5">IF( OR( AND(V105 = TRUE, NOT(ISBLANK(V106))), AND(V105 = FALSE, V106 = 0)), 0, 1)</f>
        <v>0</v>
      </c>
      <c r="W190" s="74">
        <f t="shared" si="5"/>
        <v>0</v>
      </c>
      <c r="X190" s="74">
        <f t="shared" ref="X190:Y190" si="6">IF( OR( AND(X105 = TRUE, NOT(ISBLANK(X106))), AND(X105 = FALSE, X106 = 0)), 0, 1)</f>
        <v>0</v>
      </c>
      <c r="Y190" s="74">
        <f t="shared" si="6"/>
        <v>0</v>
      </c>
    </row>
    <row r="191" spans="2:61" x14ac:dyDescent="0.3">
      <c r="F191" t="s">
        <v>235</v>
      </c>
      <c r="G191" s="6" t="s">
        <v>55</v>
      </c>
      <c r="H191" s="24">
        <f>SUM(J191:Y191)</f>
        <v>0</v>
      </c>
      <c r="I191" s="3"/>
      <c r="J191" s="24">
        <f t="shared" ref="J191:K191" si="7">IF( OR( AND(J109 = TRUE, NOT(ISBLANK(J110))), AND(J109 = FALSE, J110 = 0)), 0, 1)</f>
        <v>0</v>
      </c>
      <c r="K191" s="24">
        <f t="shared" si="7"/>
        <v>0</v>
      </c>
      <c r="L191" s="24">
        <f t="shared" ref="L191:M191" si="8">IF( OR( AND(L109 = TRUE, NOT(ISBLANK(L110))), AND(L109 = FALSE, L110 = 0)), 0, 1)</f>
        <v>0</v>
      </c>
      <c r="M191" s="24">
        <f t="shared" si="8"/>
        <v>0</v>
      </c>
      <c r="N191" s="24">
        <f t="shared" ref="N191:P191" si="9">IF( OR( AND(N109 = TRUE, NOT(ISBLANK(N110))), AND(N109 = FALSE, N110 = 0)), 0, 1)</f>
        <v>0</v>
      </c>
      <c r="O191" s="24">
        <f t="shared" si="9"/>
        <v>0</v>
      </c>
      <c r="P191" s="24">
        <f t="shared" si="9"/>
        <v>0</v>
      </c>
      <c r="Q191" s="24">
        <f t="shared" ref="Q191:S191" si="10">IF( OR( AND(Q109 = TRUE, NOT(ISBLANK(Q110))), AND(Q109 = FALSE, Q110 = 0)), 0, 1)</f>
        <v>0</v>
      </c>
      <c r="R191" s="24">
        <f t="shared" si="10"/>
        <v>0</v>
      </c>
      <c r="S191" s="24">
        <f t="shared" si="10"/>
        <v>0</v>
      </c>
      <c r="T191" s="24">
        <f t="shared" ref="T191:U191" si="11">IF( OR( AND(T109 = TRUE, NOT(ISBLANK(T110))), AND(T109 = FALSE, T110 = 0)), 0, 1)</f>
        <v>0</v>
      </c>
      <c r="U191" s="24">
        <f t="shared" si="11"/>
        <v>0</v>
      </c>
      <c r="V191" s="24">
        <f t="shared" ref="V191:W191" si="12">IF( OR( AND(V109 = TRUE, NOT(ISBLANK(V110))), AND(V109 = FALSE, V110 = 0)), 0, 1)</f>
        <v>0</v>
      </c>
      <c r="W191" s="24">
        <f t="shared" si="12"/>
        <v>0</v>
      </c>
      <c r="X191" s="24">
        <f t="shared" ref="X191:Y191" si="13">IF( OR( AND(X109 = TRUE, NOT(ISBLANK(X110))), AND(X109 = FALSE, X110 = 0)), 0, 1)</f>
        <v>0</v>
      </c>
      <c r="Y191" s="24">
        <f t="shared" si="13"/>
        <v>0</v>
      </c>
    </row>
    <row r="192" spans="2:61" x14ac:dyDescent="0.3">
      <c r="F192" t="s">
        <v>236</v>
      </c>
      <c r="G192" s="6" t="s">
        <v>55</v>
      </c>
      <c r="H192" s="24">
        <f>SUM(J192:Y192)</f>
        <v>0</v>
      </c>
      <c r="I192" s="3"/>
      <c r="J192" s="24">
        <f t="shared" ref="J192:K192" si="14">IF( OR( AND(J113 = TRUE, NOT(ISBLANK(J114))), AND(J113 = FALSE, J114 = 0)), 0, 1)</f>
        <v>0</v>
      </c>
      <c r="K192" s="24">
        <f t="shared" si="14"/>
        <v>0</v>
      </c>
      <c r="L192" s="24">
        <f t="shared" ref="L192:M192" si="15">IF( OR( AND(L113 = TRUE, NOT(ISBLANK(L114))), AND(L113 = FALSE, L114 = 0)), 0, 1)</f>
        <v>0</v>
      </c>
      <c r="M192" s="24">
        <f t="shared" si="15"/>
        <v>0</v>
      </c>
      <c r="N192" s="24">
        <f t="shared" ref="N192:P192" si="16">IF( OR( AND(N113 = TRUE, NOT(ISBLANK(N114))), AND(N113 = FALSE, N114 = 0)), 0, 1)</f>
        <v>0</v>
      </c>
      <c r="O192" s="24">
        <f t="shared" si="16"/>
        <v>0</v>
      </c>
      <c r="P192" s="24">
        <f t="shared" si="16"/>
        <v>0</v>
      </c>
      <c r="Q192" s="24">
        <f t="shared" ref="Q192:S192" si="17">IF( OR( AND(Q113 = TRUE, NOT(ISBLANK(Q114))), AND(Q113 = FALSE, Q114 = 0)), 0, 1)</f>
        <v>0</v>
      </c>
      <c r="R192" s="24">
        <f t="shared" si="17"/>
        <v>0</v>
      </c>
      <c r="S192" s="24">
        <f t="shared" si="17"/>
        <v>0</v>
      </c>
      <c r="T192" s="24">
        <f t="shared" ref="T192:U192" si="18">IF( OR( AND(T113 = TRUE, NOT(ISBLANK(T114))), AND(T113 = FALSE, T114 = 0)), 0, 1)</f>
        <v>0</v>
      </c>
      <c r="U192" s="24">
        <f t="shared" si="18"/>
        <v>0</v>
      </c>
      <c r="V192" s="24">
        <f t="shared" ref="V192:W192" si="19">IF( OR( AND(V113 = TRUE, NOT(ISBLANK(V114))), AND(V113 = FALSE, V114 = 0)), 0, 1)</f>
        <v>0</v>
      </c>
      <c r="W192" s="24">
        <f t="shared" si="19"/>
        <v>0</v>
      </c>
      <c r="X192" s="24">
        <f t="shared" ref="X192:Y192" si="20">IF( OR( AND(X113 = TRUE, NOT(ISBLANK(X114))), AND(X113 = FALSE, X114 = 0)), 0, 1)</f>
        <v>0</v>
      </c>
      <c r="Y192" s="24">
        <f t="shared" si="20"/>
        <v>0</v>
      </c>
    </row>
    <row r="193" spans="2:43" x14ac:dyDescent="0.3">
      <c r="F193" t="s">
        <v>237</v>
      </c>
      <c r="G193" s="6" t="s">
        <v>55</v>
      </c>
      <c r="H193" s="24">
        <f>SUM(J193:Y193)</f>
        <v>0</v>
      </c>
      <c r="I193" s="3"/>
      <c r="J193" s="24">
        <f t="shared" ref="J193:K193" si="21">IF( OR( AND(J117 = TRUE, NOT(ISBLANK(J118))), AND(J117 = FALSE, J118 = 0)), 0, 1)</f>
        <v>0</v>
      </c>
      <c r="K193" s="24">
        <f t="shared" si="21"/>
        <v>0</v>
      </c>
      <c r="L193" s="24">
        <f t="shared" ref="L193:M193" si="22">IF( OR( AND(L117 = TRUE, NOT(ISBLANK(L118))), AND(L117 = FALSE, L118 = 0)), 0, 1)</f>
        <v>0</v>
      </c>
      <c r="M193" s="24">
        <f t="shared" si="22"/>
        <v>0</v>
      </c>
      <c r="N193" s="24">
        <f t="shared" ref="N193:P193" si="23">IF( OR( AND(N117 = TRUE, NOT(ISBLANK(N118))), AND(N117 = FALSE, N118 = 0)), 0, 1)</f>
        <v>0</v>
      </c>
      <c r="O193" s="24">
        <f t="shared" si="23"/>
        <v>0</v>
      </c>
      <c r="P193" s="24">
        <f t="shared" si="23"/>
        <v>0</v>
      </c>
      <c r="Q193" s="24">
        <f t="shared" ref="Q193:S193" si="24">IF( OR( AND(Q117 = TRUE, NOT(ISBLANK(Q118))), AND(Q117 = FALSE, Q118 = 0)), 0, 1)</f>
        <v>0</v>
      </c>
      <c r="R193" s="24">
        <f t="shared" si="24"/>
        <v>0</v>
      </c>
      <c r="S193" s="24">
        <f t="shared" si="24"/>
        <v>0</v>
      </c>
      <c r="T193" s="24">
        <f t="shared" ref="T193:U193" si="25">IF( OR( AND(T117 = TRUE, NOT(ISBLANK(T118))), AND(T117 = FALSE, T118 = 0)), 0, 1)</f>
        <v>0</v>
      </c>
      <c r="U193" s="24">
        <f t="shared" si="25"/>
        <v>0</v>
      </c>
      <c r="V193" s="24">
        <f t="shared" ref="V193:W193" si="26">IF( OR( AND(V117 = TRUE, NOT(ISBLANK(V118))), AND(V117 = FALSE, V118 = 0)), 0, 1)</f>
        <v>0</v>
      </c>
      <c r="W193" s="24">
        <f t="shared" si="26"/>
        <v>0</v>
      </c>
      <c r="X193" s="24">
        <f t="shared" ref="X193:Y193" si="27">IF( OR( AND(X117 = TRUE, NOT(ISBLANK(X118))), AND(X117 = FALSE, X118 = 0)), 0, 1)</f>
        <v>0</v>
      </c>
      <c r="Y193" s="24">
        <f t="shared" si="27"/>
        <v>0</v>
      </c>
    </row>
    <row r="194" spans="2:43" x14ac:dyDescent="0.3">
      <c r="F194" s="37" t="s">
        <v>238</v>
      </c>
      <c r="G194" s="50" t="s">
        <v>55</v>
      </c>
      <c r="H194" s="75">
        <f>SUM(J194:Y194)</f>
        <v>0</v>
      </c>
      <c r="I194" s="76"/>
      <c r="J194" s="75">
        <f t="shared" ref="J194:K194" si="28">IF( OR( AND(J121 = TRUE, NOT(ISBLANK(J122))), AND(J121 = FALSE, J122 = 0)), 0, 1)</f>
        <v>0</v>
      </c>
      <c r="K194" s="75">
        <f t="shared" si="28"/>
        <v>0</v>
      </c>
      <c r="L194" s="75">
        <f t="shared" ref="L194:M194" si="29">IF( OR( AND(L121 = TRUE, NOT(ISBLANK(L122))), AND(L121 = FALSE, L122 = 0)), 0, 1)</f>
        <v>0</v>
      </c>
      <c r="M194" s="75">
        <f t="shared" si="29"/>
        <v>0</v>
      </c>
      <c r="N194" s="75">
        <f t="shared" ref="N194:P194" si="30">IF( OR( AND(N121 = TRUE, NOT(ISBLANK(N122))), AND(N121 = FALSE, N122 = 0)), 0, 1)</f>
        <v>0</v>
      </c>
      <c r="O194" s="75">
        <f t="shared" si="30"/>
        <v>0</v>
      </c>
      <c r="P194" s="75">
        <f t="shared" si="30"/>
        <v>0</v>
      </c>
      <c r="Q194" s="75">
        <f t="shared" ref="Q194:S194" si="31">IF( OR( AND(Q121 = TRUE, NOT(ISBLANK(Q122))), AND(Q121 = FALSE, Q122 = 0)), 0, 1)</f>
        <v>0</v>
      </c>
      <c r="R194" s="75">
        <f t="shared" si="31"/>
        <v>0</v>
      </c>
      <c r="S194" s="75">
        <f t="shared" si="31"/>
        <v>0</v>
      </c>
      <c r="T194" s="75">
        <f t="shared" ref="T194:U194" si="32">IF( OR( AND(T121 = TRUE, NOT(ISBLANK(T122))), AND(T121 = FALSE, T122 = 0)), 0, 1)</f>
        <v>0</v>
      </c>
      <c r="U194" s="75">
        <f t="shared" si="32"/>
        <v>0</v>
      </c>
      <c r="V194" s="75">
        <f t="shared" ref="V194:W194" si="33">IF( OR( AND(V121 = TRUE, NOT(ISBLANK(V122))), AND(V121 = FALSE, V122 = 0)), 0, 1)</f>
        <v>0</v>
      </c>
      <c r="W194" s="75">
        <f t="shared" si="33"/>
        <v>0</v>
      </c>
      <c r="X194" s="75">
        <f t="shared" ref="X194:Y194" si="34">IF( OR( AND(X121 = TRUE, NOT(ISBLANK(X122))), AND(X121 = FALSE, X122 = 0)), 0, 1)</f>
        <v>0</v>
      </c>
      <c r="Y194" s="75">
        <f t="shared" si="34"/>
        <v>0</v>
      </c>
    </row>
    <row r="195" spans="2:43" x14ac:dyDescent="0.3">
      <c r="F195" s="3"/>
      <c r="G195" s="3"/>
      <c r="H195" s="3"/>
      <c r="I195" s="3"/>
    </row>
    <row r="196" spans="2:43" x14ac:dyDescent="0.3">
      <c r="E196" t="s">
        <v>239</v>
      </c>
      <c r="G196" s="6" t="s">
        <v>55</v>
      </c>
      <c r="H196" s="103">
        <f>H187 + SUM(H190:H194)</f>
        <v>0</v>
      </c>
      <c r="I196" s="3"/>
    </row>
    <row r="197" spans="2:43" x14ac:dyDescent="0.3">
      <c r="I197" s="3"/>
    </row>
    <row r="198" spans="2:43" x14ac:dyDescent="0.3">
      <c r="B198" s="30" t="s">
        <v>106</v>
      </c>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row>
    <row r="199" spans="2:43" x14ac:dyDescent="0.3">
      <c r="F199" s="3"/>
      <c r="G199" s="3"/>
      <c r="H199" s="3"/>
      <c r="I199" s="3"/>
    </row>
    <row r="200" spans="2:43" x14ac:dyDescent="0.3">
      <c r="F200" s="3"/>
      <c r="G200" s="3"/>
      <c r="H200" s="3"/>
      <c r="I200" s="3"/>
    </row>
  </sheetData>
  <sheetProtection sheet="1" objects="1" formatCells="0" formatColumns="0" formatRows="0" sort="0" autoFilter="0"/>
  <conditionalFormatting sqref="H187">
    <cfRule type="cellIs" dxfId="226" priority="31" operator="greaterThan">
      <formula>0</formula>
    </cfRule>
  </conditionalFormatting>
  <conditionalFormatting sqref="H190:H194">
    <cfRule type="cellIs" dxfId="225" priority="29" operator="greaterThan">
      <formula>0</formula>
    </cfRule>
  </conditionalFormatting>
  <conditionalFormatting sqref="H196">
    <cfRule type="cellIs" dxfId="224" priority="26" operator="greaterThan">
      <formula>0</formula>
    </cfRule>
  </conditionalFormatting>
  <conditionalFormatting sqref="A4:I4 AC4:XFD4">
    <cfRule type="expression" dxfId="223" priority="25">
      <formula>LEFT($A$4,1) &lt;&gt; "0"</formula>
    </cfRule>
  </conditionalFormatting>
  <conditionalFormatting sqref="N190:P194">
    <cfRule type="cellIs" dxfId="222" priority="23" operator="greaterThan">
      <formula>0</formula>
    </cfRule>
  </conditionalFormatting>
  <conditionalFormatting sqref="N4:P4">
    <cfRule type="expression" dxfId="221" priority="22">
      <formula>LEFT($A$4,1) &lt;&gt; "0"</formula>
    </cfRule>
  </conditionalFormatting>
  <conditionalFormatting sqref="L190:M194">
    <cfRule type="cellIs" dxfId="220" priority="20" operator="greaterThan">
      <formula>0</formula>
    </cfRule>
  </conditionalFormatting>
  <conditionalFormatting sqref="L4:M4">
    <cfRule type="expression" dxfId="219" priority="19">
      <formula>LEFT($A$4,1) &lt;&gt; "0"</formula>
    </cfRule>
  </conditionalFormatting>
  <conditionalFormatting sqref="J190:K194">
    <cfRule type="cellIs" dxfId="218" priority="17" operator="greaterThan">
      <formula>0</formula>
    </cfRule>
  </conditionalFormatting>
  <conditionalFormatting sqref="J4:K4">
    <cfRule type="expression" dxfId="217" priority="16">
      <formula>LEFT($A$4,1) &lt;&gt; "0"</formula>
    </cfRule>
  </conditionalFormatting>
  <conditionalFormatting sqref="Q190:Q194">
    <cfRule type="cellIs" dxfId="216" priority="14" operator="greaterThan">
      <formula>0</formula>
    </cfRule>
  </conditionalFormatting>
  <conditionalFormatting sqref="Q4">
    <cfRule type="expression" dxfId="215" priority="13">
      <formula>LEFT($A$4,1) &lt;&gt; "0"</formula>
    </cfRule>
  </conditionalFormatting>
  <conditionalFormatting sqref="R190:S194">
    <cfRule type="cellIs" dxfId="214" priority="11" operator="greaterThan">
      <formula>0</formula>
    </cfRule>
  </conditionalFormatting>
  <conditionalFormatting sqref="R4:S4">
    <cfRule type="expression" dxfId="213" priority="10">
      <formula>LEFT($A$4,1) &lt;&gt; "0"</formula>
    </cfRule>
  </conditionalFormatting>
  <conditionalFormatting sqref="T190:U194">
    <cfRule type="cellIs" dxfId="212" priority="8" operator="greaterThan">
      <formula>0</formula>
    </cfRule>
  </conditionalFormatting>
  <conditionalFormatting sqref="T4:U4">
    <cfRule type="expression" dxfId="211" priority="7">
      <formula>LEFT($A$4,1) &lt;&gt; "0"</formula>
    </cfRule>
  </conditionalFormatting>
  <conditionalFormatting sqref="V190:W194">
    <cfRule type="cellIs" dxfId="210" priority="5" operator="greaterThan">
      <formula>0</formula>
    </cfRule>
  </conditionalFormatting>
  <conditionalFormatting sqref="V4:W4">
    <cfRule type="expression" dxfId="209" priority="4">
      <formula>LEFT($A$4,1) &lt;&gt; "0"</formula>
    </cfRule>
  </conditionalFormatting>
  <conditionalFormatting sqref="X190:Y194">
    <cfRule type="cellIs" dxfId="208" priority="2" operator="greaterThan">
      <formula>0</formula>
    </cfRule>
  </conditionalFormatting>
  <conditionalFormatting sqref="X4:Y4">
    <cfRule type="expression" dxfId="207" priority="1">
      <formula>LEFT($A$4,1) &lt;&gt; "0"</formula>
    </cfRule>
  </conditionalFormatting>
  <dataValidations count="10">
    <dataValidation type="whole" allowBlank="1" showInputMessage="1" showErrorMessage="1" sqref="H25:H31">
      <formula1>0</formula1>
      <formula2>10</formula2>
    </dataValidation>
    <dataValidation type="decimal" allowBlank="1" showInputMessage="1" showErrorMessage="1" sqref="H39 K145 Q149:Y149 J122:Y122 J118:Y118 J114:Y114 J110:Y110 J106:Y106 J88:Y97 M145:Y145">
      <formula1>0</formula1>
      <formula2>1</formula2>
    </dataValidation>
    <dataValidation type="whole" allowBlank="1" showInputMessage="1" showErrorMessage="1" sqref="L145 J145 J149:P149">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 type="whole" allowBlank="1" showInputMessage="1" showErrorMessage="1" sqref="J46:Y49 J53:Y56">
      <formula1>0</formula1>
      <formula2>1</formula2>
    </dataValidation>
    <dataValidation type="whole" allowBlank="1" showInputMessage="1" showErrorMessage="1" sqref="J60:Y69 J73:Y82">
      <formula1>-1</formula1>
      <formula2>1</formula2>
    </dataValidation>
    <dataValidation type="list" allowBlank="1" showInputMessage="1" showErrorMessage="1" sqref="J127:Y127 J121:Y121 J117:Y117 J113:Y113 J109:Y109 J105:Y105 J131:Y131">
      <formula1>"TRUE, FALSE"</formula1>
    </dataValidation>
  </dataValidations>
  <hyperlinks>
    <hyperlink ref="B5:F5" location="'Model map'!A1" display="Click here to return to model map"/>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LA258"/>
  <sheetViews>
    <sheetView showGridLines="0" zoomScale="80" zoomScaleNormal="80" workbookViewId="0">
      <pane xSplit="9" ySplit="5" topLeftCell="J147" activePane="bottomRight" state="frozen"/>
      <selection pane="topRight"/>
      <selection pane="bottomLeft"/>
      <selection pane="bottomRight" activeCell="J161" sqref="J161:Y161"/>
    </sheetView>
  </sheetViews>
  <sheetFormatPr defaultColWidth="0" defaultRowHeight="14.4" x14ac:dyDescent="0.3"/>
  <cols>
    <col min="1" max="5" width="2.5546875"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313" width="20.5546875" hidden="1" customWidth="1"/>
    <col min="314" max="16384" width="9.21875" hidden="1"/>
  </cols>
  <sheetData>
    <row r="1" spans="1:43" s="1" customFormat="1" x14ac:dyDescent="0.3">
      <c r="A1" s="1" t="str">
        <f ca="1">MID(CELL("filename",A1),FIND("]",CELL("filename",A1))+1,255)</f>
        <v>Inputs by customer type</v>
      </c>
    </row>
    <row r="2" spans="1:43" s="1" customFormat="1" x14ac:dyDescent="0.3">
      <c r="A2" s="1" t="str">
        <f>Cover!D21&amp;" - "&amp;Cover!D23</f>
        <v>WPD Mid West - April 22 Pricing</v>
      </c>
    </row>
    <row r="3" spans="1:43" s="5" customFormat="1" x14ac:dyDescent="0.3">
      <c r="A3" s="5" t="str">
        <f>Cover!D2&amp;" - "&amp;Cover!D8&amp;" v"&amp;Cover!D10&amp;" - "&amp;Cover!D19</f>
        <v>CDCM charging model - Release for charge setting v7 - 2022/23</v>
      </c>
    </row>
    <row r="4" spans="1:43" x14ac:dyDescent="0.3">
      <c r="A4" s="12" t="str">
        <f>H236 &amp; IF(H236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299" t="s">
        <v>143</v>
      </c>
      <c r="H5" s="300" t="s">
        <v>144</v>
      </c>
      <c r="I5" s="14"/>
      <c r="J5" s="300" t="s">
        <v>829</v>
      </c>
      <c r="K5" s="300" t="s">
        <v>831</v>
      </c>
      <c r="L5" s="300" t="s">
        <v>830</v>
      </c>
      <c r="M5" s="300" t="s">
        <v>832</v>
      </c>
      <c r="N5" s="300" t="s">
        <v>838</v>
      </c>
      <c r="O5" s="300" t="s">
        <v>839</v>
      </c>
      <c r="P5" s="300" t="s">
        <v>840</v>
      </c>
      <c r="Q5" s="300" t="s">
        <v>841</v>
      </c>
      <c r="R5" s="300" t="s">
        <v>833</v>
      </c>
      <c r="S5" s="300" t="s">
        <v>834</v>
      </c>
      <c r="T5" s="300" t="s">
        <v>835</v>
      </c>
      <c r="U5" s="300" t="s">
        <v>844</v>
      </c>
      <c r="V5" s="300" t="s">
        <v>836</v>
      </c>
      <c r="W5" s="300" t="s">
        <v>843</v>
      </c>
      <c r="X5" s="300" t="s">
        <v>837</v>
      </c>
      <c r="Y5" s="300" t="s">
        <v>842</v>
      </c>
      <c r="AQ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row>
    <row r="9" spans="1:43" x14ac:dyDescent="0.3">
      <c r="C9" s="29" t="s">
        <v>240</v>
      </c>
    </row>
    <row r="11" spans="1:43" x14ac:dyDescent="0.3">
      <c r="B11" s="30" t="s">
        <v>56</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row>
    <row r="12" spans="1:43" x14ac:dyDescent="0.3">
      <c r="D12" s="28"/>
    </row>
    <row r="13" spans="1:43" x14ac:dyDescent="0.3">
      <c r="C13" s="31" t="str">
        <f ca="1">INDEX('Version control'!$H$34:$H$57,MATCH($A$1,'Version control'!$F$34:$F$57,0),1)&amp;"-A: Load characteristics"</f>
        <v>Input 102-A: Load characteristics</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row>
    <row r="15" spans="1:43" x14ac:dyDescent="0.3">
      <c r="E15" s="28" t="s">
        <v>241</v>
      </c>
      <c r="G15" s="13" t="s">
        <v>167</v>
      </c>
      <c r="I15" t="s">
        <v>154</v>
      </c>
      <c r="J15" s="252">
        <v>0.4454000851757805</v>
      </c>
      <c r="K15" s="252">
        <v>0.17235133349412979</v>
      </c>
      <c r="L15" s="252">
        <v>0.42631761647328226</v>
      </c>
      <c r="M15" s="252">
        <v>0.22423880040220068</v>
      </c>
      <c r="N15" s="252">
        <v>0.51368112238457309</v>
      </c>
      <c r="O15" s="252">
        <v>0.53489695823059702</v>
      </c>
      <c r="P15" s="252">
        <v>0.66792120955326817</v>
      </c>
      <c r="Q15" s="252">
        <v>0.52082016691902244</v>
      </c>
      <c r="R15" s="70"/>
      <c r="S15" s="70"/>
      <c r="T15" s="70"/>
      <c r="U15" s="70"/>
      <c r="V15" s="70"/>
      <c r="W15" s="70"/>
      <c r="X15" s="70"/>
      <c r="Y15" s="70"/>
      <c r="AQ15" t="s">
        <v>242</v>
      </c>
    </row>
    <row r="16" spans="1:43" x14ac:dyDescent="0.3">
      <c r="E16" s="28" t="s">
        <v>243</v>
      </c>
      <c r="G16" s="13" t="s">
        <v>167</v>
      </c>
      <c r="I16" t="s">
        <v>154</v>
      </c>
      <c r="J16" s="252">
        <v>0.80373443818124723</v>
      </c>
      <c r="K16" s="70"/>
      <c r="L16" s="252">
        <v>0.83607866834868372</v>
      </c>
      <c r="M16" s="70"/>
      <c r="N16" s="252">
        <v>0.84438109464534994</v>
      </c>
      <c r="O16" s="252">
        <v>0.89602122406344564</v>
      </c>
      <c r="P16" s="252">
        <v>0.83810413824810015</v>
      </c>
      <c r="Q16" s="252">
        <v>0.67762207968518728</v>
      </c>
      <c r="R16" s="70"/>
      <c r="S16" s="70"/>
      <c r="T16" s="70"/>
      <c r="U16" s="70"/>
      <c r="V16" s="70"/>
      <c r="W16" s="70"/>
      <c r="X16" s="70"/>
      <c r="Y16" s="70"/>
      <c r="AQ16" t="s">
        <v>244</v>
      </c>
    </row>
    <row r="17" spans="3:43" x14ac:dyDescent="0.3">
      <c r="G17" s="13"/>
    </row>
    <row r="18" spans="3:43" x14ac:dyDescent="0.3">
      <c r="C18" s="31" t="str">
        <f ca="1">INDEX('Version control'!$H$34:$H$57,MATCH($A$1,'Version control'!$F$34:$F$57,0),1)&amp;"-B: Volume forecasts for the charging year"</f>
        <v>Input 102-B: Volume forecasts for the charging year</v>
      </c>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row>
    <row r="19" spans="3:43" x14ac:dyDescent="0.3">
      <c r="G19" s="13"/>
    </row>
    <row r="20" spans="3:43" x14ac:dyDescent="0.3">
      <c r="D20" s="29" t="s">
        <v>961</v>
      </c>
      <c r="G20" s="13"/>
      <c r="I20" t="s">
        <v>154</v>
      </c>
      <c r="AQ20" t="s">
        <v>246</v>
      </c>
    </row>
    <row r="21" spans="3:43" x14ac:dyDescent="0.3">
      <c r="G21" s="13"/>
    </row>
    <row r="22" spans="3:43" x14ac:dyDescent="0.3">
      <c r="E22" s="32" t="s">
        <v>909</v>
      </c>
      <c r="G22" s="13"/>
    </row>
    <row r="23" spans="3:43" x14ac:dyDescent="0.3">
      <c r="E23" s="32"/>
      <c r="F23" s="78" t="s">
        <v>247</v>
      </c>
      <c r="G23" s="78" t="s">
        <v>207</v>
      </c>
      <c r="H23" s="23"/>
      <c r="I23" s="23"/>
      <c r="J23" s="83"/>
      <c r="K23" s="253">
        <v>79.092618502232185</v>
      </c>
      <c r="L23" s="253">
        <v>0</v>
      </c>
      <c r="M23" s="253">
        <v>127.63198085068298</v>
      </c>
      <c r="N23" s="253">
        <v>0</v>
      </c>
      <c r="O23" s="253">
        <v>0</v>
      </c>
      <c r="P23" s="253">
        <v>0</v>
      </c>
      <c r="Q23" s="83"/>
      <c r="R23" s="253">
        <v>124.04293104575001</v>
      </c>
      <c r="S23" s="253">
        <v>0</v>
      </c>
      <c r="T23" s="253">
        <v>4277.9371551869754</v>
      </c>
      <c r="U23" s="253">
        <v>0</v>
      </c>
      <c r="V23" s="253">
        <v>907.20921076491038</v>
      </c>
      <c r="W23" s="253">
        <v>0</v>
      </c>
      <c r="X23" s="253">
        <v>81186.840431867386</v>
      </c>
      <c r="Y23" s="253">
        <v>0</v>
      </c>
    </row>
    <row r="24" spans="3:43" x14ac:dyDescent="0.3">
      <c r="E24" s="32"/>
      <c r="F24" s="72" t="s">
        <v>248</v>
      </c>
      <c r="G24" s="72" t="s">
        <v>207</v>
      </c>
      <c r="J24" s="79"/>
      <c r="K24" s="254">
        <v>3392.6048671577928</v>
      </c>
      <c r="L24" s="254">
        <v>0</v>
      </c>
      <c r="M24" s="254">
        <v>959.76246317801258</v>
      </c>
      <c r="N24" s="254">
        <v>0</v>
      </c>
      <c r="O24" s="254">
        <v>0</v>
      </c>
      <c r="P24" s="254">
        <v>0</v>
      </c>
      <c r="Q24" s="79"/>
      <c r="R24" s="255">
        <v>667.41170453977281</v>
      </c>
      <c r="S24" s="255">
        <v>0</v>
      </c>
      <c r="T24" s="254">
        <v>21422.814813085839</v>
      </c>
      <c r="U24" s="254">
        <v>0</v>
      </c>
      <c r="V24" s="254">
        <v>3604.4281560365216</v>
      </c>
      <c r="W24" s="254">
        <v>0</v>
      </c>
      <c r="X24" s="254">
        <v>281566.89250858821</v>
      </c>
      <c r="Y24" s="254">
        <v>0</v>
      </c>
    </row>
    <row r="25" spans="3:43" x14ac:dyDescent="0.3">
      <c r="E25" s="32"/>
      <c r="F25" s="72" t="s">
        <v>249</v>
      </c>
      <c r="G25" s="72" t="s">
        <v>207</v>
      </c>
      <c r="J25" s="79"/>
      <c r="K25" s="254">
        <v>13095.75106613846</v>
      </c>
      <c r="L25" s="254">
        <v>0</v>
      </c>
      <c r="M25" s="254">
        <v>2930.5689204763953</v>
      </c>
      <c r="N25" s="254">
        <v>0</v>
      </c>
      <c r="O25" s="254">
        <v>0</v>
      </c>
      <c r="P25" s="254">
        <v>0</v>
      </c>
      <c r="Q25" s="79"/>
      <c r="R25" s="255">
        <v>329.05439631479078</v>
      </c>
      <c r="S25" s="255">
        <v>0</v>
      </c>
      <c r="T25" s="254">
        <v>21453.635266692032</v>
      </c>
      <c r="U25" s="254">
        <v>0</v>
      </c>
      <c r="V25" s="254">
        <v>5426.3333985064392</v>
      </c>
      <c r="W25" s="254">
        <v>0</v>
      </c>
      <c r="X25" s="254">
        <v>341773.46231736481</v>
      </c>
      <c r="Y25" s="254">
        <v>0</v>
      </c>
    </row>
    <row r="26" spans="3:43" x14ac:dyDescent="0.3">
      <c r="E26" s="32"/>
      <c r="F26" s="72" t="s">
        <v>212</v>
      </c>
      <c r="G26" s="72" t="s">
        <v>212</v>
      </c>
      <c r="J26" s="79"/>
      <c r="K26" s="254">
        <v>0</v>
      </c>
      <c r="L26" s="254">
        <v>0</v>
      </c>
      <c r="M26" s="254">
        <v>0</v>
      </c>
      <c r="N26" s="254">
        <v>0</v>
      </c>
      <c r="O26" s="254">
        <v>0</v>
      </c>
      <c r="P26" s="254">
        <v>0</v>
      </c>
      <c r="Q26" s="79"/>
      <c r="R26" s="254">
        <v>0</v>
      </c>
      <c r="S26" s="254">
        <v>0</v>
      </c>
      <c r="T26" s="254">
        <v>654.93140614185506</v>
      </c>
      <c r="U26" s="254">
        <v>0</v>
      </c>
      <c r="V26" s="254">
        <v>27.058064434890188</v>
      </c>
      <c r="W26" s="254">
        <v>0</v>
      </c>
      <c r="X26" s="254">
        <v>316.31557457887271</v>
      </c>
      <c r="Y26" s="254">
        <v>0</v>
      </c>
    </row>
    <row r="27" spans="3:43" x14ac:dyDescent="0.3">
      <c r="E27" s="32"/>
      <c r="F27" s="72" t="s">
        <v>250</v>
      </c>
      <c r="G27" s="72" t="s">
        <v>251</v>
      </c>
      <c r="J27" s="79"/>
      <c r="K27" s="79"/>
      <c r="L27" s="79"/>
      <c r="M27" s="79"/>
      <c r="N27" s="254">
        <v>0</v>
      </c>
      <c r="O27" s="254">
        <v>0</v>
      </c>
      <c r="P27" s="254">
        <v>0</v>
      </c>
      <c r="Q27" s="79"/>
      <c r="R27" s="79"/>
      <c r="S27" s="79"/>
      <c r="T27" s="79"/>
      <c r="U27" s="79"/>
      <c r="V27" s="79"/>
      <c r="W27" s="79"/>
      <c r="X27" s="79"/>
      <c r="Y27" s="79"/>
    </row>
    <row r="28" spans="3:43" x14ac:dyDescent="0.3">
      <c r="E28" s="32"/>
      <c r="F28" s="72" t="s">
        <v>252</v>
      </c>
      <c r="G28" s="72" t="s">
        <v>251</v>
      </c>
      <c r="J28" s="79"/>
      <c r="K28" s="79"/>
      <c r="L28" s="79"/>
      <c r="M28" s="79"/>
      <c r="N28" s="254">
        <v>0</v>
      </c>
      <c r="O28" s="254">
        <v>0</v>
      </c>
      <c r="P28" s="254">
        <v>0</v>
      </c>
      <c r="Q28" s="79"/>
      <c r="R28" s="79"/>
      <c r="S28" s="79"/>
      <c r="T28" s="79"/>
      <c r="U28" s="79"/>
      <c r="V28" s="79"/>
      <c r="W28" s="79"/>
      <c r="X28" s="79"/>
      <c r="Y28" s="79"/>
    </row>
    <row r="29" spans="3:43" x14ac:dyDescent="0.3">
      <c r="E29" s="32"/>
      <c r="F29" s="80" t="s">
        <v>253</v>
      </c>
      <c r="G29" s="80" t="s">
        <v>254</v>
      </c>
      <c r="H29" s="37"/>
      <c r="I29" s="37"/>
      <c r="J29" s="81"/>
      <c r="K29" s="81"/>
      <c r="L29" s="81"/>
      <c r="M29" s="81"/>
      <c r="N29" s="256">
        <v>0</v>
      </c>
      <c r="O29" s="256">
        <v>0</v>
      </c>
      <c r="P29" s="256">
        <v>0</v>
      </c>
      <c r="Q29" s="81"/>
      <c r="R29" s="81"/>
      <c r="S29" s="81"/>
      <c r="T29" s="256">
        <v>3604.9287740861882</v>
      </c>
      <c r="U29" s="81"/>
      <c r="V29" s="256">
        <v>199.32917063675237</v>
      </c>
      <c r="W29" s="81"/>
      <c r="X29" s="256">
        <v>26105.589426777409</v>
      </c>
      <c r="Y29" s="81"/>
    </row>
    <row r="30" spans="3:43" x14ac:dyDescent="0.3">
      <c r="E30" s="261"/>
      <c r="F30" s="235"/>
      <c r="G30" s="235"/>
      <c r="H30" s="260"/>
      <c r="I30" s="260"/>
      <c r="J30" s="262"/>
      <c r="K30" s="262"/>
      <c r="L30" s="262"/>
      <c r="M30" s="262"/>
      <c r="N30" s="263"/>
      <c r="O30" s="263"/>
      <c r="P30" s="263"/>
      <c r="Q30" s="262"/>
      <c r="R30" s="262"/>
      <c r="S30" s="262"/>
      <c r="T30" s="263"/>
      <c r="U30" s="262"/>
      <c r="V30" s="263"/>
      <c r="W30" s="262"/>
      <c r="X30" s="263"/>
      <c r="Y30" s="262"/>
      <c r="Z30" s="260"/>
      <c r="AA30" s="260"/>
      <c r="AB30" s="260"/>
      <c r="AC30" s="260"/>
      <c r="AD30" s="260"/>
      <c r="AE30" s="260"/>
      <c r="AF30" s="260"/>
      <c r="AG30" s="260"/>
      <c r="AH30" s="260"/>
      <c r="AI30" s="260"/>
      <c r="AJ30" s="260"/>
      <c r="AK30" s="260"/>
      <c r="AL30" s="260"/>
      <c r="AM30" s="260"/>
      <c r="AN30" s="260"/>
      <c r="AO30" s="260"/>
      <c r="AP30" s="260"/>
    </row>
    <row r="31" spans="3:43" x14ac:dyDescent="0.3">
      <c r="E31" s="32" t="s">
        <v>949</v>
      </c>
      <c r="G31" s="13"/>
    </row>
    <row r="32" spans="3:43" x14ac:dyDescent="0.3">
      <c r="E32" s="32"/>
      <c r="F32" s="78" t="s">
        <v>247</v>
      </c>
      <c r="G32" s="78" t="s">
        <v>207</v>
      </c>
      <c r="H32" s="23"/>
      <c r="I32" s="23"/>
      <c r="J32" s="253">
        <v>908173.56228729698</v>
      </c>
      <c r="K32" s="83"/>
      <c r="L32" s="253">
        <v>10542.196730826568</v>
      </c>
      <c r="M32" s="83"/>
      <c r="N32" s="253">
        <v>62012.489288938974</v>
      </c>
      <c r="O32" s="253">
        <v>165.27685456335206</v>
      </c>
      <c r="P32" s="253">
        <v>95716.204981290939</v>
      </c>
      <c r="Q32" s="253">
        <v>9658.0802606626021</v>
      </c>
      <c r="R32" s="83"/>
      <c r="S32" s="83"/>
      <c r="T32" s="83"/>
      <c r="U32" s="83"/>
      <c r="V32" s="83"/>
      <c r="W32" s="83"/>
      <c r="X32" s="83"/>
      <c r="Y32" s="83"/>
    </row>
    <row r="33" spans="5:42" x14ac:dyDescent="0.3">
      <c r="E33" s="32"/>
      <c r="F33" s="72" t="s">
        <v>248</v>
      </c>
      <c r="G33" s="72" t="s">
        <v>207</v>
      </c>
      <c r="J33" s="254">
        <v>2700660.7423146009</v>
      </c>
      <c r="K33" s="79"/>
      <c r="L33" s="254">
        <v>43276.151386902842</v>
      </c>
      <c r="M33" s="331"/>
      <c r="N33" s="254">
        <v>237940.27466714167</v>
      </c>
      <c r="O33" s="254">
        <v>436.69171436386927</v>
      </c>
      <c r="P33" s="254">
        <v>370887.43495112588</v>
      </c>
      <c r="Q33" s="255">
        <v>48862.829823812179</v>
      </c>
      <c r="R33" s="79"/>
      <c r="S33" s="79"/>
      <c r="T33" s="79"/>
      <c r="U33" s="79"/>
      <c r="V33" s="79"/>
      <c r="W33" s="79"/>
      <c r="X33" s="79"/>
      <c r="Y33" s="79"/>
    </row>
    <row r="34" spans="5:42" x14ac:dyDescent="0.3">
      <c r="E34" s="32"/>
      <c r="F34" s="72" t="s">
        <v>249</v>
      </c>
      <c r="G34" s="72" t="s">
        <v>207</v>
      </c>
      <c r="J34" s="254">
        <v>4472740.9997048797</v>
      </c>
      <c r="K34" s="79"/>
      <c r="L34" s="254">
        <v>44337.155401507771</v>
      </c>
      <c r="M34" s="331"/>
      <c r="N34" s="254">
        <v>253902.53763430205</v>
      </c>
      <c r="O34" s="254">
        <v>450.15459635774067</v>
      </c>
      <c r="P34" s="254">
        <v>489370.31514945655</v>
      </c>
      <c r="Q34" s="255">
        <v>187359.28019489619</v>
      </c>
      <c r="R34" s="79"/>
      <c r="S34" s="79"/>
      <c r="T34" s="79"/>
      <c r="U34" s="79"/>
      <c r="V34" s="79"/>
      <c r="W34" s="79"/>
      <c r="X34" s="79"/>
      <c r="Y34" s="79"/>
    </row>
    <row r="35" spans="5:42" x14ac:dyDescent="0.3">
      <c r="E35" s="32"/>
      <c r="F35" s="72" t="s">
        <v>212</v>
      </c>
      <c r="G35" s="72" t="s">
        <v>212</v>
      </c>
      <c r="J35" s="254">
        <v>2316983.3909131573</v>
      </c>
      <c r="K35" s="79"/>
      <c r="L35" s="254">
        <v>73254.274695125219</v>
      </c>
      <c r="M35" s="331"/>
      <c r="N35" s="254">
        <v>6461.3791307301226</v>
      </c>
      <c r="O35" s="254">
        <v>14.227203377601226</v>
      </c>
      <c r="P35" s="254">
        <v>2261.2124841732189</v>
      </c>
      <c r="Q35" s="254">
        <v>29.475632524712577</v>
      </c>
      <c r="R35" s="79"/>
      <c r="S35" s="79"/>
      <c r="T35" s="79"/>
      <c r="U35" s="79"/>
      <c r="V35" s="79"/>
      <c r="W35" s="79"/>
      <c r="X35" s="79"/>
      <c r="Y35" s="79"/>
    </row>
    <row r="36" spans="5:42" x14ac:dyDescent="0.3">
      <c r="E36" s="32"/>
      <c r="F36" s="72" t="s">
        <v>250</v>
      </c>
      <c r="G36" s="72" t="s">
        <v>251</v>
      </c>
      <c r="J36" s="79"/>
      <c r="K36" s="79"/>
      <c r="L36" s="79"/>
      <c r="M36" s="331"/>
      <c r="N36" s="254">
        <v>280097.44685078936</v>
      </c>
      <c r="O36" s="254">
        <v>437.55551930884275</v>
      </c>
      <c r="P36" s="254">
        <v>472871.2108175414</v>
      </c>
      <c r="Q36" s="79"/>
      <c r="R36" s="79"/>
      <c r="S36" s="79"/>
      <c r="T36" s="79"/>
      <c r="U36" s="79"/>
      <c r="V36" s="79"/>
      <c r="W36" s="79"/>
      <c r="X36" s="79"/>
      <c r="Y36" s="79"/>
    </row>
    <row r="37" spans="5:42" x14ac:dyDescent="0.3">
      <c r="E37" s="32"/>
      <c r="F37" s="72" t="s">
        <v>252</v>
      </c>
      <c r="G37" s="72" t="s">
        <v>251</v>
      </c>
      <c r="J37" s="79"/>
      <c r="K37" s="79"/>
      <c r="L37" s="79"/>
      <c r="M37" s="331"/>
      <c r="N37" s="254">
        <v>5805.3349058088652</v>
      </c>
      <c r="O37" s="254">
        <v>0.84134381716200657</v>
      </c>
      <c r="P37" s="254">
        <v>6132.593033999502</v>
      </c>
      <c r="Q37" s="79"/>
      <c r="R37" s="79"/>
      <c r="S37" s="79"/>
      <c r="T37" s="79"/>
      <c r="U37" s="79"/>
      <c r="V37" s="79"/>
      <c r="W37" s="79"/>
      <c r="X37" s="79"/>
      <c r="Y37" s="79"/>
    </row>
    <row r="38" spans="5:42" x14ac:dyDescent="0.3">
      <c r="E38" s="32"/>
      <c r="F38" s="80" t="s">
        <v>253</v>
      </c>
      <c r="G38" s="80" t="s">
        <v>254</v>
      </c>
      <c r="H38" s="37"/>
      <c r="I38" s="37"/>
      <c r="J38" s="81"/>
      <c r="K38" s="81"/>
      <c r="L38" s="81"/>
      <c r="M38" s="81"/>
      <c r="N38" s="256">
        <v>70388.252001957808</v>
      </c>
      <c r="O38" s="256">
        <v>120.35421296383187</v>
      </c>
      <c r="P38" s="256">
        <v>106158.57836800472</v>
      </c>
      <c r="Q38" s="81"/>
      <c r="R38" s="81"/>
      <c r="S38" s="81"/>
      <c r="T38" s="81"/>
      <c r="U38" s="81"/>
      <c r="V38" s="81"/>
      <c r="W38" s="81"/>
      <c r="X38" s="81"/>
      <c r="Y38" s="81"/>
    </row>
    <row r="39" spans="5:42" x14ac:dyDescent="0.3">
      <c r="E39" s="261"/>
      <c r="F39" s="235"/>
      <c r="G39" s="235"/>
      <c r="H39" s="260"/>
      <c r="I39" s="260"/>
      <c r="J39" s="262"/>
      <c r="K39" s="262"/>
      <c r="L39" s="262"/>
      <c r="M39" s="262"/>
      <c r="N39" s="263"/>
      <c r="O39" s="263"/>
      <c r="P39" s="263"/>
      <c r="Q39" s="262"/>
      <c r="R39" s="262"/>
      <c r="S39" s="262"/>
      <c r="T39" s="263"/>
      <c r="U39" s="262"/>
      <c r="V39" s="263"/>
      <c r="W39" s="262"/>
      <c r="X39" s="263"/>
      <c r="Y39" s="262"/>
      <c r="Z39" s="260"/>
      <c r="AA39" s="260"/>
      <c r="AB39" s="260"/>
      <c r="AC39" s="260"/>
      <c r="AD39" s="260"/>
      <c r="AE39" s="260"/>
      <c r="AF39" s="260"/>
      <c r="AG39" s="260"/>
      <c r="AH39" s="260"/>
      <c r="AI39" s="260"/>
      <c r="AJ39" s="260"/>
      <c r="AK39" s="260"/>
      <c r="AL39" s="260"/>
      <c r="AM39" s="260"/>
      <c r="AN39" s="260"/>
      <c r="AO39" s="260"/>
      <c r="AP39" s="260"/>
    </row>
    <row r="40" spans="5:42" x14ac:dyDescent="0.3">
      <c r="E40" s="32" t="s">
        <v>950</v>
      </c>
      <c r="G40" s="13"/>
    </row>
    <row r="41" spans="5:42" x14ac:dyDescent="0.3">
      <c r="E41" s="32"/>
      <c r="F41" s="78" t="s">
        <v>247</v>
      </c>
      <c r="G41" s="78" t="s">
        <v>207</v>
      </c>
      <c r="H41" s="23"/>
      <c r="I41" s="23"/>
      <c r="J41" s="83"/>
      <c r="K41" s="83"/>
      <c r="L41" s="253">
        <v>44248.438611225938</v>
      </c>
      <c r="M41" s="83"/>
      <c r="N41" s="253">
        <v>92669.987736650684</v>
      </c>
      <c r="O41" s="253">
        <v>848.43683032169793</v>
      </c>
      <c r="P41" s="253">
        <v>170744.01178947199</v>
      </c>
      <c r="Q41" s="83"/>
      <c r="R41" s="83"/>
      <c r="S41" s="83"/>
      <c r="T41" s="83"/>
      <c r="U41" s="83"/>
      <c r="V41" s="83"/>
      <c r="W41" s="83"/>
      <c r="X41" s="83"/>
      <c r="Y41" s="83"/>
    </row>
    <row r="42" spans="5:42" x14ac:dyDescent="0.3">
      <c r="E42" s="32"/>
      <c r="F42" s="72" t="s">
        <v>248</v>
      </c>
      <c r="G42" s="72" t="s">
        <v>207</v>
      </c>
      <c r="J42" s="79"/>
      <c r="K42" s="79"/>
      <c r="L42" s="254">
        <v>181641.6613032938</v>
      </c>
      <c r="M42" s="79"/>
      <c r="N42" s="254">
        <v>355572.28210466803</v>
      </c>
      <c r="O42" s="254">
        <v>2241.7254668929554</v>
      </c>
      <c r="P42" s="254">
        <v>661610.10644164355</v>
      </c>
      <c r="Q42" s="79"/>
      <c r="R42" s="79"/>
      <c r="S42" s="79"/>
      <c r="T42" s="79"/>
      <c r="U42" s="79"/>
      <c r="V42" s="79"/>
      <c r="W42" s="79"/>
      <c r="X42" s="79"/>
      <c r="Y42" s="79"/>
    </row>
    <row r="43" spans="5:42" x14ac:dyDescent="0.3">
      <c r="E43" s="32"/>
      <c r="F43" s="72" t="s">
        <v>249</v>
      </c>
      <c r="G43" s="72" t="s">
        <v>207</v>
      </c>
      <c r="J43" s="79"/>
      <c r="K43" s="79"/>
      <c r="L43" s="254">
        <v>186094.98087275602</v>
      </c>
      <c r="M43" s="79"/>
      <c r="N43" s="254">
        <v>379425.90788839856</v>
      </c>
      <c r="O43" s="254">
        <v>2310.8362020654781</v>
      </c>
      <c r="P43" s="254">
        <v>872966.60869106569</v>
      </c>
      <c r="Q43" s="79"/>
      <c r="R43" s="79"/>
      <c r="S43" s="79"/>
      <c r="T43" s="79"/>
      <c r="U43" s="79"/>
      <c r="V43" s="79"/>
      <c r="W43" s="79"/>
      <c r="X43" s="79"/>
      <c r="Y43" s="79"/>
    </row>
    <row r="44" spans="5:42" x14ac:dyDescent="0.3">
      <c r="E44" s="32"/>
      <c r="F44" s="72" t="s">
        <v>212</v>
      </c>
      <c r="G44" s="72" t="s">
        <v>212</v>
      </c>
      <c r="J44" s="79"/>
      <c r="K44" s="79"/>
      <c r="L44" s="254">
        <v>55284.145014072637</v>
      </c>
      <c r="M44" s="79"/>
      <c r="N44" s="254">
        <v>5226.3128944582313</v>
      </c>
      <c r="O44" s="254">
        <v>34.145288106242944</v>
      </c>
      <c r="P44" s="254">
        <v>1220.6903562725615</v>
      </c>
      <c r="Q44" s="79"/>
      <c r="R44" s="79"/>
      <c r="S44" s="79"/>
      <c r="T44" s="79"/>
      <c r="U44" s="79"/>
      <c r="V44" s="79"/>
      <c r="W44" s="79"/>
      <c r="X44" s="79"/>
      <c r="Y44" s="79"/>
    </row>
    <row r="45" spans="5:42" x14ac:dyDescent="0.3">
      <c r="E45" s="32"/>
      <c r="F45" s="72" t="s">
        <v>250</v>
      </c>
      <c r="G45" s="72" t="s">
        <v>251</v>
      </c>
      <c r="J45" s="79"/>
      <c r="K45" s="79"/>
      <c r="L45" s="79"/>
      <c r="M45" s="79"/>
      <c r="N45" s="254">
        <v>590737.67677829985</v>
      </c>
      <c r="O45" s="254">
        <v>4357.8646747951016</v>
      </c>
      <c r="P45" s="254">
        <v>782731.24384929566</v>
      </c>
      <c r="Q45" s="79"/>
      <c r="R45" s="79"/>
      <c r="S45" s="79"/>
      <c r="T45" s="79"/>
      <c r="U45" s="79"/>
      <c r="V45" s="79"/>
      <c r="W45" s="79"/>
      <c r="X45" s="79"/>
      <c r="Y45" s="79"/>
    </row>
    <row r="46" spans="5:42" x14ac:dyDescent="0.3">
      <c r="E46" s="32"/>
      <c r="F46" s="72" t="s">
        <v>252</v>
      </c>
      <c r="G46" s="72" t="s">
        <v>251</v>
      </c>
      <c r="J46" s="79"/>
      <c r="K46" s="79"/>
      <c r="L46" s="79"/>
      <c r="M46" s="79"/>
      <c r="N46" s="254">
        <v>12243.703374434506</v>
      </c>
      <c r="O46" s="254">
        <v>8.3794223552683675</v>
      </c>
      <c r="P46" s="254">
        <v>10151.119509316282</v>
      </c>
      <c r="Q46" s="79"/>
      <c r="R46" s="79"/>
      <c r="S46" s="79"/>
      <c r="T46" s="79"/>
      <c r="U46" s="79"/>
      <c r="V46" s="79"/>
      <c r="W46" s="79"/>
      <c r="X46" s="79"/>
      <c r="Y46" s="79"/>
    </row>
    <row r="47" spans="5:42" x14ac:dyDescent="0.3">
      <c r="E47" s="32"/>
      <c r="F47" s="80" t="s">
        <v>253</v>
      </c>
      <c r="G47" s="80" t="s">
        <v>254</v>
      </c>
      <c r="H47" s="37"/>
      <c r="I47" s="37"/>
      <c r="J47" s="81"/>
      <c r="K47" s="81"/>
      <c r="L47" s="81"/>
      <c r="M47" s="81"/>
      <c r="N47" s="256">
        <v>105186.52814327805</v>
      </c>
      <c r="O47" s="256">
        <v>617.82968481987496</v>
      </c>
      <c r="P47" s="256">
        <v>189371.71150865365</v>
      </c>
      <c r="Q47" s="81"/>
      <c r="R47" s="81"/>
      <c r="S47" s="81"/>
      <c r="T47" s="81"/>
      <c r="U47" s="81"/>
      <c r="V47" s="81"/>
      <c r="W47" s="81"/>
      <c r="X47" s="81"/>
      <c r="Y47" s="81"/>
    </row>
    <row r="48" spans="5:42" x14ac:dyDescent="0.3">
      <c r="E48" s="261"/>
      <c r="F48" s="235"/>
      <c r="G48" s="235"/>
      <c r="H48" s="260"/>
      <c r="I48" s="260"/>
      <c r="J48" s="262"/>
      <c r="K48" s="262"/>
      <c r="L48" s="262"/>
      <c r="M48" s="262"/>
      <c r="N48" s="263"/>
      <c r="O48" s="263"/>
      <c r="P48" s="263"/>
      <c r="Q48" s="262"/>
      <c r="R48" s="262"/>
      <c r="S48" s="262"/>
      <c r="T48" s="263"/>
      <c r="U48" s="262"/>
      <c r="V48" s="263"/>
      <c r="W48" s="262"/>
      <c r="X48" s="263"/>
      <c r="Y48" s="262"/>
      <c r="Z48" s="260"/>
      <c r="AA48" s="260"/>
      <c r="AB48" s="260"/>
      <c r="AC48" s="260"/>
      <c r="AD48" s="260"/>
      <c r="AE48" s="260"/>
      <c r="AF48" s="260"/>
      <c r="AG48" s="260"/>
      <c r="AH48" s="260"/>
      <c r="AI48" s="260"/>
      <c r="AJ48" s="260"/>
      <c r="AK48" s="260"/>
      <c r="AL48" s="260"/>
      <c r="AM48" s="260"/>
      <c r="AN48" s="260"/>
      <c r="AO48" s="260"/>
      <c r="AP48" s="260"/>
    </row>
    <row r="49" spans="5:42" x14ac:dyDescent="0.3">
      <c r="E49" s="32" t="s">
        <v>951</v>
      </c>
      <c r="G49" s="13"/>
    </row>
    <row r="50" spans="5:42" x14ac:dyDescent="0.3">
      <c r="E50" s="32"/>
      <c r="F50" s="78" t="s">
        <v>247</v>
      </c>
      <c r="G50" s="78" t="s">
        <v>207</v>
      </c>
      <c r="H50" s="23"/>
      <c r="I50" s="23"/>
      <c r="J50" s="83"/>
      <c r="K50" s="83"/>
      <c r="L50" s="253">
        <v>56137.558818578182</v>
      </c>
      <c r="M50" s="83"/>
      <c r="N50" s="253">
        <v>50034.646144910752</v>
      </c>
      <c r="O50" s="253">
        <v>1529.592604563642</v>
      </c>
      <c r="P50" s="253">
        <v>93417.07755487453</v>
      </c>
      <c r="Q50" s="83"/>
      <c r="R50" s="83"/>
      <c r="S50" s="83"/>
      <c r="T50" s="83"/>
      <c r="U50" s="83"/>
      <c r="V50" s="83"/>
      <c r="W50" s="83"/>
      <c r="X50" s="83"/>
      <c r="Y50" s="83"/>
    </row>
    <row r="51" spans="5:42" x14ac:dyDescent="0.3">
      <c r="E51" s="32"/>
      <c r="F51" s="72" t="s">
        <v>248</v>
      </c>
      <c r="G51" s="72" t="s">
        <v>207</v>
      </c>
      <c r="J51" s="79"/>
      <c r="K51" s="79"/>
      <c r="L51" s="254">
        <v>230446.9889866561</v>
      </c>
      <c r="M51" s="79"/>
      <c r="N51" s="254">
        <v>191981.60859375176</v>
      </c>
      <c r="O51" s="254">
        <v>4041.4637520171209</v>
      </c>
      <c r="P51" s="254">
        <v>361978.6250586313</v>
      </c>
      <c r="Q51" s="79"/>
      <c r="R51" s="79"/>
      <c r="S51" s="79"/>
      <c r="T51" s="79"/>
      <c r="U51" s="79"/>
      <c r="V51" s="79"/>
      <c r="W51" s="79"/>
      <c r="X51" s="79"/>
      <c r="Y51" s="79"/>
    </row>
    <row r="52" spans="5:42" x14ac:dyDescent="0.3">
      <c r="E52" s="32"/>
      <c r="F52" s="72" t="s">
        <v>249</v>
      </c>
      <c r="G52" s="72" t="s">
        <v>207</v>
      </c>
      <c r="J52" s="79"/>
      <c r="K52" s="79"/>
      <c r="L52" s="254">
        <v>236096.87171958454</v>
      </c>
      <c r="M52" s="79"/>
      <c r="N52" s="254">
        <v>204860.72679061376</v>
      </c>
      <c r="O52" s="254">
        <v>4166.0590850317949</v>
      </c>
      <c r="P52" s="254">
        <v>477615.51653981599</v>
      </c>
      <c r="Q52" s="79"/>
      <c r="R52" s="79"/>
      <c r="S52" s="79"/>
      <c r="T52" s="79"/>
      <c r="U52" s="79"/>
      <c r="V52" s="79"/>
      <c r="W52" s="79"/>
      <c r="X52" s="79"/>
      <c r="Y52" s="79"/>
    </row>
    <row r="53" spans="5:42" x14ac:dyDescent="0.3">
      <c r="E53" s="32"/>
      <c r="F53" s="72" t="s">
        <v>212</v>
      </c>
      <c r="G53" s="72" t="s">
        <v>212</v>
      </c>
      <c r="J53" s="79"/>
      <c r="K53" s="79"/>
      <c r="L53" s="254">
        <v>28602.568054592724</v>
      </c>
      <c r="M53" s="79"/>
      <c r="N53" s="254">
        <v>1821.6194320933253</v>
      </c>
      <c r="O53" s="254">
        <v>38.413449119523314</v>
      </c>
      <c r="P53" s="254">
        <v>299.60559324766018</v>
      </c>
      <c r="Q53" s="79"/>
      <c r="R53" s="79"/>
      <c r="S53" s="79"/>
      <c r="T53" s="79"/>
      <c r="U53" s="79"/>
      <c r="V53" s="79"/>
      <c r="W53" s="79"/>
      <c r="X53" s="79"/>
      <c r="Y53" s="79"/>
    </row>
    <row r="54" spans="5:42" x14ac:dyDescent="0.3">
      <c r="E54" s="32"/>
      <c r="F54" s="72" t="s">
        <v>250</v>
      </c>
      <c r="G54" s="72" t="s">
        <v>251</v>
      </c>
      <c r="J54" s="79"/>
      <c r="K54" s="79"/>
      <c r="L54" s="79"/>
      <c r="M54" s="79"/>
      <c r="N54" s="254">
        <v>328231.20060753607</v>
      </c>
      <c r="O54" s="254">
        <v>7959.9748765133081</v>
      </c>
      <c r="P54" s="254">
        <v>409021.37951980095</v>
      </c>
      <c r="Q54" s="79"/>
      <c r="R54" s="79"/>
      <c r="S54" s="79"/>
      <c r="T54" s="79"/>
      <c r="U54" s="79"/>
      <c r="V54" s="79"/>
      <c r="W54" s="79"/>
      <c r="X54" s="79"/>
      <c r="Y54" s="79"/>
    </row>
    <row r="55" spans="5:42" x14ac:dyDescent="0.3">
      <c r="E55" s="32"/>
      <c r="F55" s="72" t="s">
        <v>252</v>
      </c>
      <c r="G55" s="72" t="s">
        <v>251</v>
      </c>
      <c r="J55" s="79"/>
      <c r="K55" s="79"/>
      <c r="L55" s="79"/>
      <c r="M55" s="79"/>
      <c r="N55" s="254">
        <v>6802.9611390122927</v>
      </c>
      <c r="O55" s="254">
        <v>15.305659171430394</v>
      </c>
      <c r="P55" s="254">
        <v>5304.5345231808924</v>
      </c>
      <c r="Q55" s="79"/>
      <c r="R55" s="79"/>
      <c r="S55" s="79"/>
      <c r="T55" s="79"/>
      <c r="U55" s="79"/>
      <c r="V55" s="79"/>
      <c r="W55" s="79"/>
      <c r="X55" s="79"/>
      <c r="Y55" s="79"/>
    </row>
    <row r="56" spans="5:42" x14ac:dyDescent="0.3">
      <c r="E56" s="32"/>
      <c r="F56" s="80" t="s">
        <v>253</v>
      </c>
      <c r="G56" s="80" t="s">
        <v>254</v>
      </c>
      <c r="H56" s="37"/>
      <c r="I56" s="37"/>
      <c r="J56" s="81"/>
      <c r="K56" s="81"/>
      <c r="L56" s="81"/>
      <c r="M56" s="81"/>
      <c r="N56" s="256">
        <v>56792.612618196406</v>
      </c>
      <c r="O56" s="256">
        <v>1113.8457018916126</v>
      </c>
      <c r="P56" s="256">
        <v>103608.62249456655</v>
      </c>
      <c r="Q56" s="81"/>
      <c r="R56" s="81"/>
      <c r="S56" s="81"/>
      <c r="T56" s="81"/>
      <c r="U56" s="81"/>
      <c r="V56" s="81"/>
      <c r="W56" s="81"/>
      <c r="X56" s="81"/>
      <c r="Y56" s="81"/>
    </row>
    <row r="57" spans="5:42" x14ac:dyDescent="0.3">
      <c r="E57" s="261"/>
      <c r="F57" s="235"/>
      <c r="G57" s="235"/>
      <c r="H57" s="260"/>
      <c r="I57" s="260"/>
      <c r="J57" s="262"/>
      <c r="K57" s="262"/>
      <c r="L57" s="262"/>
      <c r="M57" s="262"/>
      <c r="N57" s="263"/>
      <c r="O57" s="263"/>
      <c r="P57" s="263"/>
      <c r="Q57" s="262"/>
      <c r="R57" s="262"/>
      <c r="S57" s="262"/>
      <c r="T57" s="263"/>
      <c r="U57" s="262"/>
      <c r="V57" s="263"/>
      <c r="W57" s="262"/>
      <c r="X57" s="263"/>
      <c r="Y57" s="262"/>
      <c r="Z57" s="260"/>
      <c r="AA57" s="260"/>
      <c r="AB57" s="260"/>
      <c r="AC57" s="260"/>
      <c r="AD57" s="260"/>
      <c r="AE57" s="260"/>
      <c r="AF57" s="260"/>
      <c r="AG57" s="260"/>
      <c r="AH57" s="260"/>
      <c r="AI57" s="260"/>
      <c r="AJ57" s="260"/>
      <c r="AK57" s="260"/>
      <c r="AL57" s="260"/>
      <c r="AM57" s="260"/>
      <c r="AN57" s="260"/>
      <c r="AO57" s="260"/>
      <c r="AP57" s="260"/>
    </row>
    <row r="58" spans="5:42" x14ac:dyDescent="0.3">
      <c r="E58" s="32" t="s">
        <v>952</v>
      </c>
      <c r="G58" s="13"/>
    </row>
    <row r="59" spans="5:42" x14ac:dyDescent="0.3">
      <c r="E59" s="32"/>
      <c r="F59" s="78" t="s">
        <v>247</v>
      </c>
      <c r="G59" s="78" t="s">
        <v>207</v>
      </c>
      <c r="H59" s="23"/>
      <c r="I59" s="23"/>
      <c r="J59" s="83"/>
      <c r="K59" s="83"/>
      <c r="L59" s="253">
        <v>180970.16538484537</v>
      </c>
      <c r="M59" s="83"/>
      <c r="N59" s="253">
        <v>49213.927350924445</v>
      </c>
      <c r="O59" s="253">
        <v>17596.149942377655</v>
      </c>
      <c r="P59" s="253">
        <v>296932.42327001889</v>
      </c>
      <c r="Q59" s="83"/>
      <c r="R59" s="83"/>
      <c r="S59" s="83"/>
      <c r="T59" s="83"/>
      <c r="U59" s="83"/>
      <c r="V59" s="83"/>
      <c r="W59" s="83"/>
      <c r="X59" s="83"/>
      <c r="Y59" s="83"/>
    </row>
    <row r="60" spans="5:42" x14ac:dyDescent="0.3">
      <c r="E60" s="32"/>
      <c r="F60" s="72" t="s">
        <v>248</v>
      </c>
      <c r="G60" s="72" t="s">
        <v>207</v>
      </c>
      <c r="J60" s="79"/>
      <c r="K60" s="79"/>
      <c r="L60" s="254">
        <v>742889.9757492349</v>
      </c>
      <c r="M60" s="79"/>
      <c r="N60" s="254">
        <v>188832.53237531945</v>
      </c>
      <c r="O60" s="254">
        <v>46492.250259973443</v>
      </c>
      <c r="P60" s="254">
        <v>1150573.2476748892</v>
      </c>
      <c r="Q60" s="79"/>
      <c r="R60" s="79"/>
      <c r="S60" s="79"/>
      <c r="T60" s="79"/>
      <c r="U60" s="79"/>
      <c r="V60" s="79"/>
      <c r="W60" s="79"/>
      <c r="X60" s="79"/>
      <c r="Y60" s="79"/>
    </row>
    <row r="61" spans="5:42" x14ac:dyDescent="0.3">
      <c r="E61" s="32"/>
      <c r="F61" s="72" t="s">
        <v>249</v>
      </c>
      <c r="G61" s="72" t="s">
        <v>207</v>
      </c>
      <c r="J61" s="79"/>
      <c r="K61" s="79"/>
      <c r="L61" s="254">
        <v>761103.45410669909</v>
      </c>
      <c r="M61" s="79"/>
      <c r="N61" s="254">
        <v>201500.39426942827</v>
      </c>
      <c r="O61" s="254">
        <v>47925.571887775201</v>
      </c>
      <c r="P61" s="254">
        <v>1518132.8342692214</v>
      </c>
      <c r="Q61" s="79"/>
      <c r="R61" s="79"/>
      <c r="S61" s="79"/>
      <c r="T61" s="79"/>
      <c r="U61" s="79"/>
      <c r="V61" s="79"/>
      <c r="W61" s="79"/>
      <c r="X61" s="79"/>
      <c r="Y61" s="79"/>
    </row>
    <row r="62" spans="5:42" x14ac:dyDescent="0.3">
      <c r="E62" s="32"/>
      <c r="F62" s="72" t="s">
        <v>212</v>
      </c>
      <c r="G62" s="72" t="s">
        <v>212</v>
      </c>
      <c r="J62" s="79"/>
      <c r="K62" s="79"/>
      <c r="L62" s="254">
        <v>28594.323457617986</v>
      </c>
      <c r="M62" s="79"/>
      <c r="N62" s="254">
        <v>1148.3224537912572</v>
      </c>
      <c r="O62" s="254">
        <v>294.50310991634535</v>
      </c>
      <c r="P62" s="254">
        <v>308.71522277208226</v>
      </c>
      <c r="Q62" s="79"/>
      <c r="R62" s="79"/>
      <c r="S62" s="79"/>
      <c r="T62" s="79"/>
      <c r="U62" s="79"/>
      <c r="V62" s="79"/>
      <c r="W62" s="79"/>
      <c r="X62" s="79"/>
      <c r="Y62" s="79"/>
    </row>
    <row r="63" spans="5:42" x14ac:dyDescent="0.3">
      <c r="E63" s="32"/>
      <c r="F63" s="72" t="s">
        <v>250</v>
      </c>
      <c r="G63" s="72" t="s">
        <v>251</v>
      </c>
      <c r="J63" s="79"/>
      <c r="K63" s="79"/>
      <c r="L63" s="79"/>
      <c r="M63" s="79"/>
      <c r="N63" s="254">
        <v>336818.43192775827</v>
      </c>
      <c r="O63" s="254">
        <v>151572.09873412279</v>
      </c>
      <c r="P63" s="254">
        <v>1246221.8227586662</v>
      </c>
      <c r="Q63" s="79"/>
      <c r="R63" s="79"/>
      <c r="S63" s="79"/>
      <c r="T63" s="79"/>
      <c r="U63" s="79"/>
      <c r="V63" s="79"/>
      <c r="W63" s="79"/>
      <c r="X63" s="79"/>
      <c r="Y63" s="79"/>
    </row>
    <row r="64" spans="5:42" x14ac:dyDescent="0.3">
      <c r="E64" s="32"/>
      <c r="F64" s="72" t="s">
        <v>252</v>
      </c>
      <c r="G64" s="72" t="s">
        <v>251</v>
      </c>
      <c r="J64" s="79"/>
      <c r="K64" s="79"/>
      <c r="L64" s="79"/>
      <c r="M64" s="79"/>
      <c r="N64" s="254">
        <v>6980.9411752034039</v>
      </c>
      <c r="O64" s="254">
        <v>291.44701071456973</v>
      </c>
      <c r="P64" s="254">
        <v>16162.056590112155</v>
      </c>
      <c r="Q64" s="79"/>
      <c r="R64" s="79"/>
      <c r="S64" s="79"/>
      <c r="T64" s="79"/>
      <c r="U64" s="79"/>
      <c r="V64" s="79"/>
      <c r="W64" s="79"/>
      <c r="X64" s="79"/>
      <c r="Y64" s="79"/>
    </row>
    <row r="65" spans="4:43" x14ac:dyDescent="0.3">
      <c r="E65" s="32"/>
      <c r="F65" s="80" t="s">
        <v>253</v>
      </c>
      <c r="G65" s="80" t="s">
        <v>254</v>
      </c>
      <c r="H65" s="37"/>
      <c r="I65" s="37"/>
      <c r="J65" s="81"/>
      <c r="K65" s="81"/>
      <c r="L65" s="81"/>
      <c r="M65" s="81"/>
      <c r="N65" s="256">
        <v>55861.042833524734</v>
      </c>
      <c r="O65" s="256">
        <v>12813.474597537663</v>
      </c>
      <c r="P65" s="256">
        <v>329326.9298743431</v>
      </c>
      <c r="Q65" s="81"/>
      <c r="R65" s="81"/>
      <c r="S65" s="81"/>
      <c r="T65" s="81"/>
      <c r="U65" s="81"/>
      <c r="V65" s="81"/>
      <c r="W65" s="81"/>
      <c r="X65" s="81"/>
      <c r="Y65" s="81"/>
    </row>
    <row r="66" spans="4:43" x14ac:dyDescent="0.3">
      <c r="E66" s="261"/>
      <c r="F66" s="235"/>
      <c r="G66" s="235"/>
      <c r="H66" s="260"/>
      <c r="I66" s="260"/>
      <c r="J66" s="262"/>
      <c r="K66" s="262"/>
      <c r="L66" s="262"/>
      <c r="M66" s="262"/>
      <c r="N66" s="263"/>
      <c r="O66" s="263"/>
      <c r="P66" s="263"/>
      <c r="Q66" s="262"/>
      <c r="R66" s="262"/>
      <c r="S66" s="262"/>
      <c r="T66" s="263"/>
      <c r="U66" s="262"/>
      <c r="V66" s="263"/>
      <c r="W66" s="262"/>
      <c r="X66" s="263"/>
      <c r="Y66" s="262"/>
      <c r="Z66" s="260"/>
      <c r="AA66" s="260"/>
      <c r="AB66" s="260"/>
      <c r="AC66" s="260"/>
      <c r="AD66" s="260"/>
      <c r="AE66" s="260"/>
      <c r="AF66" s="260"/>
      <c r="AG66" s="260"/>
      <c r="AH66" s="260"/>
      <c r="AI66" s="260"/>
      <c r="AJ66" s="260"/>
      <c r="AK66" s="260"/>
      <c r="AL66" s="260"/>
      <c r="AM66" s="260"/>
      <c r="AN66" s="260"/>
      <c r="AO66" s="260"/>
      <c r="AP66" s="260"/>
    </row>
    <row r="67" spans="4:43" x14ac:dyDescent="0.3">
      <c r="D67" s="29" t="s">
        <v>962</v>
      </c>
      <c r="G67" s="13"/>
      <c r="I67" t="s">
        <v>154</v>
      </c>
      <c r="AQ67" t="s">
        <v>246</v>
      </c>
    </row>
    <row r="68" spans="4:43" x14ac:dyDescent="0.3">
      <c r="G68" s="13"/>
    </row>
    <row r="69" spans="4:43" x14ac:dyDescent="0.3">
      <c r="E69" s="32" t="s">
        <v>910</v>
      </c>
      <c r="G69" s="13"/>
    </row>
    <row r="70" spans="4:43" x14ac:dyDescent="0.3">
      <c r="E70" s="32"/>
      <c r="F70" s="78" t="s">
        <v>247</v>
      </c>
      <c r="G70" s="78" t="s">
        <v>207</v>
      </c>
      <c r="H70" s="23"/>
      <c r="I70" s="23"/>
      <c r="J70" s="83"/>
      <c r="K70" s="253">
        <v>0</v>
      </c>
      <c r="L70" s="253">
        <v>0</v>
      </c>
      <c r="M70" s="253">
        <v>0</v>
      </c>
      <c r="N70" s="253">
        <v>0</v>
      </c>
      <c r="O70" s="83"/>
      <c r="P70" s="83"/>
      <c r="Q70" s="83"/>
      <c r="R70" s="253">
        <v>1.4162400381651923</v>
      </c>
      <c r="S70" s="83"/>
      <c r="T70" s="253">
        <v>0</v>
      </c>
      <c r="U70" s="83"/>
      <c r="V70" s="83"/>
      <c r="W70" s="83"/>
      <c r="X70" s="83"/>
      <c r="Y70" s="83"/>
    </row>
    <row r="71" spans="4:43" x14ac:dyDescent="0.3">
      <c r="E71" s="32"/>
      <c r="F71" s="72" t="s">
        <v>248</v>
      </c>
      <c r="G71" s="72" t="s">
        <v>207</v>
      </c>
      <c r="J71" s="79"/>
      <c r="K71" s="254">
        <v>0</v>
      </c>
      <c r="L71" s="254">
        <v>0</v>
      </c>
      <c r="M71" s="254">
        <v>0</v>
      </c>
      <c r="N71" s="254">
        <v>0</v>
      </c>
      <c r="O71" s="79"/>
      <c r="P71" s="79"/>
      <c r="Q71" s="79"/>
      <c r="R71" s="255">
        <v>7.6951102681025541</v>
      </c>
      <c r="S71" s="79"/>
      <c r="T71" s="254">
        <v>0</v>
      </c>
      <c r="U71" s="79"/>
      <c r="V71" s="79"/>
      <c r="W71" s="79"/>
      <c r="X71" s="79"/>
      <c r="Y71" s="79"/>
    </row>
    <row r="72" spans="4:43" x14ac:dyDescent="0.3">
      <c r="E72" s="32"/>
      <c r="F72" s="72" t="s">
        <v>249</v>
      </c>
      <c r="G72" s="72" t="s">
        <v>207</v>
      </c>
      <c r="J72" s="79"/>
      <c r="K72" s="254">
        <v>0</v>
      </c>
      <c r="L72" s="254">
        <v>0</v>
      </c>
      <c r="M72" s="254">
        <v>0</v>
      </c>
      <c r="N72" s="254">
        <v>0</v>
      </c>
      <c r="O72" s="79"/>
      <c r="P72" s="79"/>
      <c r="Q72" s="79"/>
      <c r="R72" s="255">
        <v>3.9412575596031192</v>
      </c>
      <c r="S72" s="79"/>
      <c r="T72" s="254">
        <v>0</v>
      </c>
      <c r="U72" s="79"/>
      <c r="V72" s="79"/>
      <c r="W72" s="79"/>
      <c r="X72" s="79"/>
      <c r="Y72" s="79"/>
    </row>
    <row r="73" spans="4:43" x14ac:dyDescent="0.3">
      <c r="E73" s="32"/>
      <c r="F73" s="72" t="s">
        <v>212</v>
      </c>
      <c r="G73" s="72" t="s">
        <v>212</v>
      </c>
      <c r="J73" s="79"/>
      <c r="K73" s="254">
        <v>0</v>
      </c>
      <c r="L73" s="254">
        <v>0</v>
      </c>
      <c r="M73" s="254">
        <v>0</v>
      </c>
      <c r="N73" s="254">
        <v>0</v>
      </c>
      <c r="O73" s="79"/>
      <c r="P73" s="79"/>
      <c r="Q73" s="79"/>
      <c r="R73" s="254">
        <v>0</v>
      </c>
      <c r="S73" s="79"/>
      <c r="T73" s="254">
        <v>0</v>
      </c>
      <c r="U73" s="79"/>
      <c r="V73" s="79"/>
      <c r="W73" s="79"/>
      <c r="X73" s="79"/>
      <c r="Y73" s="79"/>
    </row>
    <row r="74" spans="4:43" x14ac:dyDescent="0.3">
      <c r="E74" s="32"/>
      <c r="F74" s="72" t="s">
        <v>250</v>
      </c>
      <c r="G74" s="72" t="s">
        <v>251</v>
      </c>
      <c r="J74" s="79"/>
      <c r="K74" s="79"/>
      <c r="L74" s="79"/>
      <c r="M74" s="79"/>
      <c r="N74" s="254">
        <v>0</v>
      </c>
      <c r="O74" s="79"/>
      <c r="P74" s="79"/>
      <c r="Q74" s="79"/>
      <c r="R74" s="79"/>
      <c r="S74" s="79"/>
      <c r="T74" s="79"/>
      <c r="U74" s="79"/>
      <c r="V74" s="79"/>
      <c r="W74" s="79"/>
      <c r="X74" s="79"/>
      <c r="Y74" s="79"/>
    </row>
    <row r="75" spans="4:43" x14ac:dyDescent="0.3">
      <c r="E75" s="32"/>
      <c r="F75" s="72" t="s">
        <v>252</v>
      </c>
      <c r="G75" s="72" t="s">
        <v>251</v>
      </c>
      <c r="J75" s="79"/>
      <c r="K75" s="79"/>
      <c r="L75" s="79"/>
      <c r="M75" s="79"/>
      <c r="N75" s="254">
        <v>0</v>
      </c>
      <c r="O75" s="79"/>
      <c r="P75" s="79"/>
      <c r="Q75" s="79"/>
      <c r="R75" s="79"/>
      <c r="S75" s="79"/>
      <c r="T75" s="79"/>
      <c r="U75" s="79"/>
      <c r="V75" s="79"/>
      <c r="W75" s="79"/>
      <c r="X75" s="79"/>
      <c r="Y75" s="79"/>
    </row>
    <row r="76" spans="4:43" x14ac:dyDescent="0.3">
      <c r="E76" s="32"/>
      <c r="F76" s="80" t="s">
        <v>253</v>
      </c>
      <c r="G76" s="80" t="s">
        <v>254</v>
      </c>
      <c r="H76" s="37"/>
      <c r="I76" s="37"/>
      <c r="J76" s="81"/>
      <c r="K76" s="81"/>
      <c r="L76" s="81"/>
      <c r="M76" s="81"/>
      <c r="N76" s="256">
        <v>0</v>
      </c>
      <c r="O76" s="81"/>
      <c r="P76" s="81"/>
      <c r="Q76" s="81"/>
      <c r="R76" s="81"/>
      <c r="S76" s="81"/>
      <c r="T76" s="256">
        <v>0</v>
      </c>
      <c r="U76" s="81"/>
      <c r="V76" s="81"/>
      <c r="W76" s="81"/>
      <c r="X76" s="81"/>
      <c r="Y76" s="81"/>
    </row>
    <row r="77" spans="4:43" x14ac:dyDescent="0.3">
      <c r="E77" s="261"/>
      <c r="F77" s="235"/>
      <c r="G77" s="235"/>
      <c r="H77" s="260"/>
      <c r="I77" s="260"/>
      <c r="J77" s="262"/>
      <c r="K77" s="262"/>
      <c r="L77" s="262"/>
      <c r="M77" s="262"/>
      <c r="N77" s="263"/>
      <c r="O77" s="262"/>
      <c r="P77" s="262"/>
      <c r="Q77" s="262"/>
      <c r="R77" s="262"/>
      <c r="S77" s="262"/>
      <c r="T77" s="263"/>
      <c r="U77" s="262"/>
      <c r="V77" s="263"/>
      <c r="W77" s="262"/>
      <c r="X77" s="263"/>
      <c r="Y77" s="262"/>
      <c r="Z77" s="260"/>
      <c r="AA77" s="260"/>
      <c r="AB77" s="260"/>
      <c r="AC77" s="260"/>
      <c r="AD77" s="260"/>
      <c r="AE77" s="260"/>
      <c r="AF77" s="260"/>
      <c r="AG77" s="260"/>
      <c r="AH77" s="260"/>
      <c r="AI77" s="260"/>
      <c r="AJ77" s="260"/>
      <c r="AK77" s="260"/>
      <c r="AL77" s="260"/>
      <c r="AM77" s="260"/>
      <c r="AN77" s="260"/>
      <c r="AO77" s="260"/>
      <c r="AP77" s="260"/>
    </row>
    <row r="78" spans="4:43" x14ac:dyDescent="0.3">
      <c r="E78" s="32" t="s">
        <v>953</v>
      </c>
      <c r="G78" s="13"/>
    </row>
    <row r="79" spans="4:43" x14ac:dyDescent="0.3">
      <c r="E79" s="32"/>
      <c r="F79" s="78" t="s">
        <v>247</v>
      </c>
      <c r="G79" s="78" t="s">
        <v>207</v>
      </c>
      <c r="H79" s="23"/>
      <c r="I79" s="23"/>
      <c r="J79" s="253">
        <v>11244.916691828073</v>
      </c>
      <c r="K79" s="83"/>
      <c r="L79" s="253">
        <v>25.345746314499099</v>
      </c>
      <c r="M79" s="83"/>
      <c r="N79" s="253">
        <v>554.5724790936348</v>
      </c>
      <c r="O79" s="83"/>
      <c r="P79" s="83"/>
      <c r="Q79" s="253">
        <v>4.4788941885141398</v>
      </c>
      <c r="R79" s="83"/>
      <c r="S79" s="83"/>
      <c r="T79" s="83"/>
      <c r="U79" s="83"/>
      <c r="V79" s="83"/>
      <c r="W79" s="83"/>
      <c r="X79" s="83"/>
      <c r="Y79" s="83"/>
    </row>
    <row r="80" spans="4:43" x14ac:dyDescent="0.3">
      <c r="E80" s="32"/>
      <c r="F80" s="72" t="s">
        <v>248</v>
      </c>
      <c r="G80" s="72" t="s">
        <v>207</v>
      </c>
      <c r="J80" s="254">
        <v>31905.391196577795</v>
      </c>
      <c r="K80" s="79"/>
      <c r="L80" s="254">
        <v>108.92045730750806</v>
      </c>
      <c r="M80" s="331"/>
      <c r="N80" s="254">
        <v>2064.9906269954017</v>
      </c>
      <c r="O80" s="79"/>
      <c r="P80" s="79"/>
      <c r="Q80" s="255">
        <v>207.65367753570459</v>
      </c>
      <c r="R80" s="79"/>
      <c r="S80" s="79"/>
      <c r="T80" s="79"/>
      <c r="U80" s="79"/>
      <c r="V80" s="79"/>
      <c r="W80" s="79"/>
      <c r="X80" s="79"/>
      <c r="Y80" s="79"/>
    </row>
    <row r="81" spans="5:42" x14ac:dyDescent="0.3">
      <c r="E81" s="32"/>
      <c r="F81" s="72" t="s">
        <v>249</v>
      </c>
      <c r="G81" s="72" t="s">
        <v>207</v>
      </c>
      <c r="J81" s="254">
        <v>49515.527633638289</v>
      </c>
      <c r="K81" s="79"/>
      <c r="L81" s="254">
        <v>107.1605759851722</v>
      </c>
      <c r="M81" s="331"/>
      <c r="N81" s="254">
        <v>2862.7335648077615</v>
      </c>
      <c r="O81" s="79"/>
      <c r="P81" s="79"/>
      <c r="Q81" s="255">
        <v>324.70153315126709</v>
      </c>
      <c r="R81" s="79"/>
      <c r="S81" s="79"/>
      <c r="T81" s="79"/>
      <c r="U81" s="79"/>
      <c r="V81" s="79"/>
      <c r="W81" s="79"/>
      <c r="X81" s="79"/>
      <c r="Y81" s="79"/>
    </row>
    <row r="82" spans="5:42" x14ac:dyDescent="0.3">
      <c r="E82" s="32"/>
      <c r="F82" s="72" t="s">
        <v>212</v>
      </c>
      <c r="G82" s="72" t="s">
        <v>212</v>
      </c>
      <c r="J82" s="254">
        <v>30904.405938754266</v>
      </c>
      <c r="K82" s="79"/>
      <c r="L82" s="254">
        <v>204.13858265677618</v>
      </c>
      <c r="M82" s="331"/>
      <c r="N82" s="254">
        <v>39.077594674274273</v>
      </c>
      <c r="O82" s="79"/>
      <c r="P82" s="79"/>
      <c r="Q82" s="254">
        <v>0</v>
      </c>
      <c r="R82" s="79"/>
      <c r="S82" s="79"/>
      <c r="T82" s="79"/>
      <c r="U82" s="79"/>
      <c r="V82" s="79"/>
      <c r="W82" s="79"/>
      <c r="X82" s="79"/>
      <c r="Y82" s="79"/>
    </row>
    <row r="83" spans="5:42" x14ac:dyDescent="0.3">
      <c r="E83" s="32"/>
      <c r="F83" s="72" t="s">
        <v>250</v>
      </c>
      <c r="G83" s="72" t="s">
        <v>251</v>
      </c>
      <c r="J83" s="79"/>
      <c r="K83" s="79"/>
      <c r="L83" s="79"/>
      <c r="M83" s="331"/>
      <c r="N83" s="254">
        <v>3191.8406087588619</v>
      </c>
      <c r="O83" s="79"/>
      <c r="P83" s="79"/>
      <c r="Q83" s="79"/>
      <c r="R83" s="79"/>
      <c r="S83" s="79"/>
      <c r="T83" s="79"/>
      <c r="U83" s="79"/>
      <c r="V83" s="79"/>
      <c r="W83" s="79"/>
      <c r="X83" s="79"/>
      <c r="Y83" s="79"/>
    </row>
    <row r="84" spans="5:42" x14ac:dyDescent="0.3">
      <c r="E84" s="32"/>
      <c r="F84" s="72" t="s">
        <v>252</v>
      </c>
      <c r="G84" s="72" t="s">
        <v>251</v>
      </c>
      <c r="J84" s="79"/>
      <c r="K84" s="79"/>
      <c r="L84" s="79"/>
      <c r="M84" s="331"/>
      <c r="N84" s="254">
        <v>8.6021462198396907</v>
      </c>
      <c r="O84" s="79"/>
      <c r="P84" s="79"/>
      <c r="Q84" s="79"/>
      <c r="R84" s="79"/>
      <c r="S84" s="79"/>
      <c r="T84" s="79"/>
      <c r="U84" s="79"/>
      <c r="V84" s="79"/>
      <c r="W84" s="79"/>
      <c r="X84" s="79"/>
      <c r="Y84" s="79"/>
    </row>
    <row r="85" spans="5:42" x14ac:dyDescent="0.3">
      <c r="E85" s="32"/>
      <c r="F85" s="80" t="s">
        <v>253</v>
      </c>
      <c r="G85" s="80" t="s">
        <v>254</v>
      </c>
      <c r="H85" s="37"/>
      <c r="I85" s="37"/>
      <c r="J85" s="81"/>
      <c r="K85" s="81"/>
      <c r="L85" s="81"/>
      <c r="M85" s="81"/>
      <c r="N85" s="256">
        <v>741.93247749313116</v>
      </c>
      <c r="O85" s="81"/>
      <c r="P85" s="81"/>
      <c r="Q85" s="81"/>
      <c r="R85" s="81"/>
      <c r="S85" s="81"/>
      <c r="T85" s="81"/>
      <c r="U85" s="81"/>
      <c r="V85" s="81"/>
      <c r="W85" s="81"/>
      <c r="X85" s="81"/>
      <c r="Y85" s="81"/>
    </row>
    <row r="86" spans="5:42" x14ac:dyDescent="0.3">
      <c r="E86" s="261"/>
      <c r="F86" s="235"/>
      <c r="G86" s="235"/>
      <c r="H86" s="260"/>
      <c r="I86" s="260"/>
      <c r="J86" s="262"/>
      <c r="K86" s="262"/>
      <c r="L86" s="262"/>
      <c r="M86" s="262"/>
      <c r="N86" s="263"/>
      <c r="O86" s="262"/>
      <c r="P86" s="262"/>
      <c r="Q86" s="262"/>
      <c r="R86" s="262"/>
      <c r="S86" s="262"/>
      <c r="T86" s="263"/>
      <c r="U86" s="262"/>
      <c r="V86" s="263"/>
      <c r="W86" s="262"/>
      <c r="X86" s="263"/>
      <c r="Y86" s="262"/>
      <c r="Z86" s="260"/>
      <c r="AA86" s="260"/>
      <c r="AB86" s="260"/>
      <c r="AC86" s="260"/>
      <c r="AD86" s="260"/>
      <c r="AE86" s="260"/>
      <c r="AF86" s="260"/>
      <c r="AG86" s="260"/>
      <c r="AH86" s="260"/>
      <c r="AI86" s="260"/>
      <c r="AJ86" s="260"/>
      <c r="AK86" s="260"/>
      <c r="AL86" s="260"/>
      <c r="AM86" s="260"/>
      <c r="AN86" s="260"/>
      <c r="AO86" s="260"/>
      <c r="AP86" s="260"/>
    </row>
    <row r="87" spans="5:42" x14ac:dyDescent="0.3">
      <c r="E87" s="32" t="s">
        <v>954</v>
      </c>
      <c r="G87" s="13"/>
    </row>
    <row r="88" spans="5:42" x14ac:dyDescent="0.3">
      <c r="E88" s="32"/>
      <c r="F88" s="78" t="s">
        <v>247</v>
      </c>
      <c r="G88" s="78" t="s">
        <v>207</v>
      </c>
      <c r="H88" s="23"/>
      <c r="I88" s="23"/>
      <c r="J88" s="83"/>
      <c r="K88" s="83"/>
      <c r="L88" s="253">
        <v>106.38292269517217</v>
      </c>
      <c r="M88" s="83"/>
      <c r="N88" s="253">
        <v>828.73991071759519</v>
      </c>
      <c r="O88" s="83"/>
      <c r="P88" s="83"/>
      <c r="Q88" s="83"/>
      <c r="R88" s="83"/>
      <c r="S88" s="83"/>
      <c r="T88" s="83"/>
      <c r="U88" s="83"/>
      <c r="V88" s="83"/>
      <c r="W88" s="83"/>
      <c r="X88" s="83"/>
      <c r="Y88" s="83"/>
    </row>
    <row r="89" spans="5:42" x14ac:dyDescent="0.3">
      <c r="E89" s="32"/>
      <c r="F89" s="72" t="s">
        <v>248</v>
      </c>
      <c r="G89" s="72" t="s">
        <v>207</v>
      </c>
      <c r="J89" s="79"/>
      <c r="K89" s="79"/>
      <c r="L89" s="254">
        <v>457.16849075534611</v>
      </c>
      <c r="M89" s="79"/>
      <c r="N89" s="254">
        <v>3085.8728342339809</v>
      </c>
      <c r="O89" s="79"/>
      <c r="P89" s="79"/>
      <c r="Q89" s="79"/>
      <c r="R89" s="79"/>
      <c r="S89" s="79"/>
      <c r="T89" s="79"/>
      <c r="U89" s="79"/>
      <c r="V89" s="79"/>
      <c r="W89" s="79"/>
      <c r="X89" s="79"/>
      <c r="Y89" s="79"/>
    </row>
    <row r="90" spans="5:42" x14ac:dyDescent="0.3">
      <c r="E90" s="32"/>
      <c r="F90" s="72" t="s">
        <v>249</v>
      </c>
      <c r="G90" s="72" t="s">
        <v>207</v>
      </c>
      <c r="J90" s="79"/>
      <c r="K90" s="79"/>
      <c r="L90" s="254">
        <v>449.78179492308999</v>
      </c>
      <c r="M90" s="79"/>
      <c r="N90" s="254">
        <v>4278.0008895942292</v>
      </c>
      <c r="O90" s="79"/>
      <c r="P90" s="79"/>
      <c r="Q90" s="79"/>
      <c r="R90" s="79"/>
      <c r="S90" s="79"/>
      <c r="T90" s="79"/>
      <c r="U90" s="79"/>
      <c r="V90" s="79"/>
      <c r="W90" s="79"/>
      <c r="X90" s="79"/>
      <c r="Y90" s="79"/>
    </row>
    <row r="91" spans="5:42" x14ac:dyDescent="0.3">
      <c r="E91" s="32"/>
      <c r="F91" s="72" t="s">
        <v>212</v>
      </c>
      <c r="G91" s="72" t="s">
        <v>212</v>
      </c>
      <c r="J91" s="79"/>
      <c r="K91" s="79"/>
      <c r="L91" s="254">
        <v>154.06100263136565</v>
      </c>
      <c r="M91" s="79"/>
      <c r="N91" s="254">
        <v>31.608072022774834</v>
      </c>
      <c r="O91" s="79"/>
      <c r="P91" s="79"/>
      <c r="Q91" s="79"/>
      <c r="R91" s="79"/>
      <c r="S91" s="79"/>
      <c r="T91" s="79"/>
      <c r="U91" s="79"/>
      <c r="V91" s="79"/>
      <c r="W91" s="79"/>
      <c r="X91" s="79"/>
      <c r="Y91" s="79"/>
    </row>
    <row r="92" spans="5:42" x14ac:dyDescent="0.3">
      <c r="E92" s="32"/>
      <c r="F92" s="72" t="s">
        <v>250</v>
      </c>
      <c r="G92" s="72" t="s">
        <v>251</v>
      </c>
      <c r="J92" s="79"/>
      <c r="K92" s="79"/>
      <c r="L92" s="79"/>
      <c r="M92" s="79"/>
      <c r="N92" s="254">
        <v>6731.7304283365711</v>
      </c>
      <c r="O92" s="79"/>
      <c r="P92" s="79"/>
      <c r="Q92" s="79"/>
      <c r="R92" s="79"/>
      <c r="S92" s="79"/>
      <c r="T92" s="79"/>
      <c r="U92" s="79"/>
      <c r="V92" s="79"/>
      <c r="W92" s="79"/>
      <c r="X92" s="79"/>
      <c r="Y92" s="79"/>
    </row>
    <row r="93" spans="5:42" x14ac:dyDescent="0.3">
      <c r="E93" s="32"/>
      <c r="F93" s="72" t="s">
        <v>252</v>
      </c>
      <c r="G93" s="72" t="s">
        <v>251</v>
      </c>
      <c r="J93" s="79"/>
      <c r="K93" s="79"/>
      <c r="L93" s="79"/>
      <c r="M93" s="79"/>
      <c r="N93" s="254">
        <v>18.142299868668054</v>
      </c>
      <c r="O93" s="79"/>
      <c r="P93" s="79"/>
      <c r="Q93" s="79"/>
      <c r="R93" s="79"/>
      <c r="S93" s="79"/>
      <c r="T93" s="79"/>
      <c r="U93" s="79"/>
      <c r="V93" s="79"/>
      <c r="W93" s="79"/>
      <c r="X93" s="79"/>
      <c r="Y93" s="79"/>
    </row>
    <row r="94" spans="5:42" x14ac:dyDescent="0.3">
      <c r="E94" s="32"/>
      <c r="F94" s="80" t="s">
        <v>253</v>
      </c>
      <c r="G94" s="80" t="s">
        <v>254</v>
      </c>
      <c r="H94" s="37"/>
      <c r="I94" s="37"/>
      <c r="J94" s="81"/>
      <c r="K94" s="81"/>
      <c r="L94" s="81"/>
      <c r="M94" s="81"/>
      <c r="N94" s="256">
        <v>1108.7262320716898</v>
      </c>
      <c r="O94" s="81"/>
      <c r="P94" s="81"/>
      <c r="Q94" s="81"/>
      <c r="R94" s="81"/>
      <c r="S94" s="81"/>
      <c r="T94" s="81"/>
      <c r="U94" s="81"/>
      <c r="V94" s="81"/>
      <c r="W94" s="81"/>
      <c r="X94" s="81"/>
      <c r="Y94" s="81"/>
    </row>
    <row r="95" spans="5:42" x14ac:dyDescent="0.3">
      <c r="E95" s="261"/>
      <c r="F95" s="235"/>
      <c r="G95" s="235"/>
      <c r="H95" s="260"/>
      <c r="I95" s="260"/>
      <c r="J95" s="262"/>
      <c r="K95" s="262"/>
      <c r="L95" s="262"/>
      <c r="M95" s="262"/>
      <c r="N95" s="263"/>
      <c r="O95" s="262"/>
      <c r="P95" s="262"/>
      <c r="Q95" s="262"/>
      <c r="R95" s="262"/>
      <c r="S95" s="262"/>
      <c r="T95" s="263"/>
      <c r="U95" s="262"/>
      <c r="V95" s="263"/>
      <c r="W95" s="262"/>
      <c r="X95" s="263"/>
      <c r="Y95" s="262"/>
      <c r="Z95" s="260"/>
      <c r="AA95" s="260"/>
      <c r="AB95" s="260"/>
      <c r="AC95" s="260"/>
      <c r="AD95" s="260"/>
      <c r="AE95" s="260"/>
      <c r="AF95" s="260"/>
      <c r="AG95" s="260"/>
      <c r="AH95" s="260"/>
      <c r="AI95" s="260"/>
      <c r="AJ95" s="260"/>
      <c r="AK95" s="260"/>
      <c r="AL95" s="260"/>
      <c r="AM95" s="260"/>
      <c r="AN95" s="260"/>
      <c r="AO95" s="260"/>
      <c r="AP95" s="260"/>
    </row>
    <row r="96" spans="5:42" x14ac:dyDescent="0.3">
      <c r="E96" s="32" t="s">
        <v>955</v>
      </c>
      <c r="G96" s="13"/>
    </row>
    <row r="97" spans="5:42" x14ac:dyDescent="0.3">
      <c r="E97" s="32"/>
      <c r="F97" s="78" t="s">
        <v>247</v>
      </c>
      <c r="G97" s="78" t="s">
        <v>207</v>
      </c>
      <c r="H97" s="23"/>
      <c r="I97" s="23"/>
      <c r="J97" s="83"/>
      <c r="K97" s="83"/>
      <c r="L97" s="253">
        <v>134.96696759323282</v>
      </c>
      <c r="M97" s="83"/>
      <c r="N97" s="253">
        <v>447.45563468462888</v>
      </c>
      <c r="O97" s="83"/>
      <c r="P97" s="83"/>
      <c r="Q97" s="83"/>
      <c r="R97" s="83"/>
      <c r="S97" s="83"/>
      <c r="T97" s="83"/>
      <c r="U97" s="83"/>
      <c r="V97" s="83"/>
      <c r="W97" s="83"/>
      <c r="X97" s="83"/>
      <c r="Y97" s="83"/>
    </row>
    <row r="98" spans="5:42" x14ac:dyDescent="0.3">
      <c r="E98" s="32"/>
      <c r="F98" s="72" t="s">
        <v>248</v>
      </c>
      <c r="G98" s="72" t="s">
        <v>207</v>
      </c>
      <c r="J98" s="79"/>
      <c r="K98" s="79"/>
      <c r="L98" s="254">
        <v>580.00516730702805</v>
      </c>
      <c r="M98" s="79"/>
      <c r="N98" s="254">
        <v>1666.1333305434889</v>
      </c>
      <c r="O98" s="79"/>
      <c r="P98" s="79"/>
      <c r="Q98" s="79"/>
      <c r="R98" s="79"/>
      <c r="S98" s="79"/>
      <c r="T98" s="79"/>
      <c r="U98" s="79"/>
      <c r="V98" s="79"/>
      <c r="W98" s="79"/>
      <c r="X98" s="79"/>
      <c r="Y98" s="79"/>
    </row>
    <row r="99" spans="5:42" x14ac:dyDescent="0.3">
      <c r="E99" s="32"/>
      <c r="F99" s="72" t="s">
        <v>249</v>
      </c>
      <c r="G99" s="72" t="s">
        <v>207</v>
      </c>
      <c r="J99" s="79"/>
      <c r="K99" s="79"/>
      <c r="L99" s="254">
        <v>570.63373896349719</v>
      </c>
      <c r="M99" s="79"/>
      <c r="N99" s="254">
        <v>2309.7905367889166</v>
      </c>
      <c r="O99" s="79"/>
      <c r="P99" s="79"/>
      <c r="Q99" s="79"/>
      <c r="R99" s="79"/>
      <c r="S99" s="79"/>
      <c r="T99" s="79"/>
      <c r="U99" s="79"/>
      <c r="V99" s="79"/>
      <c r="W99" s="79"/>
      <c r="X99" s="79"/>
      <c r="Y99" s="79"/>
    </row>
    <row r="100" spans="5:42" x14ac:dyDescent="0.3">
      <c r="E100" s="32"/>
      <c r="F100" s="72" t="s">
        <v>212</v>
      </c>
      <c r="G100" s="72" t="s">
        <v>212</v>
      </c>
      <c r="J100" s="79"/>
      <c r="K100" s="79"/>
      <c r="L100" s="254">
        <v>79.707125997892078</v>
      </c>
      <c r="M100" s="79"/>
      <c r="N100" s="254">
        <v>11.016921368933966</v>
      </c>
      <c r="O100" s="79"/>
      <c r="P100" s="79"/>
      <c r="Q100" s="79"/>
      <c r="R100" s="79"/>
      <c r="S100" s="79"/>
      <c r="T100" s="79"/>
      <c r="U100" s="79"/>
      <c r="V100" s="79"/>
      <c r="W100" s="79"/>
      <c r="X100" s="79"/>
      <c r="Y100" s="79"/>
    </row>
    <row r="101" spans="5:42" x14ac:dyDescent="0.3">
      <c r="E101" s="32"/>
      <c r="F101" s="72" t="s">
        <v>250</v>
      </c>
      <c r="G101" s="72" t="s">
        <v>251</v>
      </c>
      <c r="J101" s="79"/>
      <c r="K101" s="79"/>
      <c r="L101" s="79"/>
      <c r="M101" s="79"/>
      <c r="N101" s="254">
        <v>3740.3471075511425</v>
      </c>
      <c r="O101" s="79"/>
      <c r="P101" s="79"/>
      <c r="Q101" s="79"/>
      <c r="R101" s="79"/>
      <c r="S101" s="79"/>
      <c r="T101" s="79"/>
      <c r="U101" s="79"/>
      <c r="V101" s="79"/>
      <c r="W101" s="79"/>
      <c r="X101" s="79"/>
      <c r="Y101" s="79"/>
    </row>
    <row r="102" spans="5:42" x14ac:dyDescent="0.3">
      <c r="E102" s="32"/>
      <c r="F102" s="72" t="s">
        <v>252</v>
      </c>
      <c r="G102" s="72" t="s">
        <v>251</v>
      </c>
      <c r="J102" s="79"/>
      <c r="K102" s="79"/>
      <c r="L102" s="79"/>
      <c r="M102" s="79"/>
      <c r="N102" s="254">
        <v>10.080394567265232</v>
      </c>
      <c r="O102" s="79"/>
      <c r="P102" s="79"/>
      <c r="Q102" s="79"/>
      <c r="R102" s="79"/>
      <c r="S102" s="79"/>
      <c r="T102" s="79"/>
      <c r="U102" s="79"/>
      <c r="V102" s="79"/>
      <c r="W102" s="79"/>
      <c r="X102" s="79"/>
      <c r="Y102" s="79"/>
    </row>
    <row r="103" spans="5:42" x14ac:dyDescent="0.3">
      <c r="E103" s="32"/>
      <c r="F103" s="80" t="s">
        <v>253</v>
      </c>
      <c r="G103" s="80" t="s">
        <v>254</v>
      </c>
      <c r="H103" s="37"/>
      <c r="I103" s="37"/>
      <c r="J103" s="81"/>
      <c r="K103" s="81"/>
      <c r="L103" s="81"/>
      <c r="M103" s="81"/>
      <c r="N103" s="256">
        <v>598.6266540892949</v>
      </c>
      <c r="O103" s="81"/>
      <c r="P103" s="81"/>
      <c r="Q103" s="81"/>
      <c r="R103" s="81"/>
      <c r="S103" s="81"/>
      <c r="T103" s="81"/>
      <c r="U103" s="81"/>
      <c r="V103" s="81"/>
      <c r="W103" s="81"/>
      <c r="X103" s="81"/>
      <c r="Y103" s="81"/>
    </row>
    <row r="104" spans="5:42" x14ac:dyDescent="0.3">
      <c r="E104" s="261"/>
      <c r="F104" s="235"/>
      <c r="G104" s="235"/>
      <c r="H104" s="260"/>
      <c r="I104" s="260"/>
      <c r="J104" s="262"/>
      <c r="K104" s="262"/>
      <c r="L104" s="262"/>
      <c r="M104" s="262"/>
      <c r="N104" s="263"/>
      <c r="O104" s="262"/>
      <c r="P104" s="262"/>
      <c r="Q104" s="262"/>
      <c r="R104" s="262"/>
      <c r="S104" s="262"/>
      <c r="T104" s="263"/>
      <c r="U104" s="262"/>
      <c r="V104" s="263"/>
      <c r="W104" s="262"/>
      <c r="X104" s="263"/>
      <c r="Y104" s="262"/>
      <c r="Z104" s="260"/>
      <c r="AA104" s="260"/>
      <c r="AB104" s="260"/>
      <c r="AC104" s="260"/>
      <c r="AD104" s="260"/>
      <c r="AE104" s="260"/>
      <c r="AF104" s="260"/>
      <c r="AG104" s="260"/>
      <c r="AH104" s="260"/>
      <c r="AI104" s="260"/>
      <c r="AJ104" s="260"/>
      <c r="AK104" s="260"/>
      <c r="AL104" s="260"/>
      <c r="AM104" s="260"/>
      <c r="AN104" s="260"/>
      <c r="AO104" s="260"/>
      <c r="AP104" s="260"/>
    </row>
    <row r="105" spans="5:42" x14ac:dyDescent="0.3">
      <c r="E105" s="32" t="s">
        <v>956</v>
      </c>
      <c r="G105" s="13"/>
    </row>
    <row r="106" spans="5:42" x14ac:dyDescent="0.3">
      <c r="E106" s="32"/>
      <c r="F106" s="78" t="s">
        <v>247</v>
      </c>
      <c r="G106" s="78" t="s">
        <v>207</v>
      </c>
      <c r="H106" s="23"/>
      <c r="I106" s="23"/>
      <c r="J106" s="83"/>
      <c r="K106" s="83"/>
      <c r="L106" s="253">
        <v>435.09185224411988</v>
      </c>
      <c r="M106" s="83"/>
      <c r="N106" s="253">
        <v>440.11601549761281</v>
      </c>
      <c r="O106" s="83"/>
      <c r="P106" s="83"/>
      <c r="Q106" s="83"/>
      <c r="R106" s="83"/>
      <c r="S106" s="83"/>
      <c r="T106" s="83"/>
      <c r="U106" s="83"/>
      <c r="V106" s="83"/>
      <c r="W106" s="83"/>
      <c r="X106" s="83"/>
      <c r="Y106" s="83"/>
    </row>
    <row r="107" spans="5:42" x14ac:dyDescent="0.3">
      <c r="E107" s="32"/>
      <c r="F107" s="72" t="s">
        <v>248</v>
      </c>
      <c r="G107" s="72" t="s">
        <v>207</v>
      </c>
      <c r="J107" s="79"/>
      <c r="K107" s="79"/>
      <c r="L107" s="254">
        <v>1869.7576677823238</v>
      </c>
      <c r="M107" s="79"/>
      <c r="N107" s="254">
        <v>1638.8037290968496</v>
      </c>
      <c r="O107" s="79"/>
      <c r="P107" s="79"/>
      <c r="Q107" s="79"/>
      <c r="R107" s="79"/>
      <c r="S107" s="79"/>
      <c r="T107" s="79"/>
      <c r="U107" s="79"/>
      <c r="V107" s="79"/>
      <c r="W107" s="79"/>
      <c r="X107" s="79"/>
      <c r="Y107" s="79"/>
    </row>
    <row r="108" spans="5:42" x14ac:dyDescent="0.3">
      <c r="E108" s="32"/>
      <c r="F108" s="72" t="s">
        <v>249</v>
      </c>
      <c r="G108" s="72" t="s">
        <v>207</v>
      </c>
      <c r="J108" s="79"/>
      <c r="K108" s="79"/>
      <c r="L108" s="254">
        <v>1839.54707485822</v>
      </c>
      <c r="M108" s="79"/>
      <c r="N108" s="254">
        <v>2271.9030198426772</v>
      </c>
      <c r="O108" s="79"/>
      <c r="P108" s="79"/>
      <c r="Q108" s="79"/>
      <c r="R108" s="79"/>
      <c r="S108" s="79"/>
      <c r="T108" s="79"/>
      <c r="U108" s="79"/>
      <c r="V108" s="79"/>
      <c r="W108" s="79"/>
      <c r="X108" s="79"/>
      <c r="Y108" s="79"/>
    </row>
    <row r="109" spans="5:42" x14ac:dyDescent="0.3">
      <c r="E109" s="32"/>
      <c r="F109" s="72" t="s">
        <v>212</v>
      </c>
      <c r="G109" s="72" t="s">
        <v>212</v>
      </c>
      <c r="J109" s="79"/>
      <c r="K109" s="79"/>
      <c r="L109" s="254">
        <v>79.68415067873147</v>
      </c>
      <c r="M109" s="79"/>
      <c r="N109" s="254">
        <v>6.9449073482168764</v>
      </c>
      <c r="O109" s="79"/>
      <c r="P109" s="79"/>
      <c r="Q109" s="79"/>
      <c r="R109" s="79"/>
      <c r="S109" s="79"/>
      <c r="T109" s="79"/>
      <c r="U109" s="79"/>
      <c r="V109" s="79"/>
      <c r="W109" s="79"/>
      <c r="X109" s="79"/>
      <c r="Y109" s="79"/>
    </row>
    <row r="110" spans="5:42" x14ac:dyDescent="0.3">
      <c r="E110" s="32"/>
      <c r="F110" s="72" t="s">
        <v>250</v>
      </c>
      <c r="G110" s="72" t="s">
        <v>251</v>
      </c>
      <c r="J110" s="79"/>
      <c r="K110" s="79"/>
      <c r="L110" s="79"/>
      <c r="M110" s="79"/>
      <c r="N110" s="254">
        <v>3838.2026001765089</v>
      </c>
      <c r="O110" s="79"/>
      <c r="P110" s="79"/>
      <c r="Q110" s="79"/>
      <c r="R110" s="79"/>
      <c r="S110" s="79"/>
      <c r="T110" s="79"/>
      <c r="U110" s="79"/>
      <c r="V110" s="79"/>
      <c r="W110" s="79"/>
      <c r="X110" s="79"/>
      <c r="Y110" s="79"/>
    </row>
    <row r="111" spans="5:42" x14ac:dyDescent="0.3">
      <c r="E111" s="32"/>
      <c r="F111" s="72" t="s">
        <v>252</v>
      </c>
      <c r="G111" s="72" t="s">
        <v>251</v>
      </c>
      <c r="J111" s="79"/>
      <c r="K111" s="79"/>
      <c r="L111" s="79"/>
      <c r="M111" s="79"/>
      <c r="N111" s="254">
        <v>10.344119282612207</v>
      </c>
      <c r="O111" s="79"/>
      <c r="P111" s="79"/>
      <c r="Q111" s="79"/>
      <c r="R111" s="79"/>
      <c r="S111" s="79"/>
      <c r="T111" s="79"/>
      <c r="U111" s="79"/>
      <c r="V111" s="79"/>
      <c r="W111" s="79"/>
      <c r="X111" s="79"/>
      <c r="Y111" s="79"/>
    </row>
    <row r="112" spans="5:42" x14ac:dyDescent="0.3">
      <c r="E112" s="32"/>
      <c r="F112" s="80" t="s">
        <v>253</v>
      </c>
      <c r="G112" s="80" t="s">
        <v>254</v>
      </c>
      <c r="H112" s="37"/>
      <c r="I112" s="37"/>
      <c r="J112" s="81"/>
      <c r="K112" s="81"/>
      <c r="L112" s="81"/>
      <c r="M112" s="81"/>
      <c r="N112" s="256">
        <v>588.80737518065018</v>
      </c>
      <c r="O112" s="81"/>
      <c r="P112" s="81"/>
      <c r="Q112" s="81"/>
      <c r="R112" s="81"/>
      <c r="S112" s="81"/>
      <c r="T112" s="81"/>
      <c r="U112" s="81"/>
      <c r="V112" s="81"/>
      <c r="W112" s="81"/>
      <c r="X112" s="81"/>
      <c r="Y112" s="81"/>
    </row>
    <row r="113" spans="4:43" x14ac:dyDescent="0.3">
      <c r="E113" s="261"/>
      <c r="F113" s="235"/>
      <c r="G113" s="235"/>
      <c r="H113" s="260"/>
      <c r="I113" s="260"/>
      <c r="J113" s="262"/>
      <c r="K113" s="262"/>
      <c r="L113" s="262"/>
      <c r="M113" s="262"/>
      <c r="N113" s="263"/>
      <c r="O113" s="263"/>
      <c r="P113" s="263"/>
      <c r="Q113" s="262"/>
      <c r="R113" s="262"/>
      <c r="S113" s="262"/>
      <c r="T113" s="263"/>
      <c r="U113" s="262"/>
      <c r="V113" s="263"/>
      <c r="W113" s="262"/>
      <c r="X113" s="263"/>
      <c r="Y113" s="262"/>
      <c r="Z113" s="260"/>
      <c r="AA113" s="260"/>
      <c r="AB113" s="260"/>
      <c r="AC113" s="260"/>
      <c r="AD113" s="260"/>
      <c r="AE113" s="260"/>
      <c r="AF113" s="260"/>
      <c r="AG113" s="260"/>
      <c r="AH113" s="260"/>
      <c r="AI113" s="260"/>
      <c r="AJ113" s="260"/>
      <c r="AK113" s="260"/>
      <c r="AL113" s="260"/>
      <c r="AM113" s="260"/>
      <c r="AN113" s="260"/>
      <c r="AO113" s="260"/>
      <c r="AP113" s="260"/>
    </row>
    <row r="114" spans="4:43" x14ac:dyDescent="0.3">
      <c r="D114" s="29" t="s">
        <v>963</v>
      </c>
      <c r="G114" s="13"/>
      <c r="I114" t="s">
        <v>154</v>
      </c>
      <c r="AQ114" t="s">
        <v>246</v>
      </c>
    </row>
    <row r="115" spans="4:43" x14ac:dyDescent="0.3">
      <c r="G115" s="13"/>
    </row>
    <row r="116" spans="4:43" x14ac:dyDescent="0.3">
      <c r="E116" s="32" t="s">
        <v>911</v>
      </c>
      <c r="G116" s="13"/>
    </row>
    <row r="117" spans="4:43" x14ac:dyDescent="0.3">
      <c r="E117" s="32"/>
      <c r="F117" s="78" t="s">
        <v>247</v>
      </c>
      <c r="G117" s="78" t="s">
        <v>207</v>
      </c>
      <c r="H117" s="23"/>
      <c r="I117" s="23"/>
      <c r="J117" s="83"/>
      <c r="K117" s="253">
        <v>0</v>
      </c>
      <c r="L117" s="253">
        <v>0</v>
      </c>
      <c r="M117" s="253">
        <v>0</v>
      </c>
      <c r="N117" s="253">
        <v>0</v>
      </c>
      <c r="O117" s="253">
        <v>0</v>
      </c>
      <c r="P117" s="253">
        <v>0</v>
      </c>
      <c r="Q117" s="83"/>
      <c r="R117" s="253">
        <v>0</v>
      </c>
      <c r="S117" s="253">
        <v>0</v>
      </c>
      <c r="T117" s="253">
        <v>2.405417066698996</v>
      </c>
      <c r="U117" s="83"/>
      <c r="V117" s="253">
        <v>0</v>
      </c>
      <c r="W117" s="83"/>
      <c r="X117" s="253">
        <v>5.5315659252622229</v>
      </c>
      <c r="Y117" s="83"/>
    </row>
    <row r="118" spans="4:43" x14ac:dyDescent="0.3">
      <c r="E118" s="32"/>
      <c r="F118" s="72" t="s">
        <v>248</v>
      </c>
      <c r="G118" s="72" t="s">
        <v>207</v>
      </c>
      <c r="J118" s="79"/>
      <c r="K118" s="254">
        <v>0</v>
      </c>
      <c r="L118" s="254">
        <v>0</v>
      </c>
      <c r="M118" s="254">
        <v>0</v>
      </c>
      <c r="N118" s="254">
        <v>0</v>
      </c>
      <c r="O118" s="254">
        <v>0</v>
      </c>
      <c r="P118" s="254">
        <v>0</v>
      </c>
      <c r="Q118" s="79"/>
      <c r="R118" s="255">
        <v>0</v>
      </c>
      <c r="S118" s="255">
        <v>0</v>
      </c>
      <c r="T118" s="254">
        <v>13.065209505688999</v>
      </c>
      <c r="U118" s="79"/>
      <c r="V118" s="254">
        <v>0</v>
      </c>
      <c r="W118" s="79"/>
      <c r="X118" s="254">
        <v>3.5193669404444461E-2</v>
      </c>
      <c r="Y118" s="79"/>
    </row>
    <row r="119" spans="4:43" x14ac:dyDescent="0.3">
      <c r="E119" s="32"/>
      <c r="F119" s="72" t="s">
        <v>249</v>
      </c>
      <c r="G119" s="72" t="s">
        <v>207</v>
      </c>
      <c r="J119" s="79"/>
      <c r="K119" s="254">
        <v>0</v>
      </c>
      <c r="L119" s="254">
        <v>0</v>
      </c>
      <c r="M119" s="254">
        <v>0</v>
      </c>
      <c r="N119" s="254">
        <v>0</v>
      </c>
      <c r="O119" s="254">
        <v>0</v>
      </c>
      <c r="P119" s="254">
        <v>0</v>
      </c>
      <c r="Q119" s="79"/>
      <c r="R119" s="255">
        <v>0</v>
      </c>
      <c r="S119" s="255">
        <v>0</v>
      </c>
      <c r="T119" s="254">
        <v>30.585567519526965</v>
      </c>
      <c r="U119" s="79"/>
      <c r="V119" s="254">
        <v>0</v>
      </c>
      <c r="W119" s="79"/>
      <c r="X119" s="254">
        <v>0</v>
      </c>
      <c r="Y119" s="79"/>
    </row>
    <row r="120" spans="4:43" x14ac:dyDescent="0.3">
      <c r="E120" s="32"/>
      <c r="F120" s="72" t="s">
        <v>212</v>
      </c>
      <c r="G120" s="72" t="s">
        <v>212</v>
      </c>
      <c r="J120" s="79"/>
      <c r="K120" s="254">
        <v>0</v>
      </c>
      <c r="L120" s="254">
        <v>0</v>
      </c>
      <c r="M120" s="254">
        <v>0</v>
      </c>
      <c r="N120" s="254">
        <v>0</v>
      </c>
      <c r="O120" s="254">
        <v>0</v>
      </c>
      <c r="P120" s="254">
        <v>0</v>
      </c>
      <c r="Q120" s="79"/>
      <c r="R120" s="254">
        <v>0</v>
      </c>
      <c r="S120" s="254">
        <v>0</v>
      </c>
      <c r="T120" s="254">
        <v>2.7440506140904959</v>
      </c>
      <c r="U120" s="79"/>
      <c r="V120" s="254">
        <v>0</v>
      </c>
      <c r="W120" s="79"/>
      <c r="X120" s="254">
        <v>0.33569155719989663</v>
      </c>
      <c r="Y120" s="79"/>
    </row>
    <row r="121" spans="4:43" x14ac:dyDescent="0.3">
      <c r="E121" s="32"/>
      <c r="F121" s="72" t="s">
        <v>250</v>
      </c>
      <c r="G121" s="72" t="s">
        <v>251</v>
      </c>
      <c r="J121" s="79"/>
      <c r="K121" s="79"/>
      <c r="L121" s="79"/>
      <c r="M121" s="79"/>
      <c r="N121" s="254">
        <v>0</v>
      </c>
      <c r="O121" s="254">
        <v>0</v>
      </c>
      <c r="P121" s="254">
        <v>0</v>
      </c>
      <c r="Q121" s="79"/>
      <c r="R121" s="79"/>
      <c r="S121" s="79"/>
      <c r="T121" s="79"/>
      <c r="U121" s="79"/>
      <c r="V121" s="79"/>
      <c r="W121" s="79"/>
      <c r="X121" s="79"/>
      <c r="Y121" s="79"/>
    </row>
    <row r="122" spans="4:43" x14ac:dyDescent="0.3">
      <c r="E122" s="32"/>
      <c r="F122" s="72" t="s">
        <v>252</v>
      </c>
      <c r="G122" s="72" t="s">
        <v>251</v>
      </c>
      <c r="J122" s="79"/>
      <c r="K122" s="79"/>
      <c r="L122" s="79"/>
      <c r="M122" s="79"/>
      <c r="N122" s="254">
        <v>0</v>
      </c>
      <c r="O122" s="254">
        <v>0</v>
      </c>
      <c r="P122" s="254">
        <v>0</v>
      </c>
      <c r="Q122" s="79"/>
      <c r="R122" s="79"/>
      <c r="S122" s="79"/>
      <c r="T122" s="79"/>
      <c r="U122" s="79"/>
      <c r="V122" s="79"/>
      <c r="W122" s="79"/>
      <c r="X122" s="79"/>
      <c r="Y122" s="79"/>
    </row>
    <row r="123" spans="4:43" x14ac:dyDescent="0.3">
      <c r="E123" s="32"/>
      <c r="F123" s="80" t="s">
        <v>253</v>
      </c>
      <c r="G123" s="80" t="s">
        <v>254</v>
      </c>
      <c r="H123" s="37"/>
      <c r="I123" s="37"/>
      <c r="J123" s="81"/>
      <c r="K123" s="81"/>
      <c r="L123" s="81"/>
      <c r="M123" s="81"/>
      <c r="N123" s="256">
        <v>0</v>
      </c>
      <c r="O123" s="256">
        <v>0</v>
      </c>
      <c r="P123" s="256">
        <v>0</v>
      </c>
      <c r="Q123" s="81"/>
      <c r="R123" s="81"/>
      <c r="S123" s="81"/>
      <c r="T123" s="256">
        <v>6.2683321206657237</v>
      </c>
      <c r="U123" s="81"/>
      <c r="V123" s="256">
        <v>0</v>
      </c>
      <c r="W123" s="81"/>
      <c r="X123" s="256">
        <v>2.5011575186284043</v>
      </c>
      <c r="Y123" s="81"/>
    </row>
    <row r="124" spans="4:43" x14ac:dyDescent="0.3">
      <c r="E124" s="261"/>
      <c r="F124" s="235"/>
      <c r="G124" s="235"/>
      <c r="H124" s="260"/>
      <c r="I124" s="260"/>
      <c r="J124" s="262"/>
      <c r="K124" s="262"/>
      <c r="L124" s="262"/>
      <c r="M124" s="262"/>
      <c r="N124" s="263"/>
      <c r="O124" s="263"/>
      <c r="P124" s="263"/>
      <c r="Q124" s="262"/>
      <c r="R124" s="262"/>
      <c r="S124" s="262"/>
      <c r="T124" s="263"/>
      <c r="U124" s="262"/>
      <c r="V124" s="263"/>
      <c r="W124" s="262"/>
      <c r="X124" s="263"/>
      <c r="Y124" s="262"/>
      <c r="Z124" s="260"/>
      <c r="AA124" s="260"/>
      <c r="AB124" s="260"/>
      <c r="AC124" s="260"/>
      <c r="AD124" s="260"/>
      <c r="AE124" s="260"/>
      <c r="AF124" s="260"/>
      <c r="AG124" s="260"/>
      <c r="AH124" s="260"/>
      <c r="AI124" s="260"/>
      <c r="AJ124" s="260"/>
      <c r="AK124" s="260"/>
      <c r="AL124" s="260"/>
      <c r="AM124" s="260"/>
      <c r="AN124" s="260"/>
      <c r="AO124" s="260"/>
      <c r="AP124" s="260"/>
    </row>
    <row r="125" spans="4:43" x14ac:dyDescent="0.3">
      <c r="E125" s="32" t="s">
        <v>957</v>
      </c>
      <c r="G125" s="13"/>
    </row>
    <row r="126" spans="4:43" x14ac:dyDescent="0.3">
      <c r="E126" s="32"/>
      <c r="F126" s="78" t="s">
        <v>247</v>
      </c>
      <c r="G126" s="78" t="s">
        <v>207</v>
      </c>
      <c r="H126" s="23"/>
      <c r="I126" s="23"/>
      <c r="J126" s="253">
        <v>23494.309373783628</v>
      </c>
      <c r="K126" s="83"/>
      <c r="L126" s="253">
        <v>134.22688975140395</v>
      </c>
      <c r="M126" s="83"/>
      <c r="N126" s="253">
        <v>5092.3678206961267</v>
      </c>
      <c r="O126" s="253">
        <v>11.470696027676713</v>
      </c>
      <c r="P126" s="253">
        <v>1505.4198786766365</v>
      </c>
      <c r="Q126" s="253">
        <v>4.7499448082760933</v>
      </c>
      <c r="R126" s="83"/>
      <c r="S126" s="83"/>
      <c r="T126" s="83"/>
      <c r="U126" s="83"/>
      <c r="V126" s="83"/>
      <c r="W126" s="83"/>
      <c r="X126" s="83"/>
      <c r="Y126" s="83"/>
    </row>
    <row r="127" spans="4:43" x14ac:dyDescent="0.3">
      <c r="E127" s="32"/>
      <c r="F127" s="72" t="s">
        <v>248</v>
      </c>
      <c r="G127" s="72" t="s">
        <v>207</v>
      </c>
      <c r="J127" s="254">
        <v>66581.853503650185</v>
      </c>
      <c r="K127" s="79"/>
      <c r="L127" s="254">
        <v>560.86101090414024</v>
      </c>
      <c r="M127" s="331"/>
      <c r="N127" s="254">
        <v>18174.481136935185</v>
      </c>
      <c r="O127" s="254">
        <v>43.278708143533713</v>
      </c>
      <c r="P127" s="254">
        <v>5500.5249681367704</v>
      </c>
      <c r="Q127" s="255">
        <v>310.64116500904521</v>
      </c>
      <c r="R127" s="79"/>
      <c r="S127" s="79"/>
      <c r="T127" s="79"/>
      <c r="U127" s="79"/>
      <c r="V127" s="79"/>
      <c r="W127" s="79"/>
      <c r="X127" s="79"/>
      <c r="Y127" s="79"/>
    </row>
    <row r="128" spans="4:43" x14ac:dyDescent="0.3">
      <c r="E128" s="32"/>
      <c r="F128" s="72" t="s">
        <v>249</v>
      </c>
      <c r="G128" s="72" t="s">
        <v>207</v>
      </c>
      <c r="J128" s="254">
        <v>103298.46470504548</v>
      </c>
      <c r="K128" s="79"/>
      <c r="L128" s="254">
        <v>526.97664209102822</v>
      </c>
      <c r="M128" s="331"/>
      <c r="N128" s="254">
        <v>21560.861947820267</v>
      </c>
      <c r="O128" s="254">
        <v>58.722639272901716</v>
      </c>
      <c r="P128" s="254">
        <v>7565.2122379166958</v>
      </c>
      <c r="Q128" s="255">
        <v>517.68074529552484</v>
      </c>
      <c r="R128" s="79"/>
      <c r="S128" s="79"/>
      <c r="T128" s="79"/>
      <c r="U128" s="79"/>
      <c r="V128" s="79"/>
      <c r="W128" s="79"/>
      <c r="X128" s="79"/>
      <c r="Y128" s="79"/>
    </row>
    <row r="129" spans="5:42" x14ac:dyDescent="0.3">
      <c r="E129" s="32"/>
      <c r="F129" s="72" t="s">
        <v>212</v>
      </c>
      <c r="G129" s="72" t="s">
        <v>212</v>
      </c>
      <c r="J129" s="254">
        <v>65699.326539455738</v>
      </c>
      <c r="K129" s="79"/>
      <c r="L129" s="254">
        <v>674.38476219834467</v>
      </c>
      <c r="M129" s="331"/>
      <c r="N129" s="254">
        <v>278.94771546863126</v>
      </c>
      <c r="O129" s="254">
        <v>0.86358747870005459</v>
      </c>
      <c r="P129" s="254">
        <v>27.560496628623962</v>
      </c>
      <c r="Q129" s="254">
        <v>0</v>
      </c>
      <c r="R129" s="79"/>
      <c r="S129" s="79"/>
      <c r="T129" s="79"/>
      <c r="U129" s="79"/>
      <c r="V129" s="79"/>
      <c r="W129" s="79"/>
      <c r="X129" s="79"/>
      <c r="Y129" s="79"/>
    </row>
    <row r="130" spans="5:42" x14ac:dyDescent="0.3">
      <c r="E130" s="32"/>
      <c r="F130" s="72" t="s">
        <v>250</v>
      </c>
      <c r="G130" s="72" t="s">
        <v>251</v>
      </c>
      <c r="J130" s="79"/>
      <c r="K130" s="79"/>
      <c r="L130" s="79"/>
      <c r="M130" s="331"/>
      <c r="N130" s="254">
        <v>23790.983588386411</v>
      </c>
      <c r="O130" s="254">
        <v>39.604595471054651</v>
      </c>
      <c r="P130" s="254">
        <v>9724.219148420696</v>
      </c>
      <c r="Q130" s="79"/>
      <c r="R130" s="79"/>
      <c r="S130" s="79"/>
      <c r="T130" s="79"/>
      <c r="U130" s="79"/>
      <c r="V130" s="79"/>
      <c r="W130" s="79"/>
      <c r="X130" s="79"/>
      <c r="Y130" s="79"/>
    </row>
    <row r="131" spans="5:42" x14ac:dyDescent="0.3">
      <c r="E131" s="32"/>
      <c r="F131" s="72" t="s">
        <v>252</v>
      </c>
      <c r="G131" s="72" t="s">
        <v>251</v>
      </c>
      <c r="J131" s="79"/>
      <c r="K131" s="79"/>
      <c r="L131" s="79"/>
      <c r="M131" s="331"/>
      <c r="N131" s="254">
        <v>110.86359894209711</v>
      </c>
      <c r="O131" s="254">
        <v>0</v>
      </c>
      <c r="P131" s="254">
        <v>105.26931210608977</v>
      </c>
      <c r="Q131" s="79"/>
      <c r="R131" s="79"/>
      <c r="S131" s="79"/>
      <c r="T131" s="79"/>
      <c r="U131" s="79"/>
      <c r="V131" s="79"/>
      <c r="W131" s="79"/>
      <c r="X131" s="79"/>
      <c r="Y131" s="79"/>
    </row>
    <row r="132" spans="5:42" x14ac:dyDescent="0.3">
      <c r="E132" s="32"/>
      <c r="F132" s="80" t="s">
        <v>253</v>
      </c>
      <c r="G132" s="80" t="s">
        <v>254</v>
      </c>
      <c r="H132" s="37"/>
      <c r="I132" s="37"/>
      <c r="J132" s="81"/>
      <c r="K132" s="81"/>
      <c r="L132" s="81"/>
      <c r="M132" s="81"/>
      <c r="N132" s="256">
        <v>2042.4897222182178</v>
      </c>
      <c r="O132" s="256">
        <v>14.235001373728778</v>
      </c>
      <c r="P132" s="256">
        <v>261.04167046155914</v>
      </c>
      <c r="Q132" s="81"/>
      <c r="R132" s="81"/>
      <c r="S132" s="81"/>
      <c r="T132" s="81"/>
      <c r="U132" s="81"/>
      <c r="V132" s="81"/>
      <c r="W132" s="81"/>
      <c r="X132" s="81"/>
      <c r="Y132" s="81"/>
    </row>
    <row r="133" spans="5:42" x14ac:dyDescent="0.3">
      <c r="E133" s="261"/>
      <c r="F133" s="235"/>
      <c r="G133" s="235"/>
      <c r="H133" s="260"/>
      <c r="I133" s="260"/>
      <c r="J133" s="262"/>
      <c r="K133" s="262"/>
      <c r="L133" s="262"/>
      <c r="M133" s="262"/>
      <c r="N133" s="263"/>
      <c r="O133" s="263"/>
      <c r="P133" s="263"/>
      <c r="Q133" s="262"/>
      <c r="R133" s="262"/>
      <c r="S133" s="262"/>
      <c r="T133" s="263"/>
      <c r="U133" s="262"/>
      <c r="V133" s="263"/>
      <c r="W133" s="262"/>
      <c r="X133" s="263"/>
      <c r="Y133" s="262"/>
      <c r="Z133" s="260"/>
      <c r="AA133" s="260"/>
      <c r="AB133" s="260"/>
      <c r="AC133" s="260"/>
      <c r="AD133" s="260"/>
      <c r="AE133" s="260"/>
      <c r="AF133" s="260"/>
      <c r="AG133" s="260"/>
      <c r="AH133" s="260"/>
      <c r="AI133" s="260"/>
      <c r="AJ133" s="260"/>
      <c r="AK133" s="260"/>
      <c r="AL133" s="260"/>
      <c r="AM133" s="260"/>
      <c r="AN133" s="260"/>
      <c r="AO133" s="260"/>
      <c r="AP133" s="260"/>
    </row>
    <row r="134" spans="5:42" x14ac:dyDescent="0.3">
      <c r="E134" s="32" t="s">
        <v>958</v>
      </c>
      <c r="G134" s="13"/>
    </row>
    <row r="135" spans="5:42" x14ac:dyDescent="0.3">
      <c r="E135" s="32"/>
      <c r="F135" s="78" t="s">
        <v>247</v>
      </c>
      <c r="G135" s="78" t="s">
        <v>207</v>
      </c>
      <c r="H135" s="23"/>
      <c r="I135" s="23"/>
      <c r="J135" s="83"/>
      <c r="K135" s="83"/>
      <c r="L135" s="253">
        <v>563.38640254867573</v>
      </c>
      <c r="M135" s="83"/>
      <c r="N135" s="253">
        <v>7609.9132433730265</v>
      </c>
      <c r="O135" s="253">
        <v>58.883991984342245</v>
      </c>
      <c r="P135" s="253">
        <v>2685.4536236900685</v>
      </c>
      <c r="Q135" s="83"/>
      <c r="R135" s="83"/>
      <c r="S135" s="83"/>
      <c r="T135" s="83"/>
      <c r="U135" s="83"/>
      <c r="V135" s="83"/>
      <c r="W135" s="83"/>
      <c r="X135" s="83"/>
      <c r="Y135" s="83"/>
    </row>
    <row r="136" spans="5:42" x14ac:dyDescent="0.3">
      <c r="E136" s="32"/>
      <c r="F136" s="72" t="s">
        <v>248</v>
      </c>
      <c r="G136" s="72" t="s">
        <v>207</v>
      </c>
      <c r="J136" s="79"/>
      <c r="K136" s="79"/>
      <c r="L136" s="341">
        <v>2354.0846982919243</v>
      </c>
      <c r="M136" s="79"/>
      <c r="N136" s="254">
        <v>27159.511953025001</v>
      </c>
      <c r="O136" s="254">
        <v>222.16813149504119</v>
      </c>
      <c r="P136" s="254">
        <v>9812.1493658404652</v>
      </c>
      <c r="Q136" s="79"/>
      <c r="R136" s="79"/>
      <c r="S136" s="79"/>
      <c r="T136" s="79"/>
      <c r="U136" s="79"/>
      <c r="V136" s="79"/>
      <c r="W136" s="79"/>
      <c r="X136" s="79"/>
      <c r="Y136" s="79"/>
    </row>
    <row r="137" spans="5:42" x14ac:dyDescent="0.3">
      <c r="E137" s="32"/>
      <c r="F137" s="72" t="s">
        <v>249</v>
      </c>
      <c r="G137" s="72" t="s">
        <v>207</v>
      </c>
      <c r="J137" s="79"/>
      <c r="K137" s="79"/>
      <c r="L137" s="341">
        <v>2211.862877585153</v>
      </c>
      <c r="M137" s="79"/>
      <c r="N137" s="254">
        <v>32220.03882131707</v>
      </c>
      <c r="O137" s="254">
        <v>301.44843973738506</v>
      </c>
      <c r="P137" s="254">
        <v>13495.255978788438</v>
      </c>
      <c r="Q137" s="79"/>
      <c r="R137" s="79"/>
      <c r="S137" s="79"/>
      <c r="T137" s="79"/>
      <c r="U137" s="79"/>
      <c r="V137" s="79"/>
      <c r="W137" s="79"/>
      <c r="X137" s="79"/>
      <c r="Y137" s="79"/>
    </row>
    <row r="138" spans="5:42" x14ac:dyDescent="0.3">
      <c r="E138" s="32"/>
      <c r="F138" s="72" t="s">
        <v>212</v>
      </c>
      <c r="G138" s="72" t="s">
        <v>212</v>
      </c>
      <c r="J138" s="79"/>
      <c r="K138" s="79"/>
      <c r="L138" s="254">
        <v>508.95029872072712</v>
      </c>
      <c r="M138" s="79"/>
      <c r="N138" s="254">
        <v>225.62799871931324</v>
      </c>
      <c r="O138" s="254">
        <v>2.0726099488801308</v>
      </c>
      <c r="P138" s="254">
        <v>14.878226917690466</v>
      </c>
      <c r="Q138" s="79"/>
      <c r="R138" s="79"/>
      <c r="S138" s="79"/>
      <c r="T138" s="79"/>
      <c r="U138" s="79"/>
      <c r="V138" s="79"/>
      <c r="W138" s="79"/>
      <c r="X138" s="79"/>
      <c r="Y138" s="79"/>
    </row>
    <row r="139" spans="5:42" x14ac:dyDescent="0.3">
      <c r="E139" s="32"/>
      <c r="F139" s="72" t="s">
        <v>250</v>
      </c>
      <c r="G139" s="72" t="s">
        <v>251</v>
      </c>
      <c r="J139" s="79"/>
      <c r="K139" s="79"/>
      <c r="L139" s="79"/>
      <c r="M139" s="79"/>
      <c r="N139" s="254">
        <v>50176.217353244472</v>
      </c>
      <c r="O139" s="254">
        <v>394.4447274610601</v>
      </c>
      <c r="P139" s="254">
        <v>16096.243491641466</v>
      </c>
      <c r="Q139" s="79"/>
      <c r="R139" s="79"/>
      <c r="S139" s="79"/>
      <c r="T139" s="79"/>
      <c r="U139" s="79"/>
      <c r="V139" s="79"/>
      <c r="W139" s="79"/>
      <c r="X139" s="79"/>
      <c r="Y139" s="79"/>
    </row>
    <row r="140" spans="5:42" x14ac:dyDescent="0.3">
      <c r="E140" s="32"/>
      <c r="F140" s="72" t="s">
        <v>252</v>
      </c>
      <c r="G140" s="72" t="s">
        <v>251</v>
      </c>
      <c r="J140" s="79"/>
      <c r="K140" s="79"/>
      <c r="L140" s="79"/>
      <c r="M140" s="79"/>
      <c r="N140" s="254">
        <v>233.81614368382117</v>
      </c>
      <c r="O140" s="254">
        <v>0</v>
      </c>
      <c r="P140" s="254">
        <v>174.24951597603749</v>
      </c>
      <c r="Q140" s="79"/>
      <c r="R140" s="79"/>
      <c r="S140" s="79"/>
      <c r="T140" s="79"/>
      <c r="U140" s="79"/>
      <c r="V140" s="79"/>
      <c r="W140" s="79"/>
      <c r="X140" s="79"/>
      <c r="Y140" s="79"/>
    </row>
    <row r="141" spans="5:42" x14ac:dyDescent="0.3">
      <c r="E141" s="32"/>
      <c r="F141" s="80" t="s">
        <v>253</v>
      </c>
      <c r="G141" s="80" t="s">
        <v>254</v>
      </c>
      <c r="H141" s="37"/>
      <c r="I141" s="37"/>
      <c r="J141" s="81"/>
      <c r="K141" s="81"/>
      <c r="L141" s="81"/>
      <c r="M141" s="81"/>
      <c r="N141" s="256">
        <v>3052.248017786932</v>
      </c>
      <c r="O141" s="256">
        <v>73.074354404064792</v>
      </c>
      <c r="P141" s="256">
        <v>465.66098256344367</v>
      </c>
      <c r="Q141" s="81"/>
      <c r="R141" s="81"/>
      <c r="S141" s="81"/>
      <c r="T141" s="81"/>
      <c r="U141" s="81"/>
      <c r="V141" s="81"/>
      <c r="W141" s="81"/>
      <c r="X141" s="81"/>
      <c r="Y141" s="81"/>
    </row>
    <row r="142" spans="5:42" x14ac:dyDescent="0.3">
      <c r="E142" s="261"/>
      <c r="F142" s="235"/>
      <c r="G142" s="235"/>
      <c r="H142" s="260"/>
      <c r="I142" s="260"/>
      <c r="J142" s="262"/>
      <c r="K142" s="262"/>
      <c r="L142" s="262"/>
      <c r="M142" s="262"/>
      <c r="N142" s="263"/>
      <c r="O142" s="263"/>
      <c r="P142" s="263"/>
      <c r="Q142" s="262"/>
      <c r="R142" s="262"/>
      <c r="S142" s="262"/>
      <c r="T142" s="263"/>
      <c r="U142" s="262"/>
      <c r="V142" s="263"/>
      <c r="W142" s="262"/>
      <c r="X142" s="263"/>
      <c r="Y142" s="262"/>
      <c r="Z142" s="260"/>
      <c r="AA142" s="260"/>
      <c r="AB142" s="260"/>
      <c r="AC142" s="260"/>
      <c r="AD142" s="260"/>
      <c r="AE142" s="260"/>
      <c r="AF142" s="260"/>
      <c r="AG142" s="260"/>
      <c r="AH142" s="260"/>
      <c r="AI142" s="260"/>
      <c r="AJ142" s="260"/>
      <c r="AK142" s="260"/>
      <c r="AL142" s="260"/>
      <c r="AM142" s="260"/>
      <c r="AN142" s="260"/>
      <c r="AO142" s="260"/>
      <c r="AP142" s="260"/>
    </row>
    <row r="143" spans="5:42" x14ac:dyDescent="0.3">
      <c r="E143" s="32" t="s">
        <v>959</v>
      </c>
      <c r="G143" s="13"/>
    </row>
    <row r="144" spans="5:42" x14ac:dyDescent="0.3">
      <c r="E144" s="32"/>
      <c r="F144" s="78" t="s">
        <v>247</v>
      </c>
      <c r="G144" s="78" t="s">
        <v>207</v>
      </c>
      <c r="H144" s="23"/>
      <c r="I144" s="23"/>
      <c r="J144" s="83"/>
      <c r="K144" s="83"/>
      <c r="L144" s="253">
        <v>714.76278719221432</v>
      </c>
      <c r="M144" s="83"/>
      <c r="N144" s="253">
        <v>4108.7662319291576</v>
      </c>
      <c r="O144" s="253">
        <v>106.1581905069866</v>
      </c>
      <c r="P144" s="253">
        <v>1469.2593128454439</v>
      </c>
      <c r="Q144" s="83"/>
      <c r="R144" s="83"/>
      <c r="S144" s="83"/>
      <c r="T144" s="83"/>
      <c r="U144" s="83"/>
      <c r="V144" s="83"/>
      <c r="W144" s="83"/>
      <c r="X144" s="83"/>
      <c r="Y144" s="83"/>
    </row>
    <row r="145" spans="5:42" x14ac:dyDescent="0.3">
      <c r="E145" s="32"/>
      <c r="F145" s="72" t="s">
        <v>248</v>
      </c>
      <c r="G145" s="72" t="s">
        <v>207</v>
      </c>
      <c r="J145" s="79"/>
      <c r="K145" s="79"/>
      <c r="L145" s="254">
        <v>2986.6041008902475</v>
      </c>
      <c r="M145" s="79"/>
      <c r="N145" s="254">
        <v>14664.04175966706</v>
      </c>
      <c r="O145" s="254">
        <v>400.53274299241258</v>
      </c>
      <c r="P145" s="254">
        <v>5368.4009686906647</v>
      </c>
      <c r="Q145" s="79"/>
      <c r="R145" s="79"/>
      <c r="S145" s="79"/>
      <c r="T145" s="79"/>
      <c r="U145" s="79"/>
      <c r="V145" s="79"/>
      <c r="W145" s="79"/>
      <c r="X145" s="79"/>
      <c r="Y145" s="79"/>
    </row>
    <row r="146" spans="5:42" x14ac:dyDescent="0.3">
      <c r="E146" s="32"/>
      <c r="F146" s="72" t="s">
        <v>249</v>
      </c>
      <c r="G146" s="72" t="s">
        <v>207</v>
      </c>
      <c r="J146" s="79"/>
      <c r="K146" s="79"/>
      <c r="L146" s="254">
        <v>2806.1686759171712</v>
      </c>
      <c r="M146" s="79"/>
      <c r="N146" s="254">
        <v>17396.335972129404</v>
      </c>
      <c r="O146" s="254">
        <v>543.46215015762846</v>
      </c>
      <c r="P146" s="254">
        <v>7383.4939286058006</v>
      </c>
      <c r="Q146" s="79"/>
      <c r="R146" s="79"/>
      <c r="S146" s="79"/>
      <c r="T146" s="79"/>
      <c r="U146" s="79"/>
      <c r="V146" s="79"/>
      <c r="W146" s="79"/>
      <c r="X146" s="79"/>
      <c r="Y146" s="79"/>
    </row>
    <row r="147" spans="5:42" x14ac:dyDescent="0.3">
      <c r="E147" s="32"/>
      <c r="F147" s="72" t="s">
        <v>212</v>
      </c>
      <c r="G147" s="72" t="s">
        <v>212</v>
      </c>
      <c r="J147" s="79"/>
      <c r="K147" s="79"/>
      <c r="L147" s="254">
        <v>263.31754885346095</v>
      </c>
      <c r="M147" s="79"/>
      <c r="N147" s="254">
        <v>78.642124034947344</v>
      </c>
      <c r="O147" s="254">
        <v>2.3316861924901473</v>
      </c>
      <c r="P147" s="254">
        <v>3.6517041191014741</v>
      </c>
      <c r="Q147" s="79"/>
      <c r="R147" s="79"/>
      <c r="S147" s="79"/>
      <c r="T147" s="79"/>
      <c r="U147" s="79"/>
      <c r="V147" s="79"/>
      <c r="W147" s="79"/>
      <c r="X147" s="79"/>
      <c r="Y147" s="79"/>
    </row>
    <row r="148" spans="5:42" x14ac:dyDescent="0.3">
      <c r="E148" s="32"/>
      <c r="F148" s="72" t="s">
        <v>250</v>
      </c>
      <c r="G148" s="72" t="s">
        <v>251</v>
      </c>
      <c r="J148" s="79"/>
      <c r="K148" s="79"/>
      <c r="L148" s="79"/>
      <c r="M148" s="79"/>
      <c r="N148" s="254">
        <v>27879.379818160778</v>
      </c>
      <c r="O148" s="254">
        <v>720.48362100890699</v>
      </c>
      <c r="P148" s="254">
        <v>8411.1983133069025</v>
      </c>
      <c r="Q148" s="79"/>
      <c r="R148" s="79"/>
      <c r="S148" s="79"/>
      <c r="T148" s="79"/>
      <c r="U148" s="79"/>
      <c r="V148" s="79"/>
      <c r="W148" s="79"/>
      <c r="X148" s="79"/>
      <c r="Y148" s="79"/>
    </row>
    <row r="149" spans="5:42" x14ac:dyDescent="0.3">
      <c r="E149" s="32"/>
      <c r="F149" s="72" t="s">
        <v>252</v>
      </c>
      <c r="G149" s="72" t="s">
        <v>251</v>
      </c>
      <c r="J149" s="79"/>
      <c r="K149" s="79"/>
      <c r="L149" s="79"/>
      <c r="M149" s="79"/>
      <c r="N149" s="254">
        <v>129.91511559125925</v>
      </c>
      <c r="O149" s="254">
        <v>0</v>
      </c>
      <c r="P149" s="254">
        <v>91.055235069802407</v>
      </c>
      <c r="Q149" s="79"/>
      <c r="R149" s="79"/>
      <c r="S149" s="79"/>
      <c r="T149" s="79"/>
      <c r="U149" s="79"/>
      <c r="V149" s="79"/>
      <c r="W149" s="79"/>
      <c r="X149" s="79"/>
      <c r="Y149" s="79"/>
    </row>
    <row r="150" spans="5:42" x14ac:dyDescent="0.3">
      <c r="E150" s="32"/>
      <c r="F150" s="80" t="s">
        <v>253</v>
      </c>
      <c r="G150" s="80" t="s">
        <v>254</v>
      </c>
      <c r="H150" s="37"/>
      <c r="I150" s="37"/>
      <c r="J150" s="81"/>
      <c r="K150" s="81"/>
      <c r="L150" s="81"/>
      <c r="M150" s="81"/>
      <c r="N150" s="256">
        <v>1647.9785229978493</v>
      </c>
      <c r="O150" s="256">
        <v>131.74108912426547</v>
      </c>
      <c r="P150" s="256">
        <v>254.77138358471282</v>
      </c>
      <c r="Q150" s="81"/>
      <c r="R150" s="81"/>
      <c r="S150" s="81"/>
      <c r="T150" s="81"/>
      <c r="U150" s="81"/>
      <c r="V150" s="81"/>
      <c r="W150" s="81"/>
      <c r="X150" s="81"/>
      <c r="Y150" s="81"/>
    </row>
    <row r="151" spans="5:42" x14ac:dyDescent="0.3">
      <c r="E151" s="261"/>
      <c r="F151" s="235"/>
      <c r="G151" s="235"/>
      <c r="H151" s="260"/>
      <c r="I151" s="260"/>
      <c r="J151" s="262"/>
      <c r="K151" s="262"/>
      <c r="L151" s="262"/>
      <c r="M151" s="262"/>
      <c r="N151" s="263"/>
      <c r="O151" s="263"/>
      <c r="P151" s="263"/>
      <c r="Q151" s="262"/>
      <c r="R151" s="262"/>
      <c r="S151" s="262"/>
      <c r="T151" s="263"/>
      <c r="U151" s="262"/>
      <c r="V151" s="263"/>
      <c r="W151" s="262"/>
      <c r="X151" s="263"/>
      <c r="Y151" s="262"/>
      <c r="Z151" s="260"/>
      <c r="AA151" s="260"/>
      <c r="AB151" s="260"/>
      <c r="AC151" s="260"/>
      <c r="AD151" s="260"/>
      <c r="AE151" s="260"/>
      <c r="AF151" s="260"/>
      <c r="AG151" s="260"/>
      <c r="AH151" s="260"/>
      <c r="AI151" s="260"/>
      <c r="AJ151" s="260"/>
      <c r="AK151" s="260"/>
      <c r="AL151" s="260"/>
      <c r="AM151" s="260"/>
      <c r="AN151" s="260"/>
      <c r="AO151" s="260"/>
      <c r="AP151" s="260"/>
    </row>
    <row r="152" spans="5:42" x14ac:dyDescent="0.3">
      <c r="E152" s="32" t="s">
        <v>960</v>
      </c>
      <c r="G152" s="13"/>
    </row>
    <row r="153" spans="5:42" x14ac:dyDescent="0.3">
      <c r="E153" s="32"/>
      <c r="F153" s="78" t="s">
        <v>247</v>
      </c>
      <c r="G153" s="78" t="s">
        <v>207</v>
      </c>
      <c r="H153" s="23"/>
      <c r="I153" s="23"/>
      <c r="J153" s="83"/>
      <c r="K153" s="83"/>
      <c r="L153" s="253">
        <v>2304.1746476211338</v>
      </c>
      <c r="M153" s="83"/>
      <c r="N153" s="253">
        <v>4041.3700989201598</v>
      </c>
      <c r="O153" s="253">
        <v>1221.2241561571352</v>
      </c>
      <c r="P153" s="253">
        <v>4670.1389038740672</v>
      </c>
      <c r="Q153" s="83"/>
      <c r="R153" s="83"/>
      <c r="S153" s="83"/>
      <c r="T153" s="83"/>
      <c r="U153" s="83"/>
      <c r="V153" s="83"/>
      <c r="W153" s="83"/>
      <c r="X153" s="83"/>
      <c r="Y153" s="83"/>
    </row>
    <row r="154" spans="5:42" x14ac:dyDescent="0.3">
      <c r="E154" s="32"/>
      <c r="F154" s="72" t="s">
        <v>248</v>
      </c>
      <c r="G154" s="72" t="s">
        <v>207</v>
      </c>
      <c r="J154" s="79"/>
      <c r="K154" s="79"/>
      <c r="L154" s="254">
        <v>9627.8899448384436</v>
      </c>
      <c r="M154" s="79"/>
      <c r="N154" s="254">
        <v>14423.507338116386</v>
      </c>
      <c r="O154" s="254">
        <v>4607.6544705424303</v>
      </c>
      <c r="P154" s="254">
        <v>17063.821203163487</v>
      </c>
      <c r="Q154" s="79"/>
      <c r="R154" s="79"/>
      <c r="S154" s="79"/>
      <c r="T154" s="79"/>
      <c r="U154" s="79"/>
      <c r="V154" s="79"/>
      <c r="W154" s="79"/>
      <c r="X154" s="79"/>
      <c r="Y154" s="79"/>
    </row>
    <row r="155" spans="5:42" x14ac:dyDescent="0.3">
      <c r="E155" s="32"/>
      <c r="F155" s="72" t="s">
        <v>249</v>
      </c>
      <c r="G155" s="72" t="s">
        <v>207</v>
      </c>
      <c r="J155" s="79"/>
      <c r="K155" s="79"/>
      <c r="L155" s="254">
        <v>9046.2218177260784</v>
      </c>
      <c r="M155" s="79"/>
      <c r="N155" s="254">
        <v>17110.983701675126</v>
      </c>
      <c r="O155" s="254">
        <v>6251.8878907031922</v>
      </c>
      <c r="P155" s="254">
        <v>23468.928827628395</v>
      </c>
      <c r="Q155" s="79"/>
      <c r="R155" s="79"/>
      <c r="S155" s="79"/>
      <c r="T155" s="79"/>
      <c r="U155" s="79"/>
      <c r="V155" s="79"/>
      <c r="W155" s="79"/>
      <c r="X155" s="79"/>
      <c r="Y155" s="79"/>
    </row>
    <row r="156" spans="5:42" x14ac:dyDescent="0.3">
      <c r="E156" s="32"/>
      <c r="F156" s="72" t="s">
        <v>212</v>
      </c>
      <c r="G156" s="72" t="s">
        <v>212</v>
      </c>
      <c r="J156" s="79"/>
      <c r="K156" s="79"/>
      <c r="L156" s="254">
        <v>263.24164842862751</v>
      </c>
      <c r="M156" s="79"/>
      <c r="N156" s="254">
        <v>49.574853700034836</v>
      </c>
      <c r="O156" s="254">
        <v>17.876260809091129</v>
      </c>
      <c r="P156" s="254">
        <v>3.7627356632633431</v>
      </c>
      <c r="Q156" s="79"/>
      <c r="R156" s="79"/>
      <c r="S156" s="79"/>
      <c r="T156" s="79"/>
      <c r="U156" s="79"/>
      <c r="V156" s="79"/>
      <c r="W156" s="79"/>
      <c r="X156" s="79"/>
      <c r="Y156" s="79"/>
    </row>
    <row r="157" spans="5:42" x14ac:dyDescent="0.3">
      <c r="E157" s="32"/>
      <c r="F157" s="72" t="s">
        <v>250</v>
      </c>
      <c r="G157" s="72" t="s">
        <v>251</v>
      </c>
      <c r="J157" s="79"/>
      <c r="K157" s="79"/>
      <c r="L157" s="79"/>
      <c r="M157" s="79"/>
      <c r="N157" s="254">
        <v>28608.764115326172</v>
      </c>
      <c r="O157" s="254">
        <v>13719.291358833447</v>
      </c>
      <c r="P157" s="254">
        <v>25627.557429639197</v>
      </c>
      <c r="Q157" s="79"/>
      <c r="R157" s="79"/>
      <c r="S157" s="79"/>
      <c r="T157" s="79"/>
      <c r="U157" s="79"/>
      <c r="V157" s="79"/>
      <c r="W157" s="79"/>
      <c r="X157" s="79"/>
      <c r="Y157" s="79"/>
    </row>
    <row r="158" spans="5:42" x14ac:dyDescent="0.3">
      <c r="E158" s="32"/>
      <c r="F158" s="72" t="s">
        <v>252</v>
      </c>
      <c r="G158" s="72" t="s">
        <v>251</v>
      </c>
      <c r="J158" s="79"/>
      <c r="K158" s="79"/>
      <c r="L158" s="79"/>
      <c r="M158" s="79"/>
      <c r="N158" s="254">
        <v>133.31397330957071</v>
      </c>
      <c r="O158" s="254">
        <v>0</v>
      </c>
      <c r="P158" s="254">
        <v>277.43053713629803</v>
      </c>
      <c r="Q158" s="79"/>
      <c r="R158" s="79"/>
      <c r="S158" s="79"/>
      <c r="T158" s="79"/>
      <c r="U158" s="79"/>
      <c r="V158" s="79"/>
      <c r="W158" s="79"/>
      <c r="X158" s="79"/>
      <c r="Y158" s="79"/>
    </row>
    <row r="159" spans="5:42" x14ac:dyDescent="0.3">
      <c r="E159" s="32"/>
      <c r="F159" s="80" t="s">
        <v>253</v>
      </c>
      <c r="G159" s="80" t="s">
        <v>254</v>
      </c>
      <c r="H159" s="37"/>
      <c r="I159" s="37"/>
      <c r="J159" s="81"/>
      <c r="K159" s="81"/>
      <c r="L159" s="81"/>
      <c r="M159" s="81"/>
      <c r="N159" s="256">
        <v>1620.9467150383618</v>
      </c>
      <c r="O159" s="256">
        <v>1515.5250822254236</v>
      </c>
      <c r="P159" s="256">
        <v>809.80786690984269</v>
      </c>
      <c r="Q159" s="81"/>
      <c r="R159" s="81"/>
      <c r="S159" s="81"/>
      <c r="T159" s="81"/>
      <c r="U159" s="81"/>
      <c r="V159" s="81"/>
      <c r="W159" s="81"/>
      <c r="X159" s="81"/>
      <c r="Y159" s="81"/>
    </row>
    <row r="160" spans="5:42" x14ac:dyDescent="0.3">
      <c r="E160" s="261"/>
      <c r="F160" s="235"/>
      <c r="G160" s="235"/>
      <c r="H160" s="260"/>
      <c r="I160" s="260"/>
      <c r="J160" s="262"/>
      <c r="K160" s="262"/>
      <c r="L160" s="262"/>
      <c r="M160" s="262"/>
      <c r="N160" s="263"/>
      <c r="O160" s="263"/>
      <c r="P160" s="263"/>
      <c r="Q160" s="262"/>
      <c r="R160" s="262"/>
      <c r="S160" s="262"/>
      <c r="T160" s="263"/>
      <c r="U160" s="262"/>
      <c r="V160" s="263"/>
      <c r="W160" s="262"/>
      <c r="X160" s="263"/>
      <c r="Y160" s="262"/>
      <c r="Z160" s="260"/>
      <c r="AA160" s="260"/>
      <c r="AB160" s="260"/>
      <c r="AC160" s="260"/>
      <c r="AD160" s="260"/>
      <c r="AE160" s="260"/>
      <c r="AF160" s="260"/>
      <c r="AG160" s="260"/>
      <c r="AH160" s="260"/>
      <c r="AI160" s="260"/>
      <c r="AJ160" s="260"/>
      <c r="AK160" s="260"/>
      <c r="AL160" s="260"/>
      <c r="AM160" s="260"/>
      <c r="AN160" s="260"/>
      <c r="AO160" s="260"/>
      <c r="AP160" s="260"/>
    </row>
    <row r="161" spans="3:43" x14ac:dyDescent="0.3">
      <c r="E161" s="32" t="s">
        <v>887</v>
      </c>
      <c r="G161" s="13" t="s">
        <v>212</v>
      </c>
      <c r="I161" t="s">
        <v>154</v>
      </c>
      <c r="J161" s="327">
        <v>4299.1452360111598</v>
      </c>
      <c r="K161" s="327">
        <v>0</v>
      </c>
      <c r="L161" s="327">
        <v>5.193117118193495</v>
      </c>
      <c r="M161" s="327">
        <v>0</v>
      </c>
      <c r="N161" s="327">
        <v>1.4132195480163814</v>
      </c>
      <c r="O161" s="327">
        <v>0</v>
      </c>
      <c r="P161" s="327">
        <v>1.3720253070452479</v>
      </c>
      <c r="Q161" s="327">
        <v>0</v>
      </c>
      <c r="R161" s="327">
        <v>0</v>
      </c>
      <c r="S161" s="327">
        <v>0</v>
      </c>
      <c r="T161" s="327">
        <v>0</v>
      </c>
      <c r="U161" s="327">
        <v>0</v>
      </c>
      <c r="V161" s="327">
        <v>0</v>
      </c>
      <c r="W161" s="327">
        <v>0</v>
      </c>
      <c r="X161" s="327">
        <v>0</v>
      </c>
      <c r="Y161" s="327">
        <v>0</v>
      </c>
      <c r="AQ161" t="s">
        <v>905</v>
      </c>
    </row>
    <row r="162" spans="3:43" x14ac:dyDescent="0.3">
      <c r="G162" s="13"/>
    </row>
    <row r="163" spans="3:43" x14ac:dyDescent="0.3">
      <c r="C163" s="31" t="str">
        <f ca="1">INDEX('Version control'!$H$34:$H$57,MATCH($A$1,'Version control'!$F$34:$F$57,0),1)&amp;"-C: Non-Domestic Aggregated (Related MPAN) distribution by bands"</f>
        <v>Input 102-C: Non-Domestic Aggregated (Related MPAN) distribution by bands</v>
      </c>
      <c r="D163" s="31"/>
      <c r="E163" s="31"/>
      <c r="F163" s="31"/>
      <c r="G163" s="96"/>
      <c r="H163" s="31"/>
      <c r="I163" s="31"/>
      <c r="J163" s="31"/>
      <c r="K163" s="31"/>
      <c r="L163" s="31"/>
      <c r="M163" s="31"/>
      <c r="N163" s="31"/>
      <c r="O163" s="31"/>
      <c r="P163" s="31"/>
      <c r="Q163" s="31"/>
      <c r="R163" s="31"/>
      <c r="S163" s="31"/>
      <c r="T163" s="31"/>
      <c r="U163" s="31"/>
      <c r="V163" s="31"/>
      <c r="W163" s="31"/>
      <c r="X163" s="31"/>
      <c r="Y163" s="31"/>
      <c r="Z163" s="31"/>
      <c r="AA163" s="31"/>
      <c r="AB163" s="31"/>
      <c r="AC163" s="31"/>
      <c r="AD163" s="31"/>
      <c r="AE163" s="31"/>
      <c r="AF163" s="31"/>
      <c r="AG163" s="31"/>
      <c r="AH163" s="31"/>
      <c r="AI163" s="31"/>
      <c r="AJ163" s="31"/>
      <c r="AK163" s="31"/>
      <c r="AL163" s="31"/>
      <c r="AM163" s="31"/>
      <c r="AN163" s="31"/>
      <c r="AO163" s="31"/>
      <c r="AP163" s="31"/>
      <c r="AQ163" s="31"/>
    </row>
    <row r="164" spans="3:43" x14ac:dyDescent="0.3">
      <c r="G164" s="13"/>
    </row>
    <row r="165" spans="3:43" x14ac:dyDescent="0.3">
      <c r="D165" s="29" t="s">
        <v>1131</v>
      </c>
      <c r="G165" s="13"/>
      <c r="I165" t="s">
        <v>154</v>
      </c>
      <c r="AQ165" t="s">
        <v>1145</v>
      </c>
    </row>
    <row r="166" spans="3:43" x14ac:dyDescent="0.3">
      <c r="D166" s="29" t="s">
        <v>1132</v>
      </c>
      <c r="G166" s="13"/>
    </row>
    <row r="167" spans="3:43" x14ac:dyDescent="0.3">
      <c r="G167" s="13"/>
    </row>
    <row r="168" spans="3:43" x14ac:dyDescent="0.3">
      <c r="E168" s="32" t="s">
        <v>992</v>
      </c>
      <c r="G168" s="13"/>
      <c r="J168" s="300" t="s">
        <v>983</v>
      </c>
      <c r="K168" s="300" t="s">
        <v>988</v>
      </c>
      <c r="L168" s="300" t="s">
        <v>989</v>
      </c>
      <c r="M168" s="300" t="s">
        <v>990</v>
      </c>
      <c r="N168" s="300" t="s">
        <v>991</v>
      </c>
    </row>
    <row r="169" spans="3:43" x14ac:dyDescent="0.3">
      <c r="E169" s="32"/>
      <c r="F169" s="78" t="s">
        <v>247</v>
      </c>
      <c r="G169" s="78" t="s">
        <v>167</v>
      </c>
      <c r="H169" s="422"/>
      <c r="I169" s="23"/>
      <c r="J169" s="257">
        <v>0</v>
      </c>
      <c r="K169" s="257">
        <v>3.6115984849117162E-2</v>
      </c>
      <c r="L169" s="257">
        <v>0.15158851416680294</v>
      </c>
      <c r="M169" s="257">
        <v>0.19231885683082187</v>
      </c>
      <c r="N169" s="257">
        <v>0.61997664415325793</v>
      </c>
    </row>
    <row r="170" spans="3:43" x14ac:dyDescent="0.3">
      <c r="E170" s="32"/>
      <c r="F170" s="352" t="s">
        <v>248</v>
      </c>
      <c r="G170" s="352" t="s">
        <v>167</v>
      </c>
      <c r="H170" s="423"/>
      <c r="I170" s="311"/>
      <c r="J170" s="369">
        <v>0</v>
      </c>
      <c r="K170" s="369">
        <f t="shared" ref="K170:N171" si="0">K169</f>
        <v>3.6115984849117162E-2</v>
      </c>
      <c r="L170" s="369">
        <f t="shared" si="0"/>
        <v>0.15158851416680294</v>
      </c>
      <c r="M170" s="369">
        <f t="shared" si="0"/>
        <v>0.19231885683082187</v>
      </c>
      <c r="N170" s="369">
        <f t="shared" si="0"/>
        <v>0.61997664415325793</v>
      </c>
    </row>
    <row r="171" spans="3:43" x14ac:dyDescent="0.3">
      <c r="E171" s="32"/>
      <c r="F171" s="80" t="s">
        <v>249</v>
      </c>
      <c r="G171" s="80" t="s">
        <v>167</v>
      </c>
      <c r="H171" s="424"/>
      <c r="I171" s="37"/>
      <c r="J171" s="258">
        <v>0</v>
      </c>
      <c r="K171" s="258">
        <f t="shared" si="0"/>
        <v>3.6115984849117162E-2</v>
      </c>
      <c r="L171" s="258">
        <f t="shared" si="0"/>
        <v>0.15158851416680294</v>
      </c>
      <c r="M171" s="258">
        <f t="shared" si="0"/>
        <v>0.19231885683082187</v>
      </c>
      <c r="N171" s="258">
        <f t="shared" si="0"/>
        <v>0.61997664415325793</v>
      </c>
    </row>
    <row r="172" spans="3:43" x14ac:dyDescent="0.3">
      <c r="E172" s="261"/>
      <c r="F172" s="235"/>
      <c r="G172" s="235"/>
      <c r="H172" s="260"/>
      <c r="I172" s="260"/>
      <c r="J172" s="262"/>
      <c r="K172" s="262"/>
      <c r="L172" s="262"/>
      <c r="M172" s="262"/>
      <c r="N172" s="262"/>
    </row>
    <row r="173" spans="3:43" x14ac:dyDescent="0.3">
      <c r="E173" s="32" t="s">
        <v>993</v>
      </c>
      <c r="G173" s="13"/>
      <c r="J173" s="300" t="s">
        <v>983</v>
      </c>
      <c r="K173" s="300" t="s">
        <v>988</v>
      </c>
      <c r="L173" s="300" t="s">
        <v>989</v>
      </c>
      <c r="M173" s="300" t="s">
        <v>990</v>
      </c>
      <c r="N173" s="300" t="s">
        <v>991</v>
      </c>
    </row>
    <row r="174" spans="3:43" x14ac:dyDescent="0.3">
      <c r="E174" s="32"/>
      <c r="F174" s="78" t="s">
        <v>247</v>
      </c>
      <c r="G174" s="78" t="s">
        <v>167</v>
      </c>
      <c r="H174" s="422"/>
      <c r="I174" s="23"/>
      <c r="J174" s="257">
        <v>0</v>
      </c>
      <c r="K174" s="257">
        <v>3.6115984849117162E-2</v>
      </c>
      <c r="L174" s="257">
        <v>0.15158851416680294</v>
      </c>
      <c r="M174" s="257">
        <v>0.19231885683082187</v>
      </c>
      <c r="N174" s="257">
        <v>0.61997664415325793</v>
      </c>
    </row>
    <row r="175" spans="3:43" x14ac:dyDescent="0.3">
      <c r="E175" s="32"/>
      <c r="F175" s="352" t="s">
        <v>248</v>
      </c>
      <c r="G175" s="352" t="s">
        <v>167</v>
      </c>
      <c r="H175" s="423"/>
      <c r="I175" s="311"/>
      <c r="J175" s="369">
        <v>0</v>
      </c>
      <c r="K175" s="369">
        <f t="shared" ref="K175:N176" si="1">K174</f>
        <v>3.6115984849117162E-2</v>
      </c>
      <c r="L175" s="369">
        <f t="shared" si="1"/>
        <v>0.15158851416680294</v>
      </c>
      <c r="M175" s="369">
        <f t="shared" si="1"/>
        <v>0.19231885683082187</v>
      </c>
      <c r="N175" s="369">
        <f t="shared" si="1"/>
        <v>0.61997664415325793</v>
      </c>
    </row>
    <row r="176" spans="3:43" x14ac:dyDescent="0.3">
      <c r="E176" s="32"/>
      <c r="F176" s="80" t="s">
        <v>249</v>
      </c>
      <c r="G176" s="80" t="s">
        <v>167</v>
      </c>
      <c r="H176" s="424"/>
      <c r="I176" s="37"/>
      <c r="J176" s="258">
        <v>0</v>
      </c>
      <c r="K176" s="258">
        <f t="shared" si="1"/>
        <v>3.6115984849117162E-2</v>
      </c>
      <c r="L176" s="258">
        <f t="shared" si="1"/>
        <v>0.15158851416680294</v>
      </c>
      <c r="M176" s="258">
        <f t="shared" si="1"/>
        <v>0.19231885683082187</v>
      </c>
      <c r="N176" s="258">
        <f t="shared" si="1"/>
        <v>0.61997664415325793</v>
      </c>
    </row>
    <row r="177" spans="3:43" x14ac:dyDescent="0.3">
      <c r="E177" s="261"/>
      <c r="F177" s="235"/>
      <c r="G177" s="235"/>
      <c r="H177" s="260"/>
      <c r="I177" s="260"/>
      <c r="J177" s="262"/>
      <c r="K177" s="262"/>
      <c r="L177" s="262"/>
      <c r="M177" s="262"/>
      <c r="N177" s="262"/>
    </row>
    <row r="178" spans="3:43" x14ac:dyDescent="0.3">
      <c r="E178" s="32" t="s">
        <v>994</v>
      </c>
      <c r="G178" s="13"/>
      <c r="J178" s="300" t="s">
        <v>983</v>
      </c>
      <c r="K178" s="300" t="s">
        <v>988</v>
      </c>
      <c r="L178" s="300" t="s">
        <v>989</v>
      </c>
      <c r="M178" s="300" t="s">
        <v>990</v>
      </c>
      <c r="N178" s="300" t="s">
        <v>991</v>
      </c>
    </row>
    <row r="179" spans="3:43" x14ac:dyDescent="0.3">
      <c r="E179" s="32"/>
      <c r="F179" s="78" t="s">
        <v>247</v>
      </c>
      <c r="G179" s="78" t="s">
        <v>167</v>
      </c>
      <c r="H179" s="422"/>
      <c r="I179" s="23"/>
      <c r="J179" s="257">
        <v>0</v>
      </c>
      <c r="K179" s="257">
        <v>3.6115984849117162E-2</v>
      </c>
      <c r="L179" s="257">
        <v>0.15158851416680294</v>
      </c>
      <c r="M179" s="257">
        <v>0.19231885683082187</v>
      </c>
      <c r="N179" s="257">
        <v>0.61997664415325793</v>
      </c>
    </row>
    <row r="180" spans="3:43" x14ac:dyDescent="0.3">
      <c r="E180" s="32"/>
      <c r="F180" s="352" t="s">
        <v>248</v>
      </c>
      <c r="G180" s="352" t="s">
        <v>167</v>
      </c>
      <c r="H180" s="423"/>
      <c r="I180" s="311"/>
      <c r="J180" s="369">
        <v>0</v>
      </c>
      <c r="K180" s="369">
        <f t="shared" ref="K180:N181" si="2">K179</f>
        <v>3.6115984849117162E-2</v>
      </c>
      <c r="L180" s="369">
        <f t="shared" si="2"/>
        <v>0.15158851416680294</v>
      </c>
      <c r="M180" s="369">
        <f t="shared" si="2"/>
        <v>0.19231885683082187</v>
      </c>
      <c r="N180" s="369">
        <f t="shared" si="2"/>
        <v>0.61997664415325793</v>
      </c>
    </row>
    <row r="181" spans="3:43" x14ac:dyDescent="0.3">
      <c r="E181" s="32"/>
      <c r="F181" s="80" t="s">
        <v>249</v>
      </c>
      <c r="G181" s="80" t="s">
        <v>167</v>
      </c>
      <c r="H181" s="424"/>
      <c r="I181" s="37"/>
      <c r="J181" s="258">
        <v>0</v>
      </c>
      <c r="K181" s="258">
        <f t="shared" si="2"/>
        <v>3.6115984849117162E-2</v>
      </c>
      <c r="L181" s="258">
        <f t="shared" si="2"/>
        <v>0.15158851416680294</v>
      </c>
      <c r="M181" s="258">
        <f t="shared" si="2"/>
        <v>0.19231885683082187</v>
      </c>
      <c r="N181" s="258">
        <f t="shared" si="2"/>
        <v>0.61997664415325793</v>
      </c>
    </row>
    <row r="182" spans="3:43" x14ac:dyDescent="0.3">
      <c r="E182" s="261"/>
      <c r="F182" s="235"/>
      <c r="G182" s="235"/>
      <c r="H182" s="260"/>
      <c r="I182" s="260"/>
      <c r="J182" s="262"/>
      <c r="K182" s="262"/>
      <c r="L182" s="262"/>
      <c r="M182" s="262"/>
      <c r="N182" s="263"/>
      <c r="O182" s="263"/>
      <c r="P182" s="263"/>
      <c r="Q182" s="262"/>
      <c r="R182" s="262"/>
      <c r="S182" s="262"/>
      <c r="T182" s="263"/>
      <c r="U182" s="262"/>
      <c r="V182" s="263"/>
      <c r="W182" s="262"/>
      <c r="X182" s="263"/>
      <c r="Y182" s="262"/>
      <c r="Z182" s="260"/>
      <c r="AA182" s="260"/>
      <c r="AB182" s="260"/>
      <c r="AC182" s="260"/>
      <c r="AD182" s="260"/>
      <c r="AE182" s="260"/>
      <c r="AF182" s="260"/>
      <c r="AG182" s="260"/>
      <c r="AH182" s="260"/>
      <c r="AI182" s="260"/>
      <c r="AJ182" s="260"/>
      <c r="AK182" s="260"/>
      <c r="AL182" s="260"/>
      <c r="AM182" s="260"/>
      <c r="AN182" s="260"/>
      <c r="AO182" s="260"/>
      <c r="AP182" s="260"/>
    </row>
    <row r="183" spans="3:43" x14ac:dyDescent="0.3">
      <c r="C183" s="31" t="str">
        <f ca="1">INDEX('Version control'!$H$34:$H$57,MATCH($A$1,'Version control'!$F$34:$F$57,0),1)&amp;"-D: Service model asset values"</f>
        <v>Input 102-D: Service model asset values</v>
      </c>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c r="AB183" s="31"/>
      <c r="AC183" s="31"/>
      <c r="AD183" s="31"/>
      <c r="AE183" s="31"/>
      <c r="AF183" s="31"/>
      <c r="AG183" s="31"/>
      <c r="AH183" s="31"/>
      <c r="AI183" s="31"/>
      <c r="AJ183" s="31"/>
      <c r="AK183" s="31"/>
      <c r="AL183" s="31"/>
      <c r="AM183" s="31"/>
      <c r="AN183" s="31"/>
      <c r="AO183" s="31"/>
      <c r="AP183" s="31"/>
      <c r="AQ183" s="31"/>
    </row>
    <row r="184" spans="3:43" x14ac:dyDescent="0.3">
      <c r="G184" s="13"/>
    </row>
    <row r="185" spans="3:43" x14ac:dyDescent="0.3">
      <c r="D185" s="29" t="s">
        <v>258</v>
      </c>
      <c r="H185" s="63"/>
    </row>
    <row r="186" spans="3:43" x14ac:dyDescent="0.3">
      <c r="G186" s="13"/>
      <c r="I186" t="s">
        <v>154</v>
      </c>
      <c r="AQ186" t="s">
        <v>259</v>
      </c>
    </row>
    <row r="187" spans="3:43" x14ac:dyDescent="0.3">
      <c r="D187" s="88"/>
      <c r="E187" t="s">
        <v>260</v>
      </c>
      <c r="G187" t="s">
        <v>261</v>
      </c>
      <c r="H187" s="51"/>
      <c r="J187" s="254">
        <v>246.07148097562552</v>
      </c>
      <c r="K187" s="79"/>
      <c r="L187" s="254">
        <v>721.51511666882368</v>
      </c>
      <c r="M187" s="79"/>
      <c r="N187" s="254">
        <v>1439.5219888087429</v>
      </c>
      <c r="O187" s="254">
        <v>1123.7016087154873</v>
      </c>
      <c r="P187" s="79"/>
      <c r="Q187" s="79"/>
      <c r="R187" s="254">
        <v>0</v>
      </c>
      <c r="S187" s="254">
        <v>0</v>
      </c>
      <c r="T187" s="254">
        <v>0</v>
      </c>
      <c r="U187" s="254">
        <v>0</v>
      </c>
      <c r="V187" s="254">
        <v>0</v>
      </c>
      <c r="W187" s="254">
        <v>0</v>
      </c>
      <c r="X187" s="79"/>
      <c r="Y187" s="79"/>
    </row>
    <row r="188" spans="3:43" x14ac:dyDescent="0.3">
      <c r="D188" s="88"/>
      <c r="E188" t="s">
        <v>262</v>
      </c>
      <c r="G188" t="s">
        <v>261</v>
      </c>
      <c r="H188" s="51"/>
      <c r="J188" s="79"/>
      <c r="K188" s="79"/>
      <c r="L188" s="79"/>
      <c r="M188" s="79"/>
      <c r="N188" s="79"/>
      <c r="O188" s="79"/>
      <c r="P188" s="254">
        <v>10373.828569409405</v>
      </c>
      <c r="Q188" s="79"/>
      <c r="R188" s="79"/>
      <c r="S188" s="79"/>
      <c r="T188" s="79"/>
      <c r="U188" s="79"/>
      <c r="V188" s="79"/>
      <c r="W188" s="79"/>
      <c r="X188" s="254">
        <v>6492.3847088006896</v>
      </c>
      <c r="Y188" s="254">
        <v>6492.3847088006896</v>
      </c>
    </row>
    <row r="189" spans="3:43" x14ac:dyDescent="0.3">
      <c r="G189" s="13"/>
      <c r="J189" s="89"/>
      <c r="K189" s="89"/>
      <c r="L189" s="89"/>
      <c r="M189" s="89"/>
      <c r="N189" s="89"/>
      <c r="O189" s="89"/>
      <c r="P189" s="89"/>
      <c r="Q189" s="89"/>
      <c r="R189" s="89"/>
      <c r="S189" s="89"/>
      <c r="T189" s="89"/>
      <c r="U189" s="89"/>
      <c r="V189" s="89"/>
      <c r="W189" s="89"/>
      <c r="X189" s="89"/>
      <c r="Y189" s="89"/>
    </row>
    <row r="190" spans="3:43" x14ac:dyDescent="0.3">
      <c r="D190" s="88"/>
      <c r="E190" t="s">
        <v>263</v>
      </c>
      <c r="G190" t="s">
        <v>264</v>
      </c>
      <c r="I190" t="s">
        <v>154</v>
      </c>
      <c r="J190" s="79"/>
      <c r="K190" s="79"/>
      <c r="L190" s="79"/>
      <c r="M190" s="79"/>
      <c r="N190" s="79"/>
      <c r="O190" s="79"/>
      <c r="P190" s="79"/>
      <c r="Q190" s="254">
        <v>278.168192448421</v>
      </c>
      <c r="R190" s="79"/>
      <c r="S190" s="79"/>
      <c r="T190" s="79"/>
      <c r="U190" s="79"/>
      <c r="V190" s="79"/>
      <c r="W190" s="79"/>
      <c r="X190" s="79"/>
      <c r="Y190" s="79"/>
      <c r="AQ190" t="s">
        <v>265</v>
      </c>
    </row>
    <row r="191" spans="3:43" x14ac:dyDescent="0.3">
      <c r="D191" s="88"/>
      <c r="J191" s="89"/>
      <c r="K191" s="89"/>
      <c r="L191" s="89"/>
      <c r="M191" s="89"/>
      <c r="N191" s="89"/>
      <c r="O191" s="89"/>
      <c r="P191" s="89"/>
      <c r="Q191" s="89"/>
      <c r="R191" s="89"/>
      <c r="S191" s="89"/>
      <c r="T191" s="89"/>
      <c r="U191" s="89"/>
      <c r="V191" s="89"/>
      <c r="W191" s="89"/>
      <c r="X191" s="89"/>
      <c r="Y191" s="89"/>
    </row>
    <row r="192" spans="3:43" x14ac:dyDescent="0.3">
      <c r="C192" s="31" t="str">
        <f ca="1">INDEX('Version control'!$H$34:$H$57,MATCH($A$1,'Version control'!$F$34:$F$57,0),1)&amp;"-E: Previous year all-the-way tariff forecast"</f>
        <v>Input 102-E: Previous year all-the-way tariff forecast</v>
      </c>
      <c r="D192" s="31"/>
      <c r="E192" s="31"/>
      <c r="F192" s="31"/>
      <c r="G192" s="31"/>
      <c r="H192" s="31"/>
      <c r="I192" s="31"/>
      <c r="J192" s="90"/>
      <c r="K192" s="90"/>
      <c r="L192" s="90"/>
      <c r="M192" s="90"/>
      <c r="N192" s="90"/>
      <c r="O192" s="90"/>
      <c r="P192" s="90"/>
      <c r="Q192" s="90"/>
      <c r="R192" s="90"/>
      <c r="S192" s="90"/>
      <c r="T192" s="90"/>
      <c r="U192" s="90"/>
      <c r="V192" s="90"/>
      <c r="W192" s="90"/>
      <c r="X192" s="90"/>
      <c r="Y192" s="90"/>
      <c r="Z192" s="90"/>
      <c r="AA192" s="90"/>
      <c r="AB192" s="90"/>
      <c r="AC192" s="90"/>
      <c r="AD192" s="90"/>
      <c r="AE192" s="90"/>
      <c r="AF192" s="90"/>
      <c r="AG192" s="90"/>
      <c r="AH192" s="90"/>
      <c r="AI192" s="90"/>
      <c r="AJ192" s="90"/>
      <c r="AK192" s="90"/>
      <c r="AL192" s="90"/>
      <c r="AM192" s="90"/>
      <c r="AN192" s="90"/>
      <c r="AO192" s="90"/>
      <c r="AP192" s="31"/>
      <c r="AQ192" s="31"/>
    </row>
    <row r="193" spans="3:43" x14ac:dyDescent="0.3">
      <c r="F193" s="87"/>
      <c r="G193" s="72"/>
      <c r="J193" s="89"/>
      <c r="K193" s="89"/>
      <c r="L193" s="89"/>
      <c r="M193" s="89"/>
      <c r="N193" s="89"/>
      <c r="O193" s="89"/>
      <c r="P193" s="89"/>
      <c r="Q193" s="89"/>
      <c r="R193" s="89"/>
      <c r="S193" s="89"/>
      <c r="T193" s="89"/>
      <c r="U193" s="89"/>
      <c r="V193" s="89"/>
      <c r="W193" s="89"/>
      <c r="X193" s="89"/>
      <c r="Y193" s="89"/>
      <c r="Z193" s="89"/>
      <c r="AA193" s="89"/>
      <c r="AB193" s="89"/>
      <c r="AC193" s="89"/>
      <c r="AD193" s="89"/>
      <c r="AE193" s="89"/>
      <c r="AF193" s="89"/>
      <c r="AG193" s="89"/>
      <c r="AH193" s="89"/>
      <c r="AI193" s="89"/>
      <c r="AJ193" s="89"/>
      <c r="AK193" s="89"/>
      <c r="AL193" s="89"/>
      <c r="AM193" s="89"/>
      <c r="AN193" s="89"/>
      <c r="AO193" s="89"/>
    </row>
    <row r="194" spans="3:43" x14ac:dyDescent="0.3">
      <c r="D194" s="29" t="s">
        <v>266</v>
      </c>
      <c r="G194" s="13"/>
      <c r="J194" s="89"/>
      <c r="K194" s="89"/>
      <c r="L194" s="89"/>
      <c r="M194" s="89"/>
      <c r="N194" s="89"/>
      <c r="O194" s="89"/>
      <c r="P194" s="89"/>
      <c r="Q194" s="89"/>
      <c r="R194" s="89"/>
      <c r="S194" s="89"/>
      <c r="T194" s="89"/>
      <c r="U194" s="89"/>
      <c r="V194" s="89"/>
      <c r="W194" s="89"/>
      <c r="X194" s="89"/>
      <c r="Y194" s="89"/>
      <c r="Z194" s="89"/>
      <c r="AA194" s="89"/>
      <c r="AB194" s="89"/>
      <c r="AC194" s="89"/>
      <c r="AD194" s="89"/>
      <c r="AE194" s="89"/>
      <c r="AF194" s="89"/>
      <c r="AG194" s="89"/>
      <c r="AH194" s="89"/>
      <c r="AI194" s="89"/>
      <c r="AJ194" s="89"/>
      <c r="AK194" s="89"/>
      <c r="AL194" s="89"/>
      <c r="AM194" s="89"/>
      <c r="AN194" s="89"/>
      <c r="AO194" s="89"/>
    </row>
    <row r="195" spans="3:43" x14ac:dyDescent="0.3">
      <c r="D195" s="91" t="s">
        <v>267</v>
      </c>
      <c r="G195" s="13"/>
      <c r="J195" s="89"/>
      <c r="K195" s="89"/>
      <c r="L195" s="89"/>
      <c r="M195" s="89"/>
      <c r="N195" s="89"/>
      <c r="O195" s="89"/>
      <c r="P195" s="89"/>
      <c r="Q195" s="89"/>
      <c r="R195" s="89"/>
      <c r="S195" s="89"/>
      <c r="T195" s="89"/>
      <c r="U195" s="89"/>
      <c r="V195" s="89"/>
      <c r="W195" s="89"/>
      <c r="X195" s="89"/>
      <c r="Y195" s="89"/>
      <c r="Z195" s="89"/>
      <c r="AA195" s="89"/>
      <c r="AB195" s="89"/>
      <c r="AC195" s="89"/>
      <c r="AD195" s="89"/>
      <c r="AE195" s="89"/>
      <c r="AF195" s="89"/>
      <c r="AG195" s="89"/>
      <c r="AH195" s="89"/>
      <c r="AI195" s="89"/>
      <c r="AJ195" s="89"/>
      <c r="AK195" s="89"/>
      <c r="AL195" s="89"/>
      <c r="AM195" s="89"/>
      <c r="AN195" s="89"/>
      <c r="AO195" s="89"/>
    </row>
    <row r="196" spans="3:43" x14ac:dyDescent="0.3">
      <c r="D196" s="91"/>
      <c r="G196" s="13"/>
      <c r="J196" s="89"/>
      <c r="K196" s="89"/>
      <c r="L196" s="89"/>
      <c r="M196" s="89"/>
      <c r="N196" s="89"/>
      <c r="O196" s="89"/>
      <c r="P196" s="89"/>
      <c r="Q196" s="89"/>
      <c r="R196" s="89"/>
      <c r="S196" s="89"/>
      <c r="T196" s="89"/>
      <c r="U196" s="89"/>
      <c r="V196" s="89"/>
      <c r="W196" s="89"/>
      <c r="X196" s="89"/>
      <c r="Y196" s="89"/>
      <c r="Z196" s="89"/>
      <c r="AA196" s="89"/>
      <c r="AB196" s="89"/>
      <c r="AC196" s="89"/>
      <c r="AD196" s="89"/>
      <c r="AE196" s="89"/>
      <c r="AF196" s="89"/>
      <c r="AG196" s="89"/>
      <c r="AH196" s="89"/>
      <c r="AI196" s="89"/>
      <c r="AJ196" s="89"/>
      <c r="AK196" s="89"/>
      <c r="AL196" s="89"/>
      <c r="AM196" s="89"/>
      <c r="AN196" s="89"/>
      <c r="AO196" s="89"/>
    </row>
    <row r="197" spans="3:43" ht="43.2" x14ac:dyDescent="0.3">
      <c r="E197" s="32" t="s">
        <v>268</v>
      </c>
      <c r="G197" s="13"/>
      <c r="J197" s="114" t="s">
        <v>913</v>
      </c>
      <c r="K197" s="114" t="s">
        <v>831</v>
      </c>
      <c r="L197" s="114" t="s">
        <v>914</v>
      </c>
      <c r="M197" s="114" t="s">
        <v>915</v>
      </c>
      <c r="N197" s="114" t="s">
        <v>916</v>
      </c>
      <c r="O197" s="114" t="s">
        <v>917</v>
      </c>
      <c r="P197" s="114" t="s">
        <v>918</v>
      </c>
      <c r="Q197" s="114" t="s">
        <v>832</v>
      </c>
      <c r="R197" s="114" t="s">
        <v>919</v>
      </c>
      <c r="S197" s="114" t="s">
        <v>920</v>
      </c>
      <c r="T197" s="114" t="s">
        <v>921</v>
      </c>
      <c r="U197" s="114" t="s">
        <v>922</v>
      </c>
      <c r="V197" s="114" t="s">
        <v>923</v>
      </c>
      <c r="W197" s="114" t="s">
        <v>924</v>
      </c>
      <c r="X197" s="114" t="s">
        <v>925</v>
      </c>
      <c r="Y197" s="114" t="s">
        <v>926</v>
      </c>
      <c r="Z197" s="114" t="s">
        <v>927</v>
      </c>
      <c r="AA197" s="114" t="s">
        <v>928</v>
      </c>
      <c r="AB197" s="114" t="s">
        <v>929</v>
      </c>
      <c r="AC197" s="114" t="s">
        <v>930</v>
      </c>
      <c r="AD197" s="114" t="s">
        <v>931</v>
      </c>
      <c r="AE197" s="114" t="s">
        <v>932</v>
      </c>
      <c r="AF197" s="114" t="s">
        <v>933</v>
      </c>
      <c r="AG197" s="114" t="s">
        <v>841</v>
      </c>
      <c r="AH197" s="114" t="s">
        <v>833</v>
      </c>
      <c r="AI197" s="114" t="s">
        <v>834</v>
      </c>
      <c r="AJ197" s="114" t="s">
        <v>835</v>
      </c>
      <c r="AK197" s="114" t="s">
        <v>844</v>
      </c>
      <c r="AL197" s="114" t="s">
        <v>836</v>
      </c>
      <c r="AM197" s="114" t="s">
        <v>843</v>
      </c>
      <c r="AN197" s="114" t="s">
        <v>837</v>
      </c>
      <c r="AO197" s="114" t="s">
        <v>842</v>
      </c>
    </row>
    <row r="198" spans="3:43" x14ac:dyDescent="0.3">
      <c r="D198" s="32"/>
      <c r="F198" s="23" t="s">
        <v>156</v>
      </c>
      <c r="G198" s="23" t="s">
        <v>269</v>
      </c>
      <c r="H198" s="23"/>
      <c r="I198" s="23"/>
      <c r="J198" s="394"/>
      <c r="K198" s="394"/>
      <c r="L198" s="394"/>
      <c r="M198" s="394"/>
      <c r="N198" s="394"/>
      <c r="O198" s="394"/>
      <c r="P198" s="394"/>
      <c r="Q198" s="394"/>
      <c r="R198" s="394"/>
      <c r="S198" s="394"/>
      <c r="T198" s="394"/>
      <c r="U198" s="394"/>
      <c r="V198" s="394"/>
      <c r="W198" s="394"/>
      <c r="X198" s="394"/>
      <c r="Y198" s="394"/>
      <c r="Z198" s="394"/>
      <c r="AA198" s="394"/>
      <c r="AB198" s="394"/>
      <c r="AC198" s="394"/>
      <c r="AD198" s="394"/>
      <c r="AE198" s="394"/>
      <c r="AF198" s="394"/>
      <c r="AG198" s="394"/>
      <c r="AH198" s="394"/>
      <c r="AI198" s="394"/>
      <c r="AJ198" s="394"/>
      <c r="AK198" s="394"/>
      <c r="AL198" s="394"/>
      <c r="AM198" s="394"/>
      <c r="AN198" s="394"/>
      <c r="AO198" s="394"/>
    </row>
    <row r="199" spans="3:43" x14ac:dyDescent="0.3">
      <c r="D199" s="32"/>
      <c r="F199" s="311" t="s">
        <v>157</v>
      </c>
      <c r="G199" s="311" t="s">
        <v>269</v>
      </c>
      <c r="H199" s="311"/>
      <c r="I199" s="311"/>
      <c r="J199" s="392"/>
      <c r="K199" s="392"/>
      <c r="L199" s="392"/>
      <c r="M199" s="392"/>
      <c r="N199" s="392"/>
      <c r="O199" s="392"/>
      <c r="P199" s="392"/>
      <c r="Q199" s="392"/>
      <c r="R199" s="392"/>
      <c r="S199" s="392"/>
      <c r="T199" s="392"/>
      <c r="U199" s="392"/>
      <c r="V199" s="392"/>
      <c r="W199" s="392"/>
      <c r="X199" s="392"/>
      <c r="Y199" s="392"/>
      <c r="Z199" s="392"/>
      <c r="AA199" s="392"/>
      <c r="AB199" s="392"/>
      <c r="AC199" s="392"/>
      <c r="AD199" s="392"/>
      <c r="AE199" s="392"/>
      <c r="AF199" s="392"/>
      <c r="AG199" s="392"/>
      <c r="AH199" s="392"/>
      <c r="AI199" s="392"/>
      <c r="AJ199" s="392"/>
      <c r="AK199" s="392"/>
      <c r="AL199" s="392"/>
      <c r="AM199" s="392"/>
      <c r="AN199" s="392"/>
      <c r="AO199" s="392"/>
    </row>
    <row r="200" spans="3:43" x14ac:dyDescent="0.3">
      <c r="D200" s="32"/>
      <c r="F200" s="311" t="s">
        <v>158</v>
      </c>
      <c r="G200" s="311" t="s">
        <v>269</v>
      </c>
      <c r="H200" s="311"/>
      <c r="I200" s="311"/>
      <c r="J200" s="392"/>
      <c r="K200" s="392"/>
      <c r="L200" s="392"/>
      <c r="M200" s="392"/>
      <c r="N200" s="392"/>
      <c r="O200" s="392"/>
      <c r="P200" s="392"/>
      <c r="Q200" s="392"/>
      <c r="R200" s="392"/>
      <c r="S200" s="392"/>
      <c r="T200" s="392"/>
      <c r="U200" s="392"/>
      <c r="V200" s="392"/>
      <c r="W200" s="392"/>
      <c r="X200" s="392"/>
      <c r="Y200" s="392"/>
      <c r="Z200" s="392"/>
      <c r="AA200" s="392"/>
      <c r="AB200" s="392"/>
      <c r="AC200" s="392"/>
      <c r="AD200" s="392"/>
      <c r="AE200" s="392"/>
      <c r="AF200" s="392"/>
      <c r="AG200" s="392"/>
      <c r="AH200" s="392"/>
      <c r="AI200" s="392"/>
      <c r="AJ200" s="392"/>
      <c r="AK200" s="392"/>
      <c r="AL200" s="392"/>
      <c r="AM200" s="392"/>
      <c r="AN200" s="392"/>
      <c r="AO200" s="392"/>
    </row>
    <row r="201" spans="3:43" x14ac:dyDescent="0.3">
      <c r="D201" s="32"/>
      <c r="F201" s="311" t="s">
        <v>159</v>
      </c>
      <c r="G201" s="311" t="s">
        <v>270</v>
      </c>
      <c r="H201" s="311"/>
      <c r="I201" s="311"/>
      <c r="J201" s="392"/>
      <c r="K201" s="331"/>
      <c r="L201" s="392"/>
      <c r="M201" s="392"/>
      <c r="N201" s="392"/>
      <c r="O201" s="392"/>
      <c r="P201" s="392"/>
      <c r="Q201" s="331"/>
      <c r="R201" s="392"/>
      <c r="S201" s="392"/>
      <c r="T201" s="392"/>
      <c r="U201" s="392"/>
      <c r="V201" s="392"/>
      <c r="W201" s="392"/>
      <c r="X201" s="392"/>
      <c r="Y201" s="392"/>
      <c r="Z201" s="392"/>
      <c r="AA201" s="392"/>
      <c r="AB201" s="392"/>
      <c r="AC201" s="392"/>
      <c r="AD201" s="392"/>
      <c r="AE201" s="392"/>
      <c r="AF201" s="392"/>
      <c r="AG201" s="331"/>
      <c r="AH201" s="331"/>
      <c r="AI201" s="331"/>
      <c r="AJ201" s="331"/>
      <c r="AK201" s="331"/>
      <c r="AL201" s="331"/>
      <c r="AM201" s="331"/>
      <c r="AN201" s="392"/>
      <c r="AO201" s="392"/>
    </row>
    <row r="202" spans="3:43" x14ac:dyDescent="0.3">
      <c r="D202" s="32"/>
      <c r="F202" s="311" t="s">
        <v>160</v>
      </c>
      <c r="G202" s="311" t="s">
        <v>271</v>
      </c>
      <c r="H202" s="311"/>
      <c r="I202" s="311"/>
      <c r="J202" s="331"/>
      <c r="K202" s="331"/>
      <c r="L202" s="331"/>
      <c r="M202" s="331"/>
      <c r="N202" s="331"/>
      <c r="O202" s="331"/>
      <c r="P202" s="331"/>
      <c r="Q202" s="331"/>
      <c r="R202" s="392"/>
      <c r="S202" s="392"/>
      <c r="T202" s="392"/>
      <c r="U202" s="392"/>
      <c r="V202" s="392"/>
      <c r="W202" s="392"/>
      <c r="X202" s="392"/>
      <c r="Y202" s="392"/>
      <c r="Z202" s="392"/>
      <c r="AA202" s="392"/>
      <c r="AB202" s="392"/>
      <c r="AC202" s="392"/>
      <c r="AD202" s="392"/>
      <c r="AE202" s="392"/>
      <c r="AF202" s="392"/>
      <c r="AG202" s="331"/>
      <c r="AH202" s="331"/>
      <c r="AI202" s="331"/>
      <c r="AJ202" s="331"/>
      <c r="AK202" s="331"/>
      <c r="AL202" s="331"/>
      <c r="AM202" s="331"/>
      <c r="AN202" s="331"/>
      <c r="AO202" s="331"/>
    </row>
    <row r="203" spans="3:43" x14ac:dyDescent="0.3">
      <c r="C203" s="311"/>
      <c r="D203" s="395"/>
      <c r="E203" s="311"/>
      <c r="F203" s="311" t="s">
        <v>161</v>
      </c>
      <c r="G203" s="311" t="s">
        <v>271</v>
      </c>
      <c r="H203" s="311"/>
      <c r="I203" s="311"/>
      <c r="J203" s="331"/>
      <c r="K203" s="331"/>
      <c r="L203" s="331"/>
      <c r="M203" s="331"/>
      <c r="N203" s="331"/>
      <c r="O203" s="331"/>
      <c r="P203" s="331"/>
      <c r="Q203" s="331"/>
      <c r="R203" s="392"/>
      <c r="S203" s="392"/>
      <c r="T203" s="392"/>
      <c r="U203" s="392"/>
      <c r="V203" s="392"/>
      <c r="W203" s="392"/>
      <c r="X203" s="392"/>
      <c r="Y203" s="392"/>
      <c r="Z203" s="392"/>
      <c r="AA203" s="392"/>
      <c r="AB203" s="392"/>
      <c r="AC203" s="392"/>
      <c r="AD203" s="392"/>
      <c r="AE203" s="392"/>
      <c r="AF203" s="392"/>
      <c r="AG203" s="331"/>
      <c r="AH203" s="331"/>
      <c r="AI203" s="331"/>
      <c r="AJ203" s="331"/>
      <c r="AK203" s="331"/>
      <c r="AL203" s="331"/>
      <c r="AM203" s="331"/>
      <c r="AN203" s="331"/>
      <c r="AO203" s="331"/>
    </row>
    <row r="204" spans="3:43" x14ac:dyDescent="0.3">
      <c r="C204" s="311"/>
      <c r="D204" s="395"/>
      <c r="E204" s="311"/>
      <c r="F204" s="37" t="s">
        <v>162</v>
      </c>
      <c r="G204" s="37" t="s">
        <v>272</v>
      </c>
      <c r="H204" s="37"/>
      <c r="I204" s="37"/>
      <c r="J204" s="81"/>
      <c r="K204" s="81"/>
      <c r="L204" s="81"/>
      <c r="M204" s="81"/>
      <c r="N204" s="81"/>
      <c r="O204" s="81"/>
      <c r="P204" s="81"/>
      <c r="Q204" s="81"/>
      <c r="R204" s="393"/>
      <c r="S204" s="393"/>
      <c r="T204" s="393"/>
      <c r="U204" s="393"/>
      <c r="V204" s="393"/>
      <c r="W204" s="393"/>
      <c r="X204" s="393"/>
      <c r="Y204" s="393"/>
      <c r="Z204" s="393"/>
      <c r="AA204" s="393"/>
      <c r="AB204" s="393"/>
      <c r="AC204" s="393"/>
      <c r="AD204" s="393"/>
      <c r="AE204" s="393"/>
      <c r="AF204" s="393"/>
      <c r="AG204" s="81"/>
      <c r="AH204" s="393"/>
      <c r="AI204" s="393"/>
      <c r="AJ204" s="393"/>
      <c r="AK204" s="81"/>
      <c r="AL204" s="393"/>
      <c r="AM204" s="81"/>
      <c r="AN204" s="393"/>
      <c r="AO204" s="81"/>
    </row>
    <row r="205" spans="3:43" x14ac:dyDescent="0.3">
      <c r="G205" s="13"/>
      <c r="J205" s="89"/>
      <c r="K205" s="89"/>
      <c r="L205" s="89"/>
      <c r="M205" s="89"/>
      <c r="N205" s="89"/>
      <c r="O205" s="89"/>
      <c r="P205" s="89"/>
      <c r="Q205" s="89"/>
      <c r="R205" s="89"/>
      <c r="S205" s="89"/>
      <c r="T205" s="89"/>
      <c r="U205" s="89"/>
      <c r="V205" s="89"/>
      <c r="W205" s="89"/>
      <c r="X205" s="89"/>
      <c r="Y205" s="89"/>
      <c r="Z205" s="89"/>
      <c r="AA205" s="89"/>
      <c r="AB205" s="89"/>
      <c r="AC205" s="89"/>
      <c r="AD205" s="89"/>
      <c r="AE205" s="89"/>
      <c r="AF205" s="89"/>
      <c r="AG205" s="89"/>
      <c r="AH205" s="89"/>
      <c r="AI205" s="89"/>
      <c r="AJ205" s="89"/>
      <c r="AK205" s="89"/>
      <c r="AL205" s="89"/>
      <c r="AM205" s="89"/>
      <c r="AN205" s="89"/>
      <c r="AO205" s="89"/>
    </row>
    <row r="206" spans="3:43" x14ac:dyDescent="0.3">
      <c r="C206" s="31" t="str">
        <f ca="1">INDEX('Version control'!$H$34:$H$57,MATCH($A$1,'Version control'!$F$34:$F$57,0),1)&amp;"-F: Previous year net revenue (if known)"</f>
        <v>Input 102-F: Previous year net revenue (if known)</v>
      </c>
      <c r="D206" s="31"/>
      <c r="E206" s="31"/>
      <c r="F206" s="31"/>
      <c r="G206" s="31"/>
      <c r="H206" s="31"/>
      <c r="I206" s="31"/>
      <c r="J206" s="90"/>
      <c r="K206" s="90"/>
      <c r="L206" s="90"/>
      <c r="M206" s="90"/>
      <c r="N206" s="90"/>
      <c r="O206" s="90"/>
      <c r="P206" s="90"/>
      <c r="Q206" s="90"/>
      <c r="R206" s="90"/>
      <c r="S206" s="90"/>
      <c r="T206" s="90"/>
      <c r="U206" s="90"/>
      <c r="V206" s="90"/>
      <c r="W206" s="90"/>
      <c r="X206" s="90"/>
      <c r="Y206" s="90"/>
      <c r="Z206" s="90"/>
      <c r="AA206" s="90"/>
      <c r="AB206" s="90"/>
      <c r="AC206" s="90"/>
      <c r="AD206" s="90"/>
      <c r="AE206" s="90"/>
      <c r="AF206" s="90"/>
      <c r="AG206" s="90"/>
      <c r="AH206" s="90"/>
      <c r="AI206" s="90"/>
      <c r="AJ206" s="90"/>
      <c r="AK206" s="90"/>
      <c r="AL206" s="90"/>
      <c r="AM206" s="90"/>
      <c r="AN206" s="90"/>
      <c r="AO206" s="90"/>
      <c r="AP206" s="31"/>
      <c r="AQ206" s="31"/>
    </row>
    <row r="207" spans="3:43" x14ac:dyDescent="0.3">
      <c r="F207" s="87"/>
      <c r="G207" s="72"/>
      <c r="J207" s="89"/>
      <c r="K207" s="89"/>
      <c r="L207" s="89"/>
      <c r="M207" s="89"/>
      <c r="N207" s="89"/>
      <c r="O207" s="89"/>
      <c r="P207" s="89"/>
      <c r="Q207" s="89"/>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row>
    <row r="208" spans="3:43" x14ac:dyDescent="0.3">
      <c r="D208" s="29" t="s">
        <v>273</v>
      </c>
      <c r="G208" s="13"/>
      <c r="J208" s="89"/>
      <c r="K208" s="89"/>
      <c r="L208" s="89"/>
      <c r="M208" s="89"/>
      <c r="N208" s="89"/>
      <c r="O208" s="89"/>
      <c r="P208" s="89"/>
      <c r="Q208" s="89"/>
      <c r="R208" s="89"/>
      <c r="S208" s="89"/>
      <c r="T208" s="89"/>
      <c r="U208" s="89"/>
      <c r="V208" s="89"/>
      <c r="W208" s="89"/>
      <c r="X208" s="89"/>
      <c r="Y208" s="89"/>
      <c r="Z208" s="89"/>
      <c r="AA208" s="89"/>
      <c r="AB208" s="89"/>
      <c r="AC208" s="89"/>
      <c r="AD208" s="89"/>
      <c r="AE208" s="89"/>
      <c r="AF208" s="89"/>
      <c r="AG208" s="89"/>
      <c r="AH208" s="89"/>
      <c r="AI208" s="89"/>
      <c r="AJ208" s="89"/>
      <c r="AK208" s="89"/>
      <c r="AL208" s="89"/>
      <c r="AM208" s="89"/>
      <c r="AN208" s="89"/>
      <c r="AO208" s="89"/>
    </row>
    <row r="209" spans="2:44" x14ac:dyDescent="0.3">
      <c r="D209" s="91" t="s">
        <v>274</v>
      </c>
      <c r="G209" s="13"/>
      <c r="J209" s="89"/>
      <c r="K209" s="89"/>
      <c r="L209" s="89"/>
      <c r="M209" s="89"/>
      <c r="N209" s="89"/>
      <c r="O209" s="89"/>
      <c r="P209" s="89"/>
      <c r="Q209" s="89"/>
      <c r="R209" s="89"/>
      <c r="S209" s="89"/>
      <c r="T209" s="89"/>
      <c r="U209" s="89"/>
      <c r="V209" s="89"/>
      <c r="W209" s="89"/>
      <c r="X209" s="89"/>
      <c r="Y209" s="89"/>
      <c r="Z209" s="89"/>
      <c r="AA209" s="89"/>
      <c r="AB209" s="89"/>
      <c r="AC209" s="89"/>
      <c r="AD209" s="89"/>
      <c r="AE209" s="89"/>
      <c r="AF209" s="89"/>
      <c r="AG209" s="89"/>
      <c r="AH209" s="89"/>
      <c r="AI209" s="89"/>
      <c r="AJ209" s="89"/>
      <c r="AK209" s="89"/>
      <c r="AL209" s="89"/>
      <c r="AM209" s="89"/>
      <c r="AN209" s="89"/>
      <c r="AO209" s="89"/>
    </row>
    <row r="210" spans="2:44" x14ac:dyDescent="0.3">
      <c r="D210" s="29" t="s">
        <v>275</v>
      </c>
      <c r="G210" s="13"/>
      <c r="J210" s="89"/>
      <c r="K210" s="89"/>
      <c r="L210" s="89"/>
      <c r="M210" s="89"/>
      <c r="N210" s="89"/>
      <c r="O210" s="89"/>
      <c r="P210" s="89"/>
      <c r="Q210" s="89"/>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row>
    <row r="211" spans="2:44" x14ac:dyDescent="0.3">
      <c r="G211" s="13"/>
      <c r="J211" s="89"/>
      <c r="K211" s="89"/>
      <c r="L211" s="89"/>
      <c r="M211" s="89"/>
      <c r="N211" s="89"/>
      <c r="O211" s="89"/>
      <c r="P211" s="89"/>
      <c r="Q211" s="89"/>
      <c r="R211" s="89"/>
      <c r="S211" s="89"/>
      <c r="T211" s="89"/>
      <c r="U211" s="89"/>
      <c r="V211" s="89"/>
      <c r="W211" s="89"/>
      <c r="X211" s="89"/>
      <c r="Y211" s="89"/>
      <c r="Z211" s="89"/>
      <c r="AA211" s="89"/>
      <c r="AB211" s="89"/>
      <c r="AC211" s="89"/>
      <c r="AD211" s="89"/>
      <c r="AE211" s="89"/>
      <c r="AF211" s="89"/>
      <c r="AG211" s="89"/>
      <c r="AH211" s="89"/>
      <c r="AI211" s="89"/>
      <c r="AJ211" s="89"/>
      <c r="AK211" s="89"/>
      <c r="AL211" s="89"/>
      <c r="AM211" s="89"/>
      <c r="AN211" s="89"/>
      <c r="AO211" s="89"/>
    </row>
    <row r="212" spans="2:44" ht="43.2" x14ac:dyDescent="0.3">
      <c r="F212" s="311"/>
      <c r="G212" s="311"/>
      <c r="H212" s="311"/>
      <c r="I212" s="311"/>
      <c r="J212" s="399" t="s">
        <v>913</v>
      </c>
      <c r="K212" s="399" t="s">
        <v>831</v>
      </c>
      <c r="L212" s="399" t="s">
        <v>914</v>
      </c>
      <c r="M212" s="399" t="s">
        <v>915</v>
      </c>
      <c r="N212" s="399" t="s">
        <v>916</v>
      </c>
      <c r="O212" s="399" t="s">
        <v>917</v>
      </c>
      <c r="P212" s="399" t="s">
        <v>918</v>
      </c>
      <c r="Q212" s="399" t="s">
        <v>832</v>
      </c>
      <c r="R212" s="399" t="s">
        <v>919</v>
      </c>
      <c r="S212" s="399" t="s">
        <v>920</v>
      </c>
      <c r="T212" s="399" t="s">
        <v>921</v>
      </c>
      <c r="U212" s="399" t="s">
        <v>922</v>
      </c>
      <c r="V212" s="399" t="s">
        <v>923</v>
      </c>
      <c r="W212" s="399" t="s">
        <v>924</v>
      </c>
      <c r="X212" s="399" t="s">
        <v>925</v>
      </c>
      <c r="Y212" s="399" t="s">
        <v>926</v>
      </c>
      <c r="Z212" s="399" t="s">
        <v>927</v>
      </c>
      <c r="AA212" s="399" t="s">
        <v>928</v>
      </c>
      <c r="AB212" s="399" t="s">
        <v>929</v>
      </c>
      <c r="AC212" s="399" t="s">
        <v>930</v>
      </c>
      <c r="AD212" s="399" t="s">
        <v>931</v>
      </c>
      <c r="AE212" s="399" t="s">
        <v>932</v>
      </c>
      <c r="AF212" s="399" t="s">
        <v>933</v>
      </c>
      <c r="AG212" s="399" t="s">
        <v>841</v>
      </c>
      <c r="AH212" s="399" t="s">
        <v>833</v>
      </c>
      <c r="AI212" s="399" t="s">
        <v>834</v>
      </c>
      <c r="AJ212" s="399" t="s">
        <v>835</v>
      </c>
      <c r="AK212" s="399" t="s">
        <v>844</v>
      </c>
      <c r="AL212" s="399" t="s">
        <v>836</v>
      </c>
      <c r="AM212" s="399" t="s">
        <v>843</v>
      </c>
      <c r="AN212" s="399" t="s">
        <v>837</v>
      </c>
      <c r="AO212" s="399" t="s">
        <v>842</v>
      </c>
      <c r="AP212" s="311"/>
      <c r="AQ212" s="311"/>
      <c r="AR212" s="311"/>
    </row>
    <row r="213" spans="2:44" x14ac:dyDescent="0.3">
      <c r="E213" s="28" t="s">
        <v>276</v>
      </c>
      <c r="F213" s="311"/>
      <c r="G213" s="311" t="s">
        <v>277</v>
      </c>
      <c r="H213" s="311"/>
      <c r="I213" s="311"/>
      <c r="J213" s="341"/>
      <c r="K213" s="341"/>
      <c r="L213" s="341"/>
      <c r="M213" s="341"/>
      <c r="N213" s="341"/>
      <c r="O213" s="341"/>
      <c r="P213" s="341"/>
      <c r="Q213" s="341"/>
      <c r="R213" s="341"/>
      <c r="S213" s="341"/>
      <c r="T213" s="341"/>
      <c r="U213" s="341"/>
      <c r="V213" s="341"/>
      <c r="W213" s="341"/>
      <c r="X213" s="341"/>
      <c r="Y213" s="341"/>
      <c r="Z213" s="341"/>
      <c r="AA213" s="341"/>
      <c r="AB213" s="341"/>
      <c r="AC213" s="341"/>
      <c r="AD213" s="341"/>
      <c r="AE213" s="341"/>
      <c r="AF213" s="341"/>
      <c r="AG213" s="341"/>
      <c r="AH213" s="341"/>
      <c r="AI213" s="341"/>
      <c r="AJ213" s="341"/>
      <c r="AK213" s="341"/>
      <c r="AL213" s="341"/>
      <c r="AM213" s="341"/>
      <c r="AN213" s="341"/>
      <c r="AO213" s="341"/>
      <c r="AP213" s="311"/>
      <c r="AQ213" s="311"/>
      <c r="AR213" s="311"/>
    </row>
    <row r="214" spans="2:44" x14ac:dyDescent="0.3">
      <c r="G214" s="13"/>
    </row>
    <row r="215" spans="2:44" x14ac:dyDescent="0.3">
      <c r="B215" s="30" t="s">
        <v>231</v>
      </c>
      <c r="C215" s="30"/>
      <c r="D215" s="30"/>
      <c r="E215" s="30"/>
      <c r="F215" s="30"/>
      <c r="G215" s="92"/>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row>
    <row r="216" spans="2:44" x14ac:dyDescent="0.3">
      <c r="G216" s="13"/>
    </row>
    <row r="217" spans="2:44" x14ac:dyDescent="0.3">
      <c r="E217" s="32" t="s">
        <v>1118</v>
      </c>
      <c r="G217" s="13"/>
    </row>
    <row r="218" spans="2:44" x14ac:dyDescent="0.3">
      <c r="E218" s="32"/>
      <c r="F218" s="78" t="s">
        <v>247</v>
      </c>
      <c r="G218" s="78" t="s">
        <v>209</v>
      </c>
      <c r="H218" s="422" t="b">
        <f>SUM(J169:N169)=1</f>
        <v>1</v>
      </c>
    </row>
    <row r="219" spans="2:44" x14ac:dyDescent="0.3">
      <c r="E219" s="32"/>
      <c r="F219" s="352" t="s">
        <v>248</v>
      </c>
      <c r="G219" s="352" t="s">
        <v>209</v>
      </c>
      <c r="H219" s="423" t="b">
        <f t="shared" ref="H219:H220" si="3">SUM(J170:N170)=1</f>
        <v>1</v>
      </c>
    </row>
    <row r="220" spans="2:44" x14ac:dyDescent="0.3">
      <c r="E220" s="32"/>
      <c r="F220" s="80" t="s">
        <v>249</v>
      </c>
      <c r="G220" s="80" t="s">
        <v>209</v>
      </c>
      <c r="H220" s="424" t="b">
        <f t="shared" si="3"/>
        <v>1</v>
      </c>
    </row>
    <row r="221" spans="2:44" x14ac:dyDescent="0.3">
      <c r="E221" s="261"/>
      <c r="F221" s="235"/>
      <c r="G221" s="235"/>
      <c r="H221" s="260"/>
    </row>
    <row r="222" spans="2:44" x14ac:dyDescent="0.3">
      <c r="E222" s="32" t="s">
        <v>1119</v>
      </c>
      <c r="G222" s="13"/>
    </row>
    <row r="223" spans="2:44" x14ac:dyDescent="0.3">
      <c r="E223" s="32"/>
      <c r="F223" s="78" t="s">
        <v>247</v>
      </c>
      <c r="G223" s="78" t="s">
        <v>209</v>
      </c>
      <c r="H223" s="422" t="b">
        <f>SUM(J174:N174)=1</f>
        <v>1</v>
      </c>
    </row>
    <row r="224" spans="2:44" x14ac:dyDescent="0.3">
      <c r="E224" s="32"/>
      <c r="F224" s="352" t="s">
        <v>248</v>
      </c>
      <c r="G224" s="352" t="s">
        <v>209</v>
      </c>
      <c r="H224" s="423" t="b">
        <f t="shared" ref="H224:H225" si="4">SUM(J175:N175)=1</f>
        <v>1</v>
      </c>
    </row>
    <row r="225" spans="2:43" x14ac:dyDescent="0.3">
      <c r="E225" s="32"/>
      <c r="F225" s="80" t="s">
        <v>249</v>
      </c>
      <c r="G225" s="80" t="s">
        <v>209</v>
      </c>
      <c r="H225" s="424" t="b">
        <f t="shared" si="4"/>
        <v>1</v>
      </c>
    </row>
    <row r="226" spans="2:43" x14ac:dyDescent="0.3">
      <c r="E226" s="261"/>
      <c r="F226" s="235"/>
      <c r="G226" s="235"/>
      <c r="H226" s="260"/>
    </row>
    <row r="227" spans="2:43" x14ac:dyDescent="0.3">
      <c r="E227" s="32" t="s">
        <v>1120</v>
      </c>
      <c r="G227" s="13"/>
    </row>
    <row r="228" spans="2:43" x14ac:dyDescent="0.3">
      <c r="E228" s="32"/>
      <c r="F228" s="78" t="s">
        <v>247</v>
      </c>
      <c r="G228" s="78" t="s">
        <v>209</v>
      </c>
      <c r="H228" s="422" t="b">
        <f>SUM(J179:N179)=1</f>
        <v>1</v>
      </c>
    </row>
    <row r="229" spans="2:43" x14ac:dyDescent="0.3">
      <c r="E229" s="32"/>
      <c r="F229" s="352" t="s">
        <v>248</v>
      </c>
      <c r="G229" s="352" t="s">
        <v>209</v>
      </c>
      <c r="H229" s="423" t="b">
        <f t="shared" ref="H229:H230" si="5">SUM(J180:N180)=1</f>
        <v>1</v>
      </c>
    </row>
    <row r="230" spans="2:43" x14ac:dyDescent="0.3">
      <c r="E230" s="32"/>
      <c r="F230" s="80" t="s">
        <v>249</v>
      </c>
      <c r="G230" s="80" t="s">
        <v>209</v>
      </c>
      <c r="H230" s="424" t="b">
        <f t="shared" si="5"/>
        <v>1</v>
      </c>
    </row>
    <row r="231" spans="2:43" x14ac:dyDescent="0.3">
      <c r="G231" s="13"/>
    </row>
    <row r="232" spans="2:43" x14ac:dyDescent="0.3">
      <c r="E232" t="s">
        <v>1121</v>
      </c>
      <c r="G232" s="6" t="s">
        <v>55</v>
      </c>
      <c r="H232" s="24">
        <f>COUNTIF(H218:H230,FALSE)</f>
        <v>0</v>
      </c>
    </row>
    <row r="233" spans="2:43" x14ac:dyDescent="0.3">
      <c r="G233" s="13"/>
    </row>
    <row r="234" spans="2:43" x14ac:dyDescent="0.3">
      <c r="E234" t="s">
        <v>232</v>
      </c>
      <c r="G234" s="6" t="s">
        <v>55</v>
      </c>
      <c r="H234" s="24">
        <f t="array" ref="H234">SUM(IF(ISERROR(H13:Y214), 1))</f>
        <v>0</v>
      </c>
    </row>
    <row r="235" spans="2:43" x14ac:dyDescent="0.3">
      <c r="G235" s="13"/>
    </row>
    <row r="236" spans="2:43" x14ac:dyDescent="0.3">
      <c r="E236" t="s">
        <v>239</v>
      </c>
      <c r="G236" s="6" t="s">
        <v>55</v>
      </c>
      <c r="H236" s="103">
        <f xml:space="preserve"> H232 + H234</f>
        <v>0</v>
      </c>
    </row>
    <row r="238" spans="2:43" x14ac:dyDescent="0.3">
      <c r="B238" s="30" t="s">
        <v>106</v>
      </c>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row>
    <row r="240" spans="2:43" x14ac:dyDescent="0.3">
      <c r="L240" s="89"/>
    </row>
    <row r="241" spans="12:13" x14ac:dyDescent="0.3">
      <c r="L241" s="89"/>
    </row>
    <row r="242" spans="12:13" x14ac:dyDescent="0.3">
      <c r="L242" s="89"/>
    </row>
    <row r="243" spans="12:13" x14ac:dyDescent="0.3">
      <c r="L243" s="89"/>
    </row>
    <row r="245" spans="12:13" x14ac:dyDescent="0.3">
      <c r="L245" s="89"/>
      <c r="M245" s="365"/>
    </row>
    <row r="246" spans="12:13" x14ac:dyDescent="0.3">
      <c r="L246" s="89"/>
      <c r="M246" s="365"/>
    </row>
    <row r="247" spans="12:13" x14ac:dyDescent="0.3">
      <c r="L247" s="89"/>
      <c r="M247" s="365"/>
    </row>
    <row r="248" spans="12:13" x14ac:dyDescent="0.3">
      <c r="L248" s="89"/>
      <c r="M248" s="365"/>
    </row>
    <row r="250" spans="12:13" x14ac:dyDescent="0.3">
      <c r="L250" s="89"/>
    </row>
    <row r="251" spans="12:13" x14ac:dyDescent="0.3">
      <c r="L251" s="89"/>
    </row>
    <row r="252" spans="12:13" x14ac:dyDescent="0.3">
      <c r="L252" s="89"/>
    </row>
    <row r="253" spans="12:13" x14ac:dyDescent="0.3">
      <c r="L253" s="89"/>
    </row>
    <row r="255" spans="12:13" x14ac:dyDescent="0.3">
      <c r="L255" s="89"/>
      <c r="M255" s="365"/>
    </row>
    <row r="256" spans="12:13" x14ac:dyDescent="0.3">
      <c r="L256" s="89"/>
      <c r="M256" s="365"/>
    </row>
    <row r="257" spans="12:13" x14ac:dyDescent="0.3">
      <c r="L257" s="89"/>
      <c r="M257" s="365"/>
    </row>
    <row r="258" spans="12:13" x14ac:dyDescent="0.3">
      <c r="L258" s="89"/>
      <c r="M258" s="365"/>
    </row>
  </sheetData>
  <sheetProtection formatCells="0" formatColumns="0" formatRows="0" sort="0" autoFilter="0"/>
  <conditionalFormatting sqref="A4:I4 AP4:XFD4">
    <cfRule type="expression" dxfId="206" priority="105">
      <formula>LEFT($A$4,1) &lt;&gt; "0"</formula>
    </cfRule>
  </conditionalFormatting>
  <conditionalFormatting sqref="N4:P4">
    <cfRule type="expression" dxfId="205" priority="68">
      <formula>LEFT($A$4,1) &lt;&gt; "0"</formula>
    </cfRule>
  </conditionalFormatting>
  <conditionalFormatting sqref="L4:M4">
    <cfRule type="expression" dxfId="204" priority="64">
      <formula>LEFT($A$4,1) &lt;&gt; "0"</formula>
    </cfRule>
  </conditionalFormatting>
  <conditionalFormatting sqref="J4:K4">
    <cfRule type="expression" dxfId="203" priority="60">
      <formula>LEFT($A$4,1) &lt;&gt; "0"</formula>
    </cfRule>
  </conditionalFormatting>
  <conditionalFormatting sqref="Q4">
    <cfRule type="expression" dxfId="202" priority="56">
      <formula>LEFT($A$4,1) &lt;&gt; "0"</formula>
    </cfRule>
  </conditionalFormatting>
  <conditionalFormatting sqref="R4:S4">
    <cfRule type="expression" dxfId="201" priority="55">
      <formula>LEFT($A$4,1) &lt;&gt; "0"</formula>
    </cfRule>
  </conditionalFormatting>
  <conditionalFormatting sqref="T4:U4">
    <cfRule type="expression" dxfId="200" priority="50">
      <formula>LEFT($A$4,1) &lt;&gt; "0"</formula>
    </cfRule>
  </conditionalFormatting>
  <conditionalFormatting sqref="V4:W4">
    <cfRule type="expression" dxfId="199" priority="45">
      <formula>LEFT($A$4,1) &lt;&gt; "0"</formula>
    </cfRule>
  </conditionalFormatting>
  <conditionalFormatting sqref="X4:AO4">
    <cfRule type="expression" dxfId="198" priority="39">
      <formula>LEFT($A$4,1) &lt;&gt; "0"</formula>
    </cfRule>
  </conditionalFormatting>
  <conditionalFormatting sqref="H232">
    <cfRule type="cellIs" dxfId="197" priority="4" operator="greaterThan">
      <formula>0</formula>
    </cfRule>
  </conditionalFormatting>
  <conditionalFormatting sqref="H234">
    <cfRule type="cellIs" dxfId="196" priority="3" operator="greaterThan">
      <formula>0</formula>
    </cfRule>
  </conditionalFormatting>
  <conditionalFormatting sqref="H236">
    <cfRule type="cellIs" dxfId="19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J16:P16 R15:Y16">
      <formula1>0</formula1>
      <formula2>1</formula2>
    </dataValidation>
    <dataValidation type="textLength" operator="equal" allowBlank="1" showInputMessage="1" showErrorMessage="1" error="This cell is not in use." sqref="Y185 Y207:AO207 Y193:AO193 Y190:Y191">
      <formula1>0</formula1>
    </dataValidation>
    <dataValidation type="decimal" operator="greaterThanOrEqual" allowBlank="1" showInputMessage="1" showErrorMessage="1" errorTitle="Invalid volume data" error="Invalid volume data (negative number or unused cell)." sqref="J190:Y191 J185:Y185 J207:AO207 J193:AO193 K179:N181 J182:Y182 J106:Y113 J88:Y95 J153:Y160 J97:Y104 J41:Y48 J135:Y142 J32:Y39 J59:Y66 J50:Y57 J70:Y77 J23:Y30 J126:Y133 J144:Y151 J117:Y124 J79:Y86 K169:N172 K174:N177 J187:Y188">
      <formula1>0</formula1>
    </dataValidation>
    <dataValidation allowBlank="1" sqref="J213:AO213"/>
    <dataValidation type="decimal" operator="greaterThanOrEqual" allowBlank="1" showInputMessage="1" showErrorMessage="1" sqref="Y182 Y124:Y160 Y15:Y116">
      <formula1>0</formula1>
    </dataValidation>
    <dataValidation type="decimal" allowBlank="1" showInputMessage="1" showErrorMessage="1" errorTitle="Invalid load factor" error="The load factor must be between 0% and 100%." sqref="J15:P15 Q15:Q16">
      <formula1>0</formula1>
      <formula2>1</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69"/>
  <sheetViews>
    <sheetView showGridLines="0" zoomScale="80" zoomScaleNormal="80" workbookViewId="0">
      <pane xSplit="9" ySplit="5" topLeftCell="L15" activePane="bottomRight" state="frozen"/>
      <selection pane="topRight"/>
      <selection pane="bottomLeft"/>
      <selection pane="bottomRight" activeCell="K21" sqref="K21:S21"/>
    </sheetView>
  </sheetViews>
  <sheetFormatPr defaultColWidth="0" defaultRowHeight="14.4" x14ac:dyDescent="0.3"/>
  <cols>
    <col min="1" max="5" width="2.5546875" customWidth="1"/>
    <col min="6" max="6" width="59.5546875" customWidth="1"/>
    <col min="7" max="8" width="20.5546875" customWidth="1"/>
    <col min="9" max="9" width="2.44140625" customWidth="1"/>
    <col min="10" max="19" width="17" customWidth="1"/>
    <col min="20" max="20" width="2.44140625" customWidth="1"/>
    <col min="21" max="21" width="50.5546875" customWidth="1"/>
    <col min="22" max="22" width="2.44140625" customWidth="1"/>
    <col min="23" max="27" width="20.5546875" hidden="1" customWidth="1"/>
    <col min="28" max="28" width="2.5546875" hidden="1" customWidth="1"/>
    <col min="29" max="256" width="20.5546875" hidden="1" customWidth="1"/>
    <col min="257" max="16384" width="9.21875" hidden="1"/>
  </cols>
  <sheetData>
    <row r="1" spans="1:27" s="1" customFormat="1" x14ac:dyDescent="0.3">
      <c r="A1" s="1" t="str">
        <f ca="1">MID(CELL("filename",A1),FIND("]",CELL("filename",A1))+1,255)</f>
        <v>Inputs by network level</v>
      </c>
    </row>
    <row r="2" spans="1:27" s="1" customFormat="1" x14ac:dyDescent="0.3">
      <c r="A2" s="1" t="str">
        <f>Cover!D21&amp;" - "&amp;Cover!D23</f>
        <v>WPD Mid West - April 22 Pricing</v>
      </c>
    </row>
    <row r="3" spans="1:27" s="5" customFormat="1" x14ac:dyDescent="0.3">
      <c r="A3" s="5" t="str">
        <f>Cover!D2&amp;" - "&amp;Cover!D8&amp;" v"&amp;Cover!D10&amp;" - "&amp;Cover!D19</f>
        <v>CDCM charging model - Release for charge setting v7 - 2022/23</v>
      </c>
    </row>
    <row r="4" spans="1:27" x14ac:dyDescent="0.3">
      <c r="A4" s="12" t="str">
        <f>H56 &amp; IF(H56 = 1, " issue", " issues") &amp;" identified in checks on this sheet"</f>
        <v>0 issues identified in checks on this sheet</v>
      </c>
      <c r="B4" s="13"/>
      <c r="C4" s="13"/>
      <c r="D4" s="13"/>
      <c r="E4" s="13"/>
      <c r="F4" s="13"/>
      <c r="G4" s="13"/>
      <c r="H4" s="14"/>
      <c r="I4" s="14"/>
      <c r="J4" s="13"/>
    </row>
    <row r="5" spans="1:27" x14ac:dyDescent="0.3">
      <c r="B5" s="59" t="s">
        <v>142</v>
      </c>
      <c r="C5" s="60"/>
      <c r="D5" s="60"/>
      <c r="E5" s="60"/>
      <c r="F5" s="60"/>
      <c r="G5" s="1" t="s">
        <v>143</v>
      </c>
      <c r="H5" s="93" t="s">
        <v>144</v>
      </c>
      <c r="I5" s="14"/>
      <c r="J5" s="93" t="s">
        <v>189</v>
      </c>
      <c r="K5" s="93" t="s">
        <v>191</v>
      </c>
      <c r="L5" s="93" t="s">
        <v>192</v>
      </c>
      <c r="M5" s="93" t="s">
        <v>193</v>
      </c>
      <c r="N5" s="93" t="s">
        <v>194</v>
      </c>
      <c r="O5" s="93" t="s">
        <v>195</v>
      </c>
      <c r="P5" s="93" t="s">
        <v>196</v>
      </c>
      <c r="Q5" s="93" t="s">
        <v>197</v>
      </c>
      <c r="R5" s="93" t="s">
        <v>198</v>
      </c>
      <c r="S5" s="93" t="s">
        <v>199</v>
      </c>
      <c r="U5" s="61" t="s">
        <v>145</v>
      </c>
    </row>
    <row r="7" spans="1:27" x14ac:dyDescent="0.3">
      <c r="B7" s="30" t="s">
        <v>10</v>
      </c>
      <c r="C7" s="30"/>
      <c r="D7" s="30"/>
      <c r="E7" s="30"/>
      <c r="F7" s="30"/>
      <c r="G7" s="30"/>
      <c r="H7" s="30"/>
      <c r="I7" s="30"/>
      <c r="J7" s="30"/>
      <c r="K7" s="30"/>
      <c r="L7" s="30"/>
      <c r="M7" s="30"/>
      <c r="N7" s="30"/>
      <c r="O7" s="30"/>
      <c r="P7" s="30"/>
      <c r="Q7" s="30"/>
      <c r="R7" s="30"/>
      <c r="S7" s="30"/>
      <c r="T7" s="30"/>
      <c r="U7" s="30"/>
      <c r="W7" s="30"/>
      <c r="X7" s="30"/>
      <c r="Y7" s="30"/>
      <c r="Z7" s="30"/>
      <c r="AA7" s="30"/>
    </row>
    <row r="9" spans="1:27" x14ac:dyDescent="0.3">
      <c r="C9" s="29" t="s">
        <v>278</v>
      </c>
    </row>
    <row r="11" spans="1:27" x14ac:dyDescent="0.3">
      <c r="B11" s="30" t="s">
        <v>58</v>
      </c>
      <c r="C11" s="30"/>
      <c r="D11" s="30"/>
      <c r="E11" s="30"/>
      <c r="F11" s="30"/>
      <c r="G11" s="30"/>
      <c r="H11" s="30"/>
      <c r="I11" s="30"/>
      <c r="J11" s="30"/>
      <c r="K11" s="30"/>
      <c r="L11" s="30"/>
      <c r="M11" s="30"/>
      <c r="N11" s="30"/>
      <c r="O11" s="30"/>
      <c r="P11" s="30"/>
      <c r="Q11" s="30"/>
      <c r="R11" s="30"/>
      <c r="S11" s="30"/>
      <c r="T11" s="30"/>
      <c r="U11" s="30"/>
      <c r="W11" s="30"/>
      <c r="X11" s="30"/>
      <c r="Y11" s="30"/>
      <c r="Z11" s="30"/>
      <c r="AA11" s="30"/>
    </row>
    <row r="13" spans="1:27" x14ac:dyDescent="0.3">
      <c r="C13" s="31" t="str">
        <f ca="1">INDEX('Version control'!$H$34:$H$57,MATCH($A$1,'Version control'!$F$34:$F$57,0),1)&amp;"-A: Network and load inputs"</f>
        <v>Input 103-A: Network and load inputs</v>
      </c>
      <c r="D13" s="31"/>
      <c r="E13" s="31"/>
      <c r="F13" s="31"/>
      <c r="G13" s="31"/>
      <c r="H13" s="31"/>
      <c r="I13" s="31"/>
      <c r="J13" s="31"/>
      <c r="K13" s="31"/>
      <c r="L13" s="31"/>
      <c r="M13" s="31"/>
      <c r="N13" s="31"/>
      <c r="O13" s="31"/>
      <c r="P13" s="31"/>
      <c r="Q13" s="31"/>
      <c r="R13" s="31"/>
      <c r="S13" s="31"/>
      <c r="T13" s="31"/>
      <c r="U13" s="31"/>
      <c r="W13" s="30"/>
      <c r="X13" s="30"/>
      <c r="Y13" s="30"/>
      <c r="Z13" s="30"/>
      <c r="AA13" s="30"/>
    </row>
    <row r="15" spans="1:27" x14ac:dyDescent="0.3">
      <c r="E15" s="28" t="s">
        <v>279</v>
      </c>
      <c r="G15" s="28" t="s">
        <v>167</v>
      </c>
      <c r="I15" t="s">
        <v>154</v>
      </c>
      <c r="J15" s="94"/>
      <c r="K15" s="259">
        <v>5.649040831841079E-2</v>
      </c>
      <c r="L15" s="259">
        <v>2.5568682496299511E-2</v>
      </c>
      <c r="M15" s="94"/>
      <c r="N15" s="259">
        <v>2.6631596666738533E-2</v>
      </c>
      <c r="O15" s="94"/>
      <c r="P15" s="77"/>
      <c r="Q15" s="259">
        <v>0.34000000000000008</v>
      </c>
      <c r="R15" s="66"/>
      <c r="S15" s="66"/>
      <c r="U15" s="63" t="s">
        <v>280</v>
      </c>
    </row>
    <row r="17" spans="3:27" x14ac:dyDescent="0.3">
      <c r="E17" s="28" t="s">
        <v>281</v>
      </c>
      <c r="G17" s="28" t="s">
        <v>167</v>
      </c>
      <c r="H17" s="28"/>
      <c r="I17" s="95"/>
      <c r="J17" s="94"/>
      <c r="K17" s="66"/>
      <c r="L17" s="66"/>
      <c r="M17" s="66"/>
      <c r="N17" s="66"/>
      <c r="O17" s="66"/>
      <c r="P17" s="259">
        <v>0.69256562916818787</v>
      </c>
      <c r="Q17" s="66"/>
      <c r="R17" s="66"/>
      <c r="S17" s="66"/>
    </row>
    <row r="19" spans="3:27" x14ac:dyDescent="0.3">
      <c r="E19" s="28" t="s">
        <v>282</v>
      </c>
      <c r="G19" s="28" t="s">
        <v>283</v>
      </c>
      <c r="I19" t="s">
        <v>154</v>
      </c>
      <c r="J19" s="79"/>
      <c r="K19" s="254">
        <v>1</v>
      </c>
      <c r="L19" s="254">
        <v>1.0049999999999999</v>
      </c>
      <c r="M19" s="254">
        <v>1.0089999999999999</v>
      </c>
      <c r="N19" s="254">
        <v>1.0269999999999999</v>
      </c>
      <c r="O19" s="254">
        <v>1.0329999999999999</v>
      </c>
      <c r="P19" s="79"/>
      <c r="Q19" s="254">
        <v>1.0509999999999999</v>
      </c>
      <c r="R19" s="254">
        <v>1.0669999999999999</v>
      </c>
      <c r="S19" s="254">
        <v>1.0900000000000001</v>
      </c>
      <c r="U19" s="63" t="s">
        <v>284</v>
      </c>
    </row>
    <row r="20" spans="3:27" x14ac:dyDescent="0.3">
      <c r="J20" s="89"/>
      <c r="K20" s="89"/>
      <c r="L20" s="89"/>
      <c r="M20" s="89"/>
      <c r="N20" s="89"/>
      <c r="O20" s="89"/>
      <c r="P20" s="89"/>
      <c r="Q20" s="89"/>
      <c r="R20" s="89"/>
      <c r="S20" s="89"/>
    </row>
    <row r="21" spans="3:27" x14ac:dyDescent="0.3">
      <c r="E21" s="28" t="s">
        <v>285</v>
      </c>
      <c r="G21" s="28" t="s">
        <v>286</v>
      </c>
      <c r="I21" t="s">
        <v>154</v>
      </c>
      <c r="J21" s="79"/>
      <c r="K21" s="254">
        <v>0.29001352857580265</v>
      </c>
      <c r="L21" s="254">
        <v>0.29001352857580265</v>
      </c>
      <c r="M21" s="254">
        <v>0.29001352857580265</v>
      </c>
      <c r="N21" s="254">
        <v>0.29001352857580265</v>
      </c>
      <c r="O21" s="254">
        <v>0.29001352857580265</v>
      </c>
      <c r="P21" s="254">
        <v>0.29001352857580265</v>
      </c>
      <c r="Q21" s="254">
        <v>0.29001352857580265</v>
      </c>
      <c r="R21" s="254">
        <v>0.29001352857580265</v>
      </c>
      <c r="S21" s="254">
        <v>0.29001352857580265</v>
      </c>
      <c r="U21" s="63" t="s">
        <v>287</v>
      </c>
    </row>
    <row r="23" spans="3:27" x14ac:dyDescent="0.3">
      <c r="C23" s="31" t="str">
        <f ca="1">INDEX('Version control'!$H$34:$H$57,MATCH($A$1,'Version control'!$F$34:$F$57,0),1)&amp;"-B: Customer contributions under current connection charging policy"</f>
        <v>Input 103-B: Customer contributions under current connection charging policy</v>
      </c>
      <c r="D23" s="31"/>
      <c r="E23" s="31"/>
      <c r="F23" s="31"/>
      <c r="G23" s="31"/>
      <c r="H23" s="31"/>
      <c r="I23" s="31"/>
      <c r="J23" s="31"/>
      <c r="K23" s="31"/>
      <c r="L23" s="31"/>
      <c r="M23" s="31"/>
      <c r="N23" s="31"/>
      <c r="O23" s="31"/>
      <c r="P23" s="31"/>
      <c r="Q23" s="31"/>
      <c r="R23" s="31"/>
      <c r="S23" s="31"/>
      <c r="T23" s="31"/>
      <c r="U23" s="31"/>
      <c r="W23" s="30"/>
      <c r="X23" s="30"/>
      <c r="Y23" s="30"/>
      <c r="Z23" s="30"/>
      <c r="AA23" s="30"/>
    </row>
    <row r="24" spans="3:27" x14ac:dyDescent="0.3">
      <c r="C24" s="32"/>
      <c r="I24" t="s">
        <v>154</v>
      </c>
      <c r="U24" t="s">
        <v>288</v>
      </c>
    </row>
    <row r="25" spans="3:27" x14ac:dyDescent="0.3">
      <c r="C25" s="32"/>
      <c r="E25" s="32" t="s">
        <v>289</v>
      </c>
    </row>
    <row r="26" spans="3:27" x14ac:dyDescent="0.3">
      <c r="F26" s="64" t="s">
        <v>186</v>
      </c>
      <c r="G26" s="64" t="s">
        <v>167</v>
      </c>
      <c r="H26" s="23"/>
      <c r="I26" s="23"/>
      <c r="J26" s="65"/>
      <c r="K26" s="65"/>
      <c r="L26" s="257">
        <v>0</v>
      </c>
      <c r="M26" s="257">
        <v>0</v>
      </c>
      <c r="N26" s="257">
        <v>0</v>
      </c>
      <c r="O26" s="257">
        <v>0</v>
      </c>
      <c r="P26" s="257">
        <v>0</v>
      </c>
      <c r="Q26" s="257">
        <v>0.38684969697494365</v>
      </c>
      <c r="R26" s="257">
        <v>0.64124825573068889</v>
      </c>
      <c r="S26" s="257">
        <v>0.89564681448643413</v>
      </c>
    </row>
    <row r="27" spans="3:27" x14ac:dyDescent="0.3">
      <c r="F27" s="28" t="s">
        <v>185</v>
      </c>
      <c r="G27" s="28" t="s">
        <v>167</v>
      </c>
      <c r="J27" s="66"/>
      <c r="K27" s="66"/>
      <c r="L27" s="252">
        <v>0</v>
      </c>
      <c r="M27" s="252">
        <v>0</v>
      </c>
      <c r="N27" s="252">
        <v>0</v>
      </c>
      <c r="O27" s="252">
        <v>0</v>
      </c>
      <c r="P27" s="252">
        <v>0</v>
      </c>
      <c r="Q27" s="252">
        <v>0.38684969697494365</v>
      </c>
      <c r="R27" s="252">
        <v>0.64124825573068889</v>
      </c>
      <c r="S27" s="70"/>
    </row>
    <row r="28" spans="3:27" x14ac:dyDescent="0.3">
      <c r="F28" s="28" t="s">
        <v>184</v>
      </c>
      <c r="G28" s="28" t="s">
        <v>167</v>
      </c>
      <c r="J28" s="66"/>
      <c r="K28" s="66"/>
      <c r="L28" s="252">
        <v>0</v>
      </c>
      <c r="M28" s="252">
        <v>0</v>
      </c>
      <c r="N28" s="252">
        <v>0</v>
      </c>
      <c r="O28" s="252">
        <v>0.25764106948138837</v>
      </c>
      <c r="P28" s="252">
        <v>0.25764106948138837</v>
      </c>
      <c r="Q28" s="252">
        <v>0.51528213896277675</v>
      </c>
      <c r="R28" s="70"/>
      <c r="S28" s="70"/>
    </row>
    <row r="29" spans="3:27" x14ac:dyDescent="0.3">
      <c r="F29" s="67" t="s">
        <v>183</v>
      </c>
      <c r="G29" s="67" t="s">
        <v>167</v>
      </c>
      <c r="H29" s="37"/>
      <c r="I29" s="37"/>
      <c r="J29" s="68"/>
      <c r="K29" s="68"/>
      <c r="L29" s="258">
        <v>0</v>
      </c>
      <c r="M29" s="258">
        <v>0</v>
      </c>
      <c r="N29" s="258">
        <v>0</v>
      </c>
      <c r="O29" s="258">
        <v>0.25764106948138837</v>
      </c>
      <c r="P29" s="71"/>
      <c r="Q29" s="71"/>
      <c r="R29" s="71"/>
      <c r="S29" s="71"/>
    </row>
    <row r="31" spans="3:27" x14ac:dyDescent="0.3">
      <c r="C31" s="31" t="str">
        <f ca="1">INDEX('Version control'!$H$34:$H$57,MATCH($A$1,'Version control'!$F$34:$F$57,0),1)&amp;"-C: DRM asset costs"</f>
        <v>Input 103-C: DRM asset costs</v>
      </c>
      <c r="D31" s="31"/>
      <c r="E31" s="31"/>
      <c r="F31" s="31"/>
      <c r="G31" s="31"/>
      <c r="H31" s="31"/>
      <c r="I31" s="31"/>
      <c r="J31" s="31"/>
      <c r="K31" s="31"/>
      <c r="L31" s="31"/>
      <c r="M31" s="31"/>
      <c r="N31" s="31"/>
      <c r="O31" s="31"/>
      <c r="P31" s="31"/>
      <c r="Q31" s="31"/>
      <c r="R31" s="31"/>
      <c r="S31" s="31"/>
      <c r="T31" s="31"/>
      <c r="U31" s="31"/>
      <c r="W31" s="30"/>
      <c r="X31" s="30"/>
      <c r="Y31" s="30"/>
      <c r="Z31" s="30"/>
      <c r="AA31" s="30"/>
    </row>
    <row r="33" spans="2:27" x14ac:dyDescent="0.3">
      <c r="E33" s="28" t="s">
        <v>290</v>
      </c>
      <c r="G33" s="28" t="s">
        <v>277</v>
      </c>
      <c r="I33" t="s">
        <v>154</v>
      </c>
      <c r="J33" s="79"/>
      <c r="K33" s="79"/>
      <c r="L33" s="254">
        <v>50859316.660207875</v>
      </c>
      <c r="M33" s="254">
        <v>12040801.082095377</v>
      </c>
      <c r="N33" s="254">
        <v>12238674.082866751</v>
      </c>
      <c r="O33" s="254">
        <v>23592346.894599915</v>
      </c>
      <c r="P33" s="254">
        <v>25187654.921688259</v>
      </c>
      <c r="Q33" s="254">
        <v>150548924.49464691</v>
      </c>
      <c r="R33" s="254">
        <v>73348598.858690292</v>
      </c>
      <c r="S33" s="254">
        <v>168369595.05154186</v>
      </c>
    </row>
    <row r="35" spans="2:27" x14ac:dyDescent="0.3">
      <c r="C35" s="31" t="str">
        <f ca="1">INDEX('Version control'!$H$34:$H$57,MATCH($A$1,'Version control'!$F$34:$F$57,0),1)&amp;"-D: Peaking probabilities by network level"</f>
        <v>Input 103-D: Peaking probabilities by network level</v>
      </c>
      <c r="D35" s="31"/>
      <c r="E35" s="31"/>
      <c r="F35" s="31"/>
      <c r="G35" s="31"/>
      <c r="H35" s="31"/>
      <c r="I35" s="31"/>
      <c r="J35" s="31"/>
      <c r="K35" s="31"/>
      <c r="L35" s="31"/>
      <c r="M35" s="31"/>
      <c r="N35" s="31"/>
      <c r="O35" s="31"/>
      <c r="P35" s="31"/>
      <c r="Q35" s="31"/>
      <c r="R35" s="31"/>
      <c r="S35" s="31"/>
      <c r="T35" s="31"/>
      <c r="U35" s="31"/>
      <c r="W35" s="30"/>
      <c r="X35" s="30"/>
      <c r="Y35" s="30"/>
      <c r="Z35" s="30"/>
      <c r="AA35" s="30"/>
    </row>
    <row r="37" spans="2:27" x14ac:dyDescent="0.3">
      <c r="D37" s="29" t="s">
        <v>291</v>
      </c>
    </row>
    <row r="38" spans="2:27" x14ac:dyDescent="0.3">
      <c r="C38" s="29"/>
    </row>
    <row r="39" spans="2:27" x14ac:dyDescent="0.3">
      <c r="D39" s="32"/>
      <c r="E39" s="32" t="s">
        <v>292</v>
      </c>
      <c r="I39" t="s">
        <v>154</v>
      </c>
      <c r="U39" t="s">
        <v>293</v>
      </c>
    </row>
    <row r="40" spans="2:27" x14ac:dyDescent="0.3">
      <c r="F40" s="23" t="s">
        <v>294</v>
      </c>
      <c r="G40" s="78" t="s">
        <v>167</v>
      </c>
      <c r="H40" s="23"/>
      <c r="I40" s="23"/>
      <c r="J40" s="65"/>
      <c r="K40" s="257">
        <v>0.67962169758696023</v>
      </c>
      <c r="L40" s="257">
        <v>0.57259913549562458</v>
      </c>
      <c r="M40" s="257">
        <v>0.57259913549562458</v>
      </c>
      <c r="N40" s="257">
        <v>0.61149906551342081</v>
      </c>
      <c r="O40" s="257">
        <v>0.61149906551342081</v>
      </c>
      <c r="P40" s="257">
        <v>0.57259913549562458</v>
      </c>
      <c r="Q40" s="257">
        <v>0.61149906551342081</v>
      </c>
      <c r="R40" s="257">
        <v>0.61149906551342081</v>
      </c>
      <c r="S40" s="257">
        <v>0.61149906551342081</v>
      </c>
    </row>
    <row r="41" spans="2:27" x14ac:dyDescent="0.3">
      <c r="F41" t="s">
        <v>295</v>
      </c>
      <c r="G41" s="72" t="s">
        <v>167</v>
      </c>
      <c r="J41" s="66"/>
      <c r="K41" s="252">
        <v>0.32037830241303972</v>
      </c>
      <c r="L41" s="252">
        <v>0.39711140438484333</v>
      </c>
      <c r="M41" s="252">
        <v>0.39711140438484333</v>
      </c>
      <c r="N41" s="252">
        <v>0.30834923604054471</v>
      </c>
      <c r="O41" s="252">
        <v>0.30834923604054471</v>
      </c>
      <c r="P41" s="252">
        <v>0.39711140438484333</v>
      </c>
      <c r="Q41" s="252">
        <v>0.30834923604054471</v>
      </c>
      <c r="R41" s="252">
        <v>0.30834923604054471</v>
      </c>
      <c r="S41" s="252">
        <v>0.30834923604054471</v>
      </c>
    </row>
    <row r="42" spans="2:27" x14ac:dyDescent="0.3">
      <c r="F42" s="37" t="s">
        <v>257</v>
      </c>
      <c r="G42" s="80" t="s">
        <v>167</v>
      </c>
      <c r="H42" s="37"/>
      <c r="I42" s="37"/>
      <c r="J42" s="68"/>
      <c r="K42" s="258">
        <v>0</v>
      </c>
      <c r="L42" s="258">
        <v>3.0289460119532003E-2</v>
      </c>
      <c r="M42" s="258">
        <v>3.0289460119532003E-2</v>
      </c>
      <c r="N42" s="258">
        <v>8.0151698446034286E-2</v>
      </c>
      <c r="O42" s="258">
        <v>8.0151698446034286E-2</v>
      </c>
      <c r="P42" s="258">
        <v>3.0289460119532003E-2</v>
      </c>
      <c r="Q42" s="258">
        <v>8.0151698446034286E-2</v>
      </c>
      <c r="R42" s="258">
        <v>8.0151698446034286E-2</v>
      </c>
      <c r="S42" s="258">
        <v>8.0151698446034286E-2</v>
      </c>
    </row>
    <row r="43" spans="2:27" x14ac:dyDescent="0.3">
      <c r="F43" s="37" t="s">
        <v>296</v>
      </c>
      <c r="G43" s="80" t="s">
        <v>167</v>
      </c>
      <c r="H43" s="37"/>
      <c r="I43" s="37"/>
      <c r="J43" s="68"/>
      <c r="K43" s="258">
        <v>0.52112302627959961</v>
      </c>
      <c r="L43" s="258">
        <v>0.55851896623370301</v>
      </c>
      <c r="M43" s="258">
        <v>0.55851896623370301</v>
      </c>
      <c r="N43" s="258">
        <v>0.60075573288312512</v>
      </c>
      <c r="O43" s="258">
        <v>0.60075573288312512</v>
      </c>
      <c r="P43" s="258">
        <v>0.55851896623370301</v>
      </c>
      <c r="Q43" s="258">
        <v>0.60075573288312512</v>
      </c>
      <c r="R43" s="258">
        <v>0.60075573288312512</v>
      </c>
      <c r="S43" s="258">
        <v>0.60075573288312512</v>
      </c>
    </row>
    <row r="45" spans="2:27" x14ac:dyDescent="0.3">
      <c r="B45" s="30" t="s">
        <v>231</v>
      </c>
      <c r="C45" s="30"/>
      <c r="D45" s="30"/>
      <c r="E45" s="30"/>
      <c r="F45" s="30"/>
      <c r="G45" s="30"/>
      <c r="H45" s="30"/>
      <c r="I45" s="30"/>
      <c r="J45" s="30"/>
      <c r="K45" s="30"/>
      <c r="L45" s="30"/>
      <c r="M45" s="30"/>
      <c r="N45" s="30"/>
      <c r="O45" s="30"/>
      <c r="P45" s="30"/>
      <c r="Q45" s="30"/>
      <c r="R45" s="30"/>
      <c r="S45" s="30"/>
      <c r="T45" s="30"/>
      <c r="U45" s="30"/>
      <c r="W45" s="30"/>
      <c r="X45" s="30"/>
      <c r="Y45" s="30"/>
      <c r="Z45" s="30"/>
      <c r="AA45" s="30"/>
    </row>
    <row r="47" spans="2:27" x14ac:dyDescent="0.3">
      <c r="E47" t="s">
        <v>232</v>
      </c>
      <c r="G47" s="6" t="s">
        <v>55</v>
      </c>
      <c r="H47" s="24">
        <f t="array" ref="H47">SUM(IF(ISERROR(H15:AA44), 1))</f>
        <v>0</v>
      </c>
    </row>
    <row r="49" spans="2:27" x14ac:dyDescent="0.3">
      <c r="E49" t="s">
        <v>297</v>
      </c>
      <c r="G49" s="6" t="s">
        <v>55</v>
      </c>
      <c r="H49" s="24">
        <f>IF(K19 = 1, 0, 1)</f>
        <v>0</v>
      </c>
    </row>
    <row r="51" spans="2:27" x14ac:dyDescent="0.3">
      <c r="E51" s="32" t="s">
        <v>298</v>
      </c>
    </row>
    <row r="52" spans="2:27" x14ac:dyDescent="0.3">
      <c r="E52" s="29" t="s">
        <v>299</v>
      </c>
    </row>
    <row r="53" spans="2:27" x14ac:dyDescent="0.3">
      <c r="F53" s="23" t="s">
        <v>300</v>
      </c>
      <c r="G53" s="73" t="s">
        <v>55</v>
      </c>
      <c r="H53" s="74">
        <f>SUM(K53:S53)</f>
        <v>0</v>
      </c>
      <c r="I53" s="23"/>
      <c r="J53" s="65"/>
      <c r="K53" s="74">
        <f>IF(ABS(SUM(K40:K42) - 1) &lt; 10^-check_decimals, 0, 1)</f>
        <v>0</v>
      </c>
      <c r="L53" s="65"/>
      <c r="M53" s="65"/>
      <c r="N53" s="74">
        <f>IF(ABS(SUM(N40:N42) - 1) &lt; 10^-check_decimals, 0, 1)</f>
        <v>0</v>
      </c>
      <c r="O53" s="74">
        <f>IF(ABS(SUM(O40:O42) - 1) &lt; 10^-check_decimals, 0, 1)</f>
        <v>0</v>
      </c>
      <c r="P53" s="65"/>
      <c r="Q53" s="74">
        <f>IF(ABS(SUM(Q40:Q42) - 1) &lt; 10^-check_decimals, 0, 1)</f>
        <v>0</v>
      </c>
      <c r="R53" s="74">
        <f>IF(ABS(SUM(R40:R42) - 1) &lt; 10^-check_decimals, 0, 1)</f>
        <v>0</v>
      </c>
      <c r="S53" s="74">
        <f>IF(ABS(SUM(S40:S42) - 1) &lt; 10^-check_decimals, 0, 1)</f>
        <v>0</v>
      </c>
    </row>
    <row r="54" spans="2:27" x14ac:dyDescent="0.3">
      <c r="F54" s="37" t="s">
        <v>192</v>
      </c>
      <c r="G54" s="50" t="s">
        <v>55</v>
      </c>
      <c r="H54" s="75">
        <f>SUM(K54:S54)</f>
        <v>0</v>
      </c>
      <c r="I54" s="37"/>
      <c r="J54" s="68"/>
      <c r="K54" s="68"/>
      <c r="L54" s="75">
        <f>IF(OR(ABS(SUM(L40:L42) - 1) &lt; 10^-check_decimals, ABS(SUM(L40:L42) - 0) &lt; 10^-check_decimals), 0, 1)</f>
        <v>0</v>
      </c>
      <c r="M54" s="75">
        <f>IF(OR(ABS(SUM(M40:M42) - 1) &lt; 10^-check_decimals, ABS(SUM(M40:M42) - 0) &lt; 10^-check_decimals), 0, 1)</f>
        <v>0</v>
      </c>
      <c r="N54" s="68"/>
      <c r="O54" s="68"/>
      <c r="P54" s="75">
        <f>IF(OR(ABS(SUM(P40:P42) - 1) &lt; 10^-check_decimals, ABS(SUM(P40:P42) - 0) &lt; 10^-check_decimals), 0, 1)</f>
        <v>0</v>
      </c>
      <c r="Q54" s="68"/>
      <c r="R54" s="68"/>
      <c r="S54" s="68"/>
    </row>
    <row r="56" spans="2:27" x14ac:dyDescent="0.3">
      <c r="E56" t="s">
        <v>239</v>
      </c>
      <c r="G56" s="6" t="s">
        <v>55</v>
      </c>
      <c r="H56" s="103">
        <f>SUM(H47:H54)</f>
        <v>0</v>
      </c>
    </row>
    <row r="58" spans="2:27" x14ac:dyDescent="0.3">
      <c r="B58" s="30" t="s">
        <v>106</v>
      </c>
      <c r="C58" s="30"/>
      <c r="D58" s="30"/>
      <c r="E58" s="30"/>
      <c r="F58" s="30"/>
      <c r="G58" s="30"/>
      <c r="H58" s="30"/>
      <c r="I58" s="30"/>
      <c r="J58" s="30"/>
      <c r="K58" s="30"/>
      <c r="L58" s="30"/>
      <c r="M58" s="30"/>
      <c r="N58" s="30"/>
      <c r="O58" s="30"/>
      <c r="P58" s="30"/>
      <c r="Q58" s="30"/>
      <c r="R58" s="30"/>
      <c r="S58" s="30"/>
      <c r="T58" s="30"/>
      <c r="U58" s="30"/>
      <c r="W58" s="30"/>
      <c r="X58" s="30"/>
      <c r="Y58" s="30"/>
      <c r="Z58" s="30"/>
      <c r="AA58" s="30"/>
    </row>
    <row r="61" spans="2:27" x14ac:dyDescent="0.3">
      <c r="K61" s="84"/>
      <c r="L61" s="84"/>
      <c r="M61" s="84"/>
      <c r="O61" s="84"/>
      <c r="P61" s="84"/>
      <c r="Q61" s="84"/>
      <c r="R61" s="84"/>
    </row>
    <row r="62" spans="2:27" x14ac:dyDescent="0.3">
      <c r="K62" s="84"/>
      <c r="L62" s="84"/>
      <c r="M62" s="84"/>
      <c r="O62" s="84"/>
      <c r="P62" s="84"/>
      <c r="Q62" s="84"/>
      <c r="R62" s="84"/>
    </row>
    <row r="63" spans="2:27" x14ac:dyDescent="0.3">
      <c r="K63" s="84"/>
      <c r="L63" s="84"/>
      <c r="M63" s="84"/>
      <c r="O63" s="84"/>
      <c r="P63" s="84"/>
      <c r="Q63" s="84"/>
      <c r="R63" s="84"/>
    </row>
    <row r="64" spans="2:27" x14ac:dyDescent="0.3">
      <c r="K64" s="84"/>
      <c r="L64" s="84"/>
      <c r="M64" s="84"/>
      <c r="O64" s="84"/>
      <c r="P64" s="84"/>
      <c r="Q64" s="84"/>
      <c r="R64" s="84"/>
    </row>
    <row r="65" spans="11:18" x14ac:dyDescent="0.3">
      <c r="K65" s="84"/>
      <c r="L65" s="84"/>
      <c r="M65" s="84"/>
      <c r="O65" s="84"/>
      <c r="P65" s="84"/>
      <c r="Q65" s="84"/>
      <c r="R65" s="84"/>
    </row>
    <row r="66" spans="11:18" x14ac:dyDescent="0.3">
      <c r="K66" s="84"/>
      <c r="L66" s="84"/>
      <c r="M66" s="84"/>
      <c r="O66" s="84"/>
      <c r="P66" s="84"/>
      <c r="Q66" s="84"/>
      <c r="R66" s="84"/>
    </row>
    <row r="67" spans="11:18" x14ac:dyDescent="0.3">
      <c r="K67" s="84"/>
      <c r="L67" s="84"/>
      <c r="M67" s="84"/>
      <c r="O67" s="84"/>
      <c r="P67" s="84"/>
      <c r="Q67" s="84"/>
      <c r="R67" s="84"/>
    </row>
    <row r="68" spans="11:18" x14ac:dyDescent="0.3">
      <c r="K68" s="84"/>
      <c r="L68" s="84"/>
      <c r="M68" s="84"/>
      <c r="O68" s="84"/>
      <c r="P68" s="84"/>
      <c r="Q68" s="84"/>
      <c r="R68" s="84"/>
    </row>
    <row r="69" spans="11:18" x14ac:dyDescent="0.3">
      <c r="K69" s="84"/>
      <c r="L69" s="84"/>
      <c r="M69" s="84"/>
      <c r="O69" s="84"/>
      <c r="P69" s="84"/>
      <c r="Q69" s="84"/>
      <c r="R69" s="84"/>
    </row>
  </sheetData>
  <sheetProtection formatCells="0" formatColumns="0" formatRows="0" sort="0" autoFilter="0"/>
  <conditionalFormatting sqref="H53 K53 N53:O53">
    <cfRule type="cellIs" dxfId="194" priority="14" operator="greaterThan">
      <formula>0</formula>
    </cfRule>
  </conditionalFormatting>
  <conditionalFormatting sqref="H47">
    <cfRule type="cellIs" dxfId="193" priority="12" operator="greaterThan">
      <formula>0</formula>
    </cfRule>
  </conditionalFormatting>
  <conditionalFormatting sqref="Q53:S53">
    <cfRule type="cellIs" dxfId="192" priority="11" operator="greaterThan">
      <formula>0</formula>
    </cfRule>
  </conditionalFormatting>
  <conditionalFormatting sqref="H54">
    <cfRule type="cellIs" dxfId="191" priority="9" operator="greaterThan">
      <formula>0</formula>
    </cfRule>
  </conditionalFormatting>
  <conditionalFormatting sqref="P54">
    <cfRule type="cellIs" dxfId="190" priority="7" operator="greaterThan">
      <formula>0</formula>
    </cfRule>
  </conditionalFormatting>
  <conditionalFormatting sqref="M54">
    <cfRule type="cellIs" dxfId="189" priority="6" operator="greaterThan">
      <formula>0</formula>
    </cfRule>
  </conditionalFormatting>
  <conditionalFormatting sqref="L54">
    <cfRule type="cellIs" dxfId="188" priority="5" operator="greaterThan">
      <formula>0</formula>
    </cfRule>
  </conditionalFormatting>
  <conditionalFormatting sqref="H49">
    <cfRule type="cellIs" dxfId="187" priority="3" operator="greaterThan">
      <formula>0</formula>
    </cfRule>
  </conditionalFormatting>
  <conditionalFormatting sqref="A4:XFD4">
    <cfRule type="expression" dxfId="186" priority="2">
      <formula>LEFT($A$4,1) &lt;&gt; "0"</formula>
    </cfRule>
  </conditionalFormatting>
  <conditionalFormatting sqref="H56">
    <cfRule type="cellIs" dxfId="185" priority="1" operator="greaterThan">
      <formula>0</formula>
    </cfRule>
  </conditionalFormatting>
  <dataValidations count="8">
    <dataValidation type="decimal" operator="greaterThan" allowBlank="1" showInputMessage="1" showErrorMessage="1" sqref="K19">
      <formula1>0</formula1>
    </dataValidation>
    <dataValidation type="decimal" allowBlank="1" showInputMessage="1" showErrorMessage="1" errorTitle="Invalid diversity allowance" error="Invalid diversity allowance (negative number or unused cell)." sqref="I17:J17 J19 J15 P17 J21 R15:S15 M15 O15">
      <formula1>0</formula1>
      <formula2>4</formula2>
    </dataValidation>
    <dataValidation type="decimal" allowBlank="1" showInputMessage="1" showErrorMessage="1" sqref="L19:O19 Q19:S19">
      <formula1>0.001</formula1>
      <formula2>999999.999</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K15:L15 Q1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6"/>
  <sheetViews>
    <sheetView showGridLines="0" tabSelected="1" zoomScale="80" zoomScaleNormal="80" workbookViewId="0">
      <pane ySplit="5" topLeftCell="A48" activePane="bottomLeft" state="frozen"/>
      <selection pane="bottomLeft" activeCell="H53" sqref="H53"/>
    </sheetView>
  </sheetViews>
  <sheetFormatPr defaultColWidth="0" defaultRowHeight="14.4" x14ac:dyDescent="0.3"/>
  <cols>
    <col min="1" max="5" width="2.5546875" customWidth="1"/>
    <col min="6" max="6" width="59.5546875" customWidth="1"/>
    <col min="7" max="8" width="20.5546875" customWidth="1"/>
    <col min="9" max="9" width="2.44140625" customWidth="1"/>
    <col min="10" max="10" width="50.5546875" customWidth="1"/>
    <col min="11" max="11" width="2.44140625" customWidth="1"/>
    <col min="12" max="17" width="15.44140625" hidden="1" customWidth="1"/>
    <col min="18" max="27" width="20.5546875" hidden="1" customWidth="1"/>
    <col min="28" max="28" width="2.5546875" hidden="1" customWidth="1"/>
    <col min="29" max="256" width="20.5546875" hidden="1" customWidth="1"/>
    <col min="257" max="16384" width="9.21875" hidden="1"/>
  </cols>
  <sheetData>
    <row r="1" spans="1:27" s="1" customFormat="1" x14ac:dyDescent="0.3">
      <c r="A1" s="1" t="str">
        <f ca="1">MID(CELL("filename",A1),FIND("]",CELL("filename",A1))+1,255)</f>
        <v>General inputs</v>
      </c>
    </row>
    <row r="2" spans="1:27" s="1" customFormat="1" x14ac:dyDescent="0.3">
      <c r="A2" s="1" t="str">
        <f>Cover!D21&amp;" - "&amp;Cover!D23</f>
        <v>WPD Mid West - April 22 Pricing</v>
      </c>
    </row>
    <row r="3" spans="1:27" s="5" customFormat="1" x14ac:dyDescent="0.3">
      <c r="A3" s="5" t="str">
        <f>Cover!D2&amp;" - "&amp;Cover!D8&amp;" v"&amp;Cover!D10&amp;" - "&amp;Cover!D19</f>
        <v>CDCM charging model - Release for charge setting v7 - 2022/23</v>
      </c>
    </row>
    <row r="4" spans="1:27" x14ac:dyDescent="0.3">
      <c r="A4" s="12" t="str">
        <f>H114 &amp; IF(H114 = 1, " issue", " issues") &amp;" identified in checks on this sheet"</f>
        <v>0 issues identified in checks on this sheet</v>
      </c>
      <c r="B4" s="13"/>
      <c r="C4" s="13"/>
      <c r="D4" s="13"/>
      <c r="E4" s="13"/>
      <c r="F4" s="13"/>
      <c r="G4" s="13"/>
      <c r="H4" s="14"/>
      <c r="I4" s="14"/>
      <c r="J4" s="13"/>
    </row>
    <row r="5" spans="1:27" x14ac:dyDescent="0.3">
      <c r="B5" s="59" t="s">
        <v>142</v>
      </c>
      <c r="C5" s="60"/>
      <c r="D5" s="60"/>
      <c r="E5" s="60"/>
      <c r="F5" s="60"/>
      <c r="G5" s="21" t="s">
        <v>143</v>
      </c>
      <c r="H5" s="93" t="s">
        <v>144</v>
      </c>
      <c r="J5" s="61" t="s">
        <v>145</v>
      </c>
    </row>
    <row r="6" spans="1:27" x14ac:dyDescent="0.3">
      <c r="G6" s="13"/>
    </row>
    <row r="7" spans="1:27" x14ac:dyDescent="0.3">
      <c r="B7" s="30" t="s">
        <v>10</v>
      </c>
      <c r="C7" s="30"/>
      <c r="D7" s="30"/>
      <c r="E7" s="30"/>
      <c r="F7" s="30"/>
      <c r="G7" s="92"/>
      <c r="H7" s="30"/>
      <c r="I7" s="30"/>
      <c r="J7" s="30"/>
      <c r="L7" s="30"/>
      <c r="M7" s="30"/>
      <c r="N7" s="30"/>
      <c r="O7" s="30"/>
      <c r="P7" s="30"/>
      <c r="Q7" s="30"/>
      <c r="R7" s="30"/>
      <c r="S7" s="30"/>
      <c r="T7" s="30"/>
      <c r="U7" s="30"/>
      <c r="V7" s="30"/>
      <c r="W7" s="30"/>
      <c r="X7" s="30"/>
      <c r="Y7" s="30"/>
      <c r="Z7" s="30"/>
      <c r="AA7" s="30"/>
    </row>
    <row r="8" spans="1:27" x14ac:dyDescent="0.3">
      <c r="G8" s="13"/>
    </row>
    <row r="9" spans="1:27" x14ac:dyDescent="0.3">
      <c r="C9" s="29" t="s">
        <v>301</v>
      </c>
      <c r="G9" s="13"/>
    </row>
    <row r="10" spans="1:27" x14ac:dyDescent="0.3">
      <c r="G10" s="13"/>
    </row>
    <row r="11" spans="1:27" x14ac:dyDescent="0.3">
      <c r="B11" s="30" t="s">
        <v>60</v>
      </c>
      <c r="C11" s="30"/>
      <c r="D11" s="30"/>
      <c r="E11" s="30"/>
      <c r="F11" s="30"/>
      <c r="G11" s="92"/>
      <c r="H11" s="30"/>
      <c r="I11" s="30"/>
      <c r="J11" s="30"/>
      <c r="L11" s="30"/>
      <c r="M11" s="30"/>
      <c r="N11" s="30"/>
      <c r="O11" s="30"/>
      <c r="P11" s="30"/>
      <c r="Q11" s="30"/>
      <c r="R11" s="30"/>
      <c r="S11" s="30"/>
      <c r="T11" s="30"/>
      <c r="U11" s="30"/>
      <c r="V11" s="30"/>
      <c r="W11" s="30"/>
      <c r="X11" s="30"/>
      <c r="Y11" s="30"/>
      <c r="Z11" s="30"/>
      <c r="AA11" s="30"/>
    </row>
    <row r="12" spans="1:27" x14ac:dyDescent="0.3">
      <c r="G12" s="13"/>
    </row>
    <row r="13" spans="1:27" x14ac:dyDescent="0.3">
      <c r="C13" s="31" t="str">
        <f ca="1">INDEX('Version control'!$H$34:$H$57,MATCH($A$1,'Version control'!$F$34:$F$57,0),1)&amp;"-A: Inputs by distribution timeband"</f>
        <v>Input 104-A: Inputs by distribution timeband</v>
      </c>
      <c r="D13" s="31"/>
      <c r="E13" s="31"/>
      <c r="F13" s="31"/>
      <c r="G13" s="96"/>
      <c r="H13" s="31"/>
      <c r="I13" s="31"/>
      <c r="J13" s="31"/>
      <c r="L13" s="30"/>
      <c r="M13" s="30"/>
      <c r="N13" s="30"/>
      <c r="O13" s="30"/>
      <c r="P13" s="30"/>
      <c r="Q13" s="30"/>
      <c r="R13" s="30"/>
      <c r="S13" s="30"/>
      <c r="T13" s="30"/>
      <c r="U13" s="30"/>
      <c r="V13" s="30"/>
      <c r="W13" s="30"/>
      <c r="X13" s="30"/>
      <c r="Y13" s="30"/>
      <c r="Z13" s="30"/>
      <c r="AA13" s="30"/>
    </row>
    <row r="14" spans="1:27" x14ac:dyDescent="0.3">
      <c r="G14" s="13"/>
    </row>
    <row r="15" spans="1:27" x14ac:dyDescent="0.3">
      <c r="D15" s="32" t="s">
        <v>302</v>
      </c>
      <c r="E15" s="32"/>
      <c r="G15" s="13"/>
      <c r="I15" t="s">
        <v>154</v>
      </c>
      <c r="J15" t="s">
        <v>303</v>
      </c>
    </row>
    <row r="16" spans="1:27" x14ac:dyDescent="0.3">
      <c r="E16" s="64" t="s">
        <v>296</v>
      </c>
      <c r="F16" s="64"/>
      <c r="G16" s="85" t="s">
        <v>304</v>
      </c>
      <c r="H16" s="253">
        <v>258</v>
      </c>
    </row>
    <row r="17" spans="3:27" x14ac:dyDescent="0.3">
      <c r="E17" s="28" t="s">
        <v>305</v>
      </c>
      <c r="F17" s="28"/>
      <c r="G17" s="13" t="s">
        <v>304</v>
      </c>
      <c r="H17" s="254">
        <v>3265.5</v>
      </c>
    </row>
    <row r="18" spans="3:27" x14ac:dyDescent="0.3">
      <c r="E18" s="67" t="s">
        <v>257</v>
      </c>
      <c r="F18" s="67"/>
      <c r="G18" s="86" t="s">
        <v>304</v>
      </c>
      <c r="H18" s="256">
        <v>5236.5</v>
      </c>
    </row>
    <row r="19" spans="3:27" x14ac:dyDescent="0.3">
      <c r="G19" s="13"/>
      <c r="H19" s="89"/>
    </row>
    <row r="20" spans="3:27" x14ac:dyDescent="0.3">
      <c r="D20" s="32" t="s">
        <v>306</v>
      </c>
      <c r="E20" s="32"/>
      <c r="G20" s="13"/>
      <c r="H20" s="89"/>
      <c r="I20" t="s">
        <v>154</v>
      </c>
      <c r="J20" t="s">
        <v>303</v>
      </c>
    </row>
    <row r="21" spans="3:27" x14ac:dyDescent="0.3">
      <c r="E21" s="23" t="s">
        <v>294</v>
      </c>
      <c r="F21" s="23"/>
      <c r="G21" s="85" t="s">
        <v>304</v>
      </c>
      <c r="H21" s="253">
        <v>783</v>
      </c>
    </row>
    <row r="22" spans="3:27" x14ac:dyDescent="0.3">
      <c r="E22" t="s">
        <v>295</v>
      </c>
      <c r="G22" s="13" t="s">
        <v>304</v>
      </c>
      <c r="H22" s="254">
        <v>2740.5</v>
      </c>
    </row>
    <row r="23" spans="3:27" x14ac:dyDescent="0.3">
      <c r="E23" s="37" t="s">
        <v>257</v>
      </c>
      <c r="F23" s="37"/>
      <c r="G23" s="86" t="s">
        <v>304</v>
      </c>
      <c r="H23" s="256">
        <v>5236.5</v>
      </c>
    </row>
    <row r="24" spans="3:27" x14ac:dyDescent="0.3">
      <c r="G24" s="13"/>
    </row>
    <row r="25" spans="3:27" x14ac:dyDescent="0.3">
      <c r="C25" s="31" t="str">
        <f ca="1">INDEX('Version control'!$H$34:$H$57,MATCH($A$1,'Version control'!$F$34:$F$57,0),1)&amp;"-B: LDNO discount inputs"</f>
        <v>Input 104-B: LDNO discount inputs</v>
      </c>
      <c r="D25" s="31"/>
      <c r="E25" s="31"/>
      <c r="F25" s="31"/>
      <c r="G25" s="96"/>
      <c r="H25" s="31"/>
      <c r="I25" s="31"/>
      <c r="J25" s="31"/>
      <c r="L25" s="30"/>
      <c r="M25" s="30"/>
      <c r="N25" s="30"/>
      <c r="O25" s="30"/>
      <c r="P25" s="30"/>
      <c r="Q25" s="30"/>
      <c r="R25" s="30"/>
      <c r="S25" s="30"/>
      <c r="T25" s="30"/>
      <c r="U25" s="30"/>
      <c r="V25" s="30"/>
      <c r="W25" s="30"/>
      <c r="X25" s="30"/>
      <c r="Y25" s="30"/>
      <c r="Z25" s="30"/>
      <c r="AA25" s="30"/>
    </row>
    <row r="26" spans="3:27" x14ac:dyDescent="0.3">
      <c r="G26" s="13"/>
    </row>
    <row r="27" spans="3:27" x14ac:dyDescent="0.3">
      <c r="D27" s="29" t="s">
        <v>307</v>
      </c>
      <c r="E27" s="29"/>
      <c r="G27" s="13"/>
    </row>
    <row r="28" spans="3:27" x14ac:dyDescent="0.3">
      <c r="D28" s="29"/>
      <c r="E28" s="29"/>
      <c r="G28" s="13"/>
    </row>
    <row r="29" spans="3:27" x14ac:dyDescent="0.3">
      <c r="D29" s="32" t="s">
        <v>308</v>
      </c>
      <c r="E29" s="32"/>
      <c r="G29" s="13"/>
      <c r="I29" t="s">
        <v>154</v>
      </c>
      <c r="J29" t="s">
        <v>309</v>
      </c>
    </row>
    <row r="30" spans="3:27" x14ac:dyDescent="0.3">
      <c r="E30" s="64" t="s">
        <v>175</v>
      </c>
      <c r="F30" s="23"/>
      <c r="G30" s="78" t="s">
        <v>167</v>
      </c>
      <c r="H30" s="257">
        <v>0.33736714141938473</v>
      </c>
      <c r="J30" s="438"/>
    </row>
    <row r="31" spans="3:27" x14ac:dyDescent="0.3">
      <c r="E31" s="28" t="s">
        <v>177</v>
      </c>
      <c r="G31" s="72" t="s">
        <v>167</v>
      </c>
      <c r="H31" s="252">
        <v>0.48222066856070578</v>
      </c>
      <c r="J31" s="438"/>
    </row>
    <row r="32" spans="3:27" x14ac:dyDescent="0.3">
      <c r="E32" s="28" t="s">
        <v>178</v>
      </c>
      <c r="G32" s="72" t="s">
        <v>167</v>
      </c>
      <c r="H32" s="252">
        <v>0.19751655620522704</v>
      </c>
      <c r="J32" s="438"/>
    </row>
    <row r="33" spans="3:27" x14ac:dyDescent="0.3">
      <c r="E33" s="67" t="s">
        <v>179</v>
      </c>
      <c r="F33" s="37"/>
      <c r="G33" s="80" t="s">
        <v>167</v>
      </c>
      <c r="H33" s="258">
        <v>7.8679419876750339E-2</v>
      </c>
      <c r="J33" s="438"/>
    </row>
    <row r="34" spans="3:27" x14ac:dyDescent="0.3">
      <c r="G34" s="13"/>
    </row>
    <row r="35" spans="3:27" x14ac:dyDescent="0.3">
      <c r="C35" s="31" t="str">
        <f ca="1">INDEX('Version control'!$H$34:$H$57,MATCH($A$1,'Version control'!$F$34:$F$57,0),1)&amp;"-C: CDCM target revenue"</f>
        <v>Input 104-C: CDCM target revenue</v>
      </c>
      <c r="D35" s="31"/>
      <c r="E35" s="31"/>
      <c r="F35" s="31"/>
      <c r="G35" s="96"/>
      <c r="H35" s="31"/>
      <c r="I35" s="31"/>
      <c r="J35" s="31"/>
      <c r="L35" s="30"/>
      <c r="M35" s="30"/>
      <c r="N35" s="30"/>
      <c r="O35" s="30"/>
      <c r="P35" s="30"/>
      <c r="Q35" s="30"/>
      <c r="R35" s="30"/>
      <c r="S35" s="30"/>
      <c r="T35" s="30"/>
      <c r="U35" s="30"/>
      <c r="V35" s="30"/>
      <c r="W35" s="30"/>
      <c r="X35" s="30"/>
      <c r="Y35" s="30"/>
      <c r="Z35" s="30"/>
      <c r="AA35" s="30"/>
    </row>
    <row r="37" spans="3:27" x14ac:dyDescent="0.3">
      <c r="D37" s="29" t="s">
        <v>310</v>
      </c>
      <c r="E37" s="29"/>
      <c r="G37" s="13"/>
      <c r="H37" s="13"/>
      <c r="I37" t="s">
        <v>154</v>
      </c>
      <c r="J37" t="s">
        <v>311</v>
      </c>
      <c r="K37" s="13"/>
      <c r="L37" s="13"/>
      <c r="M37" s="13"/>
      <c r="N37" s="13"/>
      <c r="O37" s="13"/>
      <c r="P37" s="13"/>
      <c r="Q37" s="13"/>
      <c r="R37" s="13"/>
      <c r="S37" s="13"/>
    </row>
    <row r="38" spans="3:27" x14ac:dyDescent="0.3">
      <c r="D38" s="29" t="s">
        <v>828</v>
      </c>
      <c r="E38" s="29"/>
      <c r="G38" s="13"/>
      <c r="H38" s="13"/>
      <c r="I38" s="13"/>
      <c r="J38" s="97"/>
      <c r="K38" s="13"/>
      <c r="L38" s="13"/>
      <c r="M38" s="13"/>
      <c r="N38" s="13"/>
      <c r="O38" s="13"/>
      <c r="P38" s="13"/>
      <c r="Q38" s="13"/>
      <c r="R38" s="13"/>
      <c r="S38" s="13"/>
    </row>
    <row r="39" spans="3:27" x14ac:dyDescent="0.3">
      <c r="E39" s="32"/>
    </row>
    <row r="40" spans="3:27" x14ac:dyDescent="0.3">
      <c r="E40" t="s">
        <v>312</v>
      </c>
      <c r="G40" t="s">
        <v>277</v>
      </c>
      <c r="H40" s="254">
        <v>430100000</v>
      </c>
    </row>
    <row r="41" spans="3:27" x14ac:dyDescent="0.3">
      <c r="E41" t="s">
        <v>313</v>
      </c>
      <c r="G41" t="s">
        <v>277</v>
      </c>
      <c r="H41" s="254">
        <v>-29909092.406927299</v>
      </c>
    </row>
    <row r="42" spans="3:27" x14ac:dyDescent="0.3">
      <c r="E42" t="s">
        <v>314</v>
      </c>
      <c r="G42" t="s">
        <v>277</v>
      </c>
      <c r="H42" s="254">
        <v>-3200298.6823624461</v>
      </c>
    </row>
    <row r="43" spans="3:27" x14ac:dyDescent="0.3">
      <c r="E43" s="37" t="s">
        <v>315</v>
      </c>
      <c r="F43" s="37"/>
      <c r="G43" s="37" t="s">
        <v>283</v>
      </c>
      <c r="H43" s="256">
        <v>1.2769999999999999</v>
      </c>
    </row>
    <row r="44" spans="3:27" x14ac:dyDescent="0.3">
      <c r="E44" t="s">
        <v>316</v>
      </c>
      <c r="G44" t="s">
        <v>277</v>
      </c>
      <c r="H44" s="98">
        <f>SUM(H40:H42)</f>
        <v>396990608.91071028</v>
      </c>
    </row>
    <row r="45" spans="3:27" x14ac:dyDescent="0.3">
      <c r="E45" t="s">
        <v>317</v>
      </c>
      <c r="G45" t="s">
        <v>277</v>
      </c>
      <c r="H45" s="98">
        <f>H44 * (H43 - 1)</f>
        <v>109966398.66826671</v>
      </c>
    </row>
    <row r="46" spans="3:27" x14ac:dyDescent="0.3">
      <c r="H46" s="89"/>
    </row>
    <row r="47" spans="3:27" x14ac:dyDescent="0.3">
      <c r="E47" t="s">
        <v>318</v>
      </c>
      <c r="G47" t="s">
        <v>277</v>
      </c>
      <c r="H47" s="254">
        <v>508597.42172502109</v>
      </c>
    </row>
    <row r="48" spans="3:27" x14ac:dyDescent="0.3">
      <c r="E48" t="s">
        <v>319</v>
      </c>
      <c r="G48" t="s">
        <v>277</v>
      </c>
      <c r="H48" s="254">
        <v>-19642328.847615391</v>
      </c>
    </row>
    <row r="49" spans="5:8" x14ac:dyDescent="0.3">
      <c r="E49" t="s">
        <v>320</v>
      </c>
      <c r="G49" t="s">
        <v>277</v>
      </c>
      <c r="H49" s="254">
        <v>-4654047.5031020669</v>
      </c>
    </row>
    <row r="50" spans="5:8" x14ac:dyDescent="0.3">
      <c r="E50" t="s">
        <v>321</v>
      </c>
      <c r="G50" t="s">
        <v>277</v>
      </c>
      <c r="H50" s="254">
        <v>2256776.345130966</v>
      </c>
    </row>
    <row r="51" spans="5:8" x14ac:dyDescent="0.3">
      <c r="E51" t="s">
        <v>322</v>
      </c>
      <c r="G51" t="s">
        <v>277</v>
      </c>
      <c r="H51" s="254">
        <v>-386236.47458403069</v>
      </c>
    </row>
    <row r="52" spans="5:8" x14ac:dyDescent="0.3">
      <c r="E52" t="s">
        <v>323</v>
      </c>
      <c r="G52" t="s">
        <v>277</v>
      </c>
      <c r="H52" s="254">
        <v>53973.590366909753</v>
      </c>
    </row>
    <row r="53" spans="5:8" x14ac:dyDescent="0.3">
      <c r="E53" t="s">
        <v>873</v>
      </c>
      <c r="G53" t="s">
        <v>277</v>
      </c>
      <c r="H53" s="254">
        <v>82527885.807858631</v>
      </c>
    </row>
    <row r="54" spans="5:8" x14ac:dyDescent="0.3">
      <c r="E54" t="s">
        <v>874</v>
      </c>
      <c r="G54" t="s">
        <v>277</v>
      </c>
      <c r="H54" s="254">
        <v>644138.06191657891</v>
      </c>
    </row>
    <row r="55" spans="5:8" x14ac:dyDescent="0.3">
      <c r="E55" s="37" t="s">
        <v>324</v>
      </c>
      <c r="F55" s="37"/>
      <c r="G55" s="37" t="s">
        <v>277</v>
      </c>
      <c r="H55" s="256"/>
    </row>
    <row r="56" spans="5:8" x14ac:dyDescent="0.3">
      <c r="E56" t="s">
        <v>325</v>
      </c>
      <c r="G56" t="s">
        <v>277</v>
      </c>
      <c r="H56" s="99">
        <f>SUM(H47:H55)</f>
        <v>61308758.401696615</v>
      </c>
    </row>
    <row r="57" spans="5:8" x14ac:dyDescent="0.3">
      <c r="H57" s="89"/>
    </row>
    <row r="58" spans="5:8" x14ac:dyDescent="0.3">
      <c r="E58" t="s">
        <v>326</v>
      </c>
      <c r="G58" t="s">
        <v>277</v>
      </c>
      <c r="H58" s="254">
        <v>6890894.3429671973</v>
      </c>
    </row>
    <row r="59" spans="5:8" x14ac:dyDescent="0.3">
      <c r="E59" t="s">
        <v>327</v>
      </c>
      <c r="G59" t="s">
        <v>277</v>
      </c>
      <c r="H59" s="254">
        <v>23905530.439987704</v>
      </c>
    </row>
    <row r="60" spans="5:8" x14ac:dyDescent="0.3">
      <c r="E60" t="s">
        <v>328</v>
      </c>
      <c r="G60" t="s">
        <v>277</v>
      </c>
      <c r="H60" s="254"/>
    </row>
    <row r="61" spans="5:8" x14ac:dyDescent="0.3">
      <c r="E61" t="s">
        <v>329</v>
      </c>
      <c r="G61" t="s">
        <v>277</v>
      </c>
      <c r="H61" s="254">
        <v>1617431.1318734391</v>
      </c>
    </row>
    <row r="62" spans="5:8" x14ac:dyDescent="0.3">
      <c r="E62" t="s">
        <v>330</v>
      </c>
      <c r="G62" t="s">
        <v>277</v>
      </c>
      <c r="H62" s="254"/>
    </row>
    <row r="63" spans="5:8" x14ac:dyDescent="0.3">
      <c r="E63" t="s">
        <v>331</v>
      </c>
      <c r="G63" t="s">
        <v>277</v>
      </c>
      <c r="H63" s="254">
        <v>1064906.784</v>
      </c>
    </row>
    <row r="64" spans="5:8" x14ac:dyDescent="0.3">
      <c r="E64" t="s">
        <v>332</v>
      </c>
      <c r="G64" t="s">
        <v>277</v>
      </c>
      <c r="H64" s="254"/>
    </row>
    <row r="65" spans="5:10" x14ac:dyDescent="0.3">
      <c r="E65" t="s">
        <v>333</v>
      </c>
      <c r="G65" t="s">
        <v>277</v>
      </c>
      <c r="H65" s="254"/>
    </row>
    <row r="66" spans="5:10" x14ac:dyDescent="0.3">
      <c r="E66" t="s">
        <v>334</v>
      </c>
      <c r="G66" t="s">
        <v>277</v>
      </c>
      <c r="H66" s="254"/>
    </row>
    <row r="67" spans="5:10" x14ac:dyDescent="0.3">
      <c r="E67" t="s">
        <v>335</v>
      </c>
      <c r="G67" t="s">
        <v>277</v>
      </c>
      <c r="H67" s="254"/>
    </row>
    <row r="68" spans="5:10" x14ac:dyDescent="0.3">
      <c r="E68" s="37" t="s">
        <v>336</v>
      </c>
      <c r="F68" s="37"/>
      <c r="G68" s="37" t="s">
        <v>277</v>
      </c>
      <c r="H68" s="256"/>
    </row>
    <row r="69" spans="5:10" x14ac:dyDescent="0.3">
      <c r="E69" t="s">
        <v>337</v>
      </c>
      <c r="G69" t="s">
        <v>277</v>
      </c>
      <c r="H69" s="98">
        <f>SUM(H58:H68)</f>
        <v>33478762.69882834</v>
      </c>
    </row>
    <row r="70" spans="5:10" x14ac:dyDescent="0.3">
      <c r="H70" s="89"/>
    </row>
    <row r="71" spans="5:10" x14ac:dyDescent="0.3">
      <c r="E71" s="37" t="s">
        <v>338</v>
      </c>
      <c r="F71" s="37"/>
      <c r="G71" s="37" t="s">
        <v>277</v>
      </c>
      <c r="H71" s="256">
        <v>28599966.047934189</v>
      </c>
      <c r="J71" s="437"/>
    </row>
    <row r="72" spans="5:10" x14ac:dyDescent="0.3">
      <c r="E72" t="s">
        <v>339</v>
      </c>
      <c r="G72" t="s">
        <v>277</v>
      </c>
      <c r="H72" s="98">
        <f>H71 + H69 + H56 + H45 + H44</f>
        <v>630344494.72743607</v>
      </c>
      <c r="J72" s="437"/>
    </row>
    <row r="73" spans="5:10" x14ac:dyDescent="0.3">
      <c r="H73" s="89"/>
    </row>
    <row r="74" spans="5:10" x14ac:dyDescent="0.3">
      <c r="E74" t="s">
        <v>340</v>
      </c>
      <c r="G74" t="s">
        <v>277</v>
      </c>
      <c r="H74" s="254"/>
      <c r="J74" s="439"/>
    </row>
    <row r="75" spans="5:10" x14ac:dyDescent="0.3">
      <c r="E75" t="s">
        <v>341</v>
      </c>
      <c r="G75" t="s">
        <v>277</v>
      </c>
      <c r="H75" s="254"/>
    </row>
    <row r="76" spans="5:10" x14ac:dyDescent="0.3">
      <c r="E76" t="s">
        <v>342</v>
      </c>
      <c r="G76" t="s">
        <v>277</v>
      </c>
      <c r="H76" s="254"/>
    </row>
    <row r="77" spans="5:10" x14ac:dyDescent="0.3">
      <c r="E77" t="s">
        <v>343</v>
      </c>
      <c r="G77" t="s">
        <v>277</v>
      </c>
      <c r="H77" s="254"/>
    </row>
    <row r="78" spans="5:10" x14ac:dyDescent="0.3">
      <c r="E78" s="37" t="s">
        <v>344</v>
      </c>
      <c r="F78" s="37"/>
      <c r="G78" s="37" t="s">
        <v>277</v>
      </c>
      <c r="H78" s="256"/>
    </row>
    <row r="79" spans="5:10" x14ac:dyDescent="0.3">
      <c r="E79" s="37" t="s">
        <v>345</v>
      </c>
      <c r="F79" s="37"/>
      <c r="G79" s="37" t="s">
        <v>277</v>
      </c>
      <c r="H79" s="100">
        <f>SUM(H74:H78)</f>
        <v>0</v>
      </c>
    </row>
    <row r="80" spans="5:10" x14ac:dyDescent="0.3">
      <c r="E80" t="s">
        <v>346</v>
      </c>
      <c r="G80" t="s">
        <v>277</v>
      </c>
      <c r="H80" s="99">
        <f>H72+H79</f>
        <v>630344494.72743607</v>
      </c>
    </row>
    <row r="81" spans="3:27" x14ac:dyDescent="0.3">
      <c r="H81" s="89"/>
    </row>
    <row r="82" spans="3:27" x14ac:dyDescent="0.3">
      <c r="E82" t="s">
        <v>347</v>
      </c>
      <c r="G82" t="s">
        <v>277</v>
      </c>
      <c r="H82" s="254">
        <v>6181268.7714511678</v>
      </c>
      <c r="J82" s="437"/>
    </row>
    <row r="83" spans="3:27" x14ac:dyDescent="0.3">
      <c r="E83" t="s">
        <v>348</v>
      </c>
      <c r="G83" t="s">
        <v>277</v>
      </c>
      <c r="H83" s="254"/>
    </row>
    <row r="84" spans="3:27" x14ac:dyDescent="0.3">
      <c r="E84" t="s">
        <v>349</v>
      </c>
      <c r="G84" t="s">
        <v>277</v>
      </c>
      <c r="H84" s="254"/>
    </row>
    <row r="85" spans="3:27" x14ac:dyDescent="0.3">
      <c r="E85" s="37" t="s">
        <v>350</v>
      </c>
      <c r="F85" s="37"/>
      <c r="G85" s="37" t="s">
        <v>277</v>
      </c>
      <c r="H85" s="256"/>
    </row>
    <row r="86" spans="3:27" x14ac:dyDescent="0.3">
      <c r="E86" t="s">
        <v>351</v>
      </c>
      <c r="G86" t="s">
        <v>277</v>
      </c>
      <c r="H86" s="98">
        <f>SUM(H82:H85)</f>
        <v>6181268.7714511678</v>
      </c>
    </row>
    <row r="87" spans="3:27" x14ac:dyDescent="0.3">
      <c r="E87" s="23" t="s">
        <v>352</v>
      </c>
      <c r="F87" s="23"/>
      <c r="G87" s="23" t="s">
        <v>277</v>
      </c>
      <c r="H87" s="101">
        <f>H80-H86</f>
        <v>624163225.95598495</v>
      </c>
    </row>
    <row r="88" spans="3:27" x14ac:dyDescent="0.3">
      <c r="H88" s="102"/>
    </row>
    <row r="89" spans="3:27" x14ac:dyDescent="0.3">
      <c r="C89" s="31" t="str">
        <f ca="1">INDEX('Version control'!$H$34:$H$57,MATCH($A$1,'Version control'!$F$34:$F$57,0),1)&amp;"-D: Financial and general assumptions"</f>
        <v>Input 104-D: Financial and general assumptions</v>
      </c>
      <c r="D89" s="31"/>
      <c r="E89" s="31"/>
      <c r="F89" s="31"/>
      <c r="G89" s="96"/>
      <c r="H89" s="31"/>
      <c r="I89" s="31"/>
      <c r="J89" s="31"/>
      <c r="L89" s="30"/>
      <c r="M89" s="30"/>
      <c r="N89" s="30"/>
      <c r="O89" s="30"/>
      <c r="P89" s="30"/>
      <c r="Q89" s="30"/>
      <c r="R89" s="30"/>
      <c r="S89" s="30"/>
      <c r="T89" s="30"/>
      <c r="U89" s="30"/>
      <c r="V89" s="30"/>
      <c r="W89" s="30"/>
      <c r="X89" s="30"/>
      <c r="Y89" s="30"/>
      <c r="Z89" s="30"/>
      <c r="AA89" s="30"/>
    </row>
    <row r="91" spans="3:27" x14ac:dyDescent="0.3">
      <c r="E91" s="28" t="s">
        <v>353</v>
      </c>
      <c r="G91" t="s">
        <v>167</v>
      </c>
      <c r="H91" s="259">
        <v>3.2599999999999997E-2</v>
      </c>
      <c r="I91" t="s">
        <v>154</v>
      </c>
      <c r="J91" s="3" t="s">
        <v>165</v>
      </c>
    </row>
    <row r="92" spans="3:27" x14ac:dyDescent="0.3">
      <c r="E92" s="28" t="s">
        <v>127</v>
      </c>
      <c r="G92" s="28" t="s">
        <v>354</v>
      </c>
      <c r="H92" s="243">
        <v>365</v>
      </c>
    </row>
    <row r="93" spans="3:27" x14ac:dyDescent="0.3">
      <c r="E93" t="s">
        <v>355</v>
      </c>
      <c r="G93" t="s">
        <v>147</v>
      </c>
      <c r="H93" s="103">
        <f>days_in_year * hours_in_day</f>
        <v>8760</v>
      </c>
    </row>
    <row r="95" spans="3:27" x14ac:dyDescent="0.3">
      <c r="C95" s="31" t="str">
        <f ca="1">INDEX('Version control'!$H$34:$H$57,MATCH($A$1,'Version control'!$F$34:$F$57,0),1)&amp;"-E: Transmission exit charges"</f>
        <v>Input 104-E: Transmission exit charges</v>
      </c>
      <c r="D95" s="31"/>
      <c r="E95" s="31"/>
      <c r="F95" s="31"/>
      <c r="G95" s="96"/>
      <c r="H95" s="31"/>
      <c r="I95" s="31"/>
      <c r="J95" s="31"/>
      <c r="L95" s="30"/>
      <c r="M95" s="30"/>
      <c r="N95" s="30"/>
      <c r="O95" s="30"/>
      <c r="P95" s="30"/>
      <c r="Q95" s="30"/>
      <c r="R95" s="30"/>
      <c r="S95" s="30"/>
      <c r="T95" s="30"/>
      <c r="U95" s="30"/>
      <c r="V95" s="30"/>
      <c r="W95" s="30"/>
      <c r="X95" s="30"/>
      <c r="Y95" s="30"/>
      <c r="Z95" s="30"/>
      <c r="AA95" s="30"/>
    </row>
    <row r="97" spans="2:27" x14ac:dyDescent="0.3">
      <c r="E97" s="28" t="s">
        <v>356</v>
      </c>
      <c r="G97" t="s">
        <v>357</v>
      </c>
      <c r="H97" s="254">
        <v>13815110.913975246</v>
      </c>
      <c r="I97" t="s">
        <v>154</v>
      </c>
      <c r="J97" t="s">
        <v>358</v>
      </c>
    </row>
    <row r="98" spans="2:27" x14ac:dyDescent="0.3">
      <c r="H98" s="89"/>
    </row>
    <row r="99" spans="2:27" x14ac:dyDescent="0.3">
      <c r="C99" s="31" t="str">
        <f ca="1">INDEX('Version control'!$H$34:$H$57,MATCH($A$1,'Version control'!$F$34:$F$57,0),1)&amp;"-F: Other expenditure"</f>
        <v>Input 104-F: Other expenditure</v>
      </c>
      <c r="D99" s="31"/>
      <c r="E99" s="31"/>
      <c r="F99" s="31"/>
      <c r="G99" s="96"/>
      <c r="H99" s="90"/>
      <c r="I99" s="31"/>
      <c r="J99" s="31"/>
      <c r="L99" s="30"/>
      <c r="M99" s="30"/>
      <c r="N99" s="30"/>
      <c r="O99" s="30"/>
      <c r="P99" s="30"/>
      <c r="Q99" s="30"/>
      <c r="R99" s="30"/>
      <c r="S99" s="30"/>
      <c r="T99" s="30"/>
      <c r="U99" s="30"/>
      <c r="V99" s="30"/>
      <c r="W99" s="30"/>
      <c r="X99" s="30"/>
      <c r="Y99" s="30"/>
      <c r="Z99" s="30"/>
      <c r="AA99" s="30"/>
    </row>
    <row r="100" spans="2:27" x14ac:dyDescent="0.3">
      <c r="H100" s="89"/>
    </row>
    <row r="101" spans="2:27" x14ac:dyDescent="0.3">
      <c r="E101" s="32" t="s">
        <v>359</v>
      </c>
      <c r="F101" s="32"/>
      <c r="H101" s="89"/>
      <c r="I101" t="s">
        <v>154</v>
      </c>
      <c r="J101" t="s">
        <v>170</v>
      </c>
    </row>
    <row r="102" spans="2:27" x14ac:dyDescent="0.3">
      <c r="F102" s="64" t="s">
        <v>360</v>
      </c>
      <c r="G102" s="23" t="s">
        <v>357</v>
      </c>
      <c r="H102" s="253">
        <v>54877324.45348423</v>
      </c>
    </row>
    <row r="103" spans="2:27" x14ac:dyDescent="0.3">
      <c r="F103" s="28" t="s">
        <v>361</v>
      </c>
      <c r="G103" t="s">
        <v>357</v>
      </c>
      <c r="H103" s="254">
        <v>137597202.16465038</v>
      </c>
      <c r="R103" s="88"/>
      <c r="S103" s="88"/>
    </row>
    <row r="104" spans="2:27" x14ac:dyDescent="0.3">
      <c r="F104" s="67" t="s">
        <v>362</v>
      </c>
      <c r="G104" s="37" t="s">
        <v>357</v>
      </c>
      <c r="H104" s="256">
        <v>31873549.986733001</v>
      </c>
      <c r="R104" s="88"/>
      <c r="S104" s="88"/>
    </row>
    <row r="106" spans="2:27" x14ac:dyDescent="0.3">
      <c r="B106" s="30" t="s">
        <v>231</v>
      </c>
      <c r="C106" s="30"/>
      <c r="D106" s="30"/>
      <c r="E106" s="30"/>
      <c r="F106" s="30"/>
      <c r="G106" s="30"/>
      <c r="H106" s="30"/>
      <c r="I106" s="30"/>
      <c r="J106" s="30"/>
      <c r="L106" s="30"/>
      <c r="M106" s="30"/>
      <c r="N106" s="30"/>
      <c r="O106" s="30"/>
      <c r="P106" s="30"/>
      <c r="Q106" s="30"/>
      <c r="R106" s="30"/>
      <c r="S106" s="30"/>
      <c r="T106" s="30"/>
      <c r="U106" s="30"/>
      <c r="V106" s="30"/>
      <c r="W106" s="30"/>
      <c r="X106" s="30"/>
      <c r="Y106" s="30"/>
      <c r="Z106" s="30"/>
      <c r="AA106" s="30"/>
    </row>
    <row r="108" spans="2:27" x14ac:dyDescent="0.3">
      <c r="E108" t="s">
        <v>232</v>
      </c>
      <c r="G108" s="6" t="s">
        <v>55</v>
      </c>
      <c r="H108" s="24">
        <f t="array" ref="H108">SUM(IF(ISERROR(H6:H105), 1))</f>
        <v>0</v>
      </c>
    </row>
    <row r="110" spans="2:27" x14ac:dyDescent="0.3">
      <c r="E110" s="32" t="s">
        <v>363</v>
      </c>
    </row>
    <row r="111" spans="2:27" x14ac:dyDescent="0.3">
      <c r="F111" s="23" t="s">
        <v>364</v>
      </c>
      <c r="G111" s="73" t="s">
        <v>55</v>
      </c>
      <c r="H111" s="74">
        <f>IF(SUM(H16:H18) = hours_in_year, 0, 1)</f>
        <v>0</v>
      </c>
    </row>
    <row r="112" spans="2:27" x14ac:dyDescent="0.3">
      <c r="F112" s="37" t="s">
        <v>365</v>
      </c>
      <c r="G112" s="50" t="s">
        <v>55</v>
      </c>
      <c r="H112" s="75">
        <f>IF(SUM(H21:H23) = hours_in_year, 0, 1)</f>
        <v>0</v>
      </c>
    </row>
    <row r="114" spans="2:27" x14ac:dyDescent="0.3">
      <c r="E114" t="s">
        <v>239</v>
      </c>
      <c r="G114" s="6" t="s">
        <v>55</v>
      </c>
      <c r="H114" s="103">
        <f>SUM(H108,H111:H112)</f>
        <v>0</v>
      </c>
    </row>
    <row r="116" spans="2:27" x14ac:dyDescent="0.3">
      <c r="B116" s="30" t="s">
        <v>106</v>
      </c>
      <c r="C116" s="30"/>
      <c r="D116" s="30"/>
      <c r="E116" s="30"/>
      <c r="F116" s="30"/>
      <c r="G116" s="30"/>
      <c r="H116" s="30"/>
      <c r="I116" s="30"/>
      <c r="J116" s="30"/>
      <c r="L116" s="30"/>
      <c r="M116" s="30"/>
      <c r="N116" s="30"/>
      <c r="O116" s="30"/>
      <c r="P116" s="30"/>
      <c r="Q116" s="30"/>
      <c r="R116" s="30"/>
      <c r="S116" s="30"/>
      <c r="T116" s="30"/>
      <c r="U116" s="30"/>
      <c r="V116" s="30"/>
      <c r="W116" s="30"/>
      <c r="X116" s="30"/>
      <c r="Y116" s="30"/>
      <c r="Z116" s="30"/>
      <c r="AA116" s="30"/>
    </row>
  </sheetData>
  <sheetProtection formatCells="0" formatColumns="0" formatRows="0" sort="0" autoFilter="0"/>
  <conditionalFormatting sqref="H108">
    <cfRule type="cellIs" dxfId="184" priority="5" operator="greaterThan">
      <formula>0</formula>
    </cfRule>
  </conditionalFormatting>
  <conditionalFormatting sqref="H111:H113">
    <cfRule type="cellIs" dxfId="183" priority="4" operator="greaterThan">
      <formula>0</formula>
    </cfRule>
  </conditionalFormatting>
  <conditionalFormatting sqref="A4:XFD4">
    <cfRule type="expression" dxfId="182" priority="2">
      <formula>LEFT($A$4,1) &lt;&gt; "0"</formula>
    </cfRule>
  </conditionalFormatting>
  <conditionalFormatting sqref="H114">
    <cfRule type="cellIs" dxfId="181" priority="1" operator="greaterThan">
      <formula>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2">
      <formula1>365</formula1>
      <formula2>366</formula2>
    </dataValidation>
    <dataValidation type="decimal" operator="greaterThanOrEqual" allowBlank="1" showInputMessage="1" showErrorMessage="1" sqref="H102:H104 H97 H16:H18 H21:H23">
      <formula1>0</formula1>
    </dataValidation>
    <dataValidation type="decimal" operator="greaterThanOrEqual" allowBlank="1" showInputMessage="1" showErrorMessage="1" error="The rate of return must be a non-negative percentage value." sqref="H91">
      <formula1>0</formula1>
    </dataValidation>
    <dataValidation type="whole" allowBlank="1" showInputMessage="1" showErrorMessage="1" sqref="H93">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2" ma:contentTypeDescription="Create a new document." ma:contentTypeScope="" ma:versionID="05721c098920905ee0a7627685c8e168">
  <xsd:schema xmlns:xsd="http://www.w3.org/2001/XMLSchema" xmlns:xs="http://www.w3.org/2001/XMLSchema" xmlns:p="http://schemas.microsoft.com/office/2006/metadata/properties" xmlns:ns2="56525fcc-fd9b-4a18-b571-66fa38027e5b" targetNamespace="http://schemas.microsoft.com/office/2006/metadata/properties" ma:root="true" ma:fieldsID="738160ac3861714b7c51957dc4679198" ns2:_="">
    <xsd:import namespace="56525fcc-fd9b-4a18-b571-66fa38027e5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433340-7BEC-4F3D-99D4-81DABA0ADC90}">
  <ds:schemaRefs>
    <ds:schemaRef ds:uri="http://schemas.microsoft.com/office/infopath/2007/PartnerControls"/>
    <ds:schemaRef ds:uri="http://schemas.microsoft.com/office/2006/metadata/properties"/>
    <ds:schemaRef ds:uri="http://schemas.openxmlformats.org/package/2006/metadata/core-properties"/>
    <ds:schemaRef ds:uri="http://purl.org/dc/dcmitype/"/>
    <ds:schemaRef ds:uri="http://purl.org/dc/terms/"/>
    <ds:schemaRef ds:uri="http://purl.org/dc/elements/1.1/"/>
    <ds:schemaRef ds:uri="http://schemas.microsoft.com/office/2006/documentManagement/types"/>
    <ds:schemaRef ds:uri="dcbf8a88-e063-4a69-82e9-42d02808f636"/>
    <ds:schemaRef ds:uri="df11e38d-df47-44a9-bb81-9cb5331e96c9"/>
    <ds:schemaRef ds:uri="http://www.w3.org/XML/1998/namespace"/>
  </ds:schemaRefs>
</ds:datastoreItem>
</file>

<file path=customXml/itemProps2.xml><?xml version="1.0" encoding="utf-8"?>
<ds:datastoreItem xmlns:ds="http://schemas.openxmlformats.org/officeDocument/2006/customXml" ds:itemID="{AD672EFB-D87C-4F0C-B881-1D86437C27CF}">
  <ds:schemaRefs>
    <ds:schemaRef ds:uri="http://schemas.microsoft.com/sharepoint/v3/contenttype/forms"/>
  </ds:schemaRefs>
</ds:datastoreItem>
</file>

<file path=customXml/itemProps3.xml><?xml version="1.0" encoding="utf-8"?>
<ds:datastoreItem xmlns:ds="http://schemas.openxmlformats.org/officeDocument/2006/customXml" ds:itemID="{994D0C6E-A25B-41F6-8E31-AF29554F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10</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Wornell, Dave I.</cp:lastModifiedBy>
  <cp:revision/>
  <dcterms:created xsi:type="dcterms:W3CDTF">2017-07-12T09:37:31Z</dcterms:created>
  <dcterms:modified xsi:type="dcterms:W3CDTF">2022-01-28T14:44:39Z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